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10.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7A2D7E96-6E34-419A-AE5F-296B3A7E7977}"/>
  <workbookPr codeName="ThisWorkbook" defaultThemeVersion="124226"/>
  <mc:AlternateContent xmlns:mc="http://schemas.openxmlformats.org/markup-compatibility/2006">
    <mc:Choice Requires="x15">
      <x15ac:absPath xmlns:x15ac="http://schemas.microsoft.com/office/spreadsheetml/2010/11/ac" url="O:\Valuation\RNA Advisors\Decibel Therapeutics\409A VD 05.25.2018\6 - Analysis\"/>
    </mc:Choice>
  </mc:AlternateContent>
  <xr:revisionPtr revIDLastSave="0" documentId="8_{BFF9F16F-8BE4-4522-8932-00D72D5E0B6A}" xr6:coauthVersionLast="40" xr6:coauthVersionMax="40" xr10:uidLastSave="{00000000-0000-0000-0000-000000000000}"/>
  <bookViews>
    <workbookView xWindow="-120" yWindow="-120" windowWidth="20730" windowHeight="11160" tabRatio="890" firstSheet="21" activeTab="6" xr2:uid="{00000000-000D-0000-FFFF-FFFF00000000}"/>
  </bookViews>
  <sheets>
    <sheet name="Model Guidelines" sheetId="123" r:id="rId1"/>
    <sheet name="MASTER PubCo Inputs" sheetId="79" r:id="rId2"/>
    <sheet name="Change Log" sheetId="228" r:id="rId3"/>
    <sheet name="Notes &amp; Assumptions" sheetId="142" r:id="rId4"/>
    <sheet name="Checklist" sheetId="248" r:id="rId5"/>
    <sheet name="Exhibits--&gt;&gt;" sheetId="86" r:id="rId6"/>
    <sheet name="Title" sheetId="1" r:id="rId7"/>
    <sheet name="Outline" sheetId="133" r:id="rId8"/>
    <sheet name="Val_Summary" sheetId="271" r:id="rId9"/>
    <sheet name="Allocation Method &gt;&gt;" sheetId="90" r:id="rId10"/>
    <sheet name="OPM 1" sheetId="52" r:id="rId11"/>
    <sheet name="OPM 2" sheetId="66" r:id="rId12"/>
    <sheet name="Financials &gt;&gt;" sheetId="94" r:id="rId13"/>
    <sheet name="Projection" sheetId="274" r:id="rId14"/>
    <sheet name="Hist IS" sheetId="10" r:id="rId15"/>
    <sheet name="Hist BS" sheetId="8" r:id="rId16"/>
    <sheet name="GCM FP &gt;&gt;" sheetId="21" r:id="rId17"/>
    <sheet name="Comp.1" sheetId="47" r:id="rId18"/>
    <sheet name="Comp.6" sheetId="15" r:id="rId19"/>
    <sheet name="Cap Structure FP &gt;&gt;" sheetId="24" r:id="rId20"/>
    <sheet name="Cap Table" sheetId="63" r:id="rId21"/>
    <sheet name="Econ Rights" sheetId="64" r:id="rId22"/>
    <sheet name="Support FP &gt;&gt;" sheetId="25" r:id="rId23"/>
    <sheet name="DLOM_OPM" sheetId="11" r:id="rId24"/>
    <sheet name="Asset Vol_OPM" sheetId="12" r:id="rId25"/>
    <sheet name="Asset Vol_DLOM" sheetId="257" r:id="rId26"/>
    <sheet name="Equity Vol" sheetId="13" r:id="rId27"/>
    <sheet name="Risk-Free Rates" sheetId="275" r:id="rId28"/>
    <sheet name="_CIQHiddenCacheSheet" sheetId="263" state="veryHidden" r:id="rId29"/>
    <sheet name="Title_Workpapers &gt; &gt;" sheetId="152" r:id="rId30"/>
    <sheet name="Outline_Workpapers" sheetId="232" r:id="rId31"/>
    <sheet name="Val Summ_Hybrid" sheetId="4" r:id="rId32"/>
    <sheet name="Hybrid OPM" sheetId="236" r:id="rId33"/>
    <sheet name="IPO Waterfall" sheetId="73" r:id="rId34"/>
    <sheet name="OPM 1 Hybrid" sheetId="241" r:id="rId35"/>
    <sheet name="OPM 2 Hybrid" sheetId="242" r:id="rId36"/>
    <sheet name="DLOM Hybrid" sheetId="243" r:id="rId37"/>
    <sheet name="Asset Vol Hybrid" sheetId="244" r:id="rId38"/>
    <sheet name="Asset Vol Hybrid DLOM" sheetId="273" r:id="rId39"/>
    <sheet name="Asset Vol_IPO_Early" sheetId="272" r:id="rId40"/>
    <sheet name="Asset Vol_IPO_Late" sheetId="249" r:id="rId41"/>
    <sheet name="Risk-Free Rates_Hybrid" sheetId="14" r:id="rId42"/>
    <sheet name="WACC" sheetId="40" r:id="rId43"/>
    <sheet name="RoR Stage of Dev" sheetId="38" r:id="rId44"/>
    <sheet name="Market Trends since Prior Val" sheetId="185" r:id="rId45"/>
    <sheet name="IPO Data_BioPharma" sheetId="233" r:id="rId46"/>
    <sheet name="Comparative Sheet" sheetId="156" r:id="rId47"/>
    <sheet name="PBC -&gt;&gt;&gt;" sheetId="231" r:id="rId48"/>
    <sheet name="BS" sheetId="264" r:id="rId49"/>
    <sheet name="IS" sheetId="265" r:id="rId50"/>
    <sheet name="CF" sheetId="266" r:id="rId51"/>
    <sheet name="Series C CT - All entities.0518" sheetId="267" r:id="rId52"/>
    <sheet name="Series A detail" sheetId="268" r:id="rId53"/>
    <sheet name="Grants Detail May 2018" sheetId="269" r:id="rId54"/>
    <sheet name="CAPIQ -&gt;&gt;&gt;" sheetId="230" r:id="rId55"/>
    <sheet name="Capital IQ Sheet-GPC" sheetId="200" r:id="rId56"/>
    <sheet name="Capital IQ Sheet-STM" sheetId="204" r:id="rId57"/>
    <sheet name="GPC Linked" sheetId="213" r:id="rId58"/>
    <sheet name="STM Linked" sheetId="214" r:id="rId59"/>
    <sheet name="&lt;DO NOT INCLUDE&gt;" sheetId="26" r:id="rId60"/>
    <sheet name="List Data" sheetId="106" r:id="rId61"/>
    <sheet name="Beta Calc" sheetId="41" r:id="rId62"/>
    <sheet name="Template Details" sheetId="88" r:id="rId63"/>
    <sheet name="GTM FP &gt;&gt;" sheetId="22" r:id="rId64"/>
    <sheet name="Trans.1" sheetId="57" r:id="rId65"/>
    <sheet name="Trans.2" sheetId="59" r:id="rId66"/>
    <sheet name="GCM SUMM" sheetId="48" r:id="rId67"/>
    <sheet name="GTM SUMM" sheetId="62" r:id="rId68"/>
    <sheet name="DCF" sheetId="6" r:id="rId69"/>
    <sheet name="Depreciation - MACRS" sheetId="229" r:id="rId70"/>
    <sheet name="WACC CAPM" sheetId="39" r:id="rId71"/>
    <sheet name="Exit Probability" sheetId="126" r:id="rId72"/>
    <sheet name="PoTS" sheetId="132" r:id="rId73"/>
    <sheet name="DLOM Rest Stock" sheetId="5" r:id="rId74"/>
    <sheet name="Lack Voting" sheetId="2" r:id="rId75"/>
    <sheet name="Licensing Deals" sheetId="217" r:id="rId76"/>
    <sheet name="IPO Data_Med Device" sheetId="234" r:id="rId77"/>
    <sheet name="IPO Data_Diagnostic" sheetId="235" r:id="rId78"/>
    <sheet name="Control Premium Summary" sheetId="189" r:id="rId79"/>
    <sheet name="DLOM Hybrid_Class" sheetId="270" r:id="rId80"/>
    <sheet name="Comp.4" sheetId="173" r:id="rId81"/>
    <sheet name="Class Vol" sheetId="245" r:id="rId82"/>
    <sheet name="Asset Vol_IPO Early" sheetId="256" r:id="rId83"/>
    <sheet name="Asset Vol_M&amp;A Early" sheetId="250" r:id="rId84"/>
    <sheet name="Asset Vol_M&amp;A Late" sheetId="251" r:id="rId85"/>
    <sheet name="Comp.2" sheetId="172" r:id="rId86"/>
    <sheet name="Comp.5" sheetId="53" r:id="rId87"/>
    <sheet name="Discount Rate FP &gt;&gt;" sheetId="27" r:id="rId88"/>
  </sheets>
  <externalReferences>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s>
  <definedNames>
    <definedName name="_" localSheetId="38" hidden="1">#REF!</definedName>
    <definedName name="_" localSheetId="25" hidden="1">#REF!</definedName>
    <definedName name="_" localSheetId="82" hidden="1">#REF!</definedName>
    <definedName name="_" localSheetId="39" hidden="1">#REF!</definedName>
    <definedName name="_" localSheetId="40" hidden="1">#REF!</definedName>
    <definedName name="_" localSheetId="84" hidden="1">#REF!</definedName>
    <definedName name="_" localSheetId="4" hidden="1">#REF!</definedName>
    <definedName name="_" localSheetId="79" hidden="1">#REF!</definedName>
    <definedName name="_" localSheetId="45" hidden="1">#REF!</definedName>
    <definedName name="_" localSheetId="77" hidden="1">#REF!</definedName>
    <definedName name="_" localSheetId="76" hidden="1">#REF!</definedName>
    <definedName name="_" localSheetId="30" hidden="1">#REF!</definedName>
    <definedName name="_" localSheetId="13" hidden="1">#REF!</definedName>
    <definedName name="_" localSheetId="27" hidden="1">#REF!</definedName>
    <definedName name="_" hidden="1">#REF!</definedName>
    <definedName name="__123Graph_A" hidden="1">'[1]Sheet1 (2)'!$H$20:$O$20</definedName>
    <definedName name="__123Graph_B" hidden="1">'[1]Sheet1 (2)'!$H$15:$O$15</definedName>
    <definedName name="__123Graph_X" hidden="1">'[1]Sheet1 (2)'!$H$3:$P$3</definedName>
    <definedName name="__FDS_HYPERLINK_TOGGLE_STATE__" hidden="1">"ON"</definedName>
    <definedName name="__IntlFixup" hidden="1">TRUE</definedName>
    <definedName name="__IntlFixupTable" localSheetId="38" hidden="1">#REF!</definedName>
    <definedName name="__IntlFixupTable" localSheetId="25" hidden="1">#REF!</definedName>
    <definedName name="__IntlFixupTable" localSheetId="82" hidden="1">#REF!</definedName>
    <definedName name="__IntlFixupTable" localSheetId="39" hidden="1">#REF!</definedName>
    <definedName name="__IntlFixupTable" localSheetId="40" hidden="1">#REF!</definedName>
    <definedName name="__IntlFixupTable" localSheetId="84" hidden="1">#REF!</definedName>
    <definedName name="__IntlFixupTable" localSheetId="4" hidden="1">#REF!</definedName>
    <definedName name="__IntlFixupTable" localSheetId="79" hidden="1">#REF!</definedName>
    <definedName name="__IntlFixupTable" localSheetId="45" hidden="1">#REF!</definedName>
    <definedName name="__IntlFixupTable" localSheetId="77" hidden="1">#REF!</definedName>
    <definedName name="__IntlFixupTable" localSheetId="76" hidden="1">#REF!</definedName>
    <definedName name="__IntlFixupTable" localSheetId="30" hidden="1">#REF!</definedName>
    <definedName name="__IntlFixupTable" localSheetId="13" hidden="1">#REF!</definedName>
    <definedName name="__IntlFixupTable" localSheetId="27" hidden="1">#REF!</definedName>
    <definedName name="__IntlFixupTable" localSheetId="51" hidden="1">#REF!</definedName>
    <definedName name="__IntlFixupTable" hidden="1">#REF!</definedName>
    <definedName name="_1__123Graph_ACHART_1" hidden="1">[2]Africa!$B$19:$V$19</definedName>
    <definedName name="_10__123Graph_ACHART_18" hidden="1">[2]Ocean!$B$28:$V$28</definedName>
    <definedName name="_11__123Graph_ACHART_19" hidden="1">'[2]S Amer'!$B$19:$V$19</definedName>
    <definedName name="_12__123Graph_ACHART_2" hidden="1">[2]Africa!$B$14:$V$14</definedName>
    <definedName name="_13__123Graph_ACHART_20" hidden="1">'[2]S Amer'!$B$14:$V$14</definedName>
    <definedName name="_14__123Graph_ACHART_21" hidden="1">'[2]S Amer'!$B$28:$V$28</definedName>
    <definedName name="_15__123Graph_ACHART_22" hidden="1">'[2]W Eur'!$B$19:$V$19</definedName>
    <definedName name="_16__123Graph_ACHART_23" hidden="1">'[2]W Eur'!$B$14:$V$14</definedName>
    <definedName name="_17__123Graph_ACHART_24" hidden="1">'[2]W Eur'!$B$28:$V$28</definedName>
    <definedName name="_18__123Graph_ACHART_3" hidden="1">[2]Africa!$B$28:$V$28</definedName>
    <definedName name="_19__123Graph_ACHART_4" hidden="1">'[2]C Amer'!$B$19:$V$19</definedName>
    <definedName name="_2__123Graph_ACHART_10" hidden="1">'[2]E Eur'!$B$14:$V$14</definedName>
    <definedName name="_20__123Graph_ACHART_5" hidden="1">'[2]C Amer'!$B$14:$V$14</definedName>
    <definedName name="_21__123Graph_ACHART_6" hidden="1">'[2]C Amer'!$B$28:$V$28</definedName>
    <definedName name="_22__123Graph_A_Chart_1A" hidden="1">'[3]Stock Price'!$B$4:$B$265</definedName>
    <definedName name="_22__123Graph_ACHART_7" hidden="1">'[2]E Asia'!$B$19:$V$19</definedName>
    <definedName name="_23__123Graph_AChart_1" hidden="1">[4]Total!$D$322:$D$325</definedName>
    <definedName name="_23__123Graph_ACHART_8" hidden="1">'[2]E Asia'!$B$14:$V$14</definedName>
    <definedName name="_24__123Graph_AChart_2" hidden="1">'[5]sales vol.'!$K$398:$K$401</definedName>
    <definedName name="_24__123Graph_ACHART_9" hidden="1">'[2]E Eur'!$B$19:$V$19</definedName>
    <definedName name="_25__123Graph_AChart_3" hidden="1">'[5]sales vol.'!$K$211:$K$214</definedName>
    <definedName name="_25__123Graph_BCHART_1" hidden="1">[2]Africa!$B$21:$V$21</definedName>
    <definedName name="_26__123Graph_AChart_4" hidden="1">'[5]sales vol.'!$J$1121:$J$1122</definedName>
    <definedName name="_26__123Graph_BCHART_10" hidden="1">'[2]E Eur'!$B$51:$V$51</definedName>
    <definedName name="_27__123Graph_AChart_5" hidden="1">'[5]sales vol.'!$J$1632:$J$1635</definedName>
    <definedName name="_27__123Graph_BCHART_13" hidden="1">[2]Mideast!$B$21:$V$21</definedName>
    <definedName name="_28__123Graph_AChart_6" hidden="1">'[5]sales vol.'!$J$2248:$J$2251</definedName>
    <definedName name="_28__123Graph_BCHART_14" hidden="1">[2]Mideast!$B$51:$V$51</definedName>
    <definedName name="_29__123Graph_B_Chart_1A" hidden="1">'[3]Stock Price'!$C$4:$C$265</definedName>
    <definedName name="_29__123Graph_BCHART_16" hidden="1">[2]Ocean!$B$21:$V$21</definedName>
    <definedName name="_3__123Graph_ACHART_11" hidden="1">'[2]E Eur'!$B$28:$V$28</definedName>
    <definedName name="_30__123Graph_BCHART_17" hidden="1">[2]Ocean!$B$51:$V$51</definedName>
    <definedName name="_30__123Graph_C_Chart_1A" hidden="1">'[3]Stock Price'!$D$4:$D$265</definedName>
    <definedName name="_31__123Graph_BCHART_19" hidden="1">'[2]S Amer'!$B$21:$V$21</definedName>
    <definedName name="_31__123Graph_D_Chart_1A" hidden="1">'[3]Stock Price'!$E$4:$E$265</definedName>
    <definedName name="_32__123Graph_BCHART_2" hidden="1">[2]Africa!$B$51:$V$51</definedName>
    <definedName name="_32__123Graph_E_Chart_1A" hidden="1">'[3]Stock Price'!$F$4:$F$265</definedName>
    <definedName name="_33__123Graph_BCHART_20" hidden="1">'[2]S Amer'!$B$51:$V$51</definedName>
    <definedName name="_33__123Graph_F_Chart_1A" hidden="1">'[3]Stock Price'!$G$4:$G$265</definedName>
    <definedName name="_34__123Graph_BCHART_22" hidden="1">'[2]W Eur'!$B$21:$V$21</definedName>
    <definedName name="_34__123Graph_X_Chart_1A" hidden="1">'[3]Stock Price'!$A$4:$A$265</definedName>
    <definedName name="_35__123Graph_BCHART_23" hidden="1">'[2]W Eur'!$B$51:$V$51</definedName>
    <definedName name="_35__123Graph_XChart_1" hidden="1">[4]Total!$C$322:$C$325</definedName>
    <definedName name="_36__123Graph_BCHART_4" hidden="1">'[2]C Amer'!$B$21:$V$21</definedName>
    <definedName name="_36__123Graph_XChart_2" hidden="1">'[5]sales vol.'!$J$398:$J$401</definedName>
    <definedName name="_37__123Graph_BCHART_5" hidden="1">'[2]C Amer'!$B$51:$V$51</definedName>
    <definedName name="_37__123Graph_XChart_3" hidden="1">'[5]sales vol.'!$J$211:$J$214</definedName>
    <definedName name="_38__123Graph_BCHART_7" hidden="1">'[2]E Asia'!$B$21:$V$21</definedName>
    <definedName name="_38__123Graph_XChart_4" hidden="1">'[5]sales vol.'!$I$1121:$I$1122</definedName>
    <definedName name="_39__123Graph_BCHART_8" hidden="1">'[2]E Asia'!$B$51:$V$51</definedName>
    <definedName name="_39__123Graph_XChart_5" hidden="1">'[5]sales vol.'!$I$1632:$I$1635</definedName>
    <definedName name="_4__123Graph_ACHART_12" hidden="1">'[2]E Asia'!$B$28:$V$28</definedName>
    <definedName name="_40__123Graph_BCHART_9" hidden="1">'[2]E Eur'!$B$21:$V$21</definedName>
    <definedName name="_40__123Graph_XChart_6" hidden="1">'[5]sales vol.'!$I$2248:$I$2251</definedName>
    <definedName name="_41__123Graph_CCHART_10" hidden="1">'[2]E Eur'!$B$13:$V$13</definedName>
    <definedName name="_42__123Graph_CCHART_14" hidden="1">[2]Mideast!$B$13:$V$13</definedName>
    <definedName name="_43__123Graph_CCHART_17" hidden="1">[2]Ocean!$B$13:$V$13</definedName>
    <definedName name="_44__123Graph_CCHART_2" hidden="1">[2]Africa!$B$13:$V$13</definedName>
    <definedName name="_45__123Graph_CCHART_20" hidden="1">'[2]S Amer'!$B$13:$V$13</definedName>
    <definedName name="_46__123Graph_CCHART_23" hidden="1">'[2]W Eur'!$B$13:$V$13</definedName>
    <definedName name="_47__123Graph_CCHART_5" hidden="1">'[2]C Amer'!$B$13:$V$13</definedName>
    <definedName name="_48__123Graph_CCHART_8" hidden="1">'[2]E Asia'!$B$13:$V$13</definedName>
    <definedName name="_49__123Graph_XCHART_10" hidden="1">'[2]E Eur'!$B$8:$V$8</definedName>
    <definedName name="_5__123Graph_ACHART_13" hidden="1">[2]Mideast!$B$19:$V$19</definedName>
    <definedName name="_50__123Graph_XCHART_11" hidden="1">'[2]E Eur'!$B$8:$V$8</definedName>
    <definedName name="_51__123Graph_XCHART_14" hidden="1">[2]Mideast!$B$8:$V$8</definedName>
    <definedName name="_52__123Graph_XCHART_15" hidden="1">[2]Mideast!$B$8:$V$8</definedName>
    <definedName name="_53__123Graph_XCHART_17" hidden="1">[2]Ocean!$B$8:$V$8</definedName>
    <definedName name="_54__123Graph_XCHART_18" hidden="1">[2]Ocean!$B$8:$V$8</definedName>
    <definedName name="_55__123Graph_XCHART_2" hidden="1">[2]Africa!$B$8:$V$8</definedName>
    <definedName name="_56__123Graph_XCHART_20" hidden="1">'[2]S Amer'!$B$8:$V$8</definedName>
    <definedName name="_57__123Graph_XCHART_21" hidden="1">'[2]S Amer'!$B$8:$V$8</definedName>
    <definedName name="_58__123Graph_XCHART_23" hidden="1">'[2]W Eur'!$B$8:$V$8</definedName>
    <definedName name="_59__123Graph_XCHART_24" hidden="1">'[2]W Eur'!$B$8:$V$8</definedName>
    <definedName name="_6__123Graph_ACHART_14" hidden="1">[2]Mideast!$B$14:$V$14</definedName>
    <definedName name="_60__123Graph_XCHART_3" hidden="1">[2]Africa!$B$8:$V$8</definedName>
    <definedName name="_61__123Graph_XCHART_5" hidden="1">'[2]C Amer'!$B$8:$V$8</definedName>
    <definedName name="_62__123Graph_XCHART_6" hidden="1">'[2]C Amer'!$B$8:$V$8</definedName>
    <definedName name="_63__123Graph_XCHART_8" hidden="1">'[2]E Asia'!$B$8:$V$8</definedName>
    <definedName name="_64_0_0Cwvu.GREY_A" localSheetId="38" hidden="1">[6]TargIS!#REF!</definedName>
    <definedName name="_64_0_0Cwvu.GREY_A" localSheetId="25" hidden="1">[6]TargIS!#REF!</definedName>
    <definedName name="_64_0_0Cwvu.GREY_A" localSheetId="82" hidden="1">[6]TargIS!#REF!</definedName>
    <definedName name="_64_0_0Cwvu.GREY_A" localSheetId="39" hidden="1">[6]TargIS!#REF!</definedName>
    <definedName name="_64_0_0Cwvu.GREY_A" localSheetId="40" hidden="1">[6]TargIS!#REF!</definedName>
    <definedName name="_64_0_0Cwvu.GREY_A" localSheetId="84" hidden="1">[6]TargIS!#REF!</definedName>
    <definedName name="_64_0_0Cwvu.GREY_A" localSheetId="4" hidden="1">[6]TargIS!#REF!</definedName>
    <definedName name="_64_0_0Cwvu.GREY_A" localSheetId="79" hidden="1">[6]TargIS!#REF!</definedName>
    <definedName name="_64_0_0Cwvu.GREY_A" localSheetId="45" hidden="1">[6]TargIS!#REF!</definedName>
    <definedName name="_64_0_0Cwvu.GREY_A" localSheetId="77" hidden="1">[6]TargIS!#REF!</definedName>
    <definedName name="_64_0_0Cwvu.GREY_A" localSheetId="76" hidden="1">[6]TargIS!#REF!</definedName>
    <definedName name="_64_0_0Cwvu.GREY_A" localSheetId="30" hidden="1">[6]TargIS!#REF!</definedName>
    <definedName name="_64_0_0Cwvu.GREY_A" localSheetId="13" hidden="1">[6]TargIS!#REF!</definedName>
    <definedName name="_64_0_0Cwvu.GREY_A" localSheetId="27" hidden="1">[6]TargIS!#REF!</definedName>
    <definedName name="_64_0_0Cwvu.GREY_A" hidden="1">[6]TargIS!#REF!</definedName>
    <definedName name="_7__123Graph_ACHART_15" hidden="1">[2]Mideast!$B$28:$V$28</definedName>
    <definedName name="_8__123Graph_ACHART_16" hidden="1">[2]Ocean!$B$19:$V$19</definedName>
    <definedName name="_9__123Graph_ACHART_17" hidden="1">[2]Ocean!$B$14:$V$14</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46a18ed9dffd4cd6880b56437874ece9.edm" localSheetId="38" hidden="1">#REF!</definedName>
    <definedName name="_bdm.46a18ed9dffd4cd6880b56437874ece9.edm" localSheetId="25" hidden="1">#REF!</definedName>
    <definedName name="_bdm.46a18ed9dffd4cd6880b56437874ece9.edm" localSheetId="82" hidden="1">#REF!</definedName>
    <definedName name="_bdm.46a18ed9dffd4cd6880b56437874ece9.edm" localSheetId="39" hidden="1">#REF!</definedName>
    <definedName name="_bdm.46a18ed9dffd4cd6880b56437874ece9.edm" localSheetId="40" hidden="1">#REF!</definedName>
    <definedName name="_bdm.46a18ed9dffd4cd6880b56437874ece9.edm" localSheetId="84" hidden="1">#REF!</definedName>
    <definedName name="_bdm.46a18ed9dffd4cd6880b56437874ece9.edm" localSheetId="4" hidden="1">#REF!</definedName>
    <definedName name="_bdm.46a18ed9dffd4cd6880b56437874ece9.edm" localSheetId="81" hidden="1">#REF!</definedName>
    <definedName name="_bdm.46a18ed9dffd4cd6880b56437874ece9.edm" localSheetId="79" hidden="1">#REF!</definedName>
    <definedName name="_bdm.46a18ed9dffd4cd6880b56437874ece9.edm" localSheetId="13" hidden="1">#REF!</definedName>
    <definedName name="_bdm.46a18ed9dffd4cd6880b56437874ece9.edm" localSheetId="27" hidden="1">#REF!</definedName>
    <definedName name="_bdm.46a18ed9dffd4cd6880b56437874ece9.edm" hidden="1">#REF!</definedName>
    <definedName name="_bdm.d437fcb6dd254b7a8c2aff490de850e3.edm" localSheetId="38" hidden="1">#REF!</definedName>
    <definedName name="_bdm.d437fcb6dd254b7a8c2aff490de850e3.edm" localSheetId="25" hidden="1">#REF!</definedName>
    <definedName name="_bdm.d437fcb6dd254b7a8c2aff490de850e3.edm" localSheetId="82" hidden="1">#REF!</definedName>
    <definedName name="_bdm.d437fcb6dd254b7a8c2aff490de850e3.edm" localSheetId="39" hidden="1">#REF!</definedName>
    <definedName name="_bdm.d437fcb6dd254b7a8c2aff490de850e3.edm" localSheetId="40" hidden="1">#REF!</definedName>
    <definedName name="_bdm.d437fcb6dd254b7a8c2aff490de850e3.edm" localSheetId="84" hidden="1">#REF!</definedName>
    <definedName name="_bdm.d437fcb6dd254b7a8c2aff490de850e3.edm" localSheetId="4" hidden="1">#REF!</definedName>
    <definedName name="_bdm.d437fcb6dd254b7a8c2aff490de850e3.edm" localSheetId="81" hidden="1">#REF!</definedName>
    <definedName name="_bdm.d437fcb6dd254b7a8c2aff490de850e3.edm" localSheetId="79" hidden="1">#REF!</definedName>
    <definedName name="_bdm.d437fcb6dd254b7a8c2aff490de850e3.edm" localSheetId="13" hidden="1">#REF!</definedName>
    <definedName name="_bdm.d437fcb6dd254b7a8c2aff490de850e3.edm" localSheetId="27" hidden="1">#REF!</definedName>
    <definedName name="_bdm.d437fcb6dd254b7a8c2aff490de850e3.edm" hidden="1">#REF!</definedName>
    <definedName name="_bdm.d97762a431bc47a188ab7c2f84c57d3e.edm" localSheetId="38" hidden="1">#REF!</definedName>
    <definedName name="_bdm.d97762a431bc47a188ab7c2f84c57d3e.edm" localSheetId="25" hidden="1">#REF!</definedName>
    <definedName name="_bdm.d97762a431bc47a188ab7c2f84c57d3e.edm" localSheetId="82" hidden="1">#REF!</definedName>
    <definedName name="_bdm.d97762a431bc47a188ab7c2f84c57d3e.edm" localSheetId="39" hidden="1">#REF!</definedName>
    <definedName name="_bdm.d97762a431bc47a188ab7c2f84c57d3e.edm" localSheetId="40" hidden="1">#REF!</definedName>
    <definedName name="_bdm.d97762a431bc47a188ab7c2f84c57d3e.edm" localSheetId="84" hidden="1">#REF!</definedName>
    <definedName name="_bdm.d97762a431bc47a188ab7c2f84c57d3e.edm" localSheetId="4" hidden="1">#REF!</definedName>
    <definedName name="_bdm.d97762a431bc47a188ab7c2f84c57d3e.edm" localSheetId="79" hidden="1">#REF!</definedName>
    <definedName name="_bdm.d97762a431bc47a188ab7c2f84c57d3e.edm" localSheetId="45" hidden="1">#REF!</definedName>
    <definedName name="_bdm.d97762a431bc47a188ab7c2f84c57d3e.edm" localSheetId="77" hidden="1">#REF!</definedName>
    <definedName name="_bdm.d97762a431bc47a188ab7c2f84c57d3e.edm" localSheetId="76" hidden="1">#REF!</definedName>
    <definedName name="_bdm.d97762a431bc47a188ab7c2f84c57d3e.edm" localSheetId="30" hidden="1">#REF!</definedName>
    <definedName name="_bdm.d97762a431bc47a188ab7c2f84c57d3e.edm" localSheetId="13" hidden="1">#REF!</definedName>
    <definedName name="_bdm.d97762a431bc47a188ab7c2f84c57d3e.edm" localSheetId="27" hidden="1">#REF!</definedName>
    <definedName name="_bdm.d97762a431bc47a188ab7c2f84c57d3e.edm" hidden="1">#REF!</definedName>
    <definedName name="_bdm.D97763A431BC47A188AB7C2F84C57D3E.edm" localSheetId="38" hidden="1">#REF!</definedName>
    <definedName name="_bdm.D97763A431BC47A188AB7C2F84C57D3E.edm" localSheetId="25" hidden="1">#REF!</definedName>
    <definedName name="_bdm.D97763A431BC47A188AB7C2F84C57D3E.edm" localSheetId="82" hidden="1">#REF!</definedName>
    <definedName name="_bdm.D97763A431BC47A188AB7C2F84C57D3E.edm" localSheetId="39" hidden="1">#REF!</definedName>
    <definedName name="_bdm.D97763A431BC47A188AB7C2F84C57D3E.edm" localSheetId="40" hidden="1">#REF!</definedName>
    <definedName name="_bdm.D97763A431BC47A188AB7C2F84C57D3E.edm" localSheetId="84" hidden="1">#REF!</definedName>
    <definedName name="_bdm.D97763A431BC47A188AB7C2F84C57D3E.edm" localSheetId="4" hidden="1">#REF!</definedName>
    <definedName name="_bdm.D97763A431BC47A188AB7C2F84C57D3E.edm" localSheetId="79" hidden="1">#REF!</definedName>
    <definedName name="_bdm.D97763A431BC47A188AB7C2F84C57D3E.edm" localSheetId="45" hidden="1">#REF!</definedName>
    <definedName name="_bdm.D97763A431BC47A188AB7C2F84C57D3E.edm" localSheetId="77" hidden="1">#REF!</definedName>
    <definedName name="_bdm.D97763A431BC47A188AB7C2F84C57D3E.edm" localSheetId="76" hidden="1">#REF!</definedName>
    <definedName name="_bdm.D97763A431BC47A188AB7C2F84C57D3E.edm" localSheetId="30" hidden="1">#REF!</definedName>
    <definedName name="_bdm.D97763A431BC47A188AB7C2F84C57D3E.edm" localSheetId="13" hidden="1">#REF!</definedName>
    <definedName name="_bdm.D97763A431BC47A188AB7C2F84C57D3E.edm" localSheetId="27" hidden="1">#REF!</definedName>
    <definedName name="_bdm.D97763A431BC47A188AB7C2F84C57D3E.edm" hidden="1">#REF!</definedName>
    <definedName name="_bdm.FBC8F4734CD44B95848F689416B40C4F.edm" localSheetId="38" hidden="1">#REF!</definedName>
    <definedName name="_bdm.FBC8F4734CD44B95848F689416B40C4F.edm" localSheetId="25" hidden="1">#REF!</definedName>
    <definedName name="_bdm.FBC8F4734CD44B95848F689416B40C4F.edm" localSheetId="82" hidden="1">#REF!</definedName>
    <definedName name="_bdm.FBC8F4734CD44B95848F689416B40C4F.edm" localSheetId="39" hidden="1">#REF!</definedName>
    <definedName name="_bdm.FBC8F4734CD44B95848F689416B40C4F.edm" localSheetId="40" hidden="1">#REF!</definedName>
    <definedName name="_bdm.FBC8F4734CD44B95848F689416B40C4F.edm" localSheetId="84" hidden="1">#REF!</definedName>
    <definedName name="_bdm.FBC8F4734CD44B95848F689416B40C4F.edm" localSheetId="4" hidden="1">#REF!</definedName>
    <definedName name="_bdm.FBC8F4734CD44B95848F689416B40C4F.edm" localSheetId="81" hidden="1">#REF!</definedName>
    <definedName name="_bdm.FBC8F4734CD44B95848F689416B40C4F.edm" localSheetId="69" hidden="1">#REF!</definedName>
    <definedName name="_bdm.FBC8F4734CD44B95848F689416B40C4F.edm" localSheetId="79" hidden="1">#REF!</definedName>
    <definedName name="_bdm.FBC8F4734CD44B95848F689416B40C4F.edm" localSheetId="45" hidden="1">#REF!</definedName>
    <definedName name="_bdm.FBC8F4734CD44B95848F689416B40C4F.edm" localSheetId="77" hidden="1">#REF!</definedName>
    <definedName name="_bdm.FBC8F4734CD44B95848F689416B40C4F.edm" localSheetId="76" hidden="1">#REF!</definedName>
    <definedName name="_bdm.FBC8F4734CD44B95848F689416B40C4F.edm" localSheetId="30" hidden="1">#REF!</definedName>
    <definedName name="_bdm.FBC8F4734CD44B95848F689416B40C4F.edm" localSheetId="13" hidden="1">#REF!</definedName>
    <definedName name="_bdm.FBC8F4734CD44B95848F689416B40C4F.edm" localSheetId="27" hidden="1">#REF!</definedName>
    <definedName name="_bdm.FBC8F4734CD44B95848F689416B40C4F.edm" localSheetId="58" hidden="1">#REF!</definedName>
    <definedName name="_bdm.FBC8F4734CD44B95848F689416B40C4F.edm" hidden="1">#REF!</definedName>
    <definedName name="_Dist_Values" localSheetId="38" hidden="1">#REF!</definedName>
    <definedName name="_Dist_Values" localSheetId="25" hidden="1">#REF!</definedName>
    <definedName name="_Dist_Values" localSheetId="82" hidden="1">#REF!</definedName>
    <definedName name="_Dist_Values" localSheetId="39" hidden="1">#REF!</definedName>
    <definedName name="_Dist_Values" localSheetId="40" hidden="1">#REF!</definedName>
    <definedName name="_Dist_Values" localSheetId="84" hidden="1">#REF!</definedName>
    <definedName name="_Dist_Values" localSheetId="4" hidden="1">#REF!</definedName>
    <definedName name="_Dist_Values" localSheetId="81" hidden="1">#REF!</definedName>
    <definedName name="_Dist_Values" localSheetId="69" hidden="1">#REF!</definedName>
    <definedName name="_Dist_Values" localSheetId="79" hidden="1">#REF!</definedName>
    <definedName name="_Dist_Values" localSheetId="45" hidden="1">#REF!</definedName>
    <definedName name="_Dist_Values" localSheetId="77" hidden="1">#REF!</definedName>
    <definedName name="_Dist_Values" localSheetId="76" hidden="1">#REF!</definedName>
    <definedName name="_Dist_Values" localSheetId="30" hidden="1">#REF!</definedName>
    <definedName name="_Dist_Values" localSheetId="13" hidden="1">#REF!</definedName>
    <definedName name="_Dist_Values" localSheetId="27" hidden="1">#REF!</definedName>
    <definedName name="_Dist_Values" localSheetId="58" hidden="1">#REF!</definedName>
    <definedName name="_Dist_Values" hidden="1">#REF!</definedName>
    <definedName name="_Fill" localSheetId="38" hidden="1">#REF!</definedName>
    <definedName name="_Fill" localSheetId="25" hidden="1">#REF!</definedName>
    <definedName name="_Fill" localSheetId="82" hidden="1">#REF!</definedName>
    <definedName name="_Fill" localSheetId="39" hidden="1">#REF!</definedName>
    <definedName name="_Fill" localSheetId="40" hidden="1">#REF!</definedName>
    <definedName name="_Fill" localSheetId="84" hidden="1">#REF!</definedName>
    <definedName name="_Fill" localSheetId="4" hidden="1">#REF!</definedName>
    <definedName name="_Fill" localSheetId="81" hidden="1">#REF!</definedName>
    <definedName name="_Fill" localSheetId="69" hidden="1">#REF!</definedName>
    <definedName name="_Fill" localSheetId="79" hidden="1">#REF!</definedName>
    <definedName name="_Fill" localSheetId="45" hidden="1">#REF!</definedName>
    <definedName name="_Fill" localSheetId="77" hidden="1">#REF!</definedName>
    <definedName name="_Fill" localSheetId="76" hidden="1">#REF!</definedName>
    <definedName name="_Fill" localSheetId="30" hidden="1">#REF!</definedName>
    <definedName name="_Fill" localSheetId="13" hidden="1">#REF!</definedName>
    <definedName name="_Fill" localSheetId="27" hidden="1">#REF!</definedName>
    <definedName name="_Fill" localSheetId="58" hidden="1">#REF!</definedName>
    <definedName name="_Fill" hidden="1">#REF!</definedName>
    <definedName name="_xlnm._FilterDatabase" localSheetId="45" hidden="1">'IPO Data_BioPharma'!$B$10:$AI$144</definedName>
    <definedName name="_xlnm._FilterDatabase" localSheetId="77" hidden="1">'IPO Data_Diagnostic'!$B$10:$AB$135</definedName>
    <definedName name="_xlnm._FilterDatabase" localSheetId="76" hidden="1">'IPO Data_Med Device'!#REF!</definedName>
    <definedName name="_xlnm._FilterDatabase" localSheetId="75" hidden="1">'Licensing Deals'!$B$6:$M$137</definedName>
    <definedName name="_I2" localSheetId="81" hidden="1">{"PVGraph2",#N/A,FALSE,"PV Data"}</definedName>
    <definedName name="_I2" localSheetId="32" hidden="1">{"PVGraph2",#N/A,FALSE,"PV Data"}</definedName>
    <definedName name="_I2" localSheetId="13" hidden="1">{"PVGraph2",#N/A,FALSE,"PV Data"}</definedName>
    <definedName name="_I2" hidden="1">{"PVGraph2",#N/A,FALSE,"PV Data"}</definedName>
    <definedName name="_I3" localSheetId="81" hidden="1">{"PVGraph2",#N/A,FALSE,"PV Data"}</definedName>
    <definedName name="_I3" localSheetId="32" hidden="1">{"PVGraph2",#N/A,FALSE,"PV Data"}</definedName>
    <definedName name="_I3" localSheetId="13" hidden="1">{"PVGraph2",#N/A,FALSE,"PV Data"}</definedName>
    <definedName name="_I3" hidden="1">{"PVGraph2",#N/A,FALSE,"PV Data"}</definedName>
    <definedName name="_Key1" localSheetId="38" hidden="1">#REF!</definedName>
    <definedName name="_Key1" localSheetId="25" hidden="1">#REF!</definedName>
    <definedName name="_Key1" localSheetId="82" hidden="1">#REF!</definedName>
    <definedName name="_Key1" localSheetId="39" hidden="1">#REF!</definedName>
    <definedName name="_Key1" localSheetId="40" hidden="1">#REF!</definedName>
    <definedName name="_Key1" localSheetId="84" hidden="1">#REF!</definedName>
    <definedName name="_Key1" localSheetId="4" hidden="1">#REF!</definedName>
    <definedName name="_Key1" localSheetId="81" hidden="1">#REF!</definedName>
    <definedName name="_Key1" localSheetId="69" hidden="1">#REF!</definedName>
    <definedName name="_Key1" localSheetId="79" hidden="1">#REF!</definedName>
    <definedName name="_Key1" localSheetId="45" hidden="1">#REF!</definedName>
    <definedName name="_Key1" localSheetId="77" hidden="1">#REF!</definedName>
    <definedName name="_Key1" localSheetId="76" hidden="1">#REF!</definedName>
    <definedName name="_Key1" localSheetId="30" hidden="1">#REF!</definedName>
    <definedName name="_Key1" localSheetId="13" hidden="1">#REF!</definedName>
    <definedName name="_Key1" localSheetId="27" hidden="1">#REF!</definedName>
    <definedName name="_Key1" localSheetId="51" hidden="1">#REF!</definedName>
    <definedName name="_Key1" localSheetId="58" hidden="1">#REF!</definedName>
    <definedName name="_Key1" hidden="1">#REF!</definedName>
    <definedName name="_Key2" localSheetId="38" hidden="1">#REF!</definedName>
    <definedName name="_Key2" localSheetId="25" hidden="1">#REF!</definedName>
    <definedName name="_Key2" localSheetId="82" hidden="1">#REF!</definedName>
    <definedName name="_Key2" localSheetId="39" hidden="1">#REF!</definedName>
    <definedName name="_Key2" localSheetId="40" hidden="1">#REF!</definedName>
    <definedName name="_Key2" localSheetId="84" hidden="1">#REF!</definedName>
    <definedName name="_Key2" localSheetId="4" hidden="1">#REF!</definedName>
    <definedName name="_Key2" localSheetId="81" hidden="1">#REF!</definedName>
    <definedName name="_Key2" localSheetId="69" hidden="1">#REF!</definedName>
    <definedName name="_Key2" localSheetId="79" hidden="1">#REF!</definedName>
    <definedName name="_Key2" localSheetId="45" hidden="1">#REF!</definedName>
    <definedName name="_Key2" localSheetId="77" hidden="1">#REF!</definedName>
    <definedName name="_Key2" localSheetId="76" hidden="1">#REF!</definedName>
    <definedName name="_Key2" localSheetId="30" hidden="1">#REF!</definedName>
    <definedName name="_Key2" localSheetId="13" hidden="1">#REF!</definedName>
    <definedName name="_Key2" localSheetId="27" hidden="1">#REF!</definedName>
    <definedName name="_Key2" localSheetId="58" hidden="1">#REF!</definedName>
    <definedName name="_Key2" hidden="1">#REF!</definedName>
    <definedName name="_m" localSheetId="38" hidden="1">#REF!</definedName>
    <definedName name="_m" localSheetId="25" hidden="1">#REF!</definedName>
    <definedName name="_m" localSheetId="82" hidden="1">#REF!</definedName>
    <definedName name="_m" localSheetId="39" hidden="1">#REF!</definedName>
    <definedName name="_m" localSheetId="40" hidden="1">#REF!</definedName>
    <definedName name="_m" localSheetId="84" hidden="1">#REF!</definedName>
    <definedName name="_m" localSheetId="4" hidden="1">#REF!</definedName>
    <definedName name="_m" localSheetId="79" hidden="1">#REF!</definedName>
    <definedName name="_m" localSheetId="45" hidden="1">#REF!</definedName>
    <definedName name="_m" localSheetId="77" hidden="1">#REF!</definedName>
    <definedName name="_m" localSheetId="76" hidden="1">#REF!</definedName>
    <definedName name="_m" localSheetId="30" hidden="1">#REF!</definedName>
    <definedName name="_m" localSheetId="13" hidden="1">#REF!</definedName>
    <definedName name="_m" localSheetId="27" hidden="1">#REF!</definedName>
    <definedName name="_m" hidden="1">#REF!</definedName>
    <definedName name="_Order1" hidden="1">0</definedName>
    <definedName name="_Order2" hidden="1">255</definedName>
    <definedName name="_s1" hidden="1">'[5]sales vol.'!$J$34:$J$37</definedName>
    <definedName name="_s2" hidden="1">'[5]sales vol.'!$J$398:$J$401</definedName>
    <definedName name="_s3" hidden="1">'[5]sales vol.'!$J$211:$J$214</definedName>
    <definedName name="_s4" hidden="1">'[5]sales vol.'!$I$1121:$I$1122</definedName>
    <definedName name="_s5" hidden="1">'[5]sales vol.'!$I$1632:$I$1635</definedName>
    <definedName name="_s6" hidden="1">'[5]sales vol.'!$I$2248:$I$2251</definedName>
    <definedName name="_Sort" localSheetId="38" hidden="1">#REF!</definedName>
    <definedName name="_Sort" localSheetId="25" hidden="1">#REF!</definedName>
    <definedName name="_Sort" localSheetId="82" hidden="1">#REF!</definedName>
    <definedName name="_Sort" localSheetId="39" hidden="1">#REF!</definedName>
    <definedName name="_Sort" localSheetId="40" hidden="1">#REF!</definedName>
    <definedName name="_Sort" localSheetId="84" hidden="1">#REF!</definedName>
    <definedName name="_Sort" localSheetId="4" hidden="1">#REF!</definedName>
    <definedName name="_Sort" localSheetId="81" hidden="1">#REF!</definedName>
    <definedName name="_Sort" localSheetId="69" hidden="1">#REF!</definedName>
    <definedName name="_Sort" localSheetId="79" hidden="1">#REF!</definedName>
    <definedName name="_Sort" localSheetId="53" hidden="1">#REF!</definedName>
    <definedName name="_Sort" localSheetId="45" hidden="1">#REF!</definedName>
    <definedName name="_Sort" localSheetId="77" hidden="1">#REF!</definedName>
    <definedName name="_Sort" localSheetId="76" hidden="1">#REF!</definedName>
    <definedName name="_Sort" localSheetId="30" hidden="1">#REF!</definedName>
    <definedName name="_Sort" localSheetId="13" hidden="1">#REF!</definedName>
    <definedName name="_Sort" localSheetId="27" hidden="1">#REF!</definedName>
    <definedName name="_Sort" localSheetId="51" hidden="1">#REF!</definedName>
    <definedName name="_Sort" localSheetId="58" hidden="1">#REF!</definedName>
    <definedName name="_Sort" hidden="1">#REF!</definedName>
    <definedName name="_Table1_In1" localSheetId="38" hidden="1">#REF!</definedName>
    <definedName name="_Table1_In1" localSheetId="25" hidden="1">#REF!</definedName>
    <definedName name="_Table1_In1" localSheetId="82" hidden="1">#REF!</definedName>
    <definedName name="_Table1_In1" localSheetId="39" hidden="1">#REF!</definedName>
    <definedName name="_Table1_In1" localSheetId="40" hidden="1">#REF!</definedName>
    <definedName name="_Table1_In1" localSheetId="84" hidden="1">#REF!</definedName>
    <definedName name="_Table1_In1" localSheetId="4" hidden="1">#REF!</definedName>
    <definedName name="_Table1_In1" localSheetId="81" hidden="1">#REF!</definedName>
    <definedName name="_Table1_In1" localSheetId="69" hidden="1">#REF!</definedName>
    <definedName name="_Table1_In1" localSheetId="79" hidden="1">#REF!</definedName>
    <definedName name="_Table1_In1" localSheetId="45" hidden="1">#REF!</definedName>
    <definedName name="_Table1_In1" localSheetId="77" hidden="1">#REF!</definedName>
    <definedName name="_Table1_In1" localSheetId="76" hidden="1">#REF!</definedName>
    <definedName name="_Table1_In1" localSheetId="30" hidden="1">#REF!</definedName>
    <definedName name="_Table1_In1" localSheetId="13" hidden="1">#REF!</definedName>
    <definedName name="_Table1_In1" localSheetId="27" hidden="1">#REF!</definedName>
    <definedName name="_Table1_In1" localSheetId="58" hidden="1">#REF!</definedName>
    <definedName name="_Table1_In1" hidden="1">#REF!</definedName>
    <definedName name="_Table1_Out" localSheetId="38" hidden="1">#REF!</definedName>
    <definedName name="_Table1_Out" localSheetId="25" hidden="1">#REF!</definedName>
    <definedName name="_Table1_Out" localSheetId="82" hidden="1">#REF!</definedName>
    <definedName name="_Table1_Out" localSheetId="39" hidden="1">#REF!</definedName>
    <definedName name="_Table1_Out" localSheetId="40" hidden="1">#REF!</definedName>
    <definedName name="_Table1_Out" localSheetId="84" hidden="1">#REF!</definedName>
    <definedName name="_Table1_Out" localSheetId="4" hidden="1">#REF!</definedName>
    <definedName name="_Table1_Out" localSheetId="81" hidden="1">#REF!</definedName>
    <definedName name="_Table1_Out" localSheetId="69" hidden="1">#REF!</definedName>
    <definedName name="_Table1_Out" localSheetId="79" hidden="1">#REF!</definedName>
    <definedName name="_Table1_Out" localSheetId="45" hidden="1">#REF!</definedName>
    <definedName name="_Table1_Out" localSheetId="77" hidden="1">#REF!</definedName>
    <definedName name="_Table1_Out" localSheetId="76" hidden="1">#REF!</definedName>
    <definedName name="_Table1_Out" localSheetId="30" hidden="1">#REF!</definedName>
    <definedName name="_Table1_Out" localSheetId="13" hidden="1">#REF!</definedName>
    <definedName name="_Table1_Out" localSheetId="27" hidden="1">#REF!</definedName>
    <definedName name="_Table1_Out" localSheetId="58" hidden="1">#REF!</definedName>
    <definedName name="_Table1_Out" hidden="1">#REF!</definedName>
    <definedName name="_Table2_In1" localSheetId="38" hidden="1">#REF!</definedName>
    <definedName name="_Table2_In1" localSheetId="25" hidden="1">#REF!</definedName>
    <definedName name="_Table2_In1" localSheetId="82" hidden="1">#REF!</definedName>
    <definedName name="_Table2_In1" localSheetId="39" hidden="1">#REF!</definedName>
    <definedName name="_Table2_In1" localSheetId="40" hidden="1">#REF!</definedName>
    <definedName name="_Table2_In1" localSheetId="84" hidden="1">#REF!</definedName>
    <definedName name="_Table2_In1" localSheetId="4" hidden="1">#REF!</definedName>
    <definedName name="_Table2_In1" localSheetId="81" hidden="1">#REF!</definedName>
    <definedName name="_Table2_In1" localSheetId="69" hidden="1">#REF!</definedName>
    <definedName name="_Table2_In1" localSheetId="79" hidden="1">#REF!</definedName>
    <definedName name="_Table2_In1" localSheetId="45" hidden="1">#REF!</definedName>
    <definedName name="_Table2_In1" localSheetId="77" hidden="1">#REF!</definedName>
    <definedName name="_Table2_In1" localSheetId="76" hidden="1">#REF!</definedName>
    <definedName name="_Table2_In1" localSheetId="30" hidden="1">#REF!</definedName>
    <definedName name="_Table2_In1" localSheetId="13" hidden="1">#REF!</definedName>
    <definedName name="_Table2_In1" localSheetId="27" hidden="1">#REF!</definedName>
    <definedName name="_Table2_In1" localSheetId="58" hidden="1">#REF!</definedName>
    <definedName name="_Table2_In1" hidden="1">#REF!</definedName>
    <definedName name="_Table2_In2" localSheetId="38" hidden="1">#REF!</definedName>
    <definedName name="_Table2_In2" localSheetId="25" hidden="1">#REF!</definedName>
    <definedName name="_Table2_In2" localSheetId="82" hidden="1">#REF!</definedName>
    <definedName name="_Table2_In2" localSheetId="39" hidden="1">#REF!</definedName>
    <definedName name="_Table2_In2" localSheetId="40" hidden="1">#REF!</definedName>
    <definedName name="_Table2_In2" localSheetId="84" hidden="1">#REF!</definedName>
    <definedName name="_Table2_In2" localSheetId="4" hidden="1">#REF!</definedName>
    <definedName name="_Table2_In2" localSheetId="79" hidden="1">#REF!</definedName>
    <definedName name="_Table2_In2" localSheetId="45" hidden="1">#REF!</definedName>
    <definedName name="_Table2_In2" localSheetId="77" hidden="1">#REF!</definedName>
    <definedName name="_Table2_In2" localSheetId="76" hidden="1">#REF!</definedName>
    <definedName name="_Table2_In2" localSheetId="30" hidden="1">#REF!</definedName>
    <definedName name="_Table2_In2" localSheetId="13" hidden="1">#REF!</definedName>
    <definedName name="_Table2_In2" localSheetId="27" hidden="1">#REF!</definedName>
    <definedName name="_Table2_In2" hidden="1">#REF!</definedName>
    <definedName name="_Table2_Out" localSheetId="38" hidden="1">#REF!</definedName>
    <definedName name="_Table2_Out" localSheetId="25" hidden="1">#REF!</definedName>
    <definedName name="_Table2_Out" localSheetId="82" hidden="1">#REF!</definedName>
    <definedName name="_Table2_Out" localSheetId="39" hidden="1">#REF!</definedName>
    <definedName name="_Table2_Out" localSheetId="40" hidden="1">#REF!</definedName>
    <definedName name="_Table2_Out" localSheetId="84" hidden="1">#REF!</definedName>
    <definedName name="_Table2_Out" localSheetId="4" hidden="1">#REF!</definedName>
    <definedName name="_Table2_Out" localSheetId="81" hidden="1">#REF!</definedName>
    <definedName name="_Table2_Out" localSheetId="69" hidden="1">#REF!</definedName>
    <definedName name="_Table2_Out" localSheetId="79" hidden="1">#REF!</definedName>
    <definedName name="_Table2_Out" localSheetId="45" hidden="1">#REF!</definedName>
    <definedName name="_Table2_Out" localSheetId="77" hidden="1">#REF!</definedName>
    <definedName name="_Table2_Out" localSheetId="76" hidden="1">#REF!</definedName>
    <definedName name="_Table2_Out" localSheetId="30" hidden="1">#REF!</definedName>
    <definedName name="_Table2_Out" localSheetId="13" hidden="1">#REF!</definedName>
    <definedName name="_Table2_Out" localSheetId="27" hidden="1">#REF!</definedName>
    <definedName name="_Table2_Out" localSheetId="58" hidden="1">#REF!</definedName>
    <definedName name="_Table2_Out" hidden="1">#REF!</definedName>
    <definedName name="_w1" localSheetId="81" hidden="1">{"PVGraph2",#N/A,FALSE,"PV Data"}</definedName>
    <definedName name="_w1" localSheetId="32" hidden="1">{"PVGraph2",#N/A,FALSE,"PV Data"}</definedName>
    <definedName name="_w1" localSheetId="13" hidden="1">{"PVGraph2",#N/A,FALSE,"PV Data"}</definedName>
    <definedName name="_w1" hidden="1">{"PVGraph2",#N/A,FALSE,"PV Data"}</definedName>
    <definedName name="_w2" localSheetId="81" hidden="1">{"PVGraph2",#N/A,FALSE,"PV Data"}</definedName>
    <definedName name="_w2" localSheetId="32" hidden="1">{"PVGraph2",#N/A,FALSE,"PV Data"}</definedName>
    <definedName name="_w2" localSheetId="13" hidden="1">{"PVGraph2",#N/A,FALSE,"PV Data"}</definedName>
    <definedName name="_w2" hidden="1">{"PVGraph2",#N/A,FALSE,"PV Data"}</definedName>
    <definedName name="_w3" localSheetId="81" hidden="1">{"PVGraph2",#N/A,FALSE,"PV Data"}</definedName>
    <definedName name="_w3" localSheetId="32" hidden="1">{"PVGraph2",#N/A,FALSE,"PV Data"}</definedName>
    <definedName name="_w3" localSheetId="13" hidden="1">{"PVGraph2",#N/A,FALSE,"PV Data"}</definedName>
    <definedName name="_w3" hidden="1">{"PVGraph2",#N/A,FALSE,"PV Data"}</definedName>
    <definedName name="_y2" localSheetId="81" hidden="1">{"PVGraph2",#N/A,FALSE,"PV Data"}</definedName>
    <definedName name="_y2" localSheetId="32" hidden="1">{"PVGraph2",#N/A,FALSE,"PV Data"}</definedName>
    <definedName name="_y2" localSheetId="13" hidden="1">{"PVGraph2",#N/A,FALSE,"PV Data"}</definedName>
    <definedName name="_y2" hidden="1">{"PVGraph2",#N/A,FALSE,"PV Data"}</definedName>
    <definedName name="AA.Report.Files" localSheetId="38" hidden="1">#REF!</definedName>
    <definedName name="AA.Report.Files" localSheetId="39" hidden="1">#REF!</definedName>
    <definedName name="AA.Report.Files" localSheetId="79" hidden="1">#REF!</definedName>
    <definedName name="AA.Report.Files" localSheetId="53" hidden="1">#REF!</definedName>
    <definedName name="AA.Report.Files" localSheetId="13" hidden="1">#REF!</definedName>
    <definedName name="AA.Report.Files" localSheetId="27" hidden="1">#REF!</definedName>
    <definedName name="AA.Report.Files" localSheetId="51" hidden="1">#REF!</definedName>
    <definedName name="AA.Report.Files" hidden="1">#REF!</definedName>
    <definedName name="AA.Reports.Available" localSheetId="38" hidden="1">#REF!</definedName>
    <definedName name="AA.Reports.Available" localSheetId="39" hidden="1">#REF!</definedName>
    <definedName name="AA.Reports.Available" localSheetId="79" hidden="1">#REF!</definedName>
    <definedName name="AA.Reports.Available" localSheetId="53" hidden="1">#REF!</definedName>
    <definedName name="AA.Reports.Available" localSheetId="13" hidden="1">#REF!</definedName>
    <definedName name="AA.Reports.Available" localSheetId="27" hidden="1">#REF!</definedName>
    <definedName name="AA.Reports.Available" localSheetId="51" hidden="1">#REF!</definedName>
    <definedName name="AA.Reports.Available" hidden="1">#REF!</definedName>
    <definedName name="aaadf" localSheetId="38" hidden="1">#REF!</definedName>
    <definedName name="aaadf" localSheetId="39" hidden="1">#REF!</definedName>
    <definedName name="aaadf" localSheetId="79" hidden="1">#REF!</definedName>
    <definedName name="aaadf" localSheetId="13" hidden="1">#REF!</definedName>
    <definedName name="aaadf" localSheetId="27" hidden="1">#REF!</definedName>
    <definedName name="aaadf" localSheetId="51" hidden="1">#REF!</definedName>
    <definedName name="aaadf" hidden="1">#REF!</definedName>
    <definedName name="abc" localSheetId="38" hidden="1">#REF!</definedName>
    <definedName name="abc" localSheetId="25" hidden="1">#REF!</definedName>
    <definedName name="abc" localSheetId="82" hidden="1">#REF!</definedName>
    <definedName name="abc" localSheetId="39" hidden="1">#REF!</definedName>
    <definedName name="abc" localSheetId="40" hidden="1">#REF!</definedName>
    <definedName name="abc" localSheetId="84" hidden="1">#REF!</definedName>
    <definedName name="abc" localSheetId="4" hidden="1">#REF!</definedName>
    <definedName name="ABC" localSheetId="81" hidden="1">#REF!</definedName>
    <definedName name="abc" localSheetId="79" hidden="1">#REF!</definedName>
    <definedName name="abc" localSheetId="45" hidden="1">#REF!</definedName>
    <definedName name="abc" localSheetId="77" hidden="1">#REF!</definedName>
    <definedName name="abc" localSheetId="76" hidden="1">#REF!</definedName>
    <definedName name="abc" localSheetId="30" hidden="1">#REF!</definedName>
    <definedName name="abc" localSheetId="13" hidden="1">#REF!</definedName>
    <definedName name="abc" localSheetId="27" hidden="1">#REF!</definedName>
    <definedName name="abc" hidden="1">#REF!</definedName>
    <definedName name="ABS" localSheetId="38" hidden="1">#REF!</definedName>
    <definedName name="ABS" localSheetId="25" hidden="1">#REF!</definedName>
    <definedName name="ABS" localSheetId="82" hidden="1">#REF!</definedName>
    <definedName name="ABS" localSheetId="39" hidden="1">#REF!</definedName>
    <definedName name="ABS" localSheetId="40" hidden="1">#REF!</definedName>
    <definedName name="ABS" localSheetId="84" hidden="1">#REF!</definedName>
    <definedName name="ABS" localSheetId="4" hidden="1">#REF!</definedName>
    <definedName name="ABS" localSheetId="79" hidden="1">#REF!</definedName>
    <definedName name="ABS" localSheetId="45" hidden="1">#REF!</definedName>
    <definedName name="ABS" localSheetId="77" hidden="1">#REF!</definedName>
    <definedName name="ABS" localSheetId="76" hidden="1">#REF!</definedName>
    <definedName name="ABS" localSheetId="30" hidden="1">#REF!</definedName>
    <definedName name="ABS" localSheetId="13" hidden="1">#REF!</definedName>
    <definedName name="ABS" localSheetId="27" hidden="1">#REF!</definedName>
    <definedName name="ABS" hidden="1">#REF!</definedName>
    <definedName name="AccessDatabase" hidden="1">"I:\DEPT8900\OEL\FY01\Reports\Budget Comparison\Comparitive Budget TEST.mdb"</definedName>
    <definedName name="adsf" localSheetId="38" hidden="1">#REF!</definedName>
    <definedName name="adsf" localSheetId="25" hidden="1">#REF!</definedName>
    <definedName name="adsf" localSheetId="82" hidden="1">#REF!</definedName>
    <definedName name="adsf" localSheetId="39" hidden="1">#REF!</definedName>
    <definedName name="adsf" localSheetId="40" hidden="1">#REF!</definedName>
    <definedName name="adsf" localSheetId="84" hidden="1">#REF!</definedName>
    <definedName name="adsf" localSheetId="4" hidden="1">#REF!</definedName>
    <definedName name="adsf" localSheetId="79" hidden="1">#REF!</definedName>
    <definedName name="adsf" localSheetId="45" hidden="1">#REF!</definedName>
    <definedName name="adsf" localSheetId="77" hidden="1">#REF!</definedName>
    <definedName name="adsf" localSheetId="76" hidden="1">#REF!</definedName>
    <definedName name="adsf" localSheetId="30" hidden="1">#REF!</definedName>
    <definedName name="adsf" localSheetId="13" hidden="1">#REF!</definedName>
    <definedName name="adsf" localSheetId="27" hidden="1">#REF!</definedName>
    <definedName name="adsf" hidden="1">#REF!</definedName>
    <definedName name="AlloCo" localSheetId="38" hidden="1">#REF!</definedName>
    <definedName name="AlloCo" localSheetId="39" hidden="1">#REF!</definedName>
    <definedName name="AlloCo" localSheetId="79" hidden="1">#REF!</definedName>
    <definedName name="AlloCo" localSheetId="53" hidden="1">#REF!</definedName>
    <definedName name="AlloCo" localSheetId="13" hidden="1">#REF!</definedName>
    <definedName name="AlloCo" localSheetId="27" hidden="1">#REF!</definedName>
    <definedName name="AlloCo" localSheetId="51" hidden="1">#REF!</definedName>
    <definedName name="AlloCo" hidden="1">#REF!</definedName>
    <definedName name="anscount" hidden="1">6</definedName>
    <definedName name="as" localSheetId="81" hidden="1">{"ModelPage1",#N/A,TRUE,"Model";"ModelSum_Debt",#N/A,TRUE,"Model"}</definedName>
    <definedName name="as" localSheetId="32" hidden="1">{"ModelPage1",#N/A,TRUE,"Model";"ModelSum_Debt",#N/A,TRUE,"Model"}</definedName>
    <definedName name="as" localSheetId="13" hidden="1">{"ModelPage1",#N/A,TRUE,"Model";"ModelSum_Debt",#N/A,TRUE,"Model"}</definedName>
    <definedName name="as" hidden="1">{"ModelPage1",#N/A,TRUE,"Model";"ModelSum_Debt",#N/A,TRUE,"Model"}</definedName>
    <definedName name="AS2DocOpenMode" hidden="1">"AS2DocumentEdit"</definedName>
    <definedName name="AS2ReportLS" hidden="1">1</definedName>
    <definedName name="AS2SyncStepLS" hidden="1">0</definedName>
    <definedName name="AS2VersionLS" hidden="1">300</definedName>
    <definedName name="asd" localSheetId="81" hidden="1">{"DCF","UPSIDE CASE",FALSE,"Sheet1";"DCF","BASE CASE",FALSE,"Sheet1";"DCF","DOWNSIDE CASE",FALSE,"Sheet1"}</definedName>
    <definedName name="asd" localSheetId="32" hidden="1">{"DCF","UPSIDE CASE",FALSE,"Sheet1";"DCF","BASE CASE",FALSE,"Sheet1";"DCF","DOWNSIDE CASE",FALSE,"Sheet1"}</definedName>
    <definedName name="ASD" localSheetId="13">{"DCF","UPSIDE CASE",FALSE,"Sheet1";"DCF","BASE CASE",FALSE,"Sheet1";"DCF","DOWNSIDE CASE",FALSE,"Sheet1"}</definedName>
    <definedName name="ASD">{"DCF","UPSIDE CASE",FALSE,"Sheet1";"DCF","BASE CASE",FALSE,"Sheet1";"DCF","DOWNSIDE CASE",FALSE,"Sheet1"}</definedName>
    <definedName name="asdfasdfdddd" localSheetId="81" hidden="1">{"DCF","UPSIDE CASE",FALSE,"Sheet1";"DCF","BASE CASE",FALSE,"Sheet1";"DCF","DOWNSIDE CASE",FALSE,"Sheet1"}</definedName>
    <definedName name="asdfasdfdddd" localSheetId="69" hidden="1">{"DCF","UPSIDE CASE",FALSE,"Sheet1";"DCF","BASE CASE",FALSE,"Sheet1";"DCF","DOWNSIDE CASE",FALSE,"Sheet1"}</definedName>
    <definedName name="asdfasdfdddd" localSheetId="32" hidden="1">{"DCF","UPSIDE CASE",FALSE,"Sheet1";"DCF","BASE CASE",FALSE,"Sheet1";"DCF","DOWNSIDE CASE",FALSE,"Sheet1"}</definedName>
    <definedName name="asdfasdfdddd" localSheetId="13" hidden="1">{"DCF","UPSIDE CASE",FALSE,"Sheet1";"DCF","BASE CASE",FALSE,"Sheet1";"DCF","DOWNSIDE CASE",FALSE,"Sheet1"}</definedName>
    <definedName name="asdfasdfdddd" hidden="1">{"DCF","UPSIDE CASE",FALSE,"Sheet1";"DCF","BASE CASE",FALSE,"Sheet1";"DCF","DOWNSIDE CASE",FALSE,"Sheet1"}</definedName>
    <definedName name="avegmultiple" localSheetId="38" hidden="1">#REF!</definedName>
    <definedName name="avegmultiple" localSheetId="25" hidden="1">#REF!</definedName>
    <definedName name="avegmultiple" localSheetId="82" hidden="1">#REF!</definedName>
    <definedName name="avegmultiple" localSheetId="39" hidden="1">#REF!</definedName>
    <definedName name="avegmultiple" localSheetId="40" hidden="1">#REF!</definedName>
    <definedName name="avegmultiple" localSheetId="84" hidden="1">#REF!</definedName>
    <definedName name="avegmultiple" localSheetId="4" hidden="1">#REF!</definedName>
    <definedName name="avegmultiple" localSheetId="79" hidden="1">#REF!</definedName>
    <definedName name="avegmultiple" localSheetId="45" hidden="1">#REF!</definedName>
    <definedName name="avegmultiple" localSheetId="77" hidden="1">#REF!</definedName>
    <definedName name="avegmultiple" localSheetId="76" hidden="1">#REF!</definedName>
    <definedName name="avegmultiple" localSheetId="30" hidden="1">#REF!</definedName>
    <definedName name="avegmultiple" localSheetId="13" hidden="1">#REF!</definedName>
    <definedName name="avegmultiple" localSheetId="27" hidden="1">#REF!</definedName>
    <definedName name="avegmultiple" hidden="1">#REF!</definedName>
    <definedName name="Baby" localSheetId="38" hidden="1">#REF!</definedName>
    <definedName name="Baby" localSheetId="39" hidden="1">#REF!</definedName>
    <definedName name="Baby" localSheetId="79" hidden="1">#REF!</definedName>
    <definedName name="Baby" localSheetId="13" hidden="1">#REF!</definedName>
    <definedName name="Baby" localSheetId="27" hidden="1">#REF!</definedName>
    <definedName name="Baby" localSheetId="51" hidden="1">#REF!</definedName>
    <definedName name="Baby" hidden="1">#REF!</definedName>
    <definedName name="bbvb" localSheetId="38" hidden="1">#REF!</definedName>
    <definedName name="bbvb" localSheetId="39" hidden="1">#REF!</definedName>
    <definedName name="bbvb" localSheetId="79" hidden="1">#REF!</definedName>
    <definedName name="bbvb" localSheetId="13" hidden="1">#REF!</definedName>
    <definedName name="bbvb" localSheetId="27" hidden="1">#REF!</definedName>
    <definedName name="bbvb" localSheetId="51" hidden="1">#REF!</definedName>
    <definedName name="bbvb" hidden="1">#REF!</definedName>
    <definedName name="bei" localSheetId="81" hidden="1">{#N/A,#N/A,FALSE,"softdraw";#N/A,#N/A,FALSE,"linereclass";"northpint loan",#N/A,FALSE,"LOAN"}</definedName>
    <definedName name="bei" localSheetId="32" hidden="1">{#N/A,#N/A,FALSE,"softdraw";#N/A,#N/A,FALSE,"linereclass";"northpint loan",#N/A,FALSE,"LOAN"}</definedName>
    <definedName name="bei" localSheetId="13" hidden="1">{#N/A,#N/A,FALSE,"softdraw";#N/A,#N/A,FALSE,"linereclass";"northpint loan",#N/A,FALSE,"LOAN"}</definedName>
    <definedName name="bei" hidden="1">{#N/A,#N/A,FALSE,"softdraw";#N/A,#N/A,FALSE,"linereclass";"northpint loan",#N/A,FALSE,"LOAN"}</definedName>
    <definedName name="Benefits">350</definedName>
    <definedName name="BG_Ins" hidden="1">4</definedName>
    <definedName name="BG_Mod" hidden="1">6</definedName>
    <definedName name="BLPH1" localSheetId="38" hidden="1">#REF!</definedName>
    <definedName name="BLPH1" localSheetId="25" hidden="1">#REF!</definedName>
    <definedName name="BLPH1" localSheetId="82" hidden="1">#REF!</definedName>
    <definedName name="BLPH1" localSheetId="39" hidden="1">#REF!</definedName>
    <definedName name="BLPH1" localSheetId="40" hidden="1">#REF!</definedName>
    <definedName name="BLPH1" localSheetId="84" hidden="1">#REF!</definedName>
    <definedName name="BLPH1" localSheetId="4" hidden="1">#REF!</definedName>
    <definedName name="BLPH1" localSheetId="79" hidden="1">#REF!</definedName>
    <definedName name="BLPH1" localSheetId="32" hidden="1">#REF!</definedName>
    <definedName name="BLPH1" localSheetId="45" hidden="1">#REF!</definedName>
    <definedName name="BLPH1" localSheetId="77" hidden="1">#REF!</definedName>
    <definedName name="BLPH1" localSheetId="76" hidden="1">#REF!</definedName>
    <definedName name="BLPH1" localSheetId="30" hidden="1">#REF!</definedName>
    <definedName name="BLPH1" localSheetId="13" hidden="1">#REF!</definedName>
    <definedName name="BLPH1" localSheetId="27" hidden="1">#REF!</definedName>
    <definedName name="BLPH1" hidden="1">#REF!</definedName>
    <definedName name="BLPH10" localSheetId="38" hidden="1">#REF!</definedName>
    <definedName name="BLPH10" localSheetId="25" hidden="1">#REF!</definedName>
    <definedName name="BLPH10" localSheetId="82" hidden="1">#REF!</definedName>
    <definedName name="BLPH10" localSheetId="39" hidden="1">#REF!</definedName>
    <definedName name="BLPH10" localSheetId="40" hidden="1">#REF!</definedName>
    <definedName name="BLPH10" localSheetId="84" hidden="1">#REF!</definedName>
    <definedName name="BLPH10" localSheetId="4" hidden="1">#REF!</definedName>
    <definedName name="BLPH10" localSheetId="79" hidden="1">#REF!</definedName>
    <definedName name="BLPH10" localSheetId="45" hidden="1">#REF!</definedName>
    <definedName name="BLPH10" localSheetId="77" hidden="1">#REF!</definedName>
    <definedName name="BLPH10" localSheetId="76" hidden="1">#REF!</definedName>
    <definedName name="BLPH10" localSheetId="30" hidden="1">#REF!</definedName>
    <definedName name="BLPH10" localSheetId="13" hidden="1">#REF!</definedName>
    <definedName name="BLPH10" localSheetId="27" hidden="1">#REF!</definedName>
    <definedName name="BLPH10" hidden="1">#REF!</definedName>
    <definedName name="BLPH11" localSheetId="38" hidden="1">#REF!</definedName>
    <definedName name="BLPH11" localSheetId="25" hidden="1">#REF!</definedName>
    <definedName name="BLPH11" localSheetId="82" hidden="1">#REF!</definedName>
    <definedName name="BLPH11" localSheetId="39" hidden="1">#REF!</definedName>
    <definedName name="BLPH11" localSheetId="40" hidden="1">#REF!</definedName>
    <definedName name="BLPH11" localSheetId="84" hidden="1">#REF!</definedName>
    <definedName name="BLPH11" localSheetId="4" hidden="1">#REF!</definedName>
    <definedName name="BLPH11" localSheetId="79" hidden="1">#REF!</definedName>
    <definedName name="BLPH11" localSheetId="45" hidden="1">#REF!</definedName>
    <definedName name="BLPH11" localSheetId="77" hidden="1">#REF!</definedName>
    <definedName name="BLPH11" localSheetId="76" hidden="1">#REF!</definedName>
    <definedName name="BLPH11" localSheetId="30" hidden="1">#REF!</definedName>
    <definedName name="BLPH11" localSheetId="13" hidden="1">#REF!</definedName>
    <definedName name="BLPH11" localSheetId="27" hidden="1">#REF!</definedName>
    <definedName name="BLPH11" hidden="1">#REF!</definedName>
    <definedName name="BLPH12" localSheetId="38" hidden="1">#REF!</definedName>
    <definedName name="BLPH12" localSheetId="25" hidden="1">#REF!</definedName>
    <definedName name="BLPH12" localSheetId="82" hidden="1">#REF!</definedName>
    <definedName name="BLPH12" localSheetId="39" hidden="1">#REF!</definedName>
    <definedName name="BLPH12" localSheetId="40" hidden="1">#REF!</definedName>
    <definedName name="BLPH12" localSheetId="84" hidden="1">#REF!</definedName>
    <definedName name="BLPH12" localSheetId="4" hidden="1">#REF!</definedName>
    <definedName name="BLPH12" localSheetId="79" hidden="1">#REF!</definedName>
    <definedName name="BLPH12" localSheetId="45" hidden="1">#REF!</definedName>
    <definedName name="BLPH12" localSheetId="77" hidden="1">#REF!</definedName>
    <definedName name="BLPH12" localSheetId="76" hidden="1">#REF!</definedName>
    <definedName name="BLPH12" localSheetId="30" hidden="1">#REF!</definedName>
    <definedName name="BLPH12" localSheetId="13" hidden="1">#REF!</definedName>
    <definedName name="BLPH12" localSheetId="27" hidden="1">#REF!</definedName>
    <definedName name="BLPH12" hidden="1">#REF!</definedName>
    <definedName name="BLPH13" localSheetId="38" hidden="1">#REF!</definedName>
    <definedName name="BLPH13" localSheetId="25" hidden="1">#REF!</definedName>
    <definedName name="BLPH13" localSheetId="82" hidden="1">#REF!</definedName>
    <definedName name="BLPH13" localSheetId="39" hidden="1">#REF!</definedName>
    <definedName name="BLPH13" localSheetId="40" hidden="1">#REF!</definedName>
    <definedName name="BLPH13" localSheetId="84" hidden="1">#REF!</definedName>
    <definedName name="BLPH13" localSheetId="4" hidden="1">#REF!</definedName>
    <definedName name="BLPH13" localSheetId="79" hidden="1">#REF!</definedName>
    <definedName name="BLPH13" localSheetId="45" hidden="1">#REF!</definedName>
    <definedName name="BLPH13" localSheetId="77" hidden="1">#REF!</definedName>
    <definedName name="BLPH13" localSheetId="76" hidden="1">#REF!</definedName>
    <definedName name="BLPH13" localSheetId="30" hidden="1">#REF!</definedName>
    <definedName name="BLPH13" localSheetId="13" hidden="1">#REF!</definedName>
    <definedName name="BLPH13" localSheetId="27" hidden="1">#REF!</definedName>
    <definedName name="BLPH13" hidden="1">#REF!</definedName>
    <definedName name="BLPH14" localSheetId="38" hidden="1">#REF!</definedName>
    <definedName name="BLPH14" localSheetId="25" hidden="1">#REF!</definedName>
    <definedName name="BLPH14" localSheetId="82" hidden="1">#REF!</definedName>
    <definedName name="BLPH14" localSheetId="39" hidden="1">#REF!</definedName>
    <definedName name="BLPH14" localSheetId="40" hidden="1">#REF!</definedName>
    <definedName name="BLPH14" localSheetId="84" hidden="1">#REF!</definedName>
    <definedName name="BLPH14" localSheetId="4" hidden="1">#REF!</definedName>
    <definedName name="BLPH14" localSheetId="79" hidden="1">#REF!</definedName>
    <definedName name="BLPH14" localSheetId="45" hidden="1">#REF!</definedName>
    <definedName name="BLPH14" localSheetId="77" hidden="1">#REF!</definedName>
    <definedName name="BLPH14" localSheetId="76" hidden="1">#REF!</definedName>
    <definedName name="BLPH14" localSheetId="30" hidden="1">#REF!</definedName>
    <definedName name="BLPH14" localSheetId="13" hidden="1">#REF!</definedName>
    <definedName name="BLPH14" localSheetId="27" hidden="1">#REF!</definedName>
    <definedName name="BLPH14" hidden="1">#REF!</definedName>
    <definedName name="BLPH15" localSheetId="38" hidden="1">#REF!</definedName>
    <definedName name="BLPH15" localSheetId="25" hidden="1">#REF!</definedName>
    <definedName name="BLPH15" localSheetId="82" hidden="1">#REF!</definedName>
    <definedName name="BLPH15" localSheetId="39" hidden="1">#REF!</definedName>
    <definedName name="BLPH15" localSheetId="40" hidden="1">#REF!</definedName>
    <definedName name="BLPH15" localSheetId="84" hidden="1">#REF!</definedName>
    <definedName name="BLPH15" localSheetId="4" hidden="1">#REF!</definedName>
    <definedName name="BLPH15" localSheetId="79" hidden="1">#REF!</definedName>
    <definedName name="BLPH15" localSheetId="45" hidden="1">#REF!</definedName>
    <definedName name="BLPH15" localSheetId="77" hidden="1">#REF!</definedName>
    <definedName name="BLPH15" localSheetId="76" hidden="1">#REF!</definedName>
    <definedName name="BLPH15" localSheetId="30" hidden="1">#REF!</definedName>
    <definedName name="BLPH15" localSheetId="13" hidden="1">#REF!</definedName>
    <definedName name="BLPH15" localSheetId="27" hidden="1">#REF!</definedName>
    <definedName name="BLPH15" hidden="1">#REF!</definedName>
    <definedName name="BLPH16" localSheetId="38" hidden="1">#REF!</definedName>
    <definedName name="BLPH16" localSheetId="25" hidden="1">#REF!</definedName>
    <definedName name="BLPH16" localSheetId="82" hidden="1">#REF!</definedName>
    <definedName name="BLPH16" localSheetId="39" hidden="1">#REF!</definedName>
    <definedName name="BLPH16" localSheetId="40" hidden="1">#REF!</definedName>
    <definedName name="BLPH16" localSheetId="84" hidden="1">#REF!</definedName>
    <definedName name="BLPH16" localSheetId="4" hidden="1">#REF!</definedName>
    <definedName name="BLPH16" localSheetId="79" hidden="1">#REF!</definedName>
    <definedName name="BLPH16" localSheetId="45" hidden="1">#REF!</definedName>
    <definedName name="BLPH16" localSheetId="77" hidden="1">#REF!</definedName>
    <definedName name="BLPH16" localSheetId="76" hidden="1">#REF!</definedName>
    <definedName name="BLPH16" localSheetId="30" hidden="1">#REF!</definedName>
    <definedName name="BLPH16" localSheetId="13" hidden="1">#REF!</definedName>
    <definedName name="BLPH16" localSheetId="27" hidden="1">#REF!</definedName>
    <definedName name="BLPH16" hidden="1">#REF!</definedName>
    <definedName name="BLPH2" localSheetId="38" hidden="1">#REF!</definedName>
    <definedName name="BLPH2" localSheetId="25" hidden="1">#REF!</definedName>
    <definedName name="BLPH2" localSheetId="82" hidden="1">#REF!</definedName>
    <definedName name="BLPH2" localSheetId="39" hidden="1">#REF!</definedName>
    <definedName name="BLPH2" localSheetId="40" hidden="1">#REF!</definedName>
    <definedName name="BLPH2" localSheetId="84" hidden="1">#REF!</definedName>
    <definedName name="BLPH2" localSheetId="4" hidden="1">#REF!</definedName>
    <definedName name="BLPH2" localSheetId="79" hidden="1">#REF!</definedName>
    <definedName name="BLPH2" localSheetId="45" hidden="1">#REF!</definedName>
    <definedName name="BLPH2" localSheetId="77" hidden="1">#REF!</definedName>
    <definedName name="BLPH2" localSheetId="76" hidden="1">#REF!</definedName>
    <definedName name="BLPH2" localSheetId="30" hidden="1">#REF!</definedName>
    <definedName name="BLPH2" localSheetId="13" hidden="1">#REF!</definedName>
    <definedName name="BLPH2" localSheetId="27" hidden="1">#REF!</definedName>
    <definedName name="BLPH2" hidden="1">#REF!</definedName>
    <definedName name="BLPH3" localSheetId="38" hidden="1">#REF!</definedName>
    <definedName name="BLPH3" localSheetId="25" hidden="1">#REF!</definedName>
    <definedName name="BLPH3" localSheetId="82" hidden="1">#REF!</definedName>
    <definedName name="BLPH3" localSheetId="39" hidden="1">#REF!</definedName>
    <definedName name="BLPH3" localSheetId="40" hidden="1">#REF!</definedName>
    <definedName name="BLPH3" localSheetId="84" hidden="1">#REF!</definedName>
    <definedName name="BLPH3" localSheetId="4" hidden="1">#REF!</definedName>
    <definedName name="BLPH3" localSheetId="79" hidden="1">#REF!</definedName>
    <definedName name="BLPH3" localSheetId="45" hidden="1">#REF!</definedName>
    <definedName name="BLPH3" localSheetId="77" hidden="1">#REF!</definedName>
    <definedName name="BLPH3" localSheetId="76" hidden="1">#REF!</definedName>
    <definedName name="BLPH3" localSheetId="30" hidden="1">#REF!</definedName>
    <definedName name="BLPH3" localSheetId="13" hidden="1">#REF!</definedName>
    <definedName name="BLPH3" localSheetId="27" hidden="1">#REF!</definedName>
    <definedName name="BLPH3" hidden="1">#REF!</definedName>
    <definedName name="BLPH4" localSheetId="38" hidden="1">#REF!</definedName>
    <definedName name="BLPH4" localSheetId="25" hidden="1">#REF!</definedName>
    <definedName name="BLPH4" localSheetId="82" hidden="1">#REF!</definedName>
    <definedName name="BLPH4" localSheetId="39" hidden="1">#REF!</definedName>
    <definedName name="BLPH4" localSheetId="40" hidden="1">#REF!</definedName>
    <definedName name="BLPH4" localSheetId="84" hidden="1">#REF!</definedName>
    <definedName name="BLPH4" localSheetId="4" hidden="1">#REF!</definedName>
    <definedName name="BLPH4" localSheetId="79" hidden="1">#REF!</definedName>
    <definedName name="BLPH4" localSheetId="45" hidden="1">#REF!</definedName>
    <definedName name="BLPH4" localSheetId="77" hidden="1">#REF!</definedName>
    <definedName name="BLPH4" localSheetId="76" hidden="1">#REF!</definedName>
    <definedName name="BLPH4" localSheetId="30" hidden="1">#REF!</definedName>
    <definedName name="BLPH4" localSheetId="13" hidden="1">#REF!</definedName>
    <definedName name="BLPH4" localSheetId="27" hidden="1">#REF!</definedName>
    <definedName name="BLPH4" hidden="1">#REF!</definedName>
    <definedName name="BLPH5" localSheetId="38" hidden="1">#REF!</definedName>
    <definedName name="BLPH5" localSheetId="25" hidden="1">#REF!</definedName>
    <definedName name="BLPH5" localSheetId="82" hidden="1">#REF!</definedName>
    <definedName name="BLPH5" localSheetId="39" hidden="1">#REF!</definedName>
    <definedName name="BLPH5" localSheetId="40" hidden="1">#REF!</definedName>
    <definedName name="BLPH5" localSheetId="84" hidden="1">#REF!</definedName>
    <definedName name="BLPH5" localSheetId="4" hidden="1">#REF!</definedName>
    <definedName name="BLPH5" localSheetId="79" hidden="1">#REF!</definedName>
    <definedName name="BLPH5" localSheetId="45" hidden="1">#REF!</definedName>
    <definedName name="BLPH5" localSheetId="77" hidden="1">#REF!</definedName>
    <definedName name="BLPH5" localSheetId="76" hidden="1">#REF!</definedName>
    <definedName name="BLPH5" localSheetId="30" hidden="1">#REF!</definedName>
    <definedName name="BLPH5" localSheetId="13" hidden="1">#REF!</definedName>
    <definedName name="BLPH5" localSheetId="27" hidden="1">#REF!</definedName>
    <definedName name="BLPH5" hidden="1">#REF!</definedName>
    <definedName name="BLPH6" localSheetId="38" hidden="1">#REF!</definedName>
    <definedName name="BLPH6" localSheetId="25" hidden="1">#REF!</definedName>
    <definedName name="BLPH6" localSheetId="82" hidden="1">#REF!</definedName>
    <definedName name="BLPH6" localSheetId="39" hidden="1">#REF!</definedName>
    <definedName name="BLPH6" localSheetId="40" hidden="1">#REF!</definedName>
    <definedName name="BLPH6" localSheetId="84" hidden="1">#REF!</definedName>
    <definedName name="BLPH6" localSheetId="4" hidden="1">#REF!</definedName>
    <definedName name="BLPH6" localSheetId="79" hidden="1">#REF!</definedName>
    <definedName name="BLPH6" localSheetId="45" hidden="1">#REF!</definedName>
    <definedName name="BLPH6" localSheetId="77" hidden="1">#REF!</definedName>
    <definedName name="BLPH6" localSheetId="76" hidden="1">#REF!</definedName>
    <definedName name="BLPH6" localSheetId="30" hidden="1">#REF!</definedName>
    <definedName name="BLPH6" localSheetId="13" hidden="1">#REF!</definedName>
    <definedName name="BLPH6" localSheetId="27" hidden="1">#REF!</definedName>
    <definedName name="BLPH6" hidden="1">#REF!</definedName>
    <definedName name="BLPH7" localSheetId="38" hidden="1">#REF!</definedName>
    <definedName name="BLPH7" localSheetId="25" hidden="1">#REF!</definedName>
    <definedName name="BLPH7" localSheetId="82" hidden="1">#REF!</definedName>
    <definedName name="BLPH7" localSheetId="39" hidden="1">#REF!</definedName>
    <definedName name="BLPH7" localSheetId="40" hidden="1">#REF!</definedName>
    <definedName name="BLPH7" localSheetId="84" hidden="1">#REF!</definedName>
    <definedName name="BLPH7" localSheetId="4" hidden="1">#REF!</definedName>
    <definedName name="BLPH7" localSheetId="79" hidden="1">#REF!</definedName>
    <definedName name="BLPH7" localSheetId="45" hidden="1">#REF!</definedName>
    <definedName name="BLPH7" localSheetId="77" hidden="1">#REF!</definedName>
    <definedName name="BLPH7" localSheetId="76" hidden="1">#REF!</definedName>
    <definedName name="BLPH7" localSheetId="30" hidden="1">#REF!</definedName>
    <definedName name="BLPH7" localSheetId="13" hidden="1">#REF!</definedName>
    <definedName name="BLPH7" localSheetId="27" hidden="1">#REF!</definedName>
    <definedName name="BLPH7" hidden="1">#REF!</definedName>
    <definedName name="BLPH8" localSheetId="38" hidden="1">#REF!</definedName>
    <definedName name="BLPH8" localSheetId="25" hidden="1">#REF!</definedName>
    <definedName name="BLPH8" localSheetId="82" hidden="1">#REF!</definedName>
    <definedName name="BLPH8" localSheetId="39" hidden="1">#REF!</definedName>
    <definedName name="BLPH8" localSheetId="40" hidden="1">#REF!</definedName>
    <definedName name="BLPH8" localSheetId="84" hidden="1">#REF!</definedName>
    <definedName name="BLPH8" localSheetId="4" hidden="1">#REF!</definedName>
    <definedName name="BLPH8" localSheetId="79" hidden="1">#REF!</definedName>
    <definedName name="BLPH8" localSheetId="45" hidden="1">#REF!</definedName>
    <definedName name="BLPH8" localSheetId="77" hidden="1">#REF!</definedName>
    <definedName name="BLPH8" localSheetId="76" hidden="1">#REF!</definedName>
    <definedName name="BLPH8" localSheetId="30" hidden="1">#REF!</definedName>
    <definedName name="BLPH8" localSheetId="13" hidden="1">#REF!</definedName>
    <definedName name="BLPH8" localSheetId="27" hidden="1">#REF!</definedName>
    <definedName name="BLPH8" hidden="1">#REF!</definedName>
    <definedName name="BLPH9" localSheetId="38" hidden="1">#REF!</definedName>
    <definedName name="BLPH9" localSheetId="25" hidden="1">#REF!</definedName>
    <definedName name="BLPH9" localSheetId="82" hidden="1">#REF!</definedName>
    <definedName name="BLPH9" localSheetId="39" hidden="1">#REF!</definedName>
    <definedName name="BLPH9" localSheetId="40" hidden="1">#REF!</definedName>
    <definedName name="BLPH9" localSheetId="84" hidden="1">#REF!</definedName>
    <definedName name="BLPH9" localSheetId="4" hidden="1">#REF!</definedName>
    <definedName name="BLPH9" localSheetId="79" hidden="1">#REF!</definedName>
    <definedName name="BLPH9" localSheetId="45" hidden="1">#REF!</definedName>
    <definedName name="BLPH9" localSheetId="77" hidden="1">#REF!</definedName>
    <definedName name="BLPH9" localSheetId="76" hidden="1">#REF!</definedName>
    <definedName name="BLPH9" localSheetId="30" hidden="1">#REF!</definedName>
    <definedName name="BLPH9" localSheetId="13" hidden="1">#REF!</definedName>
    <definedName name="BLPH9" localSheetId="27" hidden="1">#REF!</definedName>
    <definedName name="BLPH9" hidden="1">#REF!</definedName>
    <definedName name="BNE_MESSAGES_HIDDEN" localSheetId="38" hidden="1">#REF!</definedName>
    <definedName name="BNE_MESSAGES_HIDDEN" localSheetId="25" hidden="1">#REF!</definedName>
    <definedName name="BNE_MESSAGES_HIDDEN" localSheetId="82" hidden="1">#REF!</definedName>
    <definedName name="BNE_MESSAGES_HIDDEN" localSheetId="39" hidden="1">#REF!</definedName>
    <definedName name="BNE_MESSAGES_HIDDEN" localSheetId="40" hidden="1">#REF!</definedName>
    <definedName name="BNE_MESSAGES_HIDDEN" localSheetId="84" hidden="1">#REF!</definedName>
    <definedName name="BNE_MESSAGES_HIDDEN" localSheetId="4" hidden="1">#REF!</definedName>
    <definedName name="BNE_MESSAGES_HIDDEN" localSheetId="79" hidden="1">#REF!</definedName>
    <definedName name="BNE_MESSAGES_HIDDEN" localSheetId="45" hidden="1">#REF!</definedName>
    <definedName name="BNE_MESSAGES_HIDDEN" localSheetId="77" hidden="1">#REF!</definedName>
    <definedName name="BNE_MESSAGES_HIDDEN" localSheetId="76" hidden="1">#REF!</definedName>
    <definedName name="BNE_MESSAGES_HIDDEN" localSheetId="30" hidden="1">#REF!</definedName>
    <definedName name="BNE_MESSAGES_HIDDEN" localSheetId="13" hidden="1">#REF!</definedName>
    <definedName name="BNE_MESSAGES_HIDDEN" localSheetId="27" hidden="1">#REF!</definedName>
    <definedName name="BNE_MESSAGES_HIDDEN" hidden="1">#REF!</definedName>
    <definedName name="Bridge_mo" localSheetId="81" hidden="1">{#N/A,#N/A,FALSE,"Model";#N/A,#N/A,FALSE,"Gen Pts &amp; Rts 2000";#N/A,#N/A,FALSE,"AcqsAss";#N/A,#N/A,FALSE,"Acqs &amp; De Novos"}</definedName>
    <definedName name="Bridge_mo" localSheetId="32" hidden="1">{#N/A,#N/A,FALSE,"Model";#N/A,#N/A,FALSE,"Gen Pts &amp; Rts 2000";#N/A,#N/A,FALSE,"AcqsAss";#N/A,#N/A,FALSE,"Acqs &amp; De Novos"}</definedName>
    <definedName name="Bridge_mo" localSheetId="13" hidden="1">{#N/A,#N/A,FALSE,"Model";#N/A,#N/A,FALSE,"Gen Pts &amp; Rts 2000";#N/A,#N/A,FALSE,"AcqsAss";#N/A,#N/A,FALSE,"Acqs &amp; De Novos"}</definedName>
    <definedName name="Bridge_mo" hidden="1">{#N/A,#N/A,FALSE,"Model";#N/A,#N/A,FALSE,"Gen Pts &amp; Rts 2000";#N/A,#N/A,FALSE,"AcqsAss";#N/A,#N/A,FALSE,"Acqs &amp; De Novos"}</definedName>
    <definedName name="bridge_month" localSheetId="81" hidden="1">{#N/A,#N/A,FALSE,"Model";#N/A,#N/A,FALSE,"Gen Pts &amp; Rts 2000";#N/A,#N/A,FALSE,"AcqsAss";#N/A,#N/A,FALSE,"Acqs &amp; De Novos"}</definedName>
    <definedName name="bridge_month" localSheetId="32" hidden="1">{#N/A,#N/A,FALSE,"Model";#N/A,#N/A,FALSE,"Gen Pts &amp; Rts 2000";#N/A,#N/A,FALSE,"AcqsAss";#N/A,#N/A,FALSE,"Acqs &amp; De Novos"}</definedName>
    <definedName name="bridge_month" localSheetId="13" hidden="1">{#N/A,#N/A,FALSE,"Model";#N/A,#N/A,FALSE,"Gen Pts &amp; Rts 2000";#N/A,#N/A,FALSE,"AcqsAss";#N/A,#N/A,FALSE,"Acqs &amp; De Novos"}</definedName>
    <definedName name="bridge_month" hidden="1">{#N/A,#N/A,FALSE,"Model";#N/A,#N/A,FALSE,"Gen Pts &amp; Rts 2000";#N/A,#N/A,FALSE,"AcqsAss";#N/A,#N/A,FALSE,"Acqs &amp; De Novos"}</definedName>
    <definedName name="bridge_qtr" localSheetId="81" hidden="1">{#N/A,#N/A,FALSE,"Model";#N/A,#N/A,FALSE,"Gen Pts &amp; Rts 2000";#N/A,#N/A,FALSE,"AcqsAss";#N/A,#N/A,FALSE,"Acqs &amp; De Novos"}</definedName>
    <definedName name="bridge_qtr" localSheetId="32" hidden="1">{#N/A,#N/A,FALSE,"Model";#N/A,#N/A,FALSE,"Gen Pts &amp; Rts 2000";#N/A,#N/A,FALSE,"AcqsAss";#N/A,#N/A,FALSE,"Acqs &amp; De Novos"}</definedName>
    <definedName name="bridge_qtr" localSheetId="13" hidden="1">{#N/A,#N/A,FALSE,"Model";#N/A,#N/A,FALSE,"Gen Pts &amp; Rts 2000";#N/A,#N/A,FALSE,"AcqsAss";#N/A,#N/A,FALSE,"Acqs &amp; De Novos"}</definedName>
    <definedName name="bridge_qtr" hidden="1">{#N/A,#N/A,FALSE,"Model";#N/A,#N/A,FALSE,"Gen Pts &amp; Rts 2000";#N/A,#N/A,FALSE,"AcqsAss";#N/A,#N/A,FALSE,"Acqs &amp; De Novos"}</definedName>
    <definedName name="bridger_qtr" localSheetId="81" hidden="1">{#N/A,#N/A,FALSE,"Model";#N/A,#N/A,FALSE,"Gen Pts &amp; Rts 2000";#N/A,#N/A,FALSE,"AcqsAss";#N/A,#N/A,FALSE,"Acqs &amp; De Novos"}</definedName>
    <definedName name="bridger_qtr" localSheetId="32" hidden="1">{#N/A,#N/A,FALSE,"Model";#N/A,#N/A,FALSE,"Gen Pts &amp; Rts 2000";#N/A,#N/A,FALSE,"AcqsAss";#N/A,#N/A,FALSE,"Acqs &amp; De Novos"}</definedName>
    <definedName name="bridger_qtr" localSheetId="13" hidden="1">{#N/A,#N/A,FALSE,"Model";#N/A,#N/A,FALSE,"Gen Pts &amp; Rts 2000";#N/A,#N/A,FALSE,"AcqsAss";#N/A,#N/A,FALSE,"Acqs &amp; De Novos"}</definedName>
    <definedName name="bridger_qtr" hidden="1">{#N/A,#N/A,FALSE,"Model";#N/A,#N/A,FALSE,"Gen Pts &amp; Rts 2000";#N/A,#N/A,FALSE,"AcqsAss";#N/A,#N/A,FALSE,"Acqs &amp; De Novos"}</definedName>
    <definedName name="build" localSheetId="81" hidden="1">{#N/A,#N/A,FALSE,"softdraw";#N/A,#N/A,FALSE,"linereclass";"northpint loan",#N/A,FALSE,"LOAN"}</definedName>
    <definedName name="build" localSheetId="32" hidden="1">{#N/A,#N/A,FALSE,"softdraw";#N/A,#N/A,FALSE,"linereclass";"northpint loan",#N/A,FALSE,"LOAN"}</definedName>
    <definedName name="build" localSheetId="13" hidden="1">{#N/A,#N/A,FALSE,"softdraw";#N/A,#N/A,FALSE,"linereclass";"northpint loan",#N/A,FALSE,"LOAN"}</definedName>
    <definedName name="build" hidden="1">{#N/A,#N/A,FALSE,"softdraw";#N/A,#N/A,FALSE,"linereclass";"northpint loan",#N/A,FALSE,"LOAN"}</definedName>
    <definedName name="CBWorkbookPriority" hidden="1">-1959504492</definedName>
    <definedName name="CIQWBGuid" localSheetId="69" hidden="1">"fbaca8dc-146f-4192-88d0-0ff1a2eb9703"</definedName>
    <definedName name="CIQWBGuid" localSheetId="57" hidden="1">"fbe512cc-6749-4c8e-993d-8a4c49fb67e0"</definedName>
    <definedName name="CIQWBGuid" localSheetId="58" hidden="1">"fbe512cc-6749-4c8e-993d-8a4c49fb67e0"</definedName>
    <definedName name="CIQWBGuid" hidden="1">"4c317e69-d429-41e3-b46a-b4c398e620fd"</definedName>
    <definedName name="COBRA" localSheetId="81" hidden="1">{#N/A,#N/A,FALSE,"softdraw";#N/A,#N/A,FALSE,"linereclass";"northpint loan",#N/A,FALSE,"LOAN"}</definedName>
    <definedName name="COBRA" localSheetId="32" hidden="1">{#N/A,#N/A,FALSE,"softdraw";#N/A,#N/A,FALSE,"linereclass";"northpint loan",#N/A,FALSE,"LOAN"}</definedName>
    <definedName name="COBRA" localSheetId="13" hidden="1">{#N/A,#N/A,FALSE,"softdraw";#N/A,#N/A,FALSE,"linereclass";"northpint loan",#N/A,FALSE,"LOAN"}</definedName>
    <definedName name="COBRA" hidden="1">{#N/A,#N/A,FALSE,"softdraw";#N/A,#N/A,FALSE,"linereclass";"northpint loan",#N/A,FALSE,"LOAN"}</definedName>
    <definedName name="COBRA1" localSheetId="81" hidden="1">{#N/A,#N/A,FALSE,"softdraw";#N/A,#N/A,FALSE,"linereclass";"northpint loan",#N/A,FALSE,"LOAN"}</definedName>
    <definedName name="COBRA1" localSheetId="32" hidden="1">{#N/A,#N/A,FALSE,"softdraw";#N/A,#N/A,FALSE,"linereclass";"northpint loan",#N/A,FALSE,"LOAN"}</definedName>
    <definedName name="COBRA1" localSheetId="13" hidden="1">{#N/A,#N/A,FALSE,"softdraw";#N/A,#N/A,FALSE,"linereclass";"northpint loan",#N/A,FALSE,"LOAN"}</definedName>
    <definedName name="COBRA1" hidden="1">{#N/A,#N/A,FALSE,"softdraw";#N/A,#N/A,FALSE,"linereclass";"northpint loan",#N/A,FALSE,"LOAN"}</definedName>
    <definedName name="Company_Name" hidden="1">[7]Settings!$C$56</definedName>
    <definedName name="CompanyName" localSheetId="32">[8]Setup!$C$1</definedName>
    <definedName name="compnam" localSheetId="38" hidden="1">[9]KeyMultInputs!#REF!</definedName>
    <definedName name="compnam" localSheetId="25" hidden="1">[9]KeyMultInputs!#REF!</definedName>
    <definedName name="compnam" localSheetId="82" hidden="1">[9]KeyMultInputs!#REF!</definedName>
    <definedName name="compnam" localSheetId="39" hidden="1">[9]KeyMultInputs!#REF!</definedName>
    <definedName name="compnam" localSheetId="40" hidden="1">[9]KeyMultInputs!#REF!</definedName>
    <definedName name="compnam" localSheetId="84" hidden="1">[9]KeyMultInputs!#REF!</definedName>
    <definedName name="compnam" localSheetId="4" hidden="1">[9]KeyMultInputs!#REF!</definedName>
    <definedName name="compnam" localSheetId="79" hidden="1">[9]KeyMultInputs!#REF!</definedName>
    <definedName name="compnam" localSheetId="32" hidden="1">[9]KeyMultInputs!#REF!</definedName>
    <definedName name="compnam" localSheetId="45" hidden="1">[9]KeyMultInputs!#REF!</definedName>
    <definedName name="compnam" localSheetId="77" hidden="1">[9]KeyMultInputs!#REF!</definedName>
    <definedName name="compnam" localSheetId="76" hidden="1">[9]KeyMultInputs!#REF!</definedName>
    <definedName name="compnam" localSheetId="30" hidden="1">[9]KeyMultInputs!#REF!</definedName>
    <definedName name="compnam" localSheetId="13" hidden="1">[9]KeyMultInputs!#REF!</definedName>
    <definedName name="compnam" localSheetId="27" hidden="1">[9]KeyMultInputs!#REF!</definedName>
    <definedName name="compnam" hidden="1">[9]KeyMultInputs!#REF!</definedName>
    <definedName name="copy" localSheetId="81" hidden="1">{#N/A,#N/A,FALSE,"Title Page";#N/A,#N/A,FALSE,"Conclusions";#N/A,#N/A,FALSE,"Assum.";#N/A,#N/A,FALSE,"Sun  DCF-WC-Dep";#N/A,#N/A,FALSE,"MarketValue";#N/A,#N/A,FALSE,"BalSheet";#N/A,#N/A,FALSE,"WACC";#N/A,#N/A,FALSE,"PC+ Info.";#N/A,#N/A,FALSE,"PC+Info_2"}</definedName>
    <definedName name="copy" localSheetId="32" hidden="1">{#N/A,#N/A,FALSE,"Title Page";#N/A,#N/A,FALSE,"Conclusions";#N/A,#N/A,FALSE,"Assum.";#N/A,#N/A,FALSE,"Sun  DCF-WC-Dep";#N/A,#N/A,FALSE,"MarketValue";#N/A,#N/A,FALSE,"BalSheet";#N/A,#N/A,FALSE,"WACC";#N/A,#N/A,FALSE,"PC+ Info.";#N/A,#N/A,FALSE,"PC+Info_2"}</definedName>
    <definedName name="copy" localSheetId="13" hidden="1">{#N/A,#N/A,FALSE,"Title Page";#N/A,#N/A,FALSE,"Conclusions";#N/A,#N/A,FALSE,"Assum.";#N/A,#N/A,FALSE,"Sun  DCF-WC-Dep";#N/A,#N/A,FALSE,"MarketValue";#N/A,#N/A,FALSE,"BalSheet";#N/A,#N/A,FALSE,"WACC";#N/A,#N/A,FALSE,"PC+ Info.";#N/A,#N/A,FALSE,"PC+Info_2"}</definedName>
    <definedName name="copy" hidden="1">{#N/A,#N/A,FALSE,"Title Page";#N/A,#N/A,FALSE,"Conclusions";#N/A,#N/A,FALSE,"Assum.";#N/A,#N/A,FALSE,"Sun  DCF-WC-Dep";#N/A,#N/A,FALSE,"MarketValue";#N/A,#N/A,FALSE,"BalSheet";#N/A,#N/A,FALSE,"WACC";#N/A,#N/A,FALSE,"PC+ Info.";#N/A,#N/A,FALSE,"PC+Info_2"}</definedName>
    <definedName name="Data" localSheetId="38" hidden="1">#REF!</definedName>
    <definedName name="Data" localSheetId="39" hidden="1">#REF!</definedName>
    <definedName name="Data" localSheetId="79" hidden="1">#REF!</definedName>
    <definedName name="Data" localSheetId="13" hidden="1">#REF!</definedName>
    <definedName name="Data" localSheetId="27" hidden="1">#REF!</definedName>
    <definedName name="Data" localSheetId="51" hidden="1">#REF!</definedName>
    <definedName name="Data" hidden="1">#REF!</definedName>
    <definedName name="Data.Dump" localSheetId="38" hidden="1">OFFSET([0]!Data.Top.Left,1,0)</definedName>
    <definedName name="Data.Dump" localSheetId="25" hidden="1">OFFSET([0]!Data.Top.Left,1,0)</definedName>
    <definedName name="Data.Dump" localSheetId="82" hidden="1">OFFSET([0]!Data.Top.Left,1,0)</definedName>
    <definedName name="Data.Dump" localSheetId="39" hidden="1">OFFSET([0]!Data.Top.Left,1,0)</definedName>
    <definedName name="Data.Dump" localSheetId="40" hidden="1">OFFSET([0]!Data.Top.Left,1,0)</definedName>
    <definedName name="Data.Dump" localSheetId="84" hidden="1">OFFSET([0]!Data.Top.Left,1,0)</definedName>
    <definedName name="Data.Dump" localSheetId="4" hidden="1">OFFSET([0]!Data.Top.Left,1,0)</definedName>
    <definedName name="Data.Dump" localSheetId="81" hidden="1">OFFSET([0]!Data.Top.Left,1,0)</definedName>
    <definedName name="Data.Dump" localSheetId="79" hidden="1">OFFSET([0]!Data.Top.Left,1,0)</definedName>
    <definedName name="Data.Dump" localSheetId="53" hidden="1">OFFSET([10]!Data.Top.Left,1,0)</definedName>
    <definedName name="Data.Dump" localSheetId="32" hidden="1">OFFSET([0]!Data.Top.Left,1,0)</definedName>
    <definedName name="Data.Dump" localSheetId="45" hidden="1">OFFSET([0]!Data.Top.Left,1,0)</definedName>
    <definedName name="Data.Dump" localSheetId="77" hidden="1">OFFSET([0]!Data.Top.Left,1,0)</definedName>
    <definedName name="Data.Dump" localSheetId="76" hidden="1">OFFSET([0]!Data.Top.Left,1,0)</definedName>
    <definedName name="Data.Dump" localSheetId="30" hidden="1">OFFSET([0]!Data.Top.Left,1,0)</definedName>
    <definedName name="Data.Dump" localSheetId="13" hidden="1">OFFSET([0]!Data.Top.Left,1,0)</definedName>
    <definedName name="Data.Dump" localSheetId="27" hidden="1">OFFSET([0]!Data.Top.Left,1,0)</definedName>
    <definedName name="Data.Dump" localSheetId="51" hidden="1">OFFSET([10]!Data.Top.Left,1,0)</definedName>
    <definedName name="Data.Dump" hidden="1">OFFSET([0]!Data.Top.Left,1,0)</definedName>
    <definedName name="Database.File" localSheetId="38" hidden="1">#REF!</definedName>
    <definedName name="Database.File" localSheetId="39" hidden="1">#REF!</definedName>
    <definedName name="Database.File" localSheetId="79" hidden="1">#REF!</definedName>
    <definedName name="Database.File" localSheetId="53" hidden="1">#REF!</definedName>
    <definedName name="Database.File" localSheetId="13" hidden="1">#REF!</definedName>
    <definedName name="Database.File" localSheetId="27" hidden="1">#REF!</definedName>
    <definedName name="Database.File" localSheetId="51" hidden="1">#REF!</definedName>
    <definedName name="Database.File" hidden="1">#REF!</definedName>
    <definedName name="Dates">[11]Lookup!$K$2:$K$55</definedName>
    <definedName name="dd" localSheetId="81" hidden="1">{#N/A,#N/A,FALSE,"Model";#N/A,#N/A,FALSE,"Gen Pts &amp; Rts 2000";#N/A,#N/A,FALSE,"AcqsAss";#N/A,#N/A,FALSE,"Acqs &amp; De Novos"}</definedName>
    <definedName name="dd" localSheetId="32" hidden="1">{#N/A,#N/A,FALSE,"Bakersfield PCs";#N/A,#N/A,FALSE,"Bremer PCs";#N/A,#N/A,FALSE,"Bakersfield Notebooks"}</definedName>
    <definedName name="dd" localSheetId="13" hidden="1">{#N/A,#N/A,FALSE,"Bakersfield PCs";#N/A,#N/A,FALSE,"Bremer PCs";#N/A,#N/A,FALSE,"Bakersfield Notebooks"}</definedName>
    <definedName name="dd" hidden="1">{#N/A,#N/A,FALSE,"Bakersfield PCs";#N/A,#N/A,FALSE,"Bremer PCs";#N/A,#N/A,FALSE,"Bakersfield Notebooks"}</definedName>
    <definedName name="dddddddddddddddd" localSheetId="38" hidden="1">Main.SAPF4Help()</definedName>
    <definedName name="dddddddddddddddd" localSheetId="25" hidden="1">Main.SAPF4Help()</definedName>
    <definedName name="dddddddddddddddd" localSheetId="82" hidden="1">Main.SAPF4Help()</definedName>
    <definedName name="dddddddddddddddd" localSheetId="39" hidden="1">Main.SAPF4Help()</definedName>
    <definedName name="dddddddddddddddd" localSheetId="40" hidden="1">Main.SAPF4Help()</definedName>
    <definedName name="dddddddddddddddd" localSheetId="84" hidden="1">Main.SAPF4Help()</definedName>
    <definedName name="dddddddddddddddd" localSheetId="4" hidden="1">Main.SAPF4Help()</definedName>
    <definedName name="dddddddddddddddd" localSheetId="81" hidden="1">Main.SAPF4Help()</definedName>
    <definedName name="dddddddddddddddd" localSheetId="69" hidden="1">Main.SAPF4Help()</definedName>
    <definedName name="dddddddddddddddd" localSheetId="79" hidden="1">Main.SAPF4Help()</definedName>
    <definedName name="dddddddddddddddd" localSheetId="32" hidden="1">Main.SAPF4Help()</definedName>
    <definedName name="dddddddddddddddd" localSheetId="45" hidden="1">Main.SAPF4Help()</definedName>
    <definedName name="dddddddddddddddd" localSheetId="77" hidden="1">Main.SAPF4Help()</definedName>
    <definedName name="dddddddddddddddd" localSheetId="76" hidden="1">Main.SAPF4Help()</definedName>
    <definedName name="dddddddddddddddd" localSheetId="30" hidden="1">Main.SAPF4Help()</definedName>
    <definedName name="dddddddddddddddd" localSheetId="13" hidden="1">Main.SAPF4Help()</definedName>
    <definedName name="dddddddddddddddd" localSheetId="27" hidden="1">Main.SAPF4Help()</definedName>
    <definedName name="dddddddddddddddd" hidden="1">Main.SAPF4Help()</definedName>
    <definedName name="del" localSheetId="81" hidden="1">{#N/A,#N/A,FALSE,"Cov";#N/A,#N/A,FALSE,"sum";#N/A,#N/A,FALSE,"baladj";#N/A,#N/A,FALSE,"bs";#N/A,#N/A,FALSE,"is";#N/A,#N/A,FALSE,"pis";#N/A,#N/A,FALSE,"pis";#N/A,#N/A,FALSE,"cf";#N/A,#N/A,FALSE,"balhist";#N/A,#N/A,FALSE,"wc";#N/A,#N/A,FALSE,"ltd";#N/A,#N/A,FALSE,"cover";#N/A,#N/A,FALSE,"fa";#N/A,#N/A,FALSE,"tax";#N/A,#N/A,FALSE,"irr";#N/A,#N/A,FALSE,"in";#N/A,#N/A,FALSE,"DCF Cov";#N/A,#N/A,FALSE,"dcf"}</definedName>
    <definedName name="del" localSheetId="32" hidden="1">{#N/A,#N/A,FALSE,"Cov";#N/A,#N/A,FALSE,"sum";#N/A,#N/A,FALSE,"baladj";#N/A,#N/A,FALSE,"bs";#N/A,#N/A,FALSE,"is";#N/A,#N/A,FALSE,"pis";#N/A,#N/A,FALSE,"pis";#N/A,#N/A,FALSE,"cf";#N/A,#N/A,FALSE,"balhist";#N/A,#N/A,FALSE,"wc";#N/A,#N/A,FALSE,"ltd";#N/A,#N/A,FALSE,"cover";#N/A,#N/A,FALSE,"fa";#N/A,#N/A,FALSE,"tax";#N/A,#N/A,FALSE,"irr";#N/A,#N/A,FALSE,"in";#N/A,#N/A,FALSE,"DCF Cov";#N/A,#N/A,FALSE,"dcf"}</definedName>
    <definedName name="del" localSheetId="13" hidden="1">{#N/A,#N/A,FALSE,"Cov";#N/A,#N/A,FALSE,"sum";#N/A,#N/A,FALSE,"baladj";#N/A,#N/A,FALSE,"bs";#N/A,#N/A,FALSE,"is";#N/A,#N/A,FALSE,"pis";#N/A,#N/A,FALSE,"pis";#N/A,#N/A,FALSE,"cf";#N/A,#N/A,FALSE,"balhist";#N/A,#N/A,FALSE,"wc";#N/A,#N/A,FALSE,"ltd";#N/A,#N/A,FALSE,"cover";#N/A,#N/A,FALSE,"fa";#N/A,#N/A,FALSE,"tax";#N/A,#N/A,FALSE,"irr";#N/A,#N/A,FALSE,"in";#N/A,#N/A,FALSE,"DCF Cov";#N/A,#N/A,FALSE,"dcf"}</definedName>
    <definedName name="del" hidden="1">{#N/A,#N/A,FALSE,"Cov";#N/A,#N/A,FALSE,"sum";#N/A,#N/A,FALSE,"baladj";#N/A,#N/A,FALSE,"bs";#N/A,#N/A,FALSE,"is";#N/A,#N/A,FALSE,"pis";#N/A,#N/A,FALSE,"pis";#N/A,#N/A,FALSE,"cf";#N/A,#N/A,FALSE,"balhist";#N/A,#N/A,FALSE,"wc";#N/A,#N/A,FALSE,"ltd";#N/A,#N/A,FALSE,"cover";#N/A,#N/A,FALSE,"fa";#N/A,#N/A,FALSE,"tax";#N/A,#N/A,FALSE,"irr";#N/A,#N/A,FALSE,"in";#N/A,#N/A,FALSE,"DCF Cov";#N/A,#N/A,FALSE,"dcf"}</definedName>
    <definedName name="dele" localSheetId="81" hidden="1">{#N/A,#N/A,FALSE,"Cov";#N/A,#N/A,FALSE,"sum";#N/A,#N/A,FALSE,"baladj";#N/A,#N/A,FALSE,"bs";#N/A,#N/A,FALSE,"is";#N/A,#N/A,FALSE,"pis";#N/A,#N/A,FALSE,"cf";#N/A,#N/A,FALSE,"balhist";#N/A,#N/A,FALSE,"wc";#N/A,#N/A,FALSE,"ltd";#N/A,#N/A,FALSE,"cover";#N/A,#N/A,FALSE,"fa";#N/A,#N/A,FALSE,"tax";#N/A,#N/A,FALSE,"irr";#N/A,#N/A,FALSE,"in"}</definedName>
    <definedName name="dele" localSheetId="32" hidden="1">{#N/A,#N/A,FALSE,"Cov";#N/A,#N/A,FALSE,"sum";#N/A,#N/A,FALSE,"baladj";#N/A,#N/A,FALSE,"bs";#N/A,#N/A,FALSE,"is";#N/A,#N/A,FALSE,"pis";#N/A,#N/A,FALSE,"cf";#N/A,#N/A,FALSE,"balhist";#N/A,#N/A,FALSE,"wc";#N/A,#N/A,FALSE,"ltd";#N/A,#N/A,FALSE,"cover";#N/A,#N/A,FALSE,"fa";#N/A,#N/A,FALSE,"tax";#N/A,#N/A,FALSE,"irr";#N/A,#N/A,FALSE,"in"}</definedName>
    <definedName name="dele" localSheetId="13" hidden="1">{#N/A,#N/A,FALSE,"Cov";#N/A,#N/A,FALSE,"sum";#N/A,#N/A,FALSE,"baladj";#N/A,#N/A,FALSE,"bs";#N/A,#N/A,FALSE,"is";#N/A,#N/A,FALSE,"pis";#N/A,#N/A,FALSE,"cf";#N/A,#N/A,FALSE,"balhist";#N/A,#N/A,FALSE,"wc";#N/A,#N/A,FALSE,"ltd";#N/A,#N/A,FALSE,"cover";#N/A,#N/A,FALSE,"fa";#N/A,#N/A,FALSE,"tax";#N/A,#N/A,FALSE,"irr";#N/A,#N/A,FALSE,"in"}</definedName>
    <definedName name="dele" hidden="1">{#N/A,#N/A,FALSE,"Cov";#N/A,#N/A,FALSE,"sum";#N/A,#N/A,FALSE,"baladj";#N/A,#N/A,FALSE,"bs";#N/A,#N/A,FALSE,"is";#N/A,#N/A,FALSE,"pis";#N/A,#N/A,FALSE,"cf";#N/A,#N/A,FALSE,"balhist";#N/A,#N/A,FALSE,"wc";#N/A,#N/A,FALSE,"ltd";#N/A,#N/A,FALSE,"cover";#N/A,#N/A,FALSE,"fa";#N/A,#N/A,FALSE,"tax";#N/A,#N/A,FALSE,"irr";#N/A,#N/A,FALSE,"in"}</definedName>
    <definedName name="delete" localSheetId="81" hidden="1">{#N/A,#N/A,FALSE,"DCF Cov";#N/A,#N/A,FALSE,"dcf"}</definedName>
    <definedName name="delete" localSheetId="32" hidden="1">{#N/A,#N/A,FALSE,"DCF Cov";#N/A,#N/A,FALSE,"dcf"}</definedName>
    <definedName name="delete" localSheetId="13" hidden="1">{#N/A,#N/A,FALSE,"DCF Cov";#N/A,#N/A,FALSE,"dcf"}</definedName>
    <definedName name="delete" hidden="1">{#N/A,#N/A,FALSE,"DCF Cov";#N/A,#N/A,FALSE,"dcf"}</definedName>
    <definedName name="dfjggdd" localSheetId="38" hidden="1">#REF!</definedName>
    <definedName name="dfjggdd" localSheetId="39" hidden="1">#REF!</definedName>
    <definedName name="dfjggdd" localSheetId="79" hidden="1">#REF!</definedName>
    <definedName name="dfjggdd" localSheetId="13" hidden="1">#REF!</definedName>
    <definedName name="dfjggdd" localSheetId="27" hidden="1">#REF!</definedName>
    <definedName name="dfjggdd" localSheetId="51" hidden="1">#REF!</definedName>
    <definedName name="dfjggdd" hidden="1">#REF!</definedName>
    <definedName name="dhgjdf" localSheetId="38" hidden="1">#REF!</definedName>
    <definedName name="dhgjdf" localSheetId="39" hidden="1">#REF!</definedName>
    <definedName name="dhgjdf" localSheetId="79" hidden="1">#REF!</definedName>
    <definedName name="dhgjdf" localSheetId="13" hidden="1">#REF!</definedName>
    <definedName name="dhgjdf" localSheetId="27" hidden="1">#REF!</definedName>
    <definedName name="dhgjdf" localSheetId="51" hidden="1">#REF!</definedName>
    <definedName name="dhgjdf" hidden="1">#REF!</definedName>
    <definedName name="dse" localSheetId="81" hidden="1">{#N/A,#N/A,FALSE,"Model";#N/A,#N/A,FALSE,"Gen Pts &amp; Rts 2000";#N/A,#N/A,FALSE,"AcqsAss";#N/A,#N/A,FALSE,"Acqs &amp; De Novos"}</definedName>
    <definedName name="dse" localSheetId="32" hidden="1">{#N/A,#N/A,FALSE,"Model";#N/A,#N/A,FALSE,"Gen Pts &amp; Rts 2000";#N/A,#N/A,FALSE,"AcqsAss";#N/A,#N/A,FALSE,"Acqs &amp; De Novos"}</definedName>
    <definedName name="dse" localSheetId="13" hidden="1">{#N/A,#N/A,FALSE,"Model";#N/A,#N/A,FALSE,"Gen Pts &amp; Rts 2000";#N/A,#N/A,FALSE,"AcqsAss";#N/A,#N/A,FALSE,"Acqs &amp; De Novos"}</definedName>
    <definedName name="dse" hidden="1">{#N/A,#N/A,FALSE,"Model";#N/A,#N/A,FALSE,"Gen Pts &amp; Rts 2000";#N/A,#N/A,FALSE,"AcqsAss";#N/A,#N/A,FALSE,"Acqs &amp; De Novos"}</definedName>
    <definedName name="ef." localSheetId="81" hidden="1">{#N/A,"A",FALSE,"DCF"}</definedName>
    <definedName name="ef." localSheetId="32" hidden="1">{#N/A,"A",FALSE,"DCF"}</definedName>
    <definedName name="ef." localSheetId="13" hidden="1">{#N/A,"A",FALSE,"DCF"}</definedName>
    <definedName name="ef." hidden="1">{#N/A,"A",FALSE,"DCF"}</definedName>
    <definedName name="Error_Amount" hidden="1">"'Error_Checks'!B10"</definedName>
    <definedName name="Error_Check" hidden="1">"ABS(Error_Amount)&gt;Error_Threshold"</definedName>
    <definedName name="Error_Threshold" hidden="1">0.05</definedName>
    <definedName name="ev.Calculation" hidden="1">-4105</definedName>
    <definedName name="ev.Initialized" hidden="1">FALSE</definedName>
    <definedName name="ExactAddinReports" hidden="1">1</definedName>
    <definedName name="ExbMult_Total" localSheetId="38" hidden="1">#REF!</definedName>
    <definedName name="ExbMult_Total" localSheetId="25" hidden="1">#REF!</definedName>
    <definedName name="ExbMult_Total" localSheetId="82" hidden="1">#REF!</definedName>
    <definedName name="ExbMult_Total" localSheetId="39" hidden="1">#REF!</definedName>
    <definedName name="ExbMult_Total" localSheetId="40" hidden="1">#REF!</definedName>
    <definedName name="ExbMult_Total" localSheetId="84" hidden="1">#REF!</definedName>
    <definedName name="ExbMult_Total" localSheetId="4" hidden="1">#REF!</definedName>
    <definedName name="ExbMult_Total" localSheetId="79" hidden="1">#REF!</definedName>
    <definedName name="ExbMult_Total" localSheetId="45" hidden="1">#REF!</definedName>
    <definedName name="ExbMult_Total" localSheetId="77" hidden="1">#REF!</definedName>
    <definedName name="ExbMult_Total" localSheetId="76" hidden="1">#REF!</definedName>
    <definedName name="ExbMult_Total" localSheetId="30" hidden="1">#REF!</definedName>
    <definedName name="ExbMult_Total" localSheetId="13" hidden="1">#REF!</definedName>
    <definedName name="ExbMult_Total" localSheetId="27" hidden="1">#REF!</definedName>
    <definedName name="ExbMult_Total" hidden="1">#REF!</definedName>
    <definedName name="Facilities">1700</definedName>
    <definedName name="fdsgz" localSheetId="38" hidden="1">#REF!</definedName>
    <definedName name="fdsgz" localSheetId="39" hidden="1">#REF!</definedName>
    <definedName name="fdsgz" localSheetId="79" hidden="1">#REF!</definedName>
    <definedName name="fdsgz" localSheetId="53" hidden="1">#REF!</definedName>
    <definedName name="fdsgz" localSheetId="13" hidden="1">#REF!</definedName>
    <definedName name="fdsgz" localSheetId="27" hidden="1">#REF!</definedName>
    <definedName name="fdsgz" localSheetId="51" hidden="1">#REF!</definedName>
    <definedName name="fdsgz" hidden="1">#REF!</definedName>
    <definedName name="File.Type" localSheetId="38" hidden="1">#REF!</definedName>
    <definedName name="File.Type" localSheetId="39" hidden="1">#REF!</definedName>
    <definedName name="File.Type" localSheetId="79" hidden="1">#REF!</definedName>
    <definedName name="File.Type" localSheetId="53" hidden="1">#REF!</definedName>
    <definedName name="File.Type" localSheetId="13" hidden="1">#REF!</definedName>
    <definedName name="File.Type" localSheetId="27" hidden="1">#REF!</definedName>
    <definedName name="File.Type" localSheetId="51" hidden="1">#REF!</definedName>
    <definedName name="File.Type" hidden="1">#REF!</definedName>
    <definedName name="finres" localSheetId="38" hidden="1">#REF!</definedName>
    <definedName name="finres" localSheetId="25" hidden="1">#REF!</definedName>
    <definedName name="finres" localSheetId="82" hidden="1">#REF!</definedName>
    <definedName name="finres" localSheetId="39" hidden="1">#REF!</definedName>
    <definedName name="finres" localSheetId="40" hidden="1">#REF!</definedName>
    <definedName name="finres" localSheetId="84" hidden="1">#REF!</definedName>
    <definedName name="finres" localSheetId="4" hidden="1">#REF!</definedName>
    <definedName name="finres" localSheetId="79" hidden="1">#REF!</definedName>
    <definedName name="finres" localSheetId="45" hidden="1">#REF!</definedName>
    <definedName name="finres" localSheetId="77" hidden="1">#REF!</definedName>
    <definedName name="finres" localSheetId="76" hidden="1">#REF!</definedName>
    <definedName name="finres" localSheetId="30" hidden="1">#REF!</definedName>
    <definedName name="finres" localSheetId="13" hidden="1">#REF!</definedName>
    <definedName name="finres" localSheetId="27" hidden="1">#REF!</definedName>
    <definedName name="finres" hidden="1">#REF!</definedName>
    <definedName name="FirstProj" localSheetId="32">[8]Setup!$C$14</definedName>
    <definedName name="fw" localSheetId="81" hidden="1">{#N/A,#N/A,FALSE,"Model";#N/A,#N/A,FALSE,"Gen Pts &amp; Rts 2000";#N/A,#N/A,FALSE,"AcqsAss";#N/A,#N/A,FALSE,"Acqs &amp; De Novos"}</definedName>
    <definedName name="fw" localSheetId="32" hidden="1">{#N/A,#N/A,FALSE,"Model";#N/A,#N/A,FALSE,"Gen Pts &amp; Rts 2000";#N/A,#N/A,FALSE,"AcqsAss";#N/A,#N/A,FALSE,"Acqs &amp; De Novos"}</definedName>
    <definedName name="fw" localSheetId="13" hidden="1">{#N/A,#N/A,FALSE,"Model";#N/A,#N/A,FALSE,"Gen Pts &amp; Rts 2000";#N/A,#N/A,FALSE,"AcqsAss";#N/A,#N/A,FALSE,"Acqs &amp; De Novos"}</definedName>
    <definedName name="fw" hidden="1">{#N/A,#N/A,FALSE,"Model";#N/A,#N/A,FALSE,"Gen Pts &amp; Rts 2000";#N/A,#N/A,FALSE,"AcqsAss";#N/A,#N/A,FALSE,"Acqs &amp; De Novos"}</definedName>
    <definedName name="gin" localSheetId="38" hidden="1">#REF!</definedName>
    <definedName name="gin" localSheetId="25" hidden="1">#REF!</definedName>
    <definedName name="gin" localSheetId="82" hidden="1">#REF!</definedName>
    <definedName name="gin" localSheetId="39" hidden="1">#REF!</definedName>
    <definedName name="gin" localSheetId="40" hidden="1">#REF!</definedName>
    <definedName name="gin" localSheetId="84" hidden="1">#REF!</definedName>
    <definedName name="gin" localSheetId="4" hidden="1">#REF!</definedName>
    <definedName name="gin" localSheetId="81" hidden="1">#REF!</definedName>
    <definedName name="gin" localSheetId="79" hidden="1">#REF!</definedName>
    <definedName name="gin" localSheetId="45" hidden="1">#REF!</definedName>
    <definedName name="gin" localSheetId="77" hidden="1">#REF!</definedName>
    <definedName name="gin" localSheetId="76" hidden="1">#REF!</definedName>
    <definedName name="gin" localSheetId="30" hidden="1">#REF!</definedName>
    <definedName name="gin" localSheetId="13" hidden="1">#REF!</definedName>
    <definedName name="gin" localSheetId="27" hidden="1">#REF!</definedName>
    <definedName name="gin" hidden="1">#REF!</definedName>
    <definedName name="hh" localSheetId="81" hidden="1">{#N/A,#N/A,FALSE,"Bakersfield PCs";#N/A,#N/A,FALSE,"Bremer PCs";#N/A,#N/A,FALSE,"Bakersfield Notebooks"}</definedName>
    <definedName name="hh" localSheetId="32" hidden="1">{#N/A,#N/A,FALSE,"Bakersfield PCs";#N/A,#N/A,FALSE,"Bremer PCs";#N/A,#N/A,FALSE,"Bakersfield Notebooks"}</definedName>
    <definedName name="hh" localSheetId="13" hidden="1">{#N/A,#N/A,FALSE,"Bakersfield PCs";#N/A,#N/A,FALSE,"Bremer PCs";#N/A,#N/A,FALSE,"Bakersfield Notebooks"}</definedName>
    <definedName name="hh" hidden="1">{#N/A,#N/A,FALSE,"Bakersfield PCs";#N/A,#N/A,FALSE,"Bremer PCs";#N/A,#N/A,FALSE,"Bakersfield Notebooks"}</definedName>
    <definedName name="hhhh" localSheetId="81" hidden="1">{#N/A,#N/A,FALSE,"Bakersfield PCs";#N/A,#N/A,FALSE,"Bremer PCs";#N/A,#N/A,FALSE,"Bakersfield Notebooks"}</definedName>
    <definedName name="hhhh" localSheetId="32" hidden="1">{#N/A,#N/A,FALSE,"Bakersfield PCs";#N/A,#N/A,FALSE,"Bremer PCs";#N/A,#N/A,FALSE,"Bakersfield Notebooks"}</definedName>
    <definedName name="hhhh" localSheetId="13" hidden="1">{#N/A,#N/A,FALSE,"Bakersfield PCs";#N/A,#N/A,FALSE,"Bremer PCs";#N/A,#N/A,FALSE,"Bakersfield Notebooks"}</definedName>
    <definedName name="hhhh" hidden="1">{#N/A,#N/A,FALSE,"Bakersfield PCs";#N/A,#N/A,FALSE,"Bremer PCs";#N/A,#N/A,FALSE,"Bakersfield Notebooks"}</definedName>
    <definedName name="hhhhh" localSheetId="81" hidden="1">{#N/A,#N/A,FALSE,"Bakersfield PCs";#N/A,#N/A,FALSE,"Bremer PCs";#N/A,#N/A,FALSE,"Bakersfield Notebooks"}</definedName>
    <definedName name="hhhhh" localSheetId="32" hidden="1">{#N/A,#N/A,FALSE,"Bakersfield PCs";#N/A,#N/A,FALSE,"Bremer PCs";#N/A,#N/A,FALSE,"Bakersfield Notebooks"}</definedName>
    <definedName name="hhhhh" localSheetId="13" hidden="1">{#N/A,#N/A,FALSE,"Bakersfield PCs";#N/A,#N/A,FALSE,"Bremer PCs";#N/A,#N/A,FALSE,"Bakersfield Notebooks"}</definedName>
    <definedName name="hhhhh" hidden="1">{#N/A,#N/A,FALSE,"Bakersfield PCs";#N/A,#N/A,FALSE,"Bremer PCs";#N/A,#N/A,FALSE,"Bakersfield Notebooks"}</definedName>
    <definedName name="hhhw" localSheetId="81" hidden="1">{#N/A,#N/A,FALSE,"Bakersfield PCs";#N/A,#N/A,FALSE,"Bremer PCs";#N/A,#N/A,FALSE,"Bakersfield Notebooks"}</definedName>
    <definedName name="hhhw" localSheetId="32" hidden="1">{#N/A,#N/A,FALSE,"Bakersfield PCs";#N/A,#N/A,FALSE,"Bremer PCs";#N/A,#N/A,FALSE,"Bakersfield Notebooks"}</definedName>
    <definedName name="hhhw" localSheetId="13" hidden="1">{#N/A,#N/A,FALSE,"Bakersfield PCs";#N/A,#N/A,FALSE,"Bremer PCs";#N/A,#N/A,FALSE,"Bakersfield Notebooks"}</definedName>
    <definedName name="hhhw" hidden="1">{#N/A,#N/A,FALSE,"Bakersfield PCs";#N/A,#N/A,FALSE,"Bremer PCs";#N/A,#N/A,FALSE,"Bakersfield Notebooks"}</definedName>
    <definedName name="hn.ExtDb" hidden="1">FALSE</definedName>
    <definedName name="hn.ModelType" hidden="1">"DEAL"</definedName>
    <definedName name="hn.ModelVersion" hidden="1">1</definedName>
    <definedName name="hn.NoUpload" hidden="1">0</definedName>
    <definedName name="HTML_CodePage" hidden="1">1252</definedName>
    <definedName name="HTML_Control" localSheetId="81" hidden="1">{"'Leverage'!$B$2:$M$418"}</definedName>
    <definedName name="HTML_Control" localSheetId="53" hidden="1">{"'Leverage'!$B$2:$M$418"}</definedName>
    <definedName name="HTML_Control" localSheetId="32" hidden="1">{"'Leverage'!$B$2:$M$418"}</definedName>
    <definedName name="HTML_Control" localSheetId="13" hidden="1">{"'Leverage'!$B$2:$M$418"}</definedName>
    <definedName name="HTML_Control" localSheetId="51" hidden="1">{"'Leverage'!$B$2:$M$418"}</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PathFileMac" hidden="1">"Macintosh HD:HomePageStuff:New_Home_Page:datafile:ctryprem.html"</definedName>
    <definedName name="HTML_Title" hidden="1">"leverage"</definedName>
    <definedName name="HTML1_1" hidden="1">"[BC死亡者数.xls]BCpts!$A$2:$I$51"</definedName>
    <definedName name="HTML1_10" hidden="1">""</definedName>
    <definedName name="HTML1_11" hidden="1">1</definedName>
    <definedName name="HTML1_12" hidden="1">"O:\CTAT\Z-mate\厚生省\BC-death.htm"</definedName>
    <definedName name="HTML1_2" hidden="1">1</definedName>
    <definedName name="HTML1_3" hidden="1">"BC死亡者数.xls"</definedName>
    <definedName name="HTML1_4" hidden="1">"BCpts"</definedName>
    <definedName name="HTML1_5" hidden="1">""</definedName>
    <definedName name="HTML1_6" hidden="1">-4146</definedName>
    <definedName name="HTML1_7" hidden="1">-4146</definedName>
    <definedName name="HTML1_8" hidden="1">"98/06/04"</definedName>
    <definedName name="HTML1_9" hidden="1">"j631091"</definedName>
    <definedName name="HTMLCount" hidden="1">1</definedName>
    <definedName name="iiii" localSheetId="81" hidden="1">{#N/A,#N/A,FALSE,"Bakersfield PCs";#N/A,#N/A,FALSE,"Bremer PCs";#N/A,#N/A,FALSE,"Bakersfield Notebooks"}</definedName>
    <definedName name="iiii" localSheetId="32" hidden="1">{#N/A,#N/A,FALSE,"Bakersfield PCs";#N/A,#N/A,FALSE,"Bremer PCs";#N/A,#N/A,FALSE,"Bakersfield Notebooks"}</definedName>
    <definedName name="iiii" localSheetId="13" hidden="1">{#N/A,#N/A,FALSE,"Bakersfield PCs";#N/A,#N/A,FALSE,"Bremer PCs";#N/A,#N/A,FALSE,"Bakersfield Notebooks"}</definedName>
    <definedName name="iiii" hidden="1">{#N/A,#N/A,FALSE,"Bakersfield PCs";#N/A,#N/A,FALSE,"Bremer PCs";#N/A,#N/A,FALSE,"Bakersfield Notebooks"}</definedName>
    <definedName name="iluyuilg" localSheetId="38" hidden="1">#REF!</definedName>
    <definedName name="iluyuilg" localSheetId="39" hidden="1">#REF!</definedName>
    <definedName name="iluyuilg" localSheetId="79" hidden="1">#REF!</definedName>
    <definedName name="iluyuilg" localSheetId="53" hidden="1">#REF!</definedName>
    <definedName name="iluyuilg" localSheetId="13" hidden="1">#REF!</definedName>
    <definedName name="iluyuilg" localSheetId="27" hidden="1">#REF!</definedName>
    <definedName name="iluyuilg" localSheetId="51" hidden="1">#REF!</definedName>
    <definedName name="iluyuilg" hidden="1">#REF!</definedName>
    <definedName name="int_ext_sel">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"c7"</definedName>
    <definedName name="IQ_ACCUMULATED_PENSION_OBLIGATION" hidden="1">"c2108"</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RATING_FITCH" hidden="1">"c223"</definedName>
    <definedName name="IQ_BONDRATING_FITCH_DATE" hidden="1">"c241"</definedName>
    <definedName name="IQ_BONDRATING_SP" hidden="1">"c224"</definedName>
    <definedName name="IQ_BONDRATING_SP_DATE" hidden="1">"c242"</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INESS_DESCRIPTION" hidden="1">"c322"</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hidden="1">"c100"</definedName>
    <definedName name="IQ_BV_SHARE" hidden="1">"c100"</definedName>
    <definedName name="IQ_BV_STDDEV_EST_REUT" hidden="1">"c5408"</definedName>
    <definedName name="IQ_BV_STDDEV_EST_THOM" hidden="1">"c5152"</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_REUT" hidden="1">"c6800"</definedName>
    <definedName name="IQ_CAL_Y" hidden="1">"c102"</definedName>
    <definedName name="IQ_CAL_Y_EST_REUT" hidden="1">"c6801"</definedName>
    <definedName name="IQ_CALC_TYPE_BS" hidden="1">"c3086"</definedName>
    <definedName name="IQ_CALC_TYPE_CF" hidden="1">"c3085"</definedName>
    <definedName name="IQ_CALC_TYPE_IS" hidden="1">"c3084"</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QUIV" hidden="1">"c118"</definedName>
    <definedName name="IQ_CASH_FINAN" hidden="1">"c119"</definedName>
    <definedName name="IQ_CASH_IN_PROCESS_FDIC" hidden="1">"c6386"</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DET_EST_REUT_CURRENCY_CURRENCY_REUT" hidden="1">"c12526"</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RT" hidden="1">"c2536"</definedName>
    <definedName name="IQ_CONVERT_DEBT" hidden="1">"c224"</definedName>
    <definedName name="IQ_CONVERT_PCT" hidden="1">"c2537"</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ROWTH_1" hidden="1">"c157"</definedName>
    <definedName name="IQ_EBIT_GROWTH_2" hidden="1">"c161"</definedName>
    <definedName name="IQ_EBIT_INT" hidden="1">"c360"</definedName>
    <definedName name="IQ_EBIT_MARGIN" hidden="1">"c359"</definedName>
    <definedName name="IQ_EBIT_OVER_IE" hidden="1">"c360"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"c368"</definedName>
    <definedName name="IQ_EBITDA_DET_EST_REUT_CURRENCY_CURRENCY_REUT" hidden="1">"c12529"</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ROWTH_1" hidden="1">"c156"</definedName>
    <definedName name="IQ_EBITDA_GROWTH_2" hidden="1">"c160"</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_REUT" hidden="1">"c3641"</definedName>
    <definedName name="IQ_EBITDA_NO_EST" hidden="1">"c267"</definedName>
    <definedName name="IQ_EBITDA_NUM_EST" hidden="1">"c374"</definedName>
    <definedName name="IQ_EBITDA_NUM_EST_REUT" hidden="1">"c3644"</definedName>
    <definedName name="IQ_EBITDA_OVER_TOTAL_IE" hidden="1">"c373"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GW_DET_EST_REUT_CURRENCY_CURRENCY_REUT" hidden="1">"c12533"</definedName>
    <definedName name="IQ_EPS_GW_EST_REUT" hidden="1">"c5389"</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_EST" hidden="1">"c271"</definedName>
    <definedName name="IQ_EPS_NORM" hidden="1">"c1902"</definedName>
    <definedName name="IQ_EPS_NORM_EST_REUT" hidden="1">"c5326"</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 hidden="1">"c402"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ED_EST_REUT" hidden="1">"c5396"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 hidden="1">"c403"</definedName>
    <definedName name="IQ_EPS_STDDEV_EST_REUT" hidden="1">"c5452"</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THOM" hidden="1">"c5153"</definedName>
    <definedName name="IQ_EST_ACT_EPS" hidden="1">"c1648"</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FFO_REUT" hidden="1">"c3843"</definedName>
    <definedName name="IQ_EST_ACT_FFO_THOM" hidden="1">"c4005"</definedName>
    <definedName name="IQ_EST_BV_DIFF_REUT" hidden="1">"c5433"</definedName>
    <definedName name="IQ_EST_BV_DIFF_THOM" hidden="1">"c5204"</definedName>
    <definedName name="IQ_EST_BV_SURPRISE_PERCENT_REUT" hidden="1">"c5434"</definedName>
    <definedName name="IQ_EST_BV_SURPRISE_PERCENT_THOM" hidden="1">"c5205"</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URPRISE" hidden="1">"c1635"</definedName>
    <definedName name="IQ_EST_FFO_DIFF_REUT" hidden="1">"c3890"</definedName>
    <definedName name="IQ_EST_FFO_DIFF_THOM" hidden="1">"c5186"</definedName>
    <definedName name="IQ_EST_FFO_SURPRISE_PERCENT_REUT" hidden="1">"c3891"</definedName>
    <definedName name="IQ_EST_FFO_SURPRISE_PERCENT_THOM" hidden="1">"c5187"</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REV_GROWTH_1YR" hidden="1">"c1638"</definedName>
    <definedName name="IQ_EST_REV_GROWTH_2YR" hidden="1">"c1639"</definedName>
    <definedName name="IQ_EST_REV_GROWTH_Q_1YR" hidden="1">"c1640"</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"c165"</definedName>
    <definedName name="IQ_EV_OVER_REVENUE_EST_1" hidden="1">"c166"</definedName>
    <definedName name="IQ_EXCHANGE" hidden="1">"c405"</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_CODE_" hidden="1">"ajsdasd"</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hidden="1">"c418"</definedName>
    <definedName name="IQ_FFO_EST_CIQ" hidden="1">"c3668"</definedName>
    <definedName name="IQ_FFO_EST_DET_EST" hidden="1">"c12059"</definedName>
    <definedName name="IQ_FFO_EST_DET_EST_CIQ" hidden="1">"c12121"</definedName>
    <definedName name="IQ_FFO_EST_DET_EST_CURRENCY" hidden="1">"c12466"</definedName>
    <definedName name="IQ_FFO_EST_DET_EST_CURRENCY_CIQ" hidden="1">"c12512"</definedName>
    <definedName name="IQ_FFO_EST_DET_EST_CURRENCY_REUT" hidden="1">"c12536"</definedName>
    <definedName name="IQ_FFO_EST_DET_EST_DATE" hidden="1">"c12212"</definedName>
    <definedName name="IQ_FFO_EST_DET_EST_DATE_CIQ" hidden="1">"c12267"</definedName>
    <definedName name="IQ_FFO_EST_DET_EST_DATE_REUT" hidden="1">"c12295"</definedName>
    <definedName name="IQ_FFO_EST_DET_EST_INCL" hidden="1">"c12349"</definedName>
    <definedName name="IQ_FFO_EST_DET_EST_INCL_CIQ" hidden="1">"c12395"</definedName>
    <definedName name="IQ_FFO_EST_DET_EST_INCL_REUT" hidden="1">"c12419"</definedName>
    <definedName name="IQ_FFO_EST_DET_EST_ORIGIN" hidden="1">"c12722"</definedName>
    <definedName name="IQ_FFO_EST_DET_EST_ORIGIN_CIQ" hidden="1">"c12720"</definedName>
    <definedName name="IQ_FFO_EST_DET_EST_ORIGIN_REUT" hidden="1">"c12724"</definedName>
    <definedName name="IQ_FFO_EST_DET_EST_REUT" hidden="1">"c12153"</definedName>
    <definedName name="IQ_FFO_EST_REUT" hidden="1">"c3837"</definedName>
    <definedName name="IQ_FFO_EST_THOM" hidden="1">"c3999"</definedName>
    <definedName name="IQ_FFO_HIGH_EST" hidden="1">"c419"</definedName>
    <definedName name="IQ_FFO_HIGH_EST_CIQ" hidden="1">"c3670"</definedName>
    <definedName name="IQ_FFO_HIGH_EST_REUT" hidden="1">"c3839"</definedName>
    <definedName name="IQ_FFO_HIGH_EST_THOM" hidden="1">"c4001"</definedName>
    <definedName name="IQ_FFO_LOW_EST" hidden="1">"c420"</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 hidden="1">"c421"</definedName>
    <definedName name="IQ_FFO_NUM_EST_CIQ" hidden="1">"c3672"</definedName>
    <definedName name="IQ_FFO_NUM_EST_REUT" hidden="1">"c3841"</definedName>
    <definedName name="IQ_FFO_NUM_EST_THOM" hidden="1">"c4003"</definedName>
    <definedName name="IQ_FFO_PAYOUT_RATIO" hidden="1">"c3492"</definedName>
    <definedName name="IQ_FFO_STDDEV_EST" hidden="1">"c422"</definedName>
    <definedName name="IQ_FFO_STDDEV_EST_CIQ" hidden="1">"c3673"</definedName>
    <definedName name="IQ_FFO_STDDEV_EST_REUT" hidden="1">"c3842"</definedName>
    <definedName name="IQ_FFO_STDDEV_EST_THOM" hidden="1">"c4004"</definedName>
    <definedName name="IQ_FH">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hidden="1">"c893"</definedName>
    <definedName name="IQ_FINANCING_CASH_SUPPL" hidden="1">"c899"</definedName>
    <definedName name="IQ_FINISHED_INV" hidden="1">"c438"</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_REUT" hidden="1">"c6798"</definedName>
    <definedName name="IQ_FISCAL_Y" hidden="1">"c441"</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"c511"</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_REUT" hidden="1">"c5317"</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PROVIDED_DIVIDEND" hidden="1">"c19252"</definedName>
    <definedName name="IQ_INDEXCONSTITUENT_CLOSEPRICE" hidden="1">"c19241"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D_GUARANTEED_US_FDIC" hidden="1">"c6404"</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ISTING_CURRENCY" hidden="1">"c2127"</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DATE" hidden="1">"IQ_LTM_DATE"</definedName>
    <definedName name="IQ_LTM_REVENUE_OVER_EMPLOYEES" hidden="1">"c1304"</definedName>
    <definedName name="IQ_LTMMONTH" hidden="1">120000</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REPAIR" hidden="1">"c2087"</definedName>
    <definedName name="IQ_MARKET_CAP_LFCF" hidden="1">"c2209"</definedName>
    <definedName name="IQ_MARKETCAP" hidden="1">"c712"</definedName>
    <definedName name="IQ_MARKETING" hidden="1">"c2239"</definedName>
    <definedName name="IQ_MARKTCAP" hidden="1">"c258"</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localSheetId="81" hidden="1">42308.5232523148</definedName>
    <definedName name="IQ_NAMES_REVISION_DATE_" localSheetId="69" hidden="1">41596.122662037</definedName>
    <definedName name="IQ_NAMES_REVISION_DATE_" localSheetId="44" hidden="1">42418.5945138889</definedName>
    <definedName name="IQ_NAMES_REVISION_DATE_" localSheetId="58" hidden="1">42571.2669444444</definedName>
    <definedName name="IQ_NAMES_REVISION_DATE_" hidden="1">43096.4881481481</definedName>
    <definedName name="IQ_NAMES_REVISION_DATE__1" hidden="1">41449.5435763889</definedName>
    <definedName name="IQ_NAV_ACT_OR_EST" hidden="1">"c2225"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"c158"</definedName>
    <definedName name="IQ_NET_INC_GROWTH_2" hidden="1">"c162"</definedName>
    <definedName name="IQ_NET_INC_MARGIN" hidden="1">"c794"</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INSURED_FDIC" hidden="1">"c6374"</definedName>
    <definedName name="IQ_PERIODDATE" hidden="1">"c1034"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INC_10K" hidden="1">"IQ_PRETAX_INC_10K"</definedName>
    <definedName name="IQ_PRETAX_INC_10Q" hidden="1">"IQ_PRETAX_INC_10Q"</definedName>
    <definedName name="IQ_PRETAX_INC_10Q1" hidden="1">"IQ_PRETAX_INC_10Q1"</definedName>
    <definedName name="IQ_PRETAX_RETURN_ASSETS_FDIC" hidden="1">"c6731"</definedName>
    <definedName name="IQ_PRICE_OVER_BVPS" hidden="1">"c1026"</definedName>
    <definedName name="IQ_PRICE_OVER_EPS_EST" hidden="1">"c174"</definedName>
    <definedName name="IQ_PRICE_OVER_EPS_EST_1" hidden="1">"c175"</definedName>
    <definedName name="IQ_PRICE_OVER_LTM_EPS" hidden="1">"c1029"</definedName>
    <definedName name="IQ_PRICE_TARGET" hidden="1">"c82"</definedName>
    <definedName name="IQ_PRICE_TARGET_REUT" hidden="1">"c3631"</definedName>
    <definedName name="IQ_PRICEDATE" hidden="1">"c1069"</definedName>
    <definedName name="IQ_PRICEDATETIME" hidden="1">"IQ_PRICEDATETIME"</definedName>
    <definedName name="IQ_PRICING_DATE" hidden="1">"c1613"</definedName>
    <definedName name="IQ_PRIMARY_EPS_TYPE_THOM" hidden="1">"c5297"</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EST" hidden="1">"c1126"</definedName>
    <definedName name="IQ_REVENUE_EST_REUT" hidden="1">"c3634"</definedName>
    <definedName name="IQ_REVENUE_GROWTH_1" hidden="1">"c155"</definedName>
    <definedName name="IQ_REVENUE_GROWTH_2" hidden="1">"c159"</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_REUT" hidden="1">"c3635"</definedName>
    <definedName name="IQ_REVENUE_NO_EST" hidden="1">"c263"</definedName>
    <definedName name="IQ_REVENUE_NUM_EST" hidden="1">"c1129"</definedName>
    <definedName name="IQ_REVENUE_NUM_EST_REUT" hidden="1">"c3638"</definedName>
    <definedName name="IQ_Revision_date_2" hidden="1">38784.4474652778</definedName>
    <definedName name="IQ_REVOLVING_SECURED_1_–4_NON_ACCRUAL_FFIEC" hidden="1">"c15565"</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GS_FIN" hidden="1">"c2998"</definedName>
    <definedName name="IQ_STOCK_BASED_COGS_UTIL" hidden="1">"c2997"</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_REUT" hidden="1">"c5319"</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DUE" hidden="1">"c2509"</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ADVISORS" hidden="1">"c2387"</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ADVISORS" hidden="1">"c2388"</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BDEBT" hidden="1">"c2370"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ADVISORS" hidden="1">"c2386"</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 hidden="1">"c2930"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 hidden="1">"c2932"</definedName>
    <definedName name="IQ_US_GAAP_CL_ADJ" hidden="1">"c2927"</definedName>
    <definedName name="IQ_US_GAAP_COST_REV" hidden="1">"c2965"</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 hidden="1">"c2973"</definedName>
    <definedName name="IQ_US_GAAP_DO_ADJ" hidden="1">"c2959"</definedName>
    <definedName name="IQ_US_GAAP_EXTRA_ACC_ITEMS" hidden="1">"c2972"</definedName>
    <definedName name="IQ_US_GAAP_EXTRA_ACC_ITEMS_ADJ" hidden="1">"c2958"</definedName>
    <definedName name="IQ_US_GAAP_INC_TAX" hidden="1">"c2975"</definedName>
    <definedName name="IQ_US_GAAP_INC_TAX_ADJ" hidden="1">"c2961"</definedName>
    <definedName name="IQ_US_GAAP_INTEREST_EXP" hidden="1">"c2971"</definedName>
    <definedName name="IQ_US_GAAP_INTEREST_EXP_ADJ" hidden="1">"c2957"</definedName>
    <definedName name="IQ_US_GAAP_LIAB_LT" hidden="1">"c2933"</definedName>
    <definedName name="IQ_US_GAAP_LIAB_LT_ADJ" hidden="1">"c2928"</definedName>
    <definedName name="IQ_US_GAAP_LIAB_TOTAL_LIAB" hidden="1">"c2933"</definedName>
    <definedName name="IQ_US_GAAP_MINORITY_INTEREST_IS" hidden="1">"c2974"</definedName>
    <definedName name="IQ_US_GAAP_MINORITY_INTEREST_IS_ADJ" hidden="1">"c2960"</definedName>
    <definedName name="IQ_US_GAAP_NCA" hidden="1">"c2931"</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EXCL" hidden="1">"c2977"</definedName>
    <definedName name="IQ_US_GAAP_NI_AVAIL_INCL" hidden="1">"c2978"</definedName>
    <definedName name="IQ_US_GAAP_OTHER_ADJ_ADJ" hidden="1">"c2962"</definedName>
    <definedName name="IQ_US_GAAP_OTHER_NON_OPER" hidden="1">"c2969"</definedName>
    <definedName name="IQ_US_GAAP_OTHER_NON_OPER_ADJ" hidden="1">"c2955"</definedName>
    <definedName name="IQ_US_GAAP_OTHER_OPER" hidden="1">"c2968"</definedName>
    <definedName name="IQ_US_GAAP_OTHER_OPER_ADJ" hidden="1">"c2954"</definedName>
    <definedName name="IQ_US_GAAP_RD" hidden="1">"c2967"</definedName>
    <definedName name="IQ_US_GAAP_RD_ADJ" hidden="1">"c2953"</definedName>
    <definedName name="IQ_US_GAAP_SGA" hidden="1">"c2966"</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 hidden="1">"c2964"</definedName>
    <definedName name="IQ_US_GAAP_TOTAL_REV_ADJ" hidden="1">"c2950"</definedName>
    <definedName name="IQ_US_GAAP_TOTAL_UNUSUAL" hidden="1">"c2970"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 hidden="1">130000</definedName>
    <definedName name="IQ_Z_SCORE" hidden="1">"c1339"</definedName>
    <definedName name="IQRA1" hidden="1">"$A$2:$A$368"</definedName>
    <definedName name="IQRA22" hidden="1">"$A$23:$A$42"</definedName>
    <definedName name="IQRA5" hidden="1">"$A$6"</definedName>
    <definedName name="IQRA8" hidden="1">"$A$9:$A$260"</definedName>
    <definedName name="IQRAB22" hidden="1">"$AB$23:$AB$42"</definedName>
    <definedName name="IQRAE22" hidden="1">"$AE$23:$AE$42"</definedName>
    <definedName name="IQRAF16" hidden="1">"$AF$17:$AF$268"</definedName>
    <definedName name="IQRAF17" hidden="1">"$AF$18:$AF$269"</definedName>
    <definedName name="IQRAH22" hidden="1">"$AH$23:$AH$42"</definedName>
    <definedName name="IQRAK22" hidden="1">"$AK$23:$AK$42"</definedName>
    <definedName name="IQRAN22" hidden="1">"$AN$23:$AN$42"</definedName>
    <definedName name="IQRAQ22" hidden="1">"$AQ$23:$AQ$42"</definedName>
    <definedName name="IQRB14" hidden="1">"$B$15:$B$518"</definedName>
    <definedName name="IQRB16" hidden="1">"$B$17:$B$520"</definedName>
    <definedName name="IQRB17" hidden="1">"$B$18:$B$78"</definedName>
    <definedName name="IQRB18" hidden="1">"$B$19:$B$522"</definedName>
    <definedName name="IQRB8" hidden="1">"$B$9:$B$260"</definedName>
    <definedName name="IQRBB17" hidden="1">"$BB$18:$BB$1299"</definedName>
    <definedName name="IQRC14" hidden="1">"$C$15:$C$119"</definedName>
    <definedName name="IQRC5" hidden="1">"$C$6:$C$70"</definedName>
    <definedName name="IQRC8" hidden="1">"$C$9:$C$260"</definedName>
    <definedName name="IQRCapitalIQDATAJ8" hidden="1">'GPC Linked'!$N$10</definedName>
    <definedName name="IQRCapitalIQDATAK8" hidden="1">'GPC Linked'!$O$10</definedName>
    <definedName name="IQRCapitalIQDATAL8" hidden="1">'GPC Linked'!$P$10</definedName>
    <definedName name="IQRCapitalIQDATAM8" hidden="1">'GPC Linked'!$Q$10</definedName>
    <definedName name="IQRD14" hidden="1">"$D$15:$D$38"</definedName>
    <definedName name="IQRD22" hidden="1">"$D$23:$D$42"</definedName>
    <definedName name="IQRD5" hidden="1">"$D$6:$D$70"</definedName>
    <definedName name="IQRE5" hidden="1">"$E$6:$E$70"</definedName>
    <definedName name="IQRF3" hidden="1">"$F$4:$F$68"</definedName>
    <definedName name="IQRF5" hidden="1">"$F$6:$F$70"</definedName>
    <definedName name="IQRF8" hidden="1">"$F$9:$F$269"</definedName>
    <definedName name="IQRG22" hidden="1">"$G$23:$G$42"</definedName>
    <definedName name="IQRG3" hidden="1">"$G$4:$G$68"</definedName>
    <definedName name="IQRG41" hidden="1">"$G$42:$G$1300"</definedName>
    <definedName name="IQRG5" hidden="1">"$G$6:$G$70"</definedName>
    <definedName name="IQRHistoricMultiplesAR9" localSheetId="38" hidden="1">#REF!</definedName>
    <definedName name="IQRHistoricMultiplesAR9" localSheetId="25" hidden="1">#REF!</definedName>
    <definedName name="IQRHistoricMultiplesAR9" localSheetId="82" hidden="1">#REF!</definedName>
    <definedName name="IQRHistoricMultiplesAR9" localSheetId="39" hidden="1">#REF!</definedName>
    <definedName name="IQRHistoricMultiplesAR9" localSheetId="40" hidden="1">#REF!</definedName>
    <definedName name="IQRHistoricMultiplesAR9" localSheetId="84" hidden="1">#REF!</definedName>
    <definedName name="IQRHistoricMultiplesAR9" localSheetId="4" hidden="1">#REF!</definedName>
    <definedName name="IQRHistoricMultiplesAR9" localSheetId="79" hidden="1">#REF!</definedName>
    <definedName name="IQRHistoricMultiplesAR9" localSheetId="45" hidden="1">#REF!</definedName>
    <definedName name="IQRHistoricMultiplesAR9" localSheetId="77" hidden="1">#REF!</definedName>
    <definedName name="IQRHistoricMultiplesAR9" localSheetId="76" hidden="1">#REF!</definedName>
    <definedName name="IQRHistoricMultiplesAR9" localSheetId="30" hidden="1">#REF!</definedName>
    <definedName name="IQRHistoricMultiplesAR9" localSheetId="13" hidden="1">#REF!</definedName>
    <definedName name="IQRHistoricMultiplesAR9" localSheetId="27" hidden="1">#REF!</definedName>
    <definedName name="IQRHistoricMultiplesAR9" hidden="1">#REF!</definedName>
    <definedName name="IQRHistoricMultiplesAW9" localSheetId="38" hidden="1">#REF!</definedName>
    <definedName name="IQRHistoricMultiplesAW9" localSheetId="25" hidden="1">#REF!</definedName>
    <definedName name="IQRHistoricMultiplesAW9" localSheetId="82" hidden="1">#REF!</definedName>
    <definedName name="IQRHistoricMultiplesAW9" localSheetId="39" hidden="1">#REF!</definedName>
    <definedName name="IQRHistoricMultiplesAW9" localSheetId="40" hidden="1">#REF!</definedName>
    <definedName name="IQRHistoricMultiplesAW9" localSheetId="84" hidden="1">#REF!</definedName>
    <definedName name="IQRHistoricMultiplesAW9" localSheetId="4" hidden="1">#REF!</definedName>
    <definedName name="IQRHistoricMultiplesAW9" localSheetId="79" hidden="1">#REF!</definedName>
    <definedName name="IQRHistoricMultiplesAW9" localSheetId="45" hidden="1">#REF!</definedName>
    <definedName name="IQRHistoricMultiplesAW9" localSheetId="77" hidden="1">#REF!</definedName>
    <definedName name="IQRHistoricMultiplesAW9" localSheetId="76" hidden="1">#REF!</definedName>
    <definedName name="IQRHistoricMultiplesAW9" localSheetId="30" hidden="1">#REF!</definedName>
    <definedName name="IQRHistoricMultiplesAW9" localSheetId="13" hidden="1">#REF!</definedName>
    <definedName name="IQRHistoricMultiplesAW9" localSheetId="27" hidden="1">#REF!</definedName>
    <definedName name="IQRHistoricMultiplesAW9" hidden="1">#REF!</definedName>
    <definedName name="IQRHistoricMultiplesBB9" localSheetId="38" hidden="1">#REF!</definedName>
    <definedName name="IQRHistoricMultiplesBB9" localSheetId="25" hidden="1">#REF!</definedName>
    <definedName name="IQRHistoricMultiplesBB9" localSheetId="82" hidden="1">#REF!</definedName>
    <definedName name="IQRHistoricMultiplesBB9" localSheetId="39" hidden="1">#REF!</definedName>
    <definedName name="IQRHistoricMultiplesBB9" localSheetId="40" hidden="1">#REF!</definedName>
    <definedName name="IQRHistoricMultiplesBB9" localSheetId="84" hidden="1">#REF!</definedName>
    <definedName name="IQRHistoricMultiplesBB9" localSheetId="4" hidden="1">#REF!</definedName>
    <definedName name="IQRHistoricMultiplesBB9" localSheetId="79" hidden="1">#REF!</definedName>
    <definedName name="IQRHistoricMultiplesBB9" localSheetId="45" hidden="1">#REF!</definedName>
    <definedName name="IQRHistoricMultiplesBB9" localSheetId="77" hidden="1">#REF!</definedName>
    <definedName name="IQRHistoricMultiplesBB9" localSheetId="76" hidden="1">#REF!</definedName>
    <definedName name="IQRHistoricMultiplesBB9" localSheetId="30" hidden="1">#REF!</definedName>
    <definedName name="IQRHistoricMultiplesBB9" localSheetId="13" hidden="1">#REF!</definedName>
    <definedName name="IQRHistoricMultiplesBB9" localSheetId="27" hidden="1">#REF!</definedName>
    <definedName name="IQRHistoricMultiplesBB9" hidden="1">#REF!</definedName>
    <definedName name="IQRHistoricMultiplesBG9" localSheetId="38" hidden="1">#REF!</definedName>
    <definedName name="IQRHistoricMultiplesBG9" localSheetId="25" hidden="1">#REF!</definedName>
    <definedName name="IQRHistoricMultiplesBG9" localSheetId="82" hidden="1">#REF!</definedName>
    <definedName name="IQRHistoricMultiplesBG9" localSheetId="39" hidden="1">#REF!</definedName>
    <definedName name="IQRHistoricMultiplesBG9" localSheetId="40" hidden="1">#REF!</definedName>
    <definedName name="IQRHistoricMultiplesBG9" localSheetId="84" hidden="1">#REF!</definedName>
    <definedName name="IQRHistoricMultiplesBG9" localSheetId="4" hidden="1">#REF!</definedName>
    <definedName name="IQRHistoricMultiplesBG9" localSheetId="79" hidden="1">#REF!</definedName>
    <definedName name="IQRHistoricMultiplesBG9" localSheetId="45" hidden="1">#REF!</definedName>
    <definedName name="IQRHistoricMultiplesBG9" localSheetId="77" hidden="1">#REF!</definedName>
    <definedName name="IQRHistoricMultiplesBG9" localSheetId="76" hidden="1">#REF!</definedName>
    <definedName name="IQRHistoricMultiplesBG9" localSheetId="30" hidden="1">#REF!</definedName>
    <definedName name="IQRHistoricMultiplesBG9" localSheetId="13" hidden="1">#REF!</definedName>
    <definedName name="IQRHistoricMultiplesBG9" localSheetId="27" hidden="1">#REF!</definedName>
    <definedName name="IQRHistoricMultiplesBG9" hidden="1">#REF!</definedName>
    <definedName name="IQRHistoricMultiplesBL9" localSheetId="38" hidden="1">#REF!</definedName>
    <definedName name="IQRHistoricMultiplesBL9" localSheetId="25" hidden="1">#REF!</definedName>
    <definedName name="IQRHistoricMultiplesBL9" localSheetId="82" hidden="1">#REF!</definedName>
    <definedName name="IQRHistoricMultiplesBL9" localSheetId="39" hidden="1">#REF!</definedName>
    <definedName name="IQRHistoricMultiplesBL9" localSheetId="40" hidden="1">#REF!</definedName>
    <definedName name="IQRHistoricMultiplesBL9" localSheetId="84" hidden="1">#REF!</definedName>
    <definedName name="IQRHistoricMultiplesBL9" localSheetId="4" hidden="1">#REF!</definedName>
    <definedName name="IQRHistoricMultiplesBL9" localSheetId="79" hidden="1">#REF!</definedName>
    <definedName name="IQRHistoricMultiplesBL9" localSheetId="45" hidden="1">#REF!</definedName>
    <definedName name="IQRHistoricMultiplesBL9" localSheetId="77" hidden="1">#REF!</definedName>
    <definedName name="IQRHistoricMultiplesBL9" localSheetId="76" hidden="1">#REF!</definedName>
    <definedName name="IQRHistoricMultiplesBL9" localSheetId="30" hidden="1">#REF!</definedName>
    <definedName name="IQRHistoricMultiplesBL9" localSheetId="13" hidden="1">#REF!</definedName>
    <definedName name="IQRHistoricMultiplesBL9" localSheetId="27" hidden="1">#REF!</definedName>
    <definedName name="IQRHistoricMultiplesBL9" hidden="1">#REF!</definedName>
    <definedName name="IQRHistoricMultiplesBQ9" localSheetId="38" hidden="1">#REF!</definedName>
    <definedName name="IQRHistoricMultiplesBQ9" localSheetId="25" hidden="1">#REF!</definedName>
    <definedName name="IQRHistoricMultiplesBQ9" localSheetId="82" hidden="1">#REF!</definedName>
    <definedName name="IQRHistoricMultiplesBQ9" localSheetId="39" hidden="1">#REF!</definedName>
    <definedName name="IQRHistoricMultiplesBQ9" localSheetId="40" hidden="1">#REF!</definedName>
    <definedName name="IQRHistoricMultiplesBQ9" localSheetId="84" hidden="1">#REF!</definedName>
    <definedName name="IQRHistoricMultiplesBQ9" localSheetId="4" hidden="1">#REF!</definedName>
    <definedName name="IQRHistoricMultiplesBQ9" localSheetId="79" hidden="1">#REF!</definedName>
    <definedName name="IQRHistoricMultiplesBQ9" localSheetId="45" hidden="1">#REF!</definedName>
    <definedName name="IQRHistoricMultiplesBQ9" localSheetId="77" hidden="1">#REF!</definedName>
    <definedName name="IQRHistoricMultiplesBQ9" localSheetId="76" hidden="1">#REF!</definedName>
    <definedName name="IQRHistoricMultiplesBQ9" localSheetId="30" hidden="1">#REF!</definedName>
    <definedName name="IQRHistoricMultiplesBQ9" localSheetId="13" hidden="1">#REF!</definedName>
    <definedName name="IQRHistoricMultiplesBQ9" localSheetId="27" hidden="1">#REF!</definedName>
    <definedName name="IQRHistoricMultiplesBQ9" hidden="1">#REF!</definedName>
    <definedName name="IQRHistoricMultiplesBV9" localSheetId="38" hidden="1">#REF!</definedName>
    <definedName name="IQRHistoricMultiplesBV9" localSheetId="25" hidden="1">#REF!</definedName>
    <definedName name="IQRHistoricMultiplesBV9" localSheetId="82" hidden="1">#REF!</definedName>
    <definedName name="IQRHistoricMultiplesBV9" localSheetId="39" hidden="1">#REF!</definedName>
    <definedName name="IQRHistoricMultiplesBV9" localSheetId="40" hidden="1">#REF!</definedName>
    <definedName name="IQRHistoricMultiplesBV9" localSheetId="84" hidden="1">#REF!</definedName>
    <definedName name="IQRHistoricMultiplesBV9" localSheetId="4" hidden="1">#REF!</definedName>
    <definedName name="IQRHistoricMultiplesBV9" localSheetId="79" hidden="1">#REF!</definedName>
    <definedName name="IQRHistoricMultiplesBV9" localSheetId="45" hidden="1">#REF!</definedName>
    <definedName name="IQRHistoricMultiplesBV9" localSheetId="77" hidden="1">#REF!</definedName>
    <definedName name="IQRHistoricMultiplesBV9" localSheetId="76" hidden="1">#REF!</definedName>
    <definedName name="IQRHistoricMultiplesBV9" localSheetId="30" hidden="1">#REF!</definedName>
    <definedName name="IQRHistoricMultiplesBV9" localSheetId="13" hidden="1">#REF!</definedName>
    <definedName name="IQRHistoricMultiplesBV9" localSheetId="27" hidden="1">#REF!</definedName>
    <definedName name="IQRHistoricMultiplesBV9" hidden="1">#REF!</definedName>
    <definedName name="IQRHistoricMultiplesCA9" localSheetId="38" hidden="1">#REF!</definedName>
    <definedName name="IQRHistoricMultiplesCA9" localSheetId="25" hidden="1">#REF!</definedName>
    <definedName name="IQRHistoricMultiplesCA9" localSheetId="82" hidden="1">#REF!</definedName>
    <definedName name="IQRHistoricMultiplesCA9" localSheetId="39" hidden="1">#REF!</definedName>
    <definedName name="IQRHistoricMultiplesCA9" localSheetId="40" hidden="1">#REF!</definedName>
    <definedName name="IQRHistoricMultiplesCA9" localSheetId="84" hidden="1">#REF!</definedName>
    <definedName name="IQRHistoricMultiplesCA9" localSheetId="4" hidden="1">#REF!</definedName>
    <definedName name="IQRHistoricMultiplesCA9" localSheetId="79" hidden="1">#REF!</definedName>
    <definedName name="IQRHistoricMultiplesCA9" localSheetId="45" hidden="1">#REF!</definedName>
    <definedName name="IQRHistoricMultiplesCA9" localSheetId="77" hidden="1">#REF!</definedName>
    <definedName name="IQRHistoricMultiplesCA9" localSheetId="76" hidden="1">#REF!</definedName>
    <definedName name="IQRHistoricMultiplesCA9" localSheetId="30" hidden="1">#REF!</definedName>
    <definedName name="IQRHistoricMultiplesCA9" localSheetId="13" hidden="1">#REF!</definedName>
    <definedName name="IQRHistoricMultiplesCA9" localSheetId="27" hidden="1">#REF!</definedName>
    <definedName name="IQRHistoricMultiplesCA9" hidden="1">#REF!</definedName>
    <definedName name="IQRHistoricMultiplesCF9" localSheetId="38" hidden="1">#REF!</definedName>
    <definedName name="IQRHistoricMultiplesCF9" localSheetId="25" hidden="1">#REF!</definedName>
    <definedName name="IQRHistoricMultiplesCF9" localSheetId="82" hidden="1">#REF!</definedName>
    <definedName name="IQRHistoricMultiplesCF9" localSheetId="39" hidden="1">#REF!</definedName>
    <definedName name="IQRHistoricMultiplesCF9" localSheetId="40" hidden="1">#REF!</definedName>
    <definedName name="IQRHistoricMultiplesCF9" localSheetId="84" hidden="1">#REF!</definedName>
    <definedName name="IQRHistoricMultiplesCF9" localSheetId="4" hidden="1">#REF!</definedName>
    <definedName name="IQRHistoricMultiplesCF9" localSheetId="79" hidden="1">#REF!</definedName>
    <definedName name="IQRHistoricMultiplesCF9" localSheetId="45" hidden="1">#REF!</definedName>
    <definedName name="IQRHistoricMultiplesCF9" localSheetId="77" hidden="1">#REF!</definedName>
    <definedName name="IQRHistoricMultiplesCF9" localSheetId="76" hidden="1">#REF!</definedName>
    <definedName name="IQRHistoricMultiplesCF9" localSheetId="30" hidden="1">#REF!</definedName>
    <definedName name="IQRHistoricMultiplesCF9" localSheetId="13" hidden="1">#REF!</definedName>
    <definedName name="IQRHistoricMultiplesCF9" localSheetId="27" hidden="1">#REF!</definedName>
    <definedName name="IQRHistoricMultiplesCF9" hidden="1">#REF!</definedName>
    <definedName name="IQRHistoricMultiplesCK9" localSheetId="38" hidden="1">#REF!</definedName>
    <definedName name="IQRHistoricMultiplesCK9" localSheetId="25" hidden="1">#REF!</definedName>
    <definedName name="IQRHistoricMultiplesCK9" localSheetId="82" hidden="1">#REF!</definedName>
    <definedName name="IQRHistoricMultiplesCK9" localSheetId="39" hidden="1">#REF!</definedName>
    <definedName name="IQRHistoricMultiplesCK9" localSheetId="40" hidden="1">#REF!</definedName>
    <definedName name="IQRHistoricMultiplesCK9" localSheetId="84" hidden="1">#REF!</definedName>
    <definedName name="IQRHistoricMultiplesCK9" localSheetId="4" hidden="1">#REF!</definedName>
    <definedName name="IQRHistoricMultiplesCK9" localSheetId="79" hidden="1">#REF!</definedName>
    <definedName name="IQRHistoricMultiplesCK9" localSheetId="45" hidden="1">#REF!</definedName>
    <definedName name="IQRHistoricMultiplesCK9" localSheetId="77" hidden="1">#REF!</definedName>
    <definedName name="IQRHistoricMultiplesCK9" localSheetId="76" hidden="1">#REF!</definedName>
    <definedName name="IQRHistoricMultiplesCK9" localSheetId="30" hidden="1">#REF!</definedName>
    <definedName name="IQRHistoricMultiplesCK9" localSheetId="13" hidden="1">#REF!</definedName>
    <definedName name="IQRHistoricMultiplesCK9" localSheetId="27" hidden="1">#REF!</definedName>
    <definedName name="IQRHistoricMultiplesCK9" hidden="1">#REF!</definedName>
    <definedName name="IQRIPOAF12" localSheetId="38" hidden="1">#REF!</definedName>
    <definedName name="IQRIPOAF12" localSheetId="25" hidden="1">#REF!</definedName>
    <definedName name="IQRIPOAF12" localSheetId="82" hidden="1">#REF!</definedName>
    <definedName name="IQRIPOAF12" localSheetId="39" hidden="1">#REF!</definedName>
    <definedName name="IQRIPOAF12" localSheetId="40" hidden="1">#REF!</definedName>
    <definedName name="IQRIPOAF12" localSheetId="84" hidden="1">#REF!</definedName>
    <definedName name="IQRIPOAF12" localSheetId="4" hidden="1">#REF!</definedName>
    <definedName name="IQRIPOAF12" localSheetId="81" hidden="1">#REF!</definedName>
    <definedName name="IQRIPOAF12" localSheetId="79" hidden="1">#REF!</definedName>
    <definedName name="IQRIPOAF12" localSheetId="45" hidden="1">#REF!</definedName>
    <definedName name="IQRIPOAF12" localSheetId="77" hidden="1">#REF!</definedName>
    <definedName name="IQRIPOAF12" localSheetId="76" hidden="1">#REF!</definedName>
    <definedName name="IQRIPOAF12" localSheetId="30" hidden="1">#REF!</definedName>
    <definedName name="IQRIPOAF12" localSheetId="13" hidden="1">#REF!</definedName>
    <definedName name="IQRIPOAF12" localSheetId="27" hidden="1">#REF!</definedName>
    <definedName name="IQRIPOAF12" hidden="1">#REF!</definedName>
    <definedName name="IQRIPOAF13" localSheetId="38" hidden="1">#REF!</definedName>
    <definedName name="IQRIPOAF13" localSheetId="25" hidden="1">#REF!</definedName>
    <definedName name="IQRIPOAF13" localSheetId="82" hidden="1">#REF!</definedName>
    <definedName name="IQRIPOAF13" localSheetId="39" hidden="1">#REF!</definedName>
    <definedName name="IQRIPOAF13" localSheetId="40" hidden="1">#REF!</definedName>
    <definedName name="IQRIPOAF13" localSheetId="84" hidden="1">#REF!</definedName>
    <definedName name="IQRIPOAF13" localSheetId="4" hidden="1">#REF!</definedName>
    <definedName name="IQRIPOAF13" localSheetId="81" hidden="1">#REF!</definedName>
    <definedName name="IQRIPOAF13" localSheetId="79" hidden="1">#REF!</definedName>
    <definedName name="IQRIPOAF13" localSheetId="45" hidden="1">#REF!</definedName>
    <definedName name="IQRIPOAF13" localSheetId="77" hidden="1">#REF!</definedName>
    <definedName name="IQRIPOAF13" localSheetId="76" hidden="1">#REF!</definedName>
    <definedName name="IQRIPOAF13" localSheetId="30" hidden="1">#REF!</definedName>
    <definedName name="IQRIPOAF13" localSheetId="13" hidden="1">#REF!</definedName>
    <definedName name="IQRIPOAF13" localSheetId="27" hidden="1">#REF!</definedName>
    <definedName name="IQRIPOAF13" hidden="1">#REF!</definedName>
    <definedName name="IQRIPOAF14" localSheetId="38" hidden="1">[12]IPO!#REF!</definedName>
    <definedName name="IQRIPOAF14" localSheetId="25" hidden="1">[12]IPO!#REF!</definedName>
    <definedName name="IQRIPOAF14" localSheetId="82" hidden="1">[12]IPO!#REF!</definedName>
    <definedName name="IQRIPOAF14" localSheetId="39" hidden="1">[12]IPO!#REF!</definedName>
    <definedName name="IQRIPOAF14" localSheetId="40" hidden="1">[12]IPO!#REF!</definedName>
    <definedName name="IQRIPOAF14" localSheetId="84" hidden="1">[12]IPO!#REF!</definedName>
    <definedName name="IQRIPOAF14" localSheetId="4" hidden="1">[12]IPO!#REF!</definedName>
    <definedName name="IQRIPOAF14" localSheetId="81" hidden="1">[13]IPO!#REF!</definedName>
    <definedName name="IQRIPOAF14" localSheetId="79" hidden="1">[12]IPO!#REF!</definedName>
    <definedName name="IQRIPOAF14" localSheetId="32" hidden="1">[14]IPO!#REF!</definedName>
    <definedName name="IQRIPOAF14" localSheetId="45" hidden="1">[12]IPO!#REF!</definedName>
    <definedName name="IQRIPOAF14" localSheetId="77" hidden="1">[12]IPO!#REF!</definedName>
    <definedName name="IQRIPOAF14" localSheetId="76" hidden="1">[12]IPO!#REF!</definedName>
    <definedName name="IQRIPOAF14" localSheetId="30" hidden="1">[12]IPO!#REF!</definedName>
    <definedName name="IQRIPOAF14" localSheetId="13" hidden="1">[12]IPO!#REF!</definedName>
    <definedName name="IQRIPOAF14" localSheetId="27" hidden="1">[12]IPO!#REF!</definedName>
    <definedName name="IQRIPOAF14" hidden="1">[12]IPO!#REF!</definedName>
    <definedName name="IQRIPOAF15" localSheetId="38" hidden="1">#REF!</definedName>
    <definedName name="IQRIPOAF15" localSheetId="25" hidden="1">#REF!</definedName>
    <definedName name="IQRIPOAF15" localSheetId="82" hidden="1">#REF!</definedName>
    <definedName name="IQRIPOAF15" localSheetId="39" hidden="1">#REF!</definedName>
    <definedName name="IQRIPOAF15" localSheetId="40" hidden="1">#REF!</definedName>
    <definedName name="IQRIPOAF15" localSheetId="84" hidden="1">#REF!</definedName>
    <definedName name="IQRIPOAF15" localSheetId="4" hidden="1">#REF!</definedName>
    <definedName name="IQRIPOAF15" localSheetId="81" hidden="1">#REF!</definedName>
    <definedName name="IQRIPOAF15" localSheetId="79" hidden="1">#REF!</definedName>
    <definedName name="IQRIPOAF15" localSheetId="45" hidden="1">#REF!</definedName>
    <definedName name="IQRIPOAF15" localSheetId="77" hidden="1">#REF!</definedName>
    <definedName name="IQRIPOAF15" localSheetId="76" hidden="1">#REF!</definedName>
    <definedName name="IQRIPOAF15" localSheetId="30" hidden="1">#REF!</definedName>
    <definedName name="IQRIPOAF15" localSheetId="13" hidden="1">#REF!</definedName>
    <definedName name="IQRIPOAF15" localSheetId="27" hidden="1">#REF!</definedName>
    <definedName name="IQRIPOAF15" hidden="1">#REF!</definedName>
    <definedName name="IQRIPOAF16" localSheetId="38" hidden="1">#REF!</definedName>
    <definedName name="IQRIPOAF16" localSheetId="25" hidden="1">#REF!</definedName>
    <definedName name="IQRIPOAF16" localSheetId="82" hidden="1">#REF!</definedName>
    <definedName name="IQRIPOAF16" localSheetId="39" hidden="1">#REF!</definedName>
    <definedName name="IQRIPOAF16" localSheetId="40" hidden="1">#REF!</definedName>
    <definedName name="IQRIPOAF16" localSheetId="84" hidden="1">#REF!</definedName>
    <definedName name="IQRIPOAF16" localSheetId="4" hidden="1">#REF!</definedName>
    <definedName name="IQRIPOAF16" localSheetId="81" hidden="1">#REF!</definedName>
    <definedName name="IQRIPOAF16" localSheetId="79" hidden="1">#REF!</definedName>
    <definedName name="IQRIPOAF16" localSheetId="45" hidden="1">#REF!</definedName>
    <definedName name="IQRIPOAF16" localSheetId="77" hidden="1">#REF!</definedName>
    <definedName name="IQRIPOAF16" localSheetId="76" hidden="1">#REF!</definedName>
    <definedName name="IQRIPOAF16" localSheetId="30" hidden="1">#REF!</definedName>
    <definedName name="IQRIPOAF16" localSheetId="13" hidden="1">#REF!</definedName>
    <definedName name="IQRIPOAF16" localSheetId="27" hidden="1">#REF!</definedName>
    <definedName name="IQRIPOAF16" hidden="1">#REF!</definedName>
    <definedName name="IQRIPOAF17" localSheetId="38" hidden="1">#REF!</definedName>
    <definedName name="IQRIPOAF17" localSheetId="25" hidden="1">#REF!</definedName>
    <definedName name="IQRIPOAF17" localSheetId="82" hidden="1">#REF!</definedName>
    <definedName name="IQRIPOAF17" localSheetId="39" hidden="1">#REF!</definedName>
    <definedName name="IQRIPOAF17" localSheetId="40" hidden="1">#REF!</definedName>
    <definedName name="IQRIPOAF17" localSheetId="84" hidden="1">#REF!</definedName>
    <definedName name="IQRIPOAF17" localSheetId="4" hidden="1">#REF!</definedName>
    <definedName name="IQRIPOAF17" localSheetId="81" hidden="1">#REF!</definedName>
    <definedName name="IQRIPOAF17" localSheetId="79" hidden="1">#REF!</definedName>
    <definedName name="IQRIPOAF17" localSheetId="45" hidden="1">#REF!</definedName>
    <definedName name="IQRIPOAF17" localSheetId="77" hidden="1">#REF!</definedName>
    <definedName name="IQRIPOAF17" localSheetId="76" hidden="1">#REF!</definedName>
    <definedName name="IQRIPOAF17" localSheetId="30" hidden="1">#REF!</definedName>
    <definedName name="IQRIPOAF17" localSheetId="13" hidden="1">#REF!</definedName>
    <definedName name="IQRIPOAF17" localSheetId="27" hidden="1">#REF!</definedName>
    <definedName name="IQRIPOAF17" hidden="1">#REF!</definedName>
    <definedName name="IQRIPOAF18" localSheetId="38" hidden="1">#REF!</definedName>
    <definedName name="IQRIPOAF18" localSheetId="25" hidden="1">#REF!</definedName>
    <definedName name="IQRIPOAF18" localSheetId="82" hidden="1">#REF!</definedName>
    <definedName name="IQRIPOAF18" localSheetId="39" hidden="1">#REF!</definedName>
    <definedName name="IQRIPOAF18" localSheetId="40" hidden="1">#REF!</definedName>
    <definedName name="IQRIPOAF18" localSheetId="84" hidden="1">#REF!</definedName>
    <definedName name="IQRIPOAF18" localSheetId="4" hidden="1">#REF!</definedName>
    <definedName name="IQRIPOAF18" localSheetId="81" hidden="1">#REF!</definedName>
    <definedName name="IQRIPOAF18" localSheetId="79" hidden="1">#REF!</definedName>
    <definedName name="IQRIPOAF18" localSheetId="45" hidden="1">#REF!</definedName>
    <definedName name="IQRIPOAF18" localSheetId="77" hidden="1">#REF!</definedName>
    <definedName name="IQRIPOAF18" localSheetId="76" hidden="1">#REF!</definedName>
    <definedName name="IQRIPOAF18" localSheetId="30" hidden="1">#REF!</definedName>
    <definedName name="IQRIPOAF18" localSheetId="13" hidden="1">#REF!</definedName>
    <definedName name="IQRIPOAF18" localSheetId="27" hidden="1">#REF!</definedName>
    <definedName name="IQRIPOAF18" hidden="1">#REF!</definedName>
    <definedName name="IQRIPOAF19" localSheetId="38" hidden="1">#REF!</definedName>
    <definedName name="IQRIPOAF19" localSheetId="25" hidden="1">#REF!</definedName>
    <definedName name="IQRIPOAF19" localSheetId="82" hidden="1">#REF!</definedName>
    <definedName name="IQRIPOAF19" localSheetId="39" hidden="1">#REF!</definedName>
    <definedName name="IQRIPOAF19" localSheetId="40" hidden="1">#REF!</definedName>
    <definedName name="IQRIPOAF19" localSheetId="84" hidden="1">#REF!</definedName>
    <definedName name="IQRIPOAF19" localSheetId="4" hidden="1">#REF!</definedName>
    <definedName name="IQRIPOAF19" localSheetId="81" hidden="1">#REF!</definedName>
    <definedName name="IQRIPOAF19" localSheetId="79" hidden="1">#REF!</definedName>
    <definedName name="IQRIPOAF19" localSheetId="45" hidden="1">#REF!</definedName>
    <definedName name="IQRIPOAF19" localSheetId="77" hidden="1">#REF!</definedName>
    <definedName name="IQRIPOAF19" localSheetId="76" hidden="1">#REF!</definedName>
    <definedName name="IQRIPOAF19" localSheetId="30" hidden="1">#REF!</definedName>
    <definedName name="IQRIPOAF19" localSheetId="13" hidden="1">#REF!</definedName>
    <definedName name="IQRIPOAF19" localSheetId="27" hidden="1">#REF!</definedName>
    <definedName name="IQRIPOAF19" hidden="1">#REF!</definedName>
    <definedName name="IQRIPOAF20" localSheetId="38" hidden="1">#REF!</definedName>
    <definedName name="IQRIPOAF20" localSheetId="25" hidden="1">#REF!</definedName>
    <definedName name="IQRIPOAF20" localSheetId="82" hidden="1">#REF!</definedName>
    <definedName name="IQRIPOAF20" localSheetId="39" hidden="1">#REF!</definedName>
    <definedName name="IQRIPOAF20" localSheetId="40" hidden="1">#REF!</definedName>
    <definedName name="IQRIPOAF20" localSheetId="84" hidden="1">#REF!</definedName>
    <definedName name="IQRIPOAF20" localSheetId="4" hidden="1">#REF!</definedName>
    <definedName name="IQRIPOAF20" localSheetId="81" hidden="1">#REF!</definedName>
    <definedName name="IQRIPOAF20" localSheetId="79" hidden="1">#REF!</definedName>
    <definedName name="IQRIPOAF20" localSheetId="45" hidden="1">#REF!</definedName>
    <definedName name="IQRIPOAF20" localSheetId="77" hidden="1">#REF!</definedName>
    <definedName name="IQRIPOAF20" localSheetId="76" hidden="1">#REF!</definedName>
    <definedName name="IQRIPOAF20" localSheetId="30" hidden="1">#REF!</definedName>
    <definedName name="IQRIPOAF20" localSheetId="13" hidden="1">#REF!</definedName>
    <definedName name="IQRIPOAF20" localSheetId="27" hidden="1">#REF!</definedName>
    <definedName name="IQRIPOAF20" hidden="1">#REF!</definedName>
    <definedName name="IQRIPOAF21" localSheetId="38" hidden="1">#REF!</definedName>
    <definedName name="IQRIPOAF21" localSheetId="25" hidden="1">#REF!</definedName>
    <definedName name="IQRIPOAF21" localSheetId="82" hidden="1">#REF!</definedName>
    <definedName name="IQRIPOAF21" localSheetId="39" hidden="1">#REF!</definedName>
    <definedName name="IQRIPOAF21" localSheetId="40" hidden="1">#REF!</definedName>
    <definedName name="IQRIPOAF21" localSheetId="84" hidden="1">#REF!</definedName>
    <definedName name="IQRIPOAF21" localSheetId="4" hidden="1">#REF!</definedName>
    <definedName name="IQRIPOAF21" localSheetId="81" hidden="1">#REF!</definedName>
    <definedName name="IQRIPOAF21" localSheetId="79" hidden="1">#REF!</definedName>
    <definedName name="IQRIPOAF21" localSheetId="45" hidden="1">#REF!</definedName>
    <definedName name="IQRIPOAF21" localSheetId="77" hidden="1">#REF!</definedName>
    <definedName name="IQRIPOAF21" localSheetId="76" hidden="1">#REF!</definedName>
    <definedName name="IQRIPOAF21" localSheetId="30" hidden="1">#REF!</definedName>
    <definedName name="IQRIPOAF21" localSheetId="13" hidden="1">#REF!</definedName>
    <definedName name="IQRIPOAF21" localSheetId="27" hidden="1">#REF!</definedName>
    <definedName name="IQRIPOAF21" hidden="1">#REF!</definedName>
    <definedName name="IQRIPOAF22" localSheetId="38" hidden="1">#REF!</definedName>
    <definedName name="IQRIPOAF22" localSheetId="25" hidden="1">#REF!</definedName>
    <definedName name="IQRIPOAF22" localSheetId="82" hidden="1">#REF!</definedName>
    <definedName name="IQRIPOAF22" localSheetId="39" hidden="1">#REF!</definedName>
    <definedName name="IQRIPOAF22" localSheetId="40" hidden="1">#REF!</definedName>
    <definedName name="IQRIPOAF22" localSheetId="84" hidden="1">#REF!</definedName>
    <definedName name="IQRIPOAF22" localSheetId="4" hidden="1">#REF!</definedName>
    <definedName name="IQRIPOAF22" localSheetId="81" hidden="1">#REF!</definedName>
    <definedName name="IQRIPOAF22" localSheetId="79" hidden="1">#REF!</definedName>
    <definedName name="IQRIPOAF22" localSheetId="45" hidden="1">#REF!</definedName>
    <definedName name="IQRIPOAF22" localSheetId="77" hidden="1">#REF!</definedName>
    <definedName name="IQRIPOAF22" localSheetId="76" hidden="1">#REF!</definedName>
    <definedName name="IQRIPOAF22" localSheetId="30" hidden="1">#REF!</definedName>
    <definedName name="IQRIPOAF22" localSheetId="13" hidden="1">#REF!</definedName>
    <definedName name="IQRIPOAF22" localSheetId="27" hidden="1">#REF!</definedName>
    <definedName name="IQRIPOAF22" hidden="1">#REF!</definedName>
    <definedName name="IQRIPOAF23" localSheetId="38" hidden="1">#REF!</definedName>
    <definedName name="IQRIPOAF23" localSheetId="25" hidden="1">#REF!</definedName>
    <definedName name="IQRIPOAF23" localSheetId="82" hidden="1">#REF!</definedName>
    <definedName name="IQRIPOAF23" localSheetId="39" hidden="1">#REF!</definedName>
    <definedName name="IQRIPOAF23" localSheetId="40" hidden="1">#REF!</definedName>
    <definedName name="IQRIPOAF23" localSheetId="84" hidden="1">#REF!</definedName>
    <definedName name="IQRIPOAF23" localSheetId="4" hidden="1">#REF!</definedName>
    <definedName name="IQRIPOAF23" localSheetId="81" hidden="1">#REF!</definedName>
    <definedName name="IQRIPOAF23" localSheetId="79" hidden="1">#REF!</definedName>
    <definedName name="IQRIPOAF23" localSheetId="45" hidden="1">#REF!</definedName>
    <definedName name="IQRIPOAF23" localSheetId="77" hidden="1">#REF!</definedName>
    <definedName name="IQRIPOAF23" localSheetId="76" hidden="1">#REF!</definedName>
    <definedName name="IQRIPOAF23" localSheetId="30" hidden="1">#REF!</definedName>
    <definedName name="IQRIPOAF23" localSheetId="13" hidden="1">#REF!</definedName>
    <definedName name="IQRIPOAF23" localSheetId="27" hidden="1">#REF!</definedName>
    <definedName name="IQRIPOAF23" hidden="1">#REF!</definedName>
    <definedName name="IQRIPOAF24" localSheetId="38" hidden="1">#REF!</definedName>
    <definedName name="IQRIPOAF24" localSheetId="25" hidden="1">#REF!</definedName>
    <definedName name="IQRIPOAF24" localSheetId="82" hidden="1">#REF!</definedName>
    <definedName name="IQRIPOAF24" localSheetId="39" hidden="1">#REF!</definedName>
    <definedName name="IQRIPOAF24" localSheetId="40" hidden="1">#REF!</definedName>
    <definedName name="IQRIPOAF24" localSheetId="84" hidden="1">#REF!</definedName>
    <definedName name="IQRIPOAF24" localSheetId="4" hidden="1">#REF!</definedName>
    <definedName name="IQRIPOAF24" localSheetId="81" hidden="1">#REF!</definedName>
    <definedName name="IQRIPOAF24" localSheetId="79" hidden="1">#REF!</definedName>
    <definedName name="IQRIPOAF24" localSheetId="45" hidden="1">#REF!</definedName>
    <definedName name="IQRIPOAF24" localSheetId="77" hidden="1">#REF!</definedName>
    <definedName name="IQRIPOAF24" localSheetId="76" hidden="1">#REF!</definedName>
    <definedName name="IQRIPOAF24" localSheetId="30" hidden="1">#REF!</definedName>
    <definedName name="IQRIPOAF24" localSheetId="13" hidden="1">#REF!</definedName>
    <definedName name="IQRIPOAF24" localSheetId="27" hidden="1">#REF!</definedName>
    <definedName name="IQRIPOAF24" hidden="1">#REF!</definedName>
    <definedName name="IQRIPOAF25" localSheetId="38" hidden="1">[12]IPO!#REF!</definedName>
    <definedName name="IQRIPOAF25" localSheetId="25" hidden="1">[12]IPO!#REF!</definedName>
    <definedName name="IQRIPOAF25" localSheetId="82" hidden="1">[12]IPO!#REF!</definedName>
    <definedName name="IQRIPOAF25" localSheetId="39" hidden="1">[12]IPO!#REF!</definedName>
    <definedName name="IQRIPOAF25" localSheetId="40" hidden="1">[12]IPO!#REF!</definedName>
    <definedName name="IQRIPOAF25" localSheetId="84" hidden="1">[12]IPO!#REF!</definedName>
    <definedName name="IQRIPOAF25" localSheetId="4" hidden="1">[12]IPO!#REF!</definedName>
    <definedName name="IQRIPOAF25" localSheetId="81" hidden="1">[13]IPO!#REF!</definedName>
    <definedName name="IQRIPOAF25" localSheetId="79" hidden="1">[12]IPO!#REF!</definedName>
    <definedName name="IQRIPOAF25" localSheetId="32" hidden="1">[14]IPO!#REF!</definedName>
    <definedName name="IQRIPOAF25" localSheetId="45" hidden="1">[12]IPO!#REF!</definedName>
    <definedName name="IQRIPOAF25" localSheetId="77" hidden="1">[12]IPO!#REF!</definedName>
    <definedName name="IQRIPOAF25" localSheetId="76" hidden="1">[12]IPO!#REF!</definedName>
    <definedName name="IQRIPOAF25" localSheetId="30" hidden="1">[12]IPO!#REF!</definedName>
    <definedName name="IQRIPOAF25" localSheetId="13" hidden="1">[12]IPO!#REF!</definedName>
    <definedName name="IQRIPOAF25" localSheetId="27" hidden="1">[12]IPO!#REF!</definedName>
    <definedName name="IQRIPOAF25" hidden="1">[12]IPO!#REF!</definedName>
    <definedName name="IQRIPOAF26" localSheetId="38" hidden="1">#REF!</definedName>
    <definedName name="IQRIPOAF26" localSheetId="25" hidden="1">#REF!</definedName>
    <definedName name="IQRIPOAF26" localSheetId="82" hidden="1">#REF!</definedName>
    <definedName name="IQRIPOAF26" localSheetId="39" hidden="1">#REF!</definedName>
    <definedName name="IQRIPOAF26" localSheetId="40" hidden="1">#REF!</definedName>
    <definedName name="IQRIPOAF26" localSheetId="84" hidden="1">#REF!</definedName>
    <definedName name="IQRIPOAF26" localSheetId="4" hidden="1">#REF!</definedName>
    <definedName name="IQRIPOAF26" localSheetId="81" hidden="1">#REF!</definedName>
    <definedName name="IQRIPOAF26" localSheetId="79" hidden="1">#REF!</definedName>
    <definedName name="IQRIPOAF26" localSheetId="45" hidden="1">#REF!</definedName>
    <definedName name="IQRIPOAF26" localSheetId="77" hidden="1">#REF!</definedName>
    <definedName name="IQRIPOAF26" localSheetId="76" hidden="1">#REF!</definedName>
    <definedName name="IQRIPOAF26" localSheetId="30" hidden="1">#REF!</definedName>
    <definedName name="IQRIPOAF26" localSheetId="13" hidden="1">#REF!</definedName>
    <definedName name="IQRIPOAF26" localSheetId="27" hidden="1">#REF!</definedName>
    <definedName name="IQRIPOAF26" hidden="1">#REF!</definedName>
    <definedName name="IQRIPOAF27" localSheetId="38" hidden="1">#REF!</definedName>
    <definedName name="IQRIPOAF27" localSheetId="25" hidden="1">#REF!</definedName>
    <definedName name="IQRIPOAF27" localSheetId="82" hidden="1">#REF!</definedName>
    <definedName name="IQRIPOAF27" localSheetId="39" hidden="1">#REF!</definedName>
    <definedName name="IQRIPOAF27" localSheetId="40" hidden="1">#REF!</definedName>
    <definedName name="IQRIPOAF27" localSheetId="84" hidden="1">#REF!</definedName>
    <definedName name="IQRIPOAF27" localSheetId="4" hidden="1">#REF!</definedName>
    <definedName name="IQRIPOAF27" localSheetId="81" hidden="1">#REF!</definedName>
    <definedName name="IQRIPOAF27" localSheetId="79" hidden="1">#REF!</definedName>
    <definedName name="IQRIPOAF27" localSheetId="45" hidden="1">#REF!</definedName>
    <definedName name="IQRIPOAF27" localSheetId="77" hidden="1">#REF!</definedName>
    <definedName name="IQRIPOAF27" localSheetId="76" hidden="1">#REF!</definedName>
    <definedName name="IQRIPOAF27" localSheetId="30" hidden="1">#REF!</definedName>
    <definedName name="IQRIPOAF27" localSheetId="13" hidden="1">#REF!</definedName>
    <definedName name="IQRIPOAF27" localSheetId="27" hidden="1">#REF!</definedName>
    <definedName name="IQRIPOAF27" hidden="1">#REF!</definedName>
    <definedName name="IQRIPOAF28" localSheetId="38" hidden="1">#REF!</definedName>
    <definedName name="IQRIPOAF28" localSheetId="25" hidden="1">#REF!</definedName>
    <definedName name="IQRIPOAF28" localSheetId="82" hidden="1">#REF!</definedName>
    <definedName name="IQRIPOAF28" localSheetId="39" hidden="1">#REF!</definedName>
    <definedName name="IQRIPOAF28" localSheetId="40" hidden="1">#REF!</definedName>
    <definedName name="IQRIPOAF28" localSheetId="84" hidden="1">#REF!</definedName>
    <definedName name="IQRIPOAF28" localSheetId="4" hidden="1">#REF!</definedName>
    <definedName name="IQRIPOAF28" localSheetId="81" hidden="1">#REF!</definedName>
    <definedName name="IQRIPOAF28" localSheetId="79" hidden="1">#REF!</definedName>
    <definedName name="IQRIPOAF28" localSheetId="45" hidden="1">#REF!</definedName>
    <definedName name="IQRIPOAF28" localSheetId="77" hidden="1">#REF!</definedName>
    <definedName name="IQRIPOAF28" localSheetId="76" hidden="1">#REF!</definedName>
    <definedName name="IQRIPOAF28" localSheetId="30" hidden="1">#REF!</definedName>
    <definedName name="IQRIPOAF28" localSheetId="13" hidden="1">#REF!</definedName>
    <definedName name="IQRIPOAF28" localSheetId="27" hidden="1">#REF!</definedName>
    <definedName name="IQRIPOAF28" hidden="1">#REF!</definedName>
    <definedName name="IQRIPOAF29" localSheetId="38" hidden="1">[12]IPO!#REF!</definedName>
    <definedName name="IQRIPOAF29" localSheetId="25" hidden="1">[12]IPO!#REF!</definedName>
    <definedName name="IQRIPOAF29" localSheetId="82" hidden="1">[12]IPO!#REF!</definedName>
    <definedName name="IQRIPOAF29" localSheetId="39" hidden="1">[12]IPO!#REF!</definedName>
    <definedName name="IQRIPOAF29" localSheetId="40" hidden="1">[12]IPO!#REF!</definedName>
    <definedName name="IQRIPOAF29" localSheetId="84" hidden="1">[12]IPO!#REF!</definedName>
    <definedName name="IQRIPOAF29" localSheetId="4" hidden="1">[12]IPO!#REF!</definedName>
    <definedName name="IQRIPOAF29" localSheetId="81" hidden="1">[13]IPO!#REF!</definedName>
    <definedName name="IQRIPOAF29" localSheetId="79" hidden="1">[12]IPO!#REF!</definedName>
    <definedName name="IQRIPOAF29" localSheetId="32" hidden="1">[14]IPO!#REF!</definedName>
    <definedName name="IQRIPOAF29" localSheetId="45" hidden="1">[12]IPO!#REF!</definedName>
    <definedName name="IQRIPOAF29" localSheetId="77" hidden="1">[12]IPO!#REF!</definedName>
    <definedName name="IQRIPOAF29" localSheetId="76" hidden="1">[12]IPO!#REF!</definedName>
    <definedName name="IQRIPOAF29" localSheetId="30" hidden="1">[12]IPO!#REF!</definedName>
    <definedName name="IQRIPOAF29" localSheetId="13" hidden="1">[12]IPO!#REF!</definedName>
    <definedName name="IQRIPOAF29" localSheetId="27" hidden="1">[12]IPO!#REF!</definedName>
    <definedName name="IQRIPOAF29" hidden="1">[12]IPO!#REF!</definedName>
    <definedName name="IQRJ22" hidden="1">"$J$23:$J$42"</definedName>
    <definedName name="IQRK9" hidden="1">"$K$10:$K$1268"</definedName>
    <definedName name="IQRL3" hidden="1">"$L$4:$L$55"</definedName>
    <definedName name="IQRM22" hidden="1">"$M$23:$M$42"</definedName>
    <definedName name="IQRM3" hidden="1">"$M$4:$M$55"</definedName>
    <definedName name="IQRN3" hidden="1">"$N$4:$N$67"</definedName>
    <definedName name="IQROptionValI16" localSheetId="38" hidden="1">'[15]Option Val.'!#REF!</definedName>
    <definedName name="IQROptionValI16" localSheetId="25" hidden="1">'[15]Option Val.'!#REF!</definedName>
    <definedName name="IQROptionValI16" localSheetId="82" hidden="1">'[15]Option Val.'!#REF!</definedName>
    <definedName name="IQROptionValI16" localSheetId="39" hidden="1">'[15]Option Val.'!#REF!</definedName>
    <definedName name="IQROptionValI16" localSheetId="40" hidden="1">'[15]Option Val.'!#REF!</definedName>
    <definedName name="IQROptionValI16" localSheetId="84" hidden="1">'[15]Option Val.'!#REF!</definedName>
    <definedName name="IQROptionValI16" localSheetId="4" hidden="1">'[15]Option Val.'!#REF!</definedName>
    <definedName name="IQROptionValI16" localSheetId="81" hidden="1">'[16]Option Val.'!#REF!</definedName>
    <definedName name="IQROptionValI16" localSheetId="79" hidden="1">'[15]Option Val.'!#REF!</definedName>
    <definedName name="IQROptionValI16" localSheetId="32" hidden="1">'[16]Option Val.'!#REF!</definedName>
    <definedName name="IQROptionValI16" localSheetId="13" hidden="1">'[15]Option Val.'!#REF!</definedName>
    <definedName name="IQROptionValI16" localSheetId="27" hidden="1">'[15]Option Val.'!#REF!</definedName>
    <definedName name="IQROptionValI16" hidden="1">'[15]Option Val.'!#REF!</definedName>
    <definedName name="IQRP22" hidden="1">"$P$23:$P$42"</definedName>
    <definedName name="IQRS22" hidden="1">"$S$23:$S$42"</definedName>
    <definedName name="IQRT22" hidden="1">"$T$23:$T$32"</definedName>
    <definedName name="IQRU14" hidden="1">"$U$15:$U$266"</definedName>
    <definedName name="IQRV22" hidden="1">"$V$23:$V$42"</definedName>
    <definedName name="IQRWACCCapIQBV10" localSheetId="38" hidden="1">#REF!</definedName>
    <definedName name="IQRWACCCapIQBV10" localSheetId="25" hidden="1">#REF!</definedName>
    <definedName name="IQRWACCCapIQBV10" localSheetId="82" hidden="1">#REF!</definedName>
    <definedName name="IQRWACCCapIQBV10" localSheetId="39" hidden="1">#REF!</definedName>
    <definedName name="IQRWACCCapIQBV10" localSheetId="40" hidden="1">#REF!</definedName>
    <definedName name="IQRWACCCapIQBV10" localSheetId="84" hidden="1">#REF!</definedName>
    <definedName name="IQRWACCCapIQBV10" localSheetId="4" hidden="1">#REF!</definedName>
    <definedName name="IQRWACCCapIQBV10" localSheetId="79" hidden="1">#REF!</definedName>
    <definedName name="IQRWACCCapIQBV10" localSheetId="13" hidden="1">#REF!</definedName>
    <definedName name="IQRWACCCapIQBV10" localSheetId="27" hidden="1">#REF!</definedName>
    <definedName name="IQRWACCCapIQBV10" hidden="1">#REF!</definedName>
    <definedName name="IQRWACCCapIQCD10" localSheetId="38" hidden="1">#REF!</definedName>
    <definedName name="IQRWACCCapIQCD10" localSheetId="25" hidden="1">#REF!</definedName>
    <definedName name="IQRWACCCapIQCD10" localSheetId="82" hidden="1">#REF!</definedName>
    <definedName name="IQRWACCCapIQCD10" localSheetId="39" hidden="1">#REF!</definedName>
    <definedName name="IQRWACCCapIQCD10" localSheetId="40" hidden="1">#REF!</definedName>
    <definedName name="IQRWACCCapIQCD10" localSheetId="84" hidden="1">#REF!</definedName>
    <definedName name="IQRWACCCapIQCD10" localSheetId="4" hidden="1">#REF!</definedName>
    <definedName name="IQRWACCCapIQCD10" localSheetId="79" hidden="1">#REF!</definedName>
    <definedName name="IQRWACCCapIQCD10" localSheetId="13" hidden="1">#REF!</definedName>
    <definedName name="IQRWACCCapIQCD10" localSheetId="27" hidden="1">#REF!</definedName>
    <definedName name="IQRWACCCapIQCD10" hidden="1">#REF!</definedName>
    <definedName name="IQRY22" hidden="1">"$Y$23:$Y$42"</definedName>
    <definedName name="IsColHidden" hidden="1">FALSE</definedName>
    <definedName name="IsLTMColHidden" hidden="1">FALSE</definedName>
    <definedName name="iughil" localSheetId="38" hidden="1">#REF!</definedName>
    <definedName name="iughil" localSheetId="39" hidden="1">#REF!</definedName>
    <definedName name="iughil" localSheetId="79" hidden="1">#REF!</definedName>
    <definedName name="iughil" localSheetId="53" hidden="1">#REF!</definedName>
    <definedName name="iughil" localSheetId="13" hidden="1">#REF!</definedName>
    <definedName name="iughil" localSheetId="27" hidden="1">#REF!</definedName>
    <definedName name="iughil" localSheetId="51" hidden="1">#REF!</definedName>
    <definedName name="iughil" hidden="1">#REF!</definedName>
    <definedName name="jjj" localSheetId="81" hidden="1">{#N/A,#N/A,FALSE,"Bakersfield PCs";#N/A,#N/A,FALSE,"Bremer PCs";#N/A,#N/A,FALSE,"Bakersfield Notebooks"}</definedName>
    <definedName name="jjj" localSheetId="32" hidden="1">{#N/A,#N/A,FALSE,"Bakersfield PCs";#N/A,#N/A,FALSE,"Bremer PCs";#N/A,#N/A,FALSE,"Bakersfield Notebooks"}</definedName>
    <definedName name="jjj" localSheetId="13" hidden="1">{#N/A,#N/A,FALSE,"Bakersfield PCs";#N/A,#N/A,FALSE,"Bremer PCs";#N/A,#N/A,FALSE,"Bakersfield Notebooks"}</definedName>
    <definedName name="jjj" hidden="1">{#N/A,#N/A,FALSE,"Bakersfield PCs";#N/A,#N/A,FALSE,"Bremer PCs";#N/A,#N/A,FALSE,"Bakersfield Notebooks"}</definedName>
    <definedName name="jlklkjlk" localSheetId="81" hidden="1">{#N/A,#N/A,FALSE,"Bakersfield PCs";#N/A,#N/A,FALSE,"Bremer PCs";#N/A,#N/A,FALSE,"Bakersfield Notebooks"}</definedName>
    <definedName name="jlklkjlk" localSheetId="32" hidden="1">{#N/A,#N/A,FALSE,"Bakersfield PCs";#N/A,#N/A,FALSE,"Bremer PCs";#N/A,#N/A,FALSE,"Bakersfield Notebooks"}</definedName>
    <definedName name="jlklkjlk" localSheetId="13" hidden="1">{#N/A,#N/A,FALSE,"Bakersfield PCs";#N/A,#N/A,FALSE,"Bremer PCs";#N/A,#N/A,FALSE,"Bakersfield Notebooks"}</definedName>
    <definedName name="jlklkjlk" hidden="1">{#N/A,#N/A,FALSE,"Bakersfield PCs";#N/A,#N/A,FALSE,"Bremer PCs";#N/A,#N/A,FALSE,"Bakersfield Notebooks"}</definedName>
    <definedName name="K2_WBEVMODE" hidden="1">-1</definedName>
    <definedName name="kin" localSheetId="38" hidden="1">#REF!</definedName>
    <definedName name="kin" localSheetId="25" hidden="1">#REF!</definedName>
    <definedName name="kin" localSheetId="82" hidden="1">#REF!</definedName>
    <definedName name="kin" localSheetId="39" hidden="1">#REF!</definedName>
    <definedName name="kin" localSheetId="40" hidden="1">#REF!</definedName>
    <definedName name="kin" localSheetId="84" hidden="1">#REF!</definedName>
    <definedName name="kin" localSheetId="4" hidden="1">#REF!</definedName>
    <definedName name="kin" localSheetId="81" hidden="1">#REF!</definedName>
    <definedName name="kin" localSheetId="79" hidden="1">#REF!</definedName>
    <definedName name="kin" localSheetId="45" hidden="1">#REF!</definedName>
    <definedName name="kin" localSheetId="77" hidden="1">#REF!</definedName>
    <definedName name="kin" localSheetId="76" hidden="1">#REF!</definedName>
    <definedName name="kin" localSheetId="30" hidden="1">#REF!</definedName>
    <definedName name="kin" localSheetId="13" hidden="1">#REF!</definedName>
    <definedName name="kin" localSheetId="27" hidden="1">#REF!</definedName>
    <definedName name="kin" hidden="1">#REF!</definedName>
    <definedName name="kl">#N/A</definedName>
    <definedName name="Last_Row" localSheetId="32">#N/A</definedName>
    <definedName name="Last_Row">#N/A</definedName>
    <definedName name="Ledger_Code" hidden="1">" "</definedName>
    <definedName name="Ledger_Selection" hidden="1">" "</definedName>
    <definedName name="LicenseCOS">0.01</definedName>
    <definedName name="limcount" hidden="1">2</definedName>
    <definedName name="lin" localSheetId="38" hidden="1">#REF!</definedName>
    <definedName name="lin" localSheetId="25" hidden="1">#REF!</definedName>
    <definedName name="lin" localSheetId="82" hidden="1">#REF!</definedName>
    <definedName name="lin" localSheetId="39" hidden="1">#REF!</definedName>
    <definedName name="lin" localSheetId="40" hidden="1">#REF!</definedName>
    <definedName name="lin" localSheetId="84" hidden="1">#REF!</definedName>
    <definedName name="lin" localSheetId="4" hidden="1">#REF!</definedName>
    <definedName name="lin" localSheetId="81" hidden="1">#REF!</definedName>
    <definedName name="lin" localSheetId="79" hidden="1">#REF!</definedName>
    <definedName name="lin" localSheetId="45" hidden="1">#REF!</definedName>
    <definedName name="lin" localSheetId="77" hidden="1">#REF!</definedName>
    <definedName name="lin" localSheetId="76" hidden="1">#REF!</definedName>
    <definedName name="lin" localSheetId="30" hidden="1">#REF!</definedName>
    <definedName name="lin" localSheetId="13" hidden="1">#REF!</definedName>
    <definedName name="lin" localSheetId="27" hidden="1">#REF!</definedName>
    <definedName name="lin" hidden="1">#REF!</definedName>
    <definedName name="ListOffset" hidden="1">1</definedName>
    <definedName name="LOC">20000000</definedName>
    <definedName name="Maintenance">0.15</definedName>
    <definedName name="mb_inputLocation" localSheetId="38" hidden="1">#REF!</definedName>
    <definedName name="mb_inputLocation" localSheetId="25" hidden="1">#REF!</definedName>
    <definedName name="mb_inputLocation" localSheetId="82" hidden="1">#REF!</definedName>
    <definedName name="mb_inputLocation" localSheetId="39" hidden="1">#REF!</definedName>
    <definedName name="mb_inputLocation" localSheetId="40" hidden="1">#REF!</definedName>
    <definedName name="mb_inputLocation" localSheetId="84" hidden="1">#REF!</definedName>
    <definedName name="mb_inputLocation" localSheetId="4" hidden="1">#REF!</definedName>
    <definedName name="mb_inputLocation" localSheetId="79" hidden="1">#REF!</definedName>
    <definedName name="mb_inputLocation" localSheetId="45" hidden="1">#REF!</definedName>
    <definedName name="mb_inputLocation" localSheetId="77" hidden="1">#REF!</definedName>
    <definedName name="mb_inputLocation" localSheetId="76" hidden="1">#REF!</definedName>
    <definedName name="mb_inputLocation" localSheetId="30" hidden="1">#REF!</definedName>
    <definedName name="mb_inputLocation" localSheetId="13" hidden="1">#REF!</definedName>
    <definedName name="mb_inputLocation" localSheetId="27" hidden="1">#REF!</definedName>
    <definedName name="mb_inputLocation" hidden="1">#REF!</definedName>
    <definedName name="medmult" localSheetId="38" hidden="1">#REF!</definedName>
    <definedName name="medmult" localSheetId="25" hidden="1">#REF!</definedName>
    <definedName name="medmult" localSheetId="82" hidden="1">#REF!</definedName>
    <definedName name="medmult" localSheetId="39" hidden="1">#REF!</definedName>
    <definedName name="medmult" localSheetId="40" hidden="1">#REF!</definedName>
    <definedName name="medmult" localSheetId="84" hidden="1">#REF!</definedName>
    <definedName name="medmult" localSheetId="4" hidden="1">#REF!</definedName>
    <definedName name="medmult" localSheetId="79" hidden="1">#REF!</definedName>
    <definedName name="medmult" localSheetId="45" hidden="1">#REF!</definedName>
    <definedName name="medmult" localSheetId="77" hidden="1">#REF!</definedName>
    <definedName name="medmult" localSheetId="76" hidden="1">#REF!</definedName>
    <definedName name="medmult" localSheetId="30" hidden="1">#REF!</definedName>
    <definedName name="medmult" localSheetId="13" hidden="1">#REF!</definedName>
    <definedName name="medmult" localSheetId="27" hidden="1">#REF!</definedName>
    <definedName name="medmult" hidden="1">#REF!</definedName>
    <definedName name="Month_ID" hidden="1">" "</definedName>
    <definedName name="New" localSheetId="81" hidden="1">{#N/A,#N/A,FALSE,"Title Page";#N/A,#N/A,FALSE,"Conclusions";#N/A,#N/A,FALSE,"Assum.";#N/A,#N/A,FALSE,"Sun  DCF-WC-Dep";#N/A,#N/A,FALSE,"MarketValue";#N/A,#N/A,FALSE,"BalSheet";#N/A,#N/A,FALSE,"WACC";#N/A,#N/A,FALSE,"PC+ Info.";#N/A,#N/A,FALSE,"PC+Info_2"}</definedName>
    <definedName name="New" localSheetId="32" hidden="1">{#N/A,#N/A,FALSE,"Title Page";#N/A,#N/A,FALSE,"Conclusions";#N/A,#N/A,FALSE,"Assum.";#N/A,#N/A,FALSE,"Sun  DCF-WC-Dep";#N/A,#N/A,FALSE,"MarketValue";#N/A,#N/A,FALSE,"BalSheet";#N/A,#N/A,FALSE,"WACC";#N/A,#N/A,FALSE,"PC+ Info.";#N/A,#N/A,FALSE,"PC+Info_2"}</definedName>
    <definedName name="New" localSheetId="13" hidden="1">{#N/A,#N/A,FALSE,"Title Page";#N/A,#N/A,FALSE,"Conclusions";#N/A,#N/A,FALSE,"Assum.";#N/A,#N/A,FALSE,"Sun  DCF-WC-Dep";#N/A,#N/A,FALSE,"MarketValue";#N/A,#N/A,FALSE,"BalSheet";#N/A,#N/A,FALSE,"WACC";#N/A,#N/A,FALSE,"PC+ Info.";#N/A,#N/A,FALSE,"PC+Info_2"}</definedName>
    <definedName name="New" hidden="1">{#N/A,#N/A,FALSE,"Title Page";#N/A,#N/A,FALSE,"Conclusions";#N/A,#N/A,FALSE,"Assum.";#N/A,#N/A,FALSE,"Sun  DCF-WC-Dep";#N/A,#N/A,FALSE,"MarketValue";#N/A,#N/A,FALSE,"BalSheet";#N/A,#N/A,FALSE,"WACC";#N/A,#N/A,FALSE,"PC+ Info.";#N/A,#N/A,FALSE,"PC+Info_2"}</definedName>
    <definedName name="NewHire">8500</definedName>
    <definedName name="newJSECcustomer" localSheetId="81" hidden="1">{#N/A,#N/A,FALSE,"Title Page";#N/A,#N/A,FALSE,"Conclusions";#N/A,#N/A,FALSE,"Assum.";#N/A,#N/A,FALSE,"Sun  DCF-WC-Dep";#N/A,#N/A,FALSE,"MarketValue";#N/A,#N/A,FALSE,"BalSheet";#N/A,#N/A,FALSE,"WACC";#N/A,#N/A,FALSE,"PC+ Info.";#N/A,#N/A,FALSE,"PC+Info_2"}</definedName>
    <definedName name="newJSECcustomer" localSheetId="32" hidden="1">{#N/A,#N/A,FALSE,"Title Page";#N/A,#N/A,FALSE,"Conclusions";#N/A,#N/A,FALSE,"Assum.";#N/A,#N/A,FALSE,"Sun  DCF-WC-Dep";#N/A,#N/A,FALSE,"MarketValue";#N/A,#N/A,FALSE,"BalSheet";#N/A,#N/A,FALSE,"WACC";#N/A,#N/A,FALSE,"PC+ Info.";#N/A,#N/A,FALSE,"PC+Info_2"}</definedName>
    <definedName name="newJSECcustomer" localSheetId="13" hidden="1">{#N/A,#N/A,FALSE,"Title Page";#N/A,#N/A,FALSE,"Conclusions";#N/A,#N/A,FALSE,"Assum.";#N/A,#N/A,FALSE,"Sun  DCF-WC-Dep";#N/A,#N/A,FALSE,"MarketValue";#N/A,#N/A,FALSE,"BalSheet";#N/A,#N/A,FALSE,"WACC";#N/A,#N/A,FALSE,"PC+ Info.";#N/A,#N/A,FALSE,"PC+Info_2"}</definedName>
    <definedName name="newJSECcustomer" hidden="1">{#N/A,#N/A,FALSE,"Title Page";#N/A,#N/A,FALSE,"Conclusions";#N/A,#N/A,FALSE,"Assum.";#N/A,#N/A,FALSE,"Sun  DCF-WC-Dep";#N/A,#N/A,FALSE,"MarketValue";#N/A,#N/A,FALSE,"BalSheet";#N/A,#N/A,FALSE,"WACC";#N/A,#N/A,FALSE,"PC+ Info.";#N/A,#N/A,FALSE,"PC+Info_2"}</definedName>
    <definedName name="NextLeft">!IV1</definedName>
    <definedName name="NextUp">!A65536</definedName>
    <definedName name="nn" localSheetId="81" hidden="1">{#N/A,#N/A,FALSE,"Bakersfield PCs";#N/A,#N/A,FALSE,"Bremer PCs";#N/A,#N/A,FALSE,"Bakersfield Notebooks"}</definedName>
    <definedName name="nn" localSheetId="32" hidden="1">{#N/A,#N/A,FALSE,"Bakersfield PCs";#N/A,#N/A,FALSE,"Bremer PCs";#N/A,#N/A,FALSE,"Bakersfield Notebooks"}</definedName>
    <definedName name="nn" localSheetId="13" hidden="1">{#N/A,#N/A,FALSE,"Bakersfield PCs";#N/A,#N/A,FALSE,"Bremer PCs";#N/A,#N/A,FALSE,"Bakersfield Notebooks"}</definedName>
    <definedName name="nn" hidden="1">{#N/A,#N/A,FALSE,"Bakersfield PCs";#N/A,#N/A,FALSE,"Bremer PCs";#N/A,#N/A,FALSE,"Bakersfield Notebooks"}</definedName>
    <definedName name="Number_of_Payments" localSheetId="38">MATCH(0.01,End_Bal,-1)+1</definedName>
    <definedName name="Number_of_Payments" localSheetId="25">MATCH(0.01,End_Bal,-1)+1</definedName>
    <definedName name="Number_of_Payments" localSheetId="82">MATCH(0.01,End_Bal,-1)+1</definedName>
    <definedName name="Number_of_Payments" localSheetId="39">MATCH(0.01,End_Bal,-1)+1</definedName>
    <definedName name="Number_of_Payments" localSheetId="40">MATCH(0.01,End_Bal,-1)+1</definedName>
    <definedName name="Number_of_Payments" localSheetId="84">MATCH(0.01,End_Bal,-1)+1</definedName>
    <definedName name="Number_of_Payments" localSheetId="4">MATCH(0.01,End_Bal,-1)+1</definedName>
    <definedName name="Number_of_Payments" localSheetId="79">MATCH(0.01,End_Bal,-1)+1</definedName>
    <definedName name="Number_of_Payments" localSheetId="13">MATCH(0.01,End_Bal,-1)+1</definedName>
    <definedName name="Number_of_Payments" localSheetId="27">MATCH(0.01,End_Bal,-1)+1</definedName>
    <definedName name="Number_of_Payments">MATCH(0.01,End_Bal,-1)+1</definedName>
    <definedName name="NvsAnswerCol">"[ZGL_DETMIKE.xls]Sheet1!$A$7:$A$25"</definedName>
    <definedName name="NvsASD" localSheetId="32">"V2002-09-30"</definedName>
    <definedName name="NvsASD">"V2005-03-15"</definedName>
    <definedName name="NvsAutoDrillOk">"VN"</definedName>
    <definedName name="NvsElapsedTime" localSheetId="32">0.0000288194423774257</definedName>
    <definedName name="NvsElapsedTime">0.00355324074189411</definedName>
    <definedName name="NvsEndTime" localSheetId="32">37531.5975834491</definedName>
    <definedName name="NvsEndTime">38461.5949421296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 localSheetId="32">"%,XZF.ACCOUNT.PSDetail"</definedName>
    <definedName name="NvsNplSpec">"%,X,RZT.ACCOUNT.,CZF.."</definedName>
    <definedName name="NvsPanelEffdt" localSheetId="32">"V1999-11-02"</definedName>
    <definedName name="NvsPanelEffdt">"V1910-01-01"</definedName>
    <definedName name="NvsPanelSetid" localSheetId="32">"VSHARE"</definedName>
    <definedName name="NvsPanelSetid">"VWORET"</definedName>
    <definedName name="NvsReqBU" localSheetId="32">"VAL000"</definedName>
    <definedName name="NvsReqBU">"VWOMRT"</definedName>
    <definedName name="NvsReqBUOnly">"VN"</definedName>
    <definedName name="NvsTransLed">"VN"</definedName>
    <definedName name="NvsTreeASD" localSheetId="32">"V2002-09-30"</definedName>
    <definedName name="NvsTreeASD">"V2005-03-15"</definedName>
    <definedName name="NvsValTbl.ACCOUNT">"GL_ACCOUNT_TBL"</definedName>
    <definedName name="NvsValTbl.AFFILIATE">"AFFILIATE_VW"</definedName>
    <definedName name="NvsValTbl.BUSINESS_UNIT">"BUS_UNIT_TBL_GL"</definedName>
    <definedName name="NvsValTbl.DEPTID">"DEPARTMENT_TBL"</definedName>
    <definedName name="o" localSheetId="81" hidden="1">{#N/A,#N/A,FALSE,"New Depr Sch-150% DB";#N/A,#N/A,FALSE,"Cash Flows RLP";#N/A,#N/A,FALSE,"IRR";#N/A,#N/A,FALSE,"Proforma IS";#N/A,#N/A,FALSE,"Assumptions"}</definedName>
    <definedName name="o" localSheetId="69" hidden="1">{#N/A,#N/A,FALSE,"New Depr Sch-150% DB";#N/A,#N/A,FALSE,"Cash Flows RLP";#N/A,#N/A,FALSE,"IRR";#N/A,#N/A,FALSE,"Proforma IS";#N/A,#N/A,FALSE,"Assumptions"}</definedName>
    <definedName name="o" localSheetId="32" hidden="1">{#N/A,#N/A,FALSE,"New Depr Sch-150% DB";#N/A,#N/A,FALSE,"Cash Flows RLP";#N/A,#N/A,FALSE,"IRR";#N/A,#N/A,FALSE,"Proforma IS";#N/A,#N/A,FALSE,"Assumptions"}</definedName>
    <definedName name="o" localSheetId="13" hidden="1">{#N/A,#N/A,FALSE,"New Depr Sch-150% DB";#N/A,#N/A,FALSE,"Cash Flows RLP";#N/A,#N/A,FALSE,"IRR";#N/A,#N/A,FALSE,"Proforma IS";#N/A,#N/A,FALSE,"Assumptions"}</definedName>
    <definedName name="o" localSheetId="58" hidden="1">{#N/A,#N/A,FALSE,"New Depr Sch-150% DB";#N/A,#N/A,FALSE,"Cash Flows RLP";#N/A,#N/A,FALSE,"IRR";#N/A,#N/A,FALSE,"Proforma IS";#N/A,#N/A,FALSE,"Assumptions"}</definedName>
    <definedName name="o" hidden="1">{#N/A,#N/A,FALSE,"New Depr Sch-150% DB";#N/A,#N/A,FALSE,"Cash Flows RLP";#N/A,#N/A,FALSE,"IRR";#N/A,#N/A,FALSE,"Proforma IS";#N/A,#N/A,FALSE,"Assumptions"}</definedName>
    <definedName name="ok" localSheetId="81" hidden="1">{"Opsys",#N/A,FALSE,"NPV_OPsys";"NT",#N/A,FALSE,"NPV_NT";"DevP",#N/A,FALSE,"NPV_DevPdt";"Office",#N/A,FALSE,"NPV_Office"}</definedName>
    <definedName name="ok" localSheetId="32" hidden="1">{"Opsys",#N/A,FALSE,"NPV_OPsys";"NT",#N/A,FALSE,"NPV_NT";"DevP",#N/A,FALSE,"NPV_DevPdt";"Office",#N/A,FALSE,"NPV_Office"}</definedName>
    <definedName name="ok" localSheetId="13" hidden="1">{"Opsys",#N/A,FALSE,"NPV_OPsys";"NT",#N/A,FALSE,"NPV_NT";"DevP",#N/A,FALSE,"NPV_DevPdt";"Office",#N/A,FALSE,"NPV_Office"}</definedName>
    <definedName name="ok" hidden="1">{"Opsys",#N/A,FALSE,"NPV_OPsys";"NT",#N/A,FALSE,"NPV_NT";"DevP",#N/A,FALSE,"NPV_DevPdt";"Office",#N/A,FALSE,"NPV_Office"}</definedName>
    <definedName name="oooo" localSheetId="81" hidden="1">{#N/A,#N/A,FALSE,"Bakersfield PCs";#N/A,#N/A,FALSE,"Bremer PCs";#N/A,#N/A,FALSE,"Bakersfield Notebooks"}</definedName>
    <definedName name="oooo" localSheetId="32" hidden="1">{#N/A,#N/A,FALSE,"Bakersfield PCs";#N/A,#N/A,FALSE,"Bremer PCs";#N/A,#N/A,FALSE,"Bakersfield Notebooks"}</definedName>
    <definedName name="oooo" localSheetId="13" hidden="1">{#N/A,#N/A,FALSE,"Bakersfield PCs";#N/A,#N/A,FALSE,"Bremer PCs";#N/A,#N/A,FALSE,"Bakersfield Notebooks"}</definedName>
    <definedName name="oooo" hidden="1">{#N/A,#N/A,FALSE,"Bakersfield PCs";#N/A,#N/A,FALSE,"Bremer PCs";#N/A,#N/A,FALSE,"Bakersfield Notebooks"}</definedName>
    <definedName name="Ownership" localSheetId="38" hidden="1">OFFSET([0]!Data.Top.Left,1,0)</definedName>
    <definedName name="Ownership" localSheetId="25" hidden="1">OFFSET([0]!Data.Top.Left,1,0)</definedName>
    <definedName name="Ownership" localSheetId="82" hidden="1">OFFSET([0]!Data.Top.Left,1,0)</definedName>
    <definedName name="Ownership" localSheetId="39" hidden="1">OFFSET([0]!Data.Top.Left,1,0)</definedName>
    <definedName name="Ownership" localSheetId="40" hidden="1">OFFSET([0]!Data.Top.Left,1,0)</definedName>
    <definedName name="Ownership" localSheetId="84" hidden="1">OFFSET([0]!Data.Top.Left,1,0)</definedName>
    <definedName name="Ownership" localSheetId="4" hidden="1">OFFSET([0]!Data.Top.Left,1,0)</definedName>
    <definedName name="Ownership" localSheetId="81" hidden="1">OFFSET([0]!Data.Top.Left,1,0)</definedName>
    <definedName name="Ownership" localSheetId="79" hidden="1">OFFSET([0]!Data.Top.Left,1,0)</definedName>
    <definedName name="Ownership" localSheetId="53" hidden="1">OFFSET([10]!Data.Top.Left,1,0)</definedName>
    <definedName name="Ownership" localSheetId="32" hidden="1">OFFSET([0]!Data.Top.Left,1,0)</definedName>
    <definedName name="Ownership" localSheetId="45" hidden="1">OFFSET([0]!Data.Top.Left,1,0)</definedName>
    <definedName name="Ownership" localSheetId="77" hidden="1">OFFSET([0]!Data.Top.Left,1,0)</definedName>
    <definedName name="Ownership" localSheetId="76" hidden="1">OFFSET([0]!Data.Top.Left,1,0)</definedName>
    <definedName name="Ownership" localSheetId="30" hidden="1">OFFSET([0]!Data.Top.Left,1,0)</definedName>
    <definedName name="Ownership" localSheetId="13" hidden="1">OFFSET([0]!Data.Top.Left,1,0)</definedName>
    <definedName name="Ownership" localSheetId="27" hidden="1">OFFSET([0]!Data.Top.Left,1,0)</definedName>
    <definedName name="Ownership" localSheetId="51" hidden="1">OFFSET([10]!Data.Top.Left,1,0)</definedName>
    <definedName name="Ownership" hidden="1">OFFSET([0]!Data.Top.Left,1,0)</definedName>
    <definedName name="Payment_Date" localSheetId="38">DATE(YEAR(Loan_Start),MONTH(Loan_Start)+Payment_Number,DAY(Loan_Start))</definedName>
    <definedName name="Payment_Date" localSheetId="25">DATE(YEAR(Loan_Start),MONTH(Loan_Start)+Payment_Number,DAY(Loan_Start))</definedName>
    <definedName name="Payment_Date" localSheetId="82">DATE(YEAR(Loan_Start),MONTH(Loan_Start)+Payment_Number,DAY(Loan_Start))</definedName>
    <definedName name="Payment_Date" localSheetId="39">DATE(YEAR(Loan_Start),MONTH(Loan_Start)+Payment_Number,DAY(Loan_Start))</definedName>
    <definedName name="Payment_Date" localSheetId="40">DATE(YEAR(Loan_Start),MONTH(Loan_Start)+Payment_Number,DAY(Loan_Start))</definedName>
    <definedName name="Payment_Date" localSheetId="84">DATE(YEAR(Loan_Start),MONTH(Loan_Start)+Payment_Number,DAY(Loan_Start))</definedName>
    <definedName name="Payment_Date" localSheetId="4">DATE(YEAR(Loan_Start),MONTH(Loan_Start)+Payment_Number,DAY(Loan_Start))</definedName>
    <definedName name="Payment_Date" localSheetId="79">DATE(YEAR(Loan_Start),MONTH(Loan_Start)+Payment_Number,DAY(Loan_Start))</definedName>
    <definedName name="Payment_Date" localSheetId="32">DATE(YEAR(Loan_Start),MONTH(Loan_Start)+Payment_Number,DAY(Loan_Start))</definedName>
    <definedName name="Payment_Date" localSheetId="13">DATE(YEAR(Loan_Start),MONTH(Loan_Start)+Payment_Number,DAY(Loan_Start))</definedName>
    <definedName name="Payment_Date" localSheetId="27">DATE(YEAR(Loan_Start),MONTH(Loan_Start)+Payment_Number,DAY(Loan_Start))</definedName>
    <definedName name="Payment_Date">DATE(YEAR(Loan_Start),MONTH(Loan_Start)+Payment_Number,DAY(Loan_Start))</definedName>
    <definedName name="PCCnewcustomer" localSheetId="81" hidden="1">{#N/A,#N/A,FALSE,"Title Page";#N/A,#N/A,FALSE,"Conclusions";#N/A,#N/A,FALSE,"Assum.";#N/A,#N/A,FALSE,"Sun  DCF-WC-Dep";#N/A,#N/A,FALSE,"MarketValue";#N/A,#N/A,FALSE,"BalSheet";#N/A,#N/A,FALSE,"WACC";#N/A,#N/A,FALSE,"PC+ Info.";#N/A,#N/A,FALSE,"PC+Info_2"}</definedName>
    <definedName name="PCCnewcustomer" localSheetId="32" hidden="1">{#N/A,#N/A,FALSE,"Title Page";#N/A,#N/A,FALSE,"Conclusions";#N/A,#N/A,FALSE,"Assum.";#N/A,#N/A,FALSE,"Sun  DCF-WC-Dep";#N/A,#N/A,FALSE,"MarketValue";#N/A,#N/A,FALSE,"BalSheet";#N/A,#N/A,FALSE,"WACC";#N/A,#N/A,FALSE,"PC+ Info.";#N/A,#N/A,FALSE,"PC+Info_2"}</definedName>
    <definedName name="PCCnewcustomer" localSheetId="13" hidden="1">{#N/A,#N/A,FALSE,"Title Page";#N/A,#N/A,FALSE,"Conclusions";#N/A,#N/A,FALSE,"Assum.";#N/A,#N/A,FALSE,"Sun  DCF-WC-Dep";#N/A,#N/A,FALSE,"MarketValue";#N/A,#N/A,FALSE,"BalSheet";#N/A,#N/A,FALSE,"WACC";#N/A,#N/A,FALSE,"PC+ Info.";#N/A,#N/A,FALSE,"PC+Info_2"}</definedName>
    <definedName name="PCCnewcustomer" hidden="1">{#N/A,#N/A,FALSE,"Title Page";#N/A,#N/A,FALSE,"Conclusions";#N/A,#N/A,FALSE,"Assum.";#N/A,#N/A,FALSE,"Sun  DCF-WC-Dep";#N/A,#N/A,FALSE,"MarketValue";#N/A,#N/A,FALSE,"BalSheet";#N/A,#N/A,FALSE,"WACC";#N/A,#N/A,FALSE,"PC+ Info.";#N/A,#N/A,FALSE,"PC+Info_2"}</definedName>
    <definedName name="PL5YRP" localSheetId="53" hidden="1">{"ebitda",#N/A,FALSE,"EBITDA";"consolidated",#N/A,FALSE,"CCC PL";"divisions",#N/A,FALSE,"Divisions"}</definedName>
    <definedName name="PL5YRP" localSheetId="13" hidden="1">{"ebitda",#N/A,FALSE,"EBITDA";"consolidated",#N/A,FALSE,"CCC PL";"divisions",#N/A,FALSE,"Divisions"}</definedName>
    <definedName name="PL5YRP" localSheetId="51" hidden="1">{"ebitda",#N/A,FALSE,"EBITDA";"consolidated",#N/A,FALSE,"CCC PL";"divisions",#N/A,FALSE,"Divisions"}</definedName>
    <definedName name="PL5YRP" hidden="1">{"ebitda",#N/A,FALSE,"EBITDA";"consolidated",#N/A,FALSE,"CCC PL";"divisions",#N/A,FALSE,"Divisions"}</definedName>
    <definedName name="ppp" localSheetId="81" hidden="1">{#N/A,#N/A,FALSE,"Bakersfield PCs";#N/A,#N/A,FALSE,"Bremer PCs";#N/A,#N/A,FALSE,"Bakersfield Notebooks"}</definedName>
    <definedName name="ppp" localSheetId="32" hidden="1">{#N/A,#N/A,FALSE,"Bakersfield PCs";#N/A,#N/A,FALSE,"Bremer PCs";#N/A,#N/A,FALSE,"Bakersfield Notebooks"}</definedName>
    <definedName name="ppp" localSheetId="13" hidden="1">{#N/A,#N/A,FALSE,"Bakersfield PCs";#N/A,#N/A,FALSE,"Bremer PCs";#N/A,#N/A,FALSE,"Bakersfield Notebooks"}</definedName>
    <definedName name="ppp" hidden="1">{#N/A,#N/A,FALSE,"Bakersfield PCs";#N/A,#N/A,FALSE,"Bremer PCs";#N/A,#N/A,FALSE,"Bakersfield Notebooks"}</definedName>
    <definedName name="PRASIMSCENARIOS">"early launch,late launch,"</definedName>
    <definedName name="_xlnm.Print_Area" localSheetId="9">'Allocation Method &gt;&gt;'!$A$1:$G$30</definedName>
    <definedName name="_xlnm.Print_Area" localSheetId="37">'Asset Vol Hybrid'!$A$1:$Z$36</definedName>
    <definedName name="_xlnm.Print_Area" localSheetId="38">'Asset Vol Hybrid DLOM'!$A$1:$Z$36</definedName>
    <definedName name="_xlnm.Print_Area" localSheetId="25">'Asset Vol_DLOM'!$A$1:$Z$36</definedName>
    <definedName name="_xlnm.Print_Area" localSheetId="82">'Asset Vol_IPO Early'!$A$1:$Z$36</definedName>
    <definedName name="_xlnm.Print_Area" localSheetId="39">'Asset Vol_IPO_Early'!$A$1:$Z$36</definedName>
    <definedName name="_xlnm.Print_Area" localSheetId="40">'Asset Vol_IPO_Late'!$A$1:$Z$36</definedName>
    <definedName name="_xlnm.Print_Area" localSheetId="83">'Asset Vol_M&amp;A Early'!$A$1:$Z$57</definedName>
    <definedName name="_xlnm.Print_Area" localSheetId="84">'Asset Vol_M&amp;A Late'!$A$1:$Z$57</definedName>
    <definedName name="_xlnm.Print_Area" localSheetId="24">'Asset Vol_OPM'!$A$1:$Z$36</definedName>
    <definedName name="_xlnm.Print_Area" localSheetId="61">'Beta Calc'!$A$1:$S$48</definedName>
    <definedName name="_xlnm.Print_Area" localSheetId="19">'Cap Structure FP &gt;&gt;'!$A$1:$G$30</definedName>
    <definedName name="_xlnm.Print_Area" localSheetId="20">'Cap Table'!$A$1:$N$31</definedName>
    <definedName name="_xlnm.Print_Area" localSheetId="55">'Capital IQ Sheet-GPC'!$A$1:$BZ$75</definedName>
    <definedName name="_xlnm.Print_Area" localSheetId="56">'Capital IQ Sheet-STM'!$A$1:$AJ$69</definedName>
    <definedName name="_xlnm.Print_Area" localSheetId="4">Checklist!$A$1:$F$40</definedName>
    <definedName name="_xlnm.Print_Area" localSheetId="81">'Class Vol'!$A$1:$O$21</definedName>
    <definedName name="_xlnm.Print_Area" localSheetId="17">'Comp.1'!$A$1:$AA$50</definedName>
    <definedName name="_xlnm.Print_Area" localSheetId="85">'Comp.2'!$A$1:$X$50</definedName>
    <definedName name="_xlnm.Print_Area" localSheetId="80">'Comp.4'!$A$1:$R$51</definedName>
    <definedName name="_xlnm.Print_Area" localSheetId="86">'Comp.5'!$A$1:$X$48</definedName>
    <definedName name="_xlnm.Print_Area" localSheetId="18">'Comp.6'!$A$1:$E$40</definedName>
    <definedName name="_xlnm.Print_Area" localSheetId="46">'Comparative Sheet'!$A$1:$H$85</definedName>
    <definedName name="_xlnm.Print_Area" localSheetId="68">DCF!$A$1:$P$87</definedName>
    <definedName name="_xlnm.Print_Area" localSheetId="69">'Depreciation - MACRS'!$A$1:$Q$47</definedName>
    <definedName name="_xlnm.Print_Area" localSheetId="87">'Discount Rate FP &gt;&gt;'!$A$1:$G$30</definedName>
    <definedName name="_xlnm.Print_Area" localSheetId="36">'DLOM Hybrid'!$A$1:$J$58</definedName>
    <definedName name="_xlnm.Print_Area" localSheetId="79">'DLOM Hybrid_Class'!$A$1:$J$48</definedName>
    <definedName name="_xlnm.Print_Area" localSheetId="73">'DLOM Rest Stock'!$A$1:$K$21</definedName>
    <definedName name="_xlnm.Print_Area" localSheetId="23">DLOM_OPM!$A$1:$G$71</definedName>
    <definedName name="_xlnm.Print_Area" localSheetId="21">'Econ Rights'!$A$1:$K$49</definedName>
    <definedName name="_xlnm.Print_Area" localSheetId="26">'Equity Vol'!$A$1:$L$30</definedName>
    <definedName name="_xlnm.Print_Area" localSheetId="71">'Exit Probability'!$A$1:$H$61</definedName>
    <definedName name="_xlnm.Print_Area" localSheetId="12">'Financials &gt;&gt;'!$A$1:$G$30</definedName>
    <definedName name="_xlnm.Print_Area" localSheetId="16">'GCM FP &gt;&gt;'!$A$1:$G$30</definedName>
    <definedName name="_xlnm.Print_Area" localSheetId="66">'GCM SUMM'!$A$1:$S$58</definedName>
    <definedName name="_xlnm.Print_Area" localSheetId="57">'GPC Linked'!$A$1:$BZ$74</definedName>
    <definedName name="_xlnm.Print_Area" localSheetId="63">'GTM FP &gt;&gt;'!$A$1:$G$30</definedName>
    <definedName name="_xlnm.Print_Area" localSheetId="67">'GTM SUMM'!$A$1:$S$59</definedName>
    <definedName name="_xlnm.Print_Area" localSheetId="15">'Hist BS'!$A$1:$P$61</definedName>
    <definedName name="_xlnm.Print_Area" localSheetId="14">'Hist IS'!$A$1:$H$47</definedName>
    <definedName name="_xlnm.Print_Area" localSheetId="32">'Hybrid OPM'!$A$1:$G$53</definedName>
    <definedName name="_xlnm.Print_Area" localSheetId="45">'IPO Data_BioPharma'!$A$1:$Q$173</definedName>
    <definedName name="_xlnm.Print_Area" localSheetId="77">'IPO Data_Diagnostic'!$A$1:$Q$137</definedName>
    <definedName name="_xlnm.Print_Area" localSheetId="76">'IPO Data_Med Device'!$A$1:$Z$47</definedName>
    <definedName name="_xlnm.Print_Area" localSheetId="33">'IPO Waterfall'!$A$2:$F$165</definedName>
    <definedName name="_xlnm.Print_Area" localSheetId="74">'Lack Voting'!$A$1:$G$48</definedName>
    <definedName name="_xlnm.Print_Area" localSheetId="75">'Licensing Deals'!$A$1:$L$144</definedName>
    <definedName name="_xlnm.Print_Area" localSheetId="44">'Market Trends since Prior Val'!$A$1:$AA$52</definedName>
    <definedName name="_xlnm.Print_Area" localSheetId="10">'OPM 1'!$A$1:$K$98</definedName>
    <definedName name="_xlnm.Print_Area" localSheetId="34">'OPM 1 Hybrid'!$A$1:$K$98</definedName>
    <definedName name="_xlnm.Print_Area" localSheetId="11">'OPM 2'!$A$1:$M$18</definedName>
    <definedName name="_xlnm.Print_Area" localSheetId="35">'OPM 2 Hybrid'!$A$1:$I$16</definedName>
    <definedName name="_xlnm.Print_Area" localSheetId="7">Outline!$A$1:$H$53</definedName>
    <definedName name="_xlnm.Print_Area" localSheetId="30">Outline_Workpapers!$A$1:$G$23</definedName>
    <definedName name="_xlnm.Print_Area" localSheetId="72">PoTS!$A$1:$G$119</definedName>
    <definedName name="_xlnm.Print_Area" localSheetId="13">Projection!$A$1:$E$45</definedName>
    <definedName name="_xlnm.Print_Area" localSheetId="27">'Risk-Free Rates'!$A$1:$F$37</definedName>
    <definedName name="_xlnm.Print_Area" localSheetId="41">'Risk-Free Rates_Hybrid'!$A$1:$F$53</definedName>
    <definedName name="_xlnm.Print_Area" localSheetId="43">'RoR Stage of Dev'!$A$1:$I$28</definedName>
    <definedName name="_xlnm.Print_Area" localSheetId="58">'STM Linked'!$A$1:$AH$55</definedName>
    <definedName name="_xlnm.Print_Area" localSheetId="22">'Support FP &gt;&gt;'!$A$1:$G$30</definedName>
    <definedName name="_xlnm.Print_Area" localSheetId="6">Title!$A$1:$G$28</definedName>
    <definedName name="_xlnm.Print_Area" localSheetId="29">'Title_Workpapers &gt; &gt;'!$A$1:$G$28</definedName>
    <definedName name="_xlnm.Print_Area" localSheetId="64">Trans.1!$A$1:$AK$50</definedName>
    <definedName name="_xlnm.Print_Area" localSheetId="65">Trans.2!$A$1:$E$29</definedName>
    <definedName name="_xlnm.Print_Area" localSheetId="31">'Val Summ_Hybrid'!$A$1:$K$14</definedName>
    <definedName name="_xlnm.Print_Area" localSheetId="8">Val_Summary!$A$1:$K$14</definedName>
    <definedName name="_xlnm.Print_Area" localSheetId="42">WACC!$A$1:$H$26</definedName>
    <definedName name="_xlnm.Print_Area" localSheetId="70">'WACC CAPM'!$A$1:$K$42</definedName>
    <definedName name="Print_Area_Reset" localSheetId="38">OFFSET(Full_Print,0,0,[0]!Last_Row)</definedName>
    <definedName name="Print_Area_Reset" localSheetId="25">OFFSET(Full_Print,0,0,[0]!Last_Row)</definedName>
    <definedName name="Print_Area_Reset" localSheetId="82">OFFSET(Full_Print,0,0,[0]!Last_Row)</definedName>
    <definedName name="Print_Area_Reset" localSheetId="39">OFFSET(Full_Print,0,0,[0]!Last_Row)</definedName>
    <definedName name="Print_Area_Reset" localSheetId="40">OFFSET(Full_Print,0,0,[0]!Last_Row)</definedName>
    <definedName name="Print_Area_Reset" localSheetId="84">OFFSET(Full_Print,0,0,[0]!Last_Row)</definedName>
    <definedName name="Print_Area_Reset" localSheetId="4">OFFSET(Full_Print,0,0,[0]!Last_Row)</definedName>
    <definedName name="Print_Area_Reset" localSheetId="81">OFFSET(Full_Print,0,0,[0]!Last_Row)</definedName>
    <definedName name="Print_Area_Reset" localSheetId="79">OFFSET(Full_Print,0,0,[0]!Last_Row)</definedName>
    <definedName name="Print_Area_Reset" localSheetId="32">OFFSET(Full_Print,0,0,'Hybrid OPM'!Last_Row)</definedName>
    <definedName name="Print_Area_Reset" localSheetId="45">OFFSET(Full_Print,0,0,Last_Row)</definedName>
    <definedName name="Print_Area_Reset" localSheetId="77">OFFSET(Full_Print,0,0,Last_Row)</definedName>
    <definedName name="Print_Area_Reset" localSheetId="76">OFFSET(Full_Print,0,0,Last_Row)</definedName>
    <definedName name="Print_Area_Reset" localSheetId="30">OFFSET(Full_Print,0,0,Last_Row)</definedName>
    <definedName name="Print_Area_Reset" localSheetId="13">OFFSET(Full_Print,0,0,[0]!Last_Row)</definedName>
    <definedName name="Print_Area_Reset" localSheetId="27">OFFSET(Full_Print,0,0,[0]!Last_Row)</definedName>
    <definedName name="Print_Area_Reset">OFFSET(Full_Print,0,0,Last_Row)</definedName>
    <definedName name="_xlnm.Print_Titles" localSheetId="17">'Comp.1'!$A:$F,'Comp.1'!$1:$9</definedName>
    <definedName name="_xlnm.Print_Titles" localSheetId="85">'Comp.2'!$A:$C,'Comp.2'!$1:$9</definedName>
    <definedName name="_xlnm.Print_Titles" localSheetId="80">'Comp.4'!$A:$C,'Comp.4'!$1:$10</definedName>
    <definedName name="_xlnm.Print_Titles" localSheetId="86">'Comp.5'!$A:$C,'Comp.5'!$1:$5</definedName>
    <definedName name="_xlnm.Print_Titles" localSheetId="18">'Comp.6'!$1:$8</definedName>
    <definedName name="_xlnm.Print_Titles" localSheetId="46">'Comparative Sheet'!$1:$9</definedName>
    <definedName name="_xlnm.Print_Titles" localSheetId="68">DCF!$2:$10</definedName>
    <definedName name="_xlnm.Print_Titles" localSheetId="23">DLOM_OPM!$1:$11</definedName>
    <definedName name="_xlnm.Print_Titles" localSheetId="32">'Hybrid OPM'!$1:$5</definedName>
    <definedName name="_xlnm.Print_Titles" localSheetId="45">'IPO Data_BioPharma'!$1:$10</definedName>
    <definedName name="_xlnm.Print_Titles" localSheetId="77">'IPO Data_Diagnostic'!$1:$10</definedName>
    <definedName name="_xlnm.Print_Titles" localSheetId="76">'IPO Data_Med Device'!$1:$7</definedName>
    <definedName name="_xlnm.Print_Titles" localSheetId="33">'IPO Waterfall'!$1:$7</definedName>
    <definedName name="_xlnm.Print_Titles" localSheetId="75">'Licensing Deals'!$1:$7</definedName>
    <definedName name="_xlnm.Print_Titles" localSheetId="44">'Market Trends since Prior Val'!$A:$B,'Market Trends since Prior Val'!$1:$8</definedName>
    <definedName name="_xlnm.Print_Titles" localSheetId="10">'OPM 1'!$1:$16</definedName>
    <definedName name="_xlnm.Print_Titles" localSheetId="34">'OPM 1 Hybrid'!$1:$16</definedName>
    <definedName name="_xlnm.Print_Titles" localSheetId="72">PoTS!$1:$5</definedName>
    <definedName name="_xlnm.Print_Titles" localSheetId="27">'Risk-Free Rates'!$1:$20</definedName>
    <definedName name="_xlnm.Print_Titles" localSheetId="41">'Risk-Free Rates_Hybrid'!$1:$20</definedName>
    <definedName name="_xlnm.Print_Titles" localSheetId="64">Trans.1!$A:$P,Trans.1!$1:$7</definedName>
    <definedName name="_xlnm.Print_Titles" localSheetId="65">Trans.2!$2:$7</definedName>
    <definedName name="Purpose" localSheetId="32">[8]Setup!$C$4</definedName>
    <definedName name="Purpose_IP" localSheetId="32">'[17]Setup - IP Val'!$C$4</definedName>
    <definedName name="q" localSheetId="81" hidden="1">{#N/A,#N/A,FALSE,"Bakersfield PCs";#N/A,#N/A,FALSE,"Bremer PCs";#N/A,#N/A,FALSE,"Bakersfield Notebooks"}</definedName>
    <definedName name="q" localSheetId="32" hidden="1">{#N/A,#N/A,FALSE,"Bakersfield PCs";#N/A,#N/A,FALSE,"Bremer PCs";#N/A,#N/A,FALSE,"Bakersfield Notebooks"}</definedName>
    <definedName name="q" localSheetId="13" hidden="1">{#N/A,#N/A,FALSE,"Bakersfield PCs";#N/A,#N/A,FALSE,"Bremer PCs";#N/A,#N/A,FALSE,"Bakersfield Notebooks"}</definedName>
    <definedName name="q" hidden="1">{#N/A,#N/A,FALSE,"Bakersfield PCs";#N/A,#N/A,FALSE,"Bremer PCs";#N/A,#N/A,FALSE,"Bakersfield Notebooks"}</definedName>
    <definedName name="qerww" localSheetId="38" hidden="1">#REF!</definedName>
    <definedName name="qerww" localSheetId="39" hidden="1">#REF!</definedName>
    <definedName name="qerww" localSheetId="79" hidden="1">#REF!</definedName>
    <definedName name="qerww" localSheetId="53" hidden="1">#REF!</definedName>
    <definedName name="qerww" localSheetId="13" hidden="1">#REF!</definedName>
    <definedName name="qerww" localSheetId="27" hidden="1">#REF!</definedName>
    <definedName name="qerww" localSheetId="51" hidden="1">#REF!</definedName>
    <definedName name="qerww" hidden="1">#REF!</definedName>
    <definedName name="qreg" localSheetId="38" hidden="1">#REF!</definedName>
    <definedName name="qreg" localSheetId="39" hidden="1">#REF!</definedName>
    <definedName name="qreg" localSheetId="79" hidden="1">#REF!</definedName>
    <definedName name="qreg" localSheetId="13" hidden="1">#REF!</definedName>
    <definedName name="qreg" localSheetId="27" hidden="1">#REF!</definedName>
    <definedName name="qreg" localSheetId="51" hidden="1">#REF!</definedName>
    <definedName name="qreg" hidden="1">#REF!</definedName>
    <definedName name="rarte" localSheetId="81" hidden="1">{#N/A,#N/A,FALSE,"Bakersfield PCs";#N/A,#N/A,FALSE,"Bremer PCs";#N/A,#N/A,FALSE,"Bakersfield Notebooks"}</definedName>
    <definedName name="rarte" localSheetId="32" hidden="1">{#N/A,#N/A,FALSE,"Bakersfield PCs";#N/A,#N/A,FALSE,"Bremer PCs";#N/A,#N/A,FALSE,"Bakersfield Notebooks"}</definedName>
    <definedName name="rarte" localSheetId="13" hidden="1">{#N/A,#N/A,FALSE,"Bakersfield PCs";#N/A,#N/A,FALSE,"Bremer PCs";#N/A,#N/A,FALSE,"Bakersfield Notebooks"}</definedName>
    <definedName name="rarte" hidden="1">{#N/A,#N/A,FALSE,"Bakersfield PCs";#N/A,#N/A,FALSE,"Bremer PCs";#N/A,#N/A,FALSE,"Bakersfield Notebooks"}</definedName>
    <definedName name="reality" localSheetId="81" hidden="1">{#N/A,#N/A,FALSE,"Title Page";#N/A,#N/A,FALSE,"Conclusions";#N/A,#N/A,FALSE,"Assum.";#N/A,#N/A,FALSE,"Sun  DCF-WC-Dep";#N/A,#N/A,FALSE,"MarketValue";#N/A,#N/A,FALSE,"BalSheet";#N/A,#N/A,FALSE,"WACC";#N/A,#N/A,FALSE,"PC+ Info.";#N/A,#N/A,FALSE,"PC+Info_2"}</definedName>
    <definedName name="reality" localSheetId="32" hidden="1">{#N/A,#N/A,FALSE,"Title Page";#N/A,#N/A,FALSE,"Conclusions";#N/A,#N/A,FALSE,"Assum.";#N/A,#N/A,FALSE,"Sun  DCF-WC-Dep";#N/A,#N/A,FALSE,"MarketValue";#N/A,#N/A,FALSE,"BalSheet";#N/A,#N/A,FALSE,"WACC";#N/A,#N/A,FALSE,"PC+ Info.";#N/A,#N/A,FALSE,"PC+Info_2"}</definedName>
    <definedName name="reality" localSheetId="13" hidden="1">{#N/A,#N/A,FALSE,"Title Page";#N/A,#N/A,FALSE,"Conclusions";#N/A,#N/A,FALSE,"Assum.";#N/A,#N/A,FALSE,"Sun  DCF-WC-Dep";#N/A,#N/A,FALSE,"MarketValue";#N/A,#N/A,FALSE,"BalSheet";#N/A,#N/A,FALSE,"WACC";#N/A,#N/A,FALSE,"PC+ Info.";#N/A,#N/A,FALSE,"PC+Info_2"}</definedName>
    <definedName name="reality" hidden="1">{#N/A,#N/A,FALSE,"Title Page";#N/A,#N/A,FALSE,"Conclusions";#N/A,#N/A,FALSE,"Assum.";#N/A,#N/A,FALSE,"Sun  DCF-WC-Dep";#N/A,#N/A,FALSE,"MarketValue";#N/A,#N/A,FALSE,"BalSheet";#N/A,#N/A,FALSE,"WACC";#N/A,#N/A,FALSE,"PC+ Info.";#N/A,#N/A,FALSE,"PC+Info_2"}</definedName>
    <definedName name="Recruiting">0.1</definedName>
    <definedName name="regmult" localSheetId="38" hidden="1">#REF!</definedName>
    <definedName name="regmult" localSheetId="25" hidden="1">#REF!</definedName>
    <definedName name="regmult" localSheetId="82" hidden="1">#REF!</definedName>
    <definedName name="regmult" localSheetId="39" hidden="1">#REF!</definedName>
    <definedName name="regmult" localSheetId="40" hidden="1">#REF!</definedName>
    <definedName name="regmult" localSheetId="84" hidden="1">#REF!</definedName>
    <definedName name="regmult" localSheetId="4" hidden="1">#REF!</definedName>
    <definedName name="regmult" localSheetId="79" hidden="1">#REF!</definedName>
    <definedName name="regmult" localSheetId="45" hidden="1">#REF!</definedName>
    <definedName name="regmult" localSheetId="77" hidden="1">#REF!</definedName>
    <definedName name="regmult" localSheetId="76" hidden="1">#REF!</definedName>
    <definedName name="regmult" localSheetId="30" hidden="1">#REF!</definedName>
    <definedName name="regmult" localSheetId="13" hidden="1">#REF!</definedName>
    <definedName name="regmult" localSheetId="27" hidden="1">#REF!</definedName>
    <definedName name="regmult" hidden="1">#REF!</definedName>
    <definedName name="relativevalue2" localSheetId="81" hidden="1">{#N/A,#N/A,FALSE,"Bakersfield PCs";#N/A,#N/A,FALSE,"Bremer PCs";#N/A,#N/A,FALSE,"Bakersfield Notebooks"}</definedName>
    <definedName name="relativevalue2" localSheetId="32" hidden="1">{#N/A,#N/A,FALSE,"Bakersfield PCs";#N/A,#N/A,FALSE,"Bremer PCs";#N/A,#N/A,FALSE,"Bakersfield Notebooks"}</definedName>
    <definedName name="relativevalue2" localSheetId="13" hidden="1">{#N/A,#N/A,FALSE,"Bakersfield PCs";#N/A,#N/A,FALSE,"Bremer PCs";#N/A,#N/A,FALSE,"Bakersfield Notebooks"}</definedName>
    <definedName name="relativevalue2" hidden="1">{#N/A,#N/A,FALSE,"Bakersfield PCs";#N/A,#N/A,FALSE,"Bremer PCs";#N/A,#N/A,FALSE,"Bakersfield Notebooks"}</definedName>
    <definedName name="relativevalue3" localSheetId="81" hidden="1">{#N/A,#N/A,FALSE,"Bakersfield PCs";#N/A,#N/A,FALSE,"Bremer PCs";#N/A,#N/A,FALSE,"Bakersfield Notebooks"}</definedName>
    <definedName name="relativevalue3" localSheetId="32" hidden="1">{#N/A,#N/A,FALSE,"Bakersfield PCs";#N/A,#N/A,FALSE,"Bremer PCs";#N/A,#N/A,FALSE,"Bakersfield Notebooks"}</definedName>
    <definedName name="relativevalue3" localSheetId="13" hidden="1">{#N/A,#N/A,FALSE,"Bakersfield PCs";#N/A,#N/A,FALSE,"Bremer PCs";#N/A,#N/A,FALSE,"Bakersfield Notebooks"}</definedName>
    <definedName name="relativevalue3" hidden="1">{#N/A,#N/A,FALSE,"Bakersfield PCs";#N/A,#N/A,FALSE,"Bremer PCs";#N/A,#N/A,FALSE,"Bakersfield Notebooks"}</definedName>
    <definedName name="REPDATA">[18]SUBS!$B$10:$V$70</definedName>
    <definedName name="Report_Divisor" hidden="1">1000</definedName>
    <definedName name="Report_Divisor_000" hidden="1">1000000</definedName>
    <definedName name="Report_ID" hidden="1">"AL"</definedName>
    <definedName name="ReportGroup" hidden="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r" localSheetId="81" hidden="1">{#N/A,#N/A,FALSE,"Bakersfield PCs";#N/A,#N/A,FALSE,"Bremer PCs";#N/A,#N/A,FALSE,"Bakersfield Notebooks"}</definedName>
    <definedName name="rr" localSheetId="32" hidden="1">{#N/A,#N/A,FALSE,"Bakersfield PCs";#N/A,#N/A,FALSE,"Bremer PCs";#N/A,#N/A,FALSE,"Bakersfield Notebooks"}</definedName>
    <definedName name="rr" localSheetId="13" hidden="1">{#N/A,#N/A,FALSE,"Bakersfield PCs";#N/A,#N/A,FALSE,"Bremer PCs";#N/A,#N/A,FALSE,"Bakersfield Notebooks"}</definedName>
    <definedName name="rr" hidden="1">{#N/A,#N/A,FALSE,"Bakersfield PCs";#N/A,#N/A,FALSE,"Bremer PCs";#N/A,#N/A,FALSE,"Bakersfield Notebooks"}</definedName>
    <definedName name="Sales_Rep">'[11]Revenue Assumptions and Summary'!$T$24:$T$25</definedName>
    <definedName name="SAPBEXrevision" hidden="1">1</definedName>
    <definedName name="SAPBEXsysID" hidden="1">"PBL"</definedName>
    <definedName name="SAPBEXwbID" hidden="1">"3JWXP1JGVR0V27DB0INATEIH7"</definedName>
    <definedName name="SAPFuncF4Help" localSheetId="38" hidden="1">Main.SAPF4Help()</definedName>
    <definedName name="SAPFuncF4Help" localSheetId="25" hidden="1">Main.SAPF4Help()</definedName>
    <definedName name="SAPFuncF4Help" localSheetId="82" hidden="1">Main.SAPF4Help()</definedName>
    <definedName name="SAPFuncF4Help" localSheetId="39" hidden="1">Main.SAPF4Help()</definedName>
    <definedName name="SAPFuncF4Help" localSheetId="40" hidden="1">Main.SAPF4Help()</definedName>
    <definedName name="SAPFuncF4Help" localSheetId="84" hidden="1">Main.SAPF4Help()</definedName>
    <definedName name="SAPFuncF4Help" localSheetId="4" hidden="1">Main.SAPF4Help()</definedName>
    <definedName name="SAPFuncF4Help" localSheetId="81" hidden="1">Main.SAPF4Help()</definedName>
    <definedName name="SAPFuncF4Help" localSheetId="69" hidden="1">Main.SAPF4Help()</definedName>
    <definedName name="SAPFuncF4Help" localSheetId="79" hidden="1">Main.SAPF4Help()</definedName>
    <definedName name="SAPFuncF4Help" localSheetId="32" hidden="1">Main.SAPF4Help()</definedName>
    <definedName name="SAPFuncF4Help" localSheetId="45" hidden="1">Main.SAPF4Help()</definedName>
    <definedName name="SAPFuncF4Help" localSheetId="77" hidden="1">Main.SAPF4Help()</definedName>
    <definedName name="SAPFuncF4Help" localSheetId="76" hidden="1">Main.SAPF4Help()</definedName>
    <definedName name="SAPFuncF4Help" localSheetId="30" hidden="1">Main.SAPF4Help()</definedName>
    <definedName name="SAPFuncF4Help" localSheetId="13" hidden="1">Main.SAPF4Help()</definedName>
    <definedName name="SAPFuncF4Help" localSheetId="27" hidden="1">Main.SAPF4Help()</definedName>
    <definedName name="SAPFuncF4Help" hidden="1">Main.SAPF4Help()</definedName>
    <definedName name="sdf" localSheetId="81" hidden="1">{#N/A,"A",FALSE,"DCF"}</definedName>
    <definedName name="sdf" localSheetId="32" hidden="1">{#N/A,"A",FALSE,"DCF"}</definedName>
    <definedName name="sdf" localSheetId="13" hidden="1">{#N/A,"A",FALSE,"DCF"}</definedName>
    <definedName name="sdf" hidden="1">{#N/A,"A",FALSE,"DCF"}</definedName>
    <definedName name="sdfg" localSheetId="38" hidden="1">#REF!</definedName>
    <definedName name="sdfg" localSheetId="39" hidden="1">#REF!</definedName>
    <definedName name="sdfg" localSheetId="79" hidden="1">#REF!</definedName>
    <definedName name="sdfg" localSheetId="53" hidden="1">#REF!</definedName>
    <definedName name="sdfg" localSheetId="13" hidden="1">#REF!</definedName>
    <definedName name="sdfg" localSheetId="27" hidden="1">#REF!</definedName>
    <definedName name="sdfg" localSheetId="51" hidden="1">#REF!</definedName>
    <definedName name="sdfg" hidden="1">#REF!</definedName>
    <definedName name="SecondProj" localSheetId="32">[8]Setup!$C$15</definedName>
    <definedName name="sencount" hidden="1">2</definedName>
    <definedName name="Sheeet1" localSheetId="81" hidden="1">{#N/A,#N/A,FALSE,"Summary";#N/A,#N/A,FALSE,"Proforma";#N/A,#N/A,FALSE,"Tx"}</definedName>
    <definedName name="Sheeet1" localSheetId="32" hidden="1">{#N/A,#N/A,FALSE,"Summary";#N/A,#N/A,FALSE,"Proforma";#N/A,#N/A,FALSE,"Tx"}</definedName>
    <definedName name="Sheeet1" localSheetId="13" hidden="1">{#N/A,#N/A,FALSE,"Summary";#N/A,#N/A,FALSE,"Proforma";#N/A,#N/A,FALSE,"Tx"}</definedName>
    <definedName name="Sheeet1" hidden="1">{#N/A,#N/A,FALSE,"Summary";#N/A,#N/A,FALSE,"Proforma";#N/A,#N/A,FALSE,"Tx"}</definedName>
    <definedName name="sheet" localSheetId="81" hidden="1">{#N/A,#N/A,FALSE,"Summary";#N/A,#N/A,FALSE,"Proforma";#N/A,#N/A,FALSE,"Tx"}</definedName>
    <definedName name="sheet" localSheetId="32" hidden="1">{#N/A,#N/A,FALSE,"Summary";#N/A,#N/A,FALSE,"Proforma";#N/A,#N/A,FALSE,"Tx"}</definedName>
    <definedName name="sheet" localSheetId="13" hidden="1">{#N/A,#N/A,FALSE,"Summary";#N/A,#N/A,FALSE,"Proforma";#N/A,#N/A,FALSE,"Tx"}</definedName>
    <definedName name="sheet" hidden="1">{#N/A,#N/A,FALSE,"Summary";#N/A,#N/A,FALSE,"Proforma";#N/A,#N/A,FALSE,"Tx"}</definedName>
    <definedName name="sheet1" localSheetId="81" hidden="1">{#N/A,#N/A,FALSE,"Summary";#N/A,#N/A,FALSE,"Proforma";#N/A,#N/A,FALSE,"Tx"}</definedName>
    <definedName name="sheet1" localSheetId="32" hidden="1">{#N/A,#N/A,FALSE,"Summary";#N/A,#N/A,FALSE,"Proforma";#N/A,#N/A,FALSE,"Tx"}</definedName>
    <definedName name="sheet1" localSheetId="13" hidden="1">{#N/A,#N/A,FALSE,"Summary";#N/A,#N/A,FALSE,"Proforma";#N/A,#N/A,FALSE,"Tx"}</definedName>
    <definedName name="sheet1" hidden="1">{#N/A,#N/A,FALSE,"Summary";#N/A,#N/A,FALSE,"Proforma";#N/A,#N/A,FALSE,"Tx"}</definedName>
    <definedName name="Show.Acct.Update.Warning" localSheetId="38" hidden="1">#REF!</definedName>
    <definedName name="Show.Acct.Update.Warning" localSheetId="39" hidden="1">#REF!</definedName>
    <definedName name="Show.Acct.Update.Warning" localSheetId="79" hidden="1">#REF!</definedName>
    <definedName name="Show.Acct.Update.Warning" localSheetId="53" hidden="1">#REF!</definedName>
    <definedName name="Show.Acct.Update.Warning" localSheetId="13" hidden="1">#REF!</definedName>
    <definedName name="Show.Acct.Update.Warning" localSheetId="27" hidden="1">#REF!</definedName>
    <definedName name="Show.Acct.Update.Warning" localSheetId="51" hidden="1">#REF!</definedName>
    <definedName name="Show.Acct.Update.Warning" hidden="1">#REF!</definedName>
    <definedName name="Show.MDB.Update.Warning" localSheetId="38" hidden="1">#REF!</definedName>
    <definedName name="Show.MDB.Update.Warning" localSheetId="39" hidden="1">#REF!</definedName>
    <definedName name="Show.MDB.Update.Warning" localSheetId="79" hidden="1">#REF!</definedName>
    <definedName name="Show.MDB.Update.Warning" localSheetId="53" hidden="1">#REF!</definedName>
    <definedName name="Show.MDB.Update.Warning" localSheetId="13" hidden="1">#REF!</definedName>
    <definedName name="Show.MDB.Update.Warning" localSheetId="27" hidden="1">#REF!</definedName>
    <definedName name="Show.MDB.Update.Warning" localSheetId="51" hidden="1">#REF!</definedName>
    <definedName name="Show.MDB.Update.Warning" hidden="1">#REF!</definedName>
    <definedName name="solver_adj" localSheetId="32" hidden="1">'Hybrid OPM'!$J$52</definedName>
    <definedName name="solver_adj" localSheetId="11" hidden="1">'OPM 2'!$P$7</definedName>
    <definedName name="solver_cvg" localSheetId="32" hidden="1">0.0001</definedName>
    <definedName name="solver_cvg" localSheetId="11" hidden="1">0.0001</definedName>
    <definedName name="solver_drv" localSheetId="32" hidden="1">1</definedName>
    <definedName name="solver_drv" localSheetId="11" hidden="1">1</definedName>
    <definedName name="solver_eng" localSheetId="32" hidden="1">1</definedName>
    <definedName name="solver_eng" localSheetId="11" hidden="1">1</definedName>
    <definedName name="solver_est" localSheetId="32" hidden="1">1</definedName>
    <definedName name="solver_est" localSheetId="11" hidden="1">1</definedName>
    <definedName name="solver_itr" localSheetId="32" hidden="1">2147483647</definedName>
    <definedName name="solver_itr" localSheetId="11" hidden="1">2147483647</definedName>
    <definedName name="solver_lin" hidden="1">0</definedName>
    <definedName name="solver_mip" localSheetId="32" hidden="1">2147483647</definedName>
    <definedName name="solver_mip" localSheetId="11" hidden="1">2147483647</definedName>
    <definedName name="solver_mni" localSheetId="32" hidden="1">30</definedName>
    <definedName name="solver_mni" localSheetId="11" hidden="1">30</definedName>
    <definedName name="solver_mrt" localSheetId="32" hidden="1">0.075</definedName>
    <definedName name="solver_mrt" localSheetId="11" hidden="1">0.075</definedName>
    <definedName name="solver_msl" localSheetId="32" hidden="1">2</definedName>
    <definedName name="solver_msl" localSheetId="11" hidden="1">2</definedName>
    <definedName name="solver_neg" localSheetId="32" hidden="1">1</definedName>
    <definedName name="solver_neg" localSheetId="11" hidden="1">1</definedName>
    <definedName name="solver_nod" localSheetId="32" hidden="1">2147483647</definedName>
    <definedName name="solver_nod" localSheetId="11" hidden="1">2147483647</definedName>
    <definedName name="solver_num" localSheetId="32" hidden="1">0</definedName>
    <definedName name="solver_num" localSheetId="11" hidden="1">0</definedName>
    <definedName name="solver_num" hidden="1">0</definedName>
    <definedName name="solver_nwt" localSheetId="32" hidden="1">1</definedName>
    <definedName name="solver_nwt" localSheetId="11" hidden="1">1</definedName>
    <definedName name="solver_opt" localSheetId="32" hidden="1">'Hybrid OPM'!$J$53</definedName>
    <definedName name="solver_opt" localSheetId="11" hidden="1">'OPM 2'!$P$6</definedName>
    <definedName name="solver_pre" localSheetId="32" hidden="1">0.000001</definedName>
    <definedName name="solver_pre" localSheetId="11" hidden="1">0.000001</definedName>
    <definedName name="solver_rbv" localSheetId="32" hidden="1">1</definedName>
    <definedName name="solver_rbv" localSheetId="11" hidden="1">1</definedName>
    <definedName name="solver_rlx" localSheetId="32" hidden="1">2</definedName>
    <definedName name="solver_rlx" localSheetId="11" hidden="1">2</definedName>
    <definedName name="solver_rsd" localSheetId="32" hidden="1">0</definedName>
    <definedName name="solver_rsd" localSheetId="11" hidden="1">0</definedName>
    <definedName name="solver_scl" localSheetId="32" hidden="1">1</definedName>
    <definedName name="solver_scl" localSheetId="11" hidden="1">1</definedName>
    <definedName name="solver_sho" localSheetId="32" hidden="1">2</definedName>
    <definedName name="solver_sho" localSheetId="11" hidden="1">2</definedName>
    <definedName name="solver_ssz" localSheetId="32" hidden="1">100</definedName>
    <definedName name="solver_ssz" localSheetId="11" hidden="1">100</definedName>
    <definedName name="solver_tim" localSheetId="32" hidden="1">2147483647</definedName>
    <definedName name="solver_tim" localSheetId="11" hidden="1">2147483647</definedName>
    <definedName name="solver_tol" localSheetId="32" hidden="1">0.01</definedName>
    <definedName name="solver_tol" localSheetId="11" hidden="1">0.01</definedName>
    <definedName name="solver_typ" localSheetId="32" hidden="1">3</definedName>
    <definedName name="solver_typ" localSheetId="11" hidden="1">3</definedName>
    <definedName name="solver_typ" hidden="1">3</definedName>
    <definedName name="solver_val" localSheetId="32" hidden="1">0</definedName>
    <definedName name="solver_val" localSheetId="11" hidden="1">0</definedName>
    <definedName name="solver_val" hidden="1">0</definedName>
    <definedName name="solver_ver" localSheetId="32" hidden="1">3</definedName>
    <definedName name="solver_ver" localSheetId="11" hidden="1">3</definedName>
    <definedName name="sr" localSheetId="38" hidden="1">#REF!</definedName>
    <definedName name="sr" localSheetId="39" hidden="1">#REF!</definedName>
    <definedName name="sr" localSheetId="79" hidden="1">#REF!</definedName>
    <definedName name="sr" localSheetId="53" hidden="1">#REF!</definedName>
    <definedName name="sr" localSheetId="13" hidden="1">#REF!</definedName>
    <definedName name="sr" localSheetId="27" hidden="1">#REF!</definedName>
    <definedName name="sr" localSheetId="51" hidden="1">#REF!</definedName>
    <definedName name="sr" hidden="1">#REF!</definedName>
    <definedName name="Ss" localSheetId="81" hidden="1">{#N/A,#N/A,FALSE,"Model";#N/A,#N/A,FALSE,"Gen Pts &amp; Rts 2000";#N/A,#N/A,FALSE,"AcqsAss";#N/A,#N/A,FALSE,"Acqs &amp; De Novos"}</definedName>
    <definedName name="Ss" localSheetId="32" hidden="1">{#N/A,#N/A,FALSE,"Model";#N/A,#N/A,FALSE,"Gen Pts &amp; Rts 2000";#N/A,#N/A,FALSE,"AcqsAss";#N/A,#N/A,FALSE,"Acqs &amp; De Novos"}</definedName>
    <definedName name="Ss" localSheetId="13" hidden="1">{#N/A,#N/A,FALSE,"Model";#N/A,#N/A,FALSE,"Gen Pts &amp; Rts 2000";#N/A,#N/A,FALSE,"AcqsAss";#N/A,#N/A,FALSE,"Acqs &amp; De Novos"}</definedName>
    <definedName name="Ss" hidden="1">{#N/A,#N/A,FALSE,"Model";#N/A,#N/A,FALSE,"Gen Pts &amp; Rts 2000";#N/A,#N/A,FALSE,"AcqsAss";#N/A,#N/A,FALSE,"Acqs &amp; De Novos"}</definedName>
    <definedName name="steve" localSheetId="81" hidden="1">{#N/A,#N/A,FALSE,"Bakersfield PCs";#N/A,#N/A,FALSE,"Bremer PCs";#N/A,#N/A,FALSE,"Bakersfield Notebooks"}</definedName>
    <definedName name="steve" localSheetId="32" hidden="1">{#N/A,#N/A,FALSE,"Bakersfield PCs";#N/A,#N/A,FALSE,"Bremer PCs";#N/A,#N/A,FALSE,"Bakersfield Notebooks"}</definedName>
    <definedName name="steve" localSheetId="13" hidden="1">{#N/A,#N/A,FALSE,"Bakersfield PCs";#N/A,#N/A,FALSE,"Bremer PCs";#N/A,#N/A,FALSE,"Bakersfield Notebooks"}</definedName>
    <definedName name="steve" hidden="1">{#N/A,#N/A,FALSE,"Bakersfield PCs";#N/A,#N/A,FALSE,"Bremer PCs";#N/A,#N/A,FALSE,"Bakersfield Notebooks"}</definedName>
    <definedName name="steve2" localSheetId="81" hidden="1">{#N/A,#N/A,FALSE,"Bakersfield PCs";#N/A,#N/A,FALSE,"Bremer PCs";#N/A,#N/A,FALSE,"Bakersfield Notebooks"}</definedName>
    <definedName name="steve2" localSheetId="32" hidden="1">{#N/A,#N/A,FALSE,"Bakersfield PCs";#N/A,#N/A,FALSE,"Bremer PCs";#N/A,#N/A,FALSE,"Bakersfield Notebooks"}</definedName>
    <definedName name="steve2" localSheetId="13" hidden="1">{#N/A,#N/A,FALSE,"Bakersfield PCs";#N/A,#N/A,FALSE,"Bremer PCs";#N/A,#N/A,FALSE,"Bakersfield Notebooks"}</definedName>
    <definedName name="steve2" hidden="1">{#N/A,#N/A,FALSE,"Bakersfield PCs";#N/A,#N/A,FALSE,"Bremer PCs";#N/A,#N/A,FALSE,"Bakersfield Notebooks"}</definedName>
    <definedName name="suckit" localSheetId="38" hidden="1">#REF!</definedName>
    <definedName name="suckit" localSheetId="25" hidden="1">#REF!</definedName>
    <definedName name="suckit" localSheetId="82" hidden="1">#REF!</definedName>
    <definedName name="suckit" localSheetId="39" hidden="1">#REF!</definedName>
    <definedName name="suckit" localSheetId="40" hidden="1">#REF!</definedName>
    <definedName name="suckit" localSheetId="84" hidden="1">#REF!</definedName>
    <definedName name="suckit" localSheetId="4" hidden="1">#REF!</definedName>
    <definedName name="suckit" localSheetId="79" hidden="1">#REF!</definedName>
    <definedName name="suckit" localSheetId="45" hidden="1">#REF!</definedName>
    <definedName name="suckit" localSheetId="77" hidden="1">#REF!</definedName>
    <definedName name="suckit" localSheetId="76" hidden="1">#REF!</definedName>
    <definedName name="suckit" localSheetId="30" hidden="1">#REF!</definedName>
    <definedName name="suckit" localSheetId="13" hidden="1">#REF!</definedName>
    <definedName name="suckit" localSheetId="27" hidden="1">#REF!</definedName>
    <definedName name="suckit" hidden="1">#REF!</definedName>
    <definedName name="t" localSheetId="81" hidden="1">{"bs",#N/A,FALSE,"SCF"}</definedName>
    <definedName name="t" localSheetId="32" hidden="1">{"bs",#N/A,FALSE,"SCF"}</definedName>
    <definedName name="t" localSheetId="13" hidden="1">{"bs",#N/A,FALSE,"SCF"}</definedName>
    <definedName name="t" hidden="1">{"bs",#N/A,FALSE,"SCF"}</definedName>
    <definedName name="TableName">"Dummy"</definedName>
    <definedName name="Taxes">0.085</definedName>
    <definedName name="tejhre" localSheetId="81" hidden="1">{#N/A,#N/A,FALSE,"Bakersfield PCs";#N/A,#N/A,FALSE,"Bremer PCs";#N/A,#N/A,FALSE,"Bakersfield Notebooks"}</definedName>
    <definedName name="tejhre" localSheetId="32" hidden="1">{#N/A,#N/A,FALSE,"Bakersfield PCs";#N/A,#N/A,FALSE,"Bremer PCs";#N/A,#N/A,FALSE,"Bakersfield Notebooks"}</definedName>
    <definedName name="tejhre" localSheetId="13" hidden="1">{#N/A,#N/A,FALSE,"Bakersfield PCs";#N/A,#N/A,FALSE,"Bremer PCs";#N/A,#N/A,FALSE,"Bakersfield Notebooks"}</definedName>
    <definedName name="tejhre" hidden="1">{#N/A,#N/A,FALSE,"Bakersfield PCs";#N/A,#N/A,FALSE,"Bremer PCs";#N/A,#N/A,FALSE,"Bakersfield Notebooks"}</definedName>
    <definedName name="temp" localSheetId="81" hidden="1">{#N/A,#N/A,FALSE,"Bakersfield PCs";#N/A,#N/A,FALSE,"Bremer PCs";#N/A,#N/A,FALSE,"Bakersfield Notebooks"}</definedName>
    <definedName name="temp" localSheetId="32" hidden="1">{#N/A,#N/A,FALSE,"Bakersfield PCs";#N/A,#N/A,FALSE,"Bremer PCs";#N/A,#N/A,FALSE,"Bakersfield Notebooks"}</definedName>
    <definedName name="temp" localSheetId="13" hidden="1">{#N/A,#N/A,FALSE,"Bakersfield PCs";#N/A,#N/A,FALSE,"Bremer PCs";#N/A,#N/A,FALSE,"Bakersfield Notebooks"}</definedName>
    <definedName name="temp" hidden="1">{#N/A,#N/A,FALSE,"Bakersfield PCs";#N/A,#N/A,FALSE,"Bremer PCs";#N/A,#N/A,FALSE,"Bakersfield Notebooks"}</definedName>
    <definedName name="test" localSheetId="32" hidden="1">{#N/A,#N/A,TRUE,"Tax";#N/A,#N/A,TRUE,"Structure";#N/A,#N/A,TRUE,"Accounting";#N/A,#N/A,TRUE,"Equipment"}</definedName>
    <definedName name="test" localSheetId="13" hidden="1">{#N/A,#N/A,TRUE,"Tax";#N/A,#N/A,TRUE,"Structure";#N/A,#N/A,TRUE,"Accounting";#N/A,#N/A,TRUE,"Equipment"}</definedName>
    <definedName name="test" hidden="1">{#N/A,#N/A,TRUE,"Tax";#N/A,#N/A,TRUE,"Structure";#N/A,#N/A,TRUE,"Accounting";#N/A,#N/A,TRUE,"Equipment"}</definedName>
    <definedName name="ThirdProj" localSheetId="32">[8]Setup!$C$16</definedName>
    <definedName name="TM1REBUILDOPTION">0</definedName>
    <definedName name="Toggle_DB_Location" hidden="1">2</definedName>
    <definedName name="Toggle_Freeze_View" hidden="1">0</definedName>
    <definedName name="totcap" localSheetId="38" hidden="1">#REF!,#REF!,#REF!,#REF!</definedName>
    <definedName name="totcap" localSheetId="25" hidden="1">#REF!,#REF!,#REF!,#REF!</definedName>
    <definedName name="totcap" localSheetId="82" hidden="1">#REF!,#REF!,#REF!,#REF!</definedName>
    <definedName name="totcap" localSheetId="39" hidden="1">#REF!,#REF!,#REF!,#REF!</definedName>
    <definedName name="totcap" localSheetId="40" hidden="1">#REF!,#REF!,#REF!,#REF!</definedName>
    <definedName name="totcap" localSheetId="84" hidden="1">#REF!,#REF!,#REF!,#REF!</definedName>
    <definedName name="totcap" localSheetId="4" hidden="1">#REF!,#REF!,#REF!,#REF!</definedName>
    <definedName name="totcap" localSheetId="79" hidden="1">#REF!,#REF!,#REF!,#REF!</definedName>
    <definedName name="totcap" localSheetId="45" hidden="1">#REF!,#REF!,#REF!,#REF!</definedName>
    <definedName name="totcap" localSheetId="77" hidden="1">#REF!,#REF!,#REF!,#REF!</definedName>
    <definedName name="totcap" localSheetId="76" hidden="1">#REF!,#REF!,#REF!,#REF!</definedName>
    <definedName name="totcap" localSheetId="30" hidden="1">#REF!,#REF!,#REF!,#REF!</definedName>
    <definedName name="totcap" localSheetId="13" hidden="1">#REF!,#REF!,#REF!,#REF!</definedName>
    <definedName name="totcap" localSheetId="27" hidden="1">#REF!,#REF!,#REF!,#REF!</definedName>
    <definedName name="totcap" hidden="1">#REF!,#REF!,#REF!,#REF!</definedName>
    <definedName name="tygeryghre" localSheetId="38" hidden="1">#REF!</definedName>
    <definedName name="tygeryghre" localSheetId="39" hidden="1">#REF!</definedName>
    <definedName name="tygeryghre" localSheetId="79" hidden="1">#REF!</definedName>
    <definedName name="tygeryghre" localSheetId="53" hidden="1">#REF!</definedName>
    <definedName name="tygeryghre" localSheetId="13" hidden="1">#REF!</definedName>
    <definedName name="tygeryghre" localSheetId="27" hidden="1">#REF!</definedName>
    <definedName name="tygeryghre" localSheetId="51" hidden="1">#REF!</definedName>
    <definedName name="tygeryghre" hidden="1">#REF!</definedName>
    <definedName name="ValuationDate" localSheetId="32">[8]Setup!$C$2</definedName>
    <definedName name="ValuationDate_IP" localSheetId="32">'[17]Setup - IP Val'!$C$2</definedName>
    <definedName name="Values_Entered" localSheetId="38">IF(Loan_Amount*Interest_Rate*Loan_Years*Loan_Start&gt;0,1,0)</definedName>
    <definedName name="Values_Entered" localSheetId="25">IF(Loan_Amount*Interest_Rate*Loan_Years*Loan_Start&gt;0,1,0)</definedName>
    <definedName name="Values_Entered" localSheetId="82">IF(Loan_Amount*Interest_Rate*Loan_Years*Loan_Start&gt;0,1,0)</definedName>
    <definedName name="Values_Entered" localSheetId="39">IF(Loan_Amount*Interest_Rate*Loan_Years*Loan_Start&gt;0,1,0)</definedName>
    <definedName name="Values_Entered" localSheetId="40">IF(Loan_Amount*Interest_Rate*Loan_Years*Loan_Start&gt;0,1,0)</definedName>
    <definedName name="Values_Entered" localSheetId="84">IF(Loan_Amount*Interest_Rate*Loan_Years*Loan_Start&gt;0,1,0)</definedName>
    <definedName name="Values_Entered" localSheetId="4">IF(Loan_Amount*Interest_Rate*Loan_Years*Loan_Start&gt;0,1,0)</definedName>
    <definedName name="Values_Entered" localSheetId="79">IF(Loan_Amount*Interest_Rate*Loan_Years*Loan_Start&gt;0,1,0)</definedName>
    <definedName name="Values_Entered" localSheetId="32">IF(Loan_Amount*Interest_Rate*Loan_Years*Loan_Start&gt;0,1,0)</definedName>
    <definedName name="Values_Entered" localSheetId="13">IF(Loan_Amount*Interest_Rate*Loan_Years*Loan_Start&gt;0,1,0)</definedName>
    <definedName name="Values_Entered" localSheetId="27">IF(Loan_Amount*Interest_Rate*Loan_Years*Loan_Start&gt;0,1,0)</definedName>
    <definedName name="Values_Entered">IF(Loan_Amount*Interest_Rate*Loan_Years*Loan_Start&gt;0,1,0)</definedName>
    <definedName name="vbbvb" localSheetId="38" hidden="1">#REF!</definedName>
    <definedName name="vbbvb" localSheetId="39" hidden="1">#REF!</definedName>
    <definedName name="vbbvb" localSheetId="79" hidden="1">#REF!</definedName>
    <definedName name="vbbvb" localSheetId="53" hidden="1">#REF!</definedName>
    <definedName name="vbbvb" localSheetId="13" hidden="1">#REF!</definedName>
    <definedName name="vbbvb" localSheetId="27" hidden="1">#REF!</definedName>
    <definedName name="vbbvb" localSheetId="51" hidden="1">#REF!</definedName>
    <definedName name="vbbvb" hidden="1">#REF!</definedName>
    <definedName name="vbv" localSheetId="38" hidden="1">OFFSET([10]!Data.Top.Left,1,0)</definedName>
    <definedName name="vbv" localSheetId="39" hidden="1">OFFSET([10]!Data.Top.Left,1,0)</definedName>
    <definedName name="vbv" localSheetId="79" hidden="1">OFFSET([10]!Data.Top.Left,1,0)</definedName>
    <definedName name="vbv" localSheetId="13" hidden="1">OFFSET([10]!Data.Top.Left,1,0)</definedName>
    <definedName name="vbv" localSheetId="27" hidden="1">OFFSET([10]!Data.Top.Left,1,0)</definedName>
    <definedName name="vbv" localSheetId="51" hidden="1">OFFSET([10]!Data.Top.Left,1,0)</definedName>
    <definedName name="vbv" hidden="1">OFFSET([10]!Data.Top.Left,1,0)</definedName>
    <definedName name="vbvbz" localSheetId="38" hidden="1">#REF!</definedName>
    <definedName name="vbvbz" localSheetId="39" hidden="1">#REF!</definedName>
    <definedName name="vbvbz" localSheetId="79" hidden="1">#REF!</definedName>
    <definedName name="vbvbz" localSheetId="53" hidden="1">#REF!</definedName>
    <definedName name="vbvbz" localSheetId="13" hidden="1">#REF!</definedName>
    <definedName name="vbvbz" localSheetId="27" hidden="1">#REF!</definedName>
    <definedName name="vbvbz" localSheetId="51" hidden="1">#REF!</definedName>
    <definedName name="vbvbz" hidden="1">#REF!</definedName>
    <definedName name="Version_Nbr" hidden="1">1</definedName>
    <definedName name="willie" localSheetId="81" hidden="1">{#N/A,#N/A,FALSE,"Bakersfield PCs";#N/A,#N/A,FALSE,"Bremer PCs";#N/A,#N/A,FALSE,"Bakersfield Notebooks"}</definedName>
    <definedName name="willie" localSheetId="32" hidden="1">{#N/A,#N/A,FALSE,"Bakersfield PCs";#N/A,#N/A,FALSE,"Bremer PCs";#N/A,#N/A,FALSE,"Bakersfield Notebooks"}</definedName>
    <definedName name="willie" localSheetId="13" hidden="1">{#N/A,#N/A,FALSE,"Bakersfield PCs";#N/A,#N/A,FALSE,"Bremer PCs";#N/A,#N/A,FALSE,"Bakersfield Notebooks"}</definedName>
    <definedName name="willie" hidden="1">{#N/A,#N/A,FALSE,"Bakersfield PCs";#N/A,#N/A,FALSE,"Bremer PCs";#N/A,#N/A,FALSE,"Bakersfield Notebooks"}</definedName>
    <definedName name="wrn.All._.Sites." localSheetId="81" hidden="1">{#N/A,#N/A,FALSE,"Bakersfield PCs";#N/A,#N/A,FALSE,"Bremer PCs";#N/A,#N/A,FALSE,"Bakersfield Notebooks"}</definedName>
    <definedName name="wrn.All._.Sites." localSheetId="32" hidden="1">{#N/A,#N/A,FALSE,"Bakersfield PCs";#N/A,#N/A,FALSE,"Bremer PCs";#N/A,#N/A,FALSE,"Bakersfield Notebooks"}</definedName>
    <definedName name="wrn.All._.Sites." localSheetId="13" hidden="1">{#N/A,#N/A,FALSE,"Bakersfield PCs";#N/A,#N/A,FALSE,"Bremer PCs";#N/A,#N/A,FALSE,"Bakersfield Notebooks"}</definedName>
    <definedName name="wrn.All._.Sites." hidden="1">{#N/A,#N/A,FALSE,"Bakersfield PCs";#N/A,#N/A,FALSE,"Bremer PCs";#N/A,#N/A,FALSE,"Bakersfield Notebooks"}</definedName>
    <definedName name="wrn.BAC" localSheetId="81" hidden="1">{#N/A,#N/A,TRUE,"Tax";#N/A,#N/A,TRUE,"Structure";#N/A,#N/A,TRUE,"Accounting";#N/A,#N/A,TRUE,"Equipment"}</definedName>
    <definedName name="wrn.BAC" localSheetId="32" hidden="1">{#N/A,#N/A,TRUE,"Tax";#N/A,#N/A,TRUE,"Structure";#N/A,#N/A,TRUE,"Accounting";#N/A,#N/A,TRUE,"Equipment"}</definedName>
    <definedName name="wrn.BAC" localSheetId="13" hidden="1">{#N/A,#N/A,TRUE,"Tax";#N/A,#N/A,TRUE,"Structure";#N/A,#N/A,TRUE,"Accounting";#N/A,#N/A,TRUE,"Equipment"}</definedName>
    <definedName name="wrn.BAC" hidden="1">{#N/A,#N/A,TRUE,"Tax";#N/A,#N/A,TRUE,"Structure";#N/A,#N/A,TRUE,"Accounting";#N/A,#N/A,TRUE,"Equipment"}</definedName>
    <definedName name="wrn.balance._.sheet." localSheetId="81" hidden="1">{"bs",#N/A,FALSE,"SCF"}</definedName>
    <definedName name="wrn.balance._.sheet." localSheetId="32" hidden="1">{"bs",#N/A,FALSE,"SCF"}</definedName>
    <definedName name="wrn.balance._.sheet." localSheetId="13" hidden="1">{"bs",#N/A,FALSE,"SCF"}</definedName>
    <definedName name="wrn.balance._.sheet." hidden="1">{"bs",#N/A,FALSE,"SCF"}</definedName>
    <definedName name="wrn.Basic._.Report." localSheetId="81" hidden="1">{#N/A,#N/A,FALSE,"New Depr Sch-150% DB";#N/A,#N/A,FALSE,"Cash Flows RLP";#N/A,#N/A,FALSE,"IRR";#N/A,#N/A,FALSE,"Proforma IS";#N/A,#N/A,FALSE,"Assumptions"}</definedName>
    <definedName name="wrn.Basic._.Report." localSheetId="69" hidden="1">{#N/A,#N/A,FALSE,"New Depr Sch-150% DB";#N/A,#N/A,FALSE,"Cash Flows RLP";#N/A,#N/A,FALSE,"IRR";#N/A,#N/A,FALSE,"Proforma IS";#N/A,#N/A,FALSE,"Assumptions"}</definedName>
    <definedName name="wrn.Basic._.Report." localSheetId="32" hidden="1">{#N/A,#N/A,FALSE,"New Depr Sch-150% DB";#N/A,#N/A,FALSE,"Cash Flows RLP";#N/A,#N/A,FALSE,"IRR";#N/A,#N/A,FALSE,"Proforma IS";#N/A,#N/A,FALSE,"Assumptions"}</definedName>
    <definedName name="wrn.Basic._.Report." localSheetId="13" hidden="1">{#N/A,#N/A,FALSE,"New Depr Sch-150% DB";#N/A,#N/A,FALSE,"Cash Flows RLP";#N/A,#N/A,FALSE,"IRR";#N/A,#N/A,FALSE,"Proforma IS";#N/A,#N/A,FALSE,"Assumptions"}</definedName>
    <definedName name="wrn.Basic._.Report." localSheetId="58" hidden="1">{#N/A,#N/A,FALSE,"New Depr Sch-150% DB";#N/A,#N/A,FALSE,"Cash Flows RLP";#N/A,#N/A,FALSE,"IRR";#N/A,#N/A,FALSE,"Proforma IS";#N/A,#N/A,FALSE,"Assumptions"}</definedName>
    <definedName name="wrn.Basic._.Report." hidden="1">{#N/A,#N/A,FALSE,"New Depr Sch-150% DB";#N/A,#N/A,FALSE,"Cash Flows RLP";#N/A,#N/A,FALSE,"IRR";#N/A,#N/A,FALSE,"Proforma IS";#N/A,#N/A,FALSE,"Assumptions"}</definedName>
    <definedName name="wrn.BoeingAircraftChecklist." localSheetId="81" hidden="1">{#N/A,#N/A,TRUE,"Tax";#N/A,#N/A,TRUE,"Structure";#N/A,#N/A,TRUE,"Accounting";#N/A,#N/A,TRUE,"Equipment"}</definedName>
    <definedName name="wrn.BoeingAircraftChecklist." localSheetId="32" hidden="1">{#N/A,#N/A,TRUE,"Tax";#N/A,#N/A,TRUE,"Structure";#N/A,#N/A,TRUE,"Accounting";#N/A,#N/A,TRUE,"Equipment"}</definedName>
    <definedName name="wrn.BoeingAircraftChecklist." localSheetId="13" hidden="1">{#N/A,#N/A,TRUE,"Tax";#N/A,#N/A,TRUE,"Structure";#N/A,#N/A,TRUE,"Accounting";#N/A,#N/A,TRUE,"Equipment"}</definedName>
    <definedName name="wrn.BoeingAircraftChecklist." hidden="1">{#N/A,#N/A,TRUE,"Tax";#N/A,#N/A,TRUE,"Structure";#N/A,#N/A,TRUE,"Accounting";#N/A,#N/A,TRUE,"Equipment"}</definedName>
    <definedName name="wrn.brisbane." localSheetId="81" hidden="1">{#N/A,#N/A,FALSE,"LOAN";#N/A,#N/A,FALSE,"linereclass";#N/A,#N/A,FALSE,"softdraw"}</definedName>
    <definedName name="wrn.brisbane." localSheetId="32" hidden="1">{#N/A,#N/A,FALSE,"LOAN";#N/A,#N/A,FALSE,"linereclass";#N/A,#N/A,FALSE,"softdraw"}</definedName>
    <definedName name="wrn.brisbane." localSheetId="13" hidden="1">{#N/A,#N/A,FALSE,"LOAN";#N/A,#N/A,FALSE,"linereclass";#N/A,#N/A,FALSE,"softdraw"}</definedName>
    <definedName name="wrn.brisbane." hidden="1">{#N/A,#N/A,FALSE,"LOAN";#N/A,#N/A,FALSE,"linereclass";#N/A,#N/A,FALSE,"softdraw"}</definedName>
    <definedName name="wrn.clientcopy." localSheetId="8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69"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3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3"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58"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plete._.Report." localSheetId="81" hidden="1">{#N/A,#N/A,FALSE,"Assumptions";#N/A,#N/A,FALSE,"Proforma IS";#N/A,#N/A,FALSE,"Cash Flows RLP";#N/A,#N/A,FALSE,"IRR";#N/A,#N/A,FALSE,"New Depr Sch-150% DB";#N/A,#N/A,FALSE,"Comments"}</definedName>
    <definedName name="wrn.Complete._.Report." localSheetId="69" hidden="1">{#N/A,#N/A,FALSE,"Assumptions";#N/A,#N/A,FALSE,"Proforma IS";#N/A,#N/A,FALSE,"Cash Flows RLP";#N/A,#N/A,FALSE,"IRR";#N/A,#N/A,FALSE,"New Depr Sch-150% DB";#N/A,#N/A,FALSE,"Comments"}</definedName>
    <definedName name="wrn.Complete._.Report." localSheetId="32" hidden="1">{#N/A,#N/A,FALSE,"Assumptions";#N/A,#N/A,FALSE,"Proforma IS";#N/A,#N/A,FALSE,"Cash Flows RLP";#N/A,#N/A,FALSE,"IRR";#N/A,#N/A,FALSE,"New Depr Sch-150% DB";#N/A,#N/A,FALSE,"Comments"}</definedName>
    <definedName name="wrn.Complete._.Report." localSheetId="13" hidden="1">{#N/A,#N/A,FALSE,"Assumptions";#N/A,#N/A,FALSE,"Proforma IS";#N/A,#N/A,FALSE,"Cash Flows RLP";#N/A,#N/A,FALSE,"IRR";#N/A,#N/A,FALSE,"New Depr Sch-150% DB";#N/A,#N/A,FALSE,"Comments"}</definedName>
    <definedName name="wrn.Complete._.Report." localSheetId="58" hidden="1">{#N/A,#N/A,FALSE,"Assumptions";#N/A,#N/A,FALSE,"Proforma IS";#N/A,#N/A,FALSE,"Cash Flows RLP";#N/A,#N/A,FALSE,"IRR";#N/A,#N/A,FALSE,"New Depr Sch-150% DB";#N/A,#N/A,FALSE,"Comments"}</definedName>
    <definedName name="wrn.Complete._.Report." hidden="1">{#N/A,#N/A,FALSE,"Assumptions";#N/A,#N/A,FALSE,"Proforma IS";#N/A,#N/A,FALSE,"Cash Flows RLP";#N/A,#N/A,FALSE,"IRR";#N/A,#N/A,FALSE,"New Depr Sch-150% DB";#N/A,#N/A,FALSE,"Comments"}</definedName>
    <definedName name="wrn.contributory._.asset._.charges." localSheetId="81" hidden="1">{"contributory1",#N/A,FALSE,"Contributory Assets Detail";"contributory2",#N/A,FALSE,"Contributory Assets Detail"}</definedName>
    <definedName name="wrn.contributory._.asset._.charges." localSheetId="32" hidden="1">{"contributory1",#N/A,FALSE,"Contributory Assets Detail";"contributory2",#N/A,FALSE,"Contributory Assets Detail"}</definedName>
    <definedName name="wrn.contributory._.asset._.charges." localSheetId="13" hidden="1">{"contributory1",#N/A,FALSE,"Contributory Assets Detail";"contributory2",#N/A,FALSE,"Contributory Assets Detail"}</definedName>
    <definedName name="wrn.contributory._.asset._.charges." hidden="1">{"contributory1",#N/A,FALSE,"Contributory Assets Detail";"contributory2",#N/A,FALSE,"Contributory Assets Detail"}</definedName>
    <definedName name="wrn.Customer_base." localSheetId="81" hidden="1">{"customer base",#N/A,FALSE,"customer_base";"customer base perf estimates",#N/A,FALSE,"customer_base"}</definedName>
    <definedName name="wrn.Customer_base." localSheetId="32" hidden="1">{"customer base",#N/A,FALSE,"customer_base";"customer base perf estimates",#N/A,FALSE,"customer_base"}</definedName>
    <definedName name="wrn.Customer_base." localSheetId="13" hidden="1">{"customer base",#N/A,FALSE,"customer_base";"customer base perf estimates",#N/A,FALSE,"customer_base"}</definedName>
    <definedName name="wrn.Customer_base." hidden="1">{"customer base",#N/A,FALSE,"customer_base";"customer base perf estimates",#N/A,FALSE,"customer_base"}</definedName>
    <definedName name="wrn.DCF." localSheetId="81" hidden="1">{#N/A,#N/A,FALSE,"DCF Cov";#N/A,#N/A,FALSE,"dcf"}</definedName>
    <definedName name="wrn.DCF." localSheetId="32" hidden="1">{#N/A,#N/A,FALSE,"DCF Cov";#N/A,#N/A,FALSE,"dcf"}</definedName>
    <definedName name="wrn.DCF." localSheetId="13" hidden="1">{#N/A,#N/A,FALSE,"DCF Cov";#N/A,#N/A,FALSE,"dcf"}</definedName>
    <definedName name="wrn.DCF." hidden="1">{#N/A,#N/A,FALSE,"DCF Cov";#N/A,#N/A,FALSE,"dcf"}</definedName>
    <definedName name="wrn.documentation." localSheetId="81" hidden="1">{"documentation1",#N/A,FALSE,"Documentation";"documentation2",#N/A,FALSE,"Documentation"}</definedName>
    <definedName name="wrn.documentation." localSheetId="32" hidden="1">{"documentation1",#N/A,FALSE,"Documentation";"documentation2",#N/A,FALSE,"Documentation"}</definedName>
    <definedName name="wrn.documentation." localSheetId="13" hidden="1">{"documentation1",#N/A,FALSE,"Documentation";"documentation2",#N/A,FALSE,"Documentation"}</definedName>
    <definedName name="wrn.documentation." hidden="1">{"documentation1",#N/A,FALSE,"Documentation";"documentation2",#N/A,FALSE,"Documentation"}</definedName>
    <definedName name="wrn.ESPP." localSheetId="81" hidden="1">{#N/A,#N/A,FALSE,"REPORT"}</definedName>
    <definedName name="wrn.ESPP." localSheetId="32" hidden="1">{#N/A,#N/A,FALSE,"REPORT"}</definedName>
    <definedName name="wrn.ESPP." localSheetId="13" hidden="1">{#N/A,#N/A,FALSE,"REPORT"}</definedName>
    <definedName name="wrn.ESPP." hidden="1">{#N/A,#N/A,FALSE,"REPORT"}</definedName>
    <definedName name="wrn.exhibits." localSheetId="81" hidden="1">{#N/A,#N/A,FALSE,"IS";#N/A,#N/A,FALSE,"BS";#N/A,#N/A,FALSE,"RMA";#N/A,#N/A,FALSE,"INCOME";#N/A,#N/A,FALSE,"DCF";#N/A,#N/A,FALSE,"MARKET"}</definedName>
    <definedName name="wrn.exhibits." localSheetId="32" hidden="1">{#N/A,#N/A,FALSE,"IS";#N/A,#N/A,FALSE,"BS";#N/A,#N/A,FALSE,"RMA";#N/A,#N/A,FALSE,"INCOME";#N/A,#N/A,FALSE,"DCF";#N/A,#N/A,FALSE,"MARKET"}</definedName>
    <definedName name="wrn.exhibits." localSheetId="13" hidden="1">{#N/A,#N/A,FALSE,"IS";#N/A,#N/A,FALSE,"BS";#N/A,#N/A,FALSE,"RMA";#N/A,#N/A,FALSE,"INCOME";#N/A,#N/A,FALSE,"DCF";#N/A,#N/A,FALSE,"MARKET"}</definedName>
    <definedName name="wrn.exhibits." hidden="1">{#N/A,#N/A,FALSE,"IS";#N/A,#N/A,FALSE,"BS";#N/A,#N/A,FALSE,"RMA";#N/A,#N/A,FALSE,"INCOME";#N/A,#N/A,FALSE,"DCF";#N/A,#N/A,FALSE,"MARKET"}</definedName>
    <definedName name="wrn.Fcst._.by._.Mon." localSheetId="81" hidden="1">{"Fcst by Mon Full",#N/A,FALSE,"Tot PalmPalm";"Fcst by Mon Full",#N/A,FALSE,"Tot Device";"Fcst by Mon Full",#N/A,FALSE,"Platform";"Fcst by Mon Full",#N/A,FALSE,"Palm.Net";"Fcst by Mon Full",#N/A,FALSE,"Elim"}</definedName>
    <definedName name="wrn.Fcst._.by._.Mon." localSheetId="32" hidden="1">{"Fcst by Mon Full",#N/A,FALSE,"Tot PalmPalm";"Fcst by Mon Full",#N/A,FALSE,"Tot Device";"Fcst by Mon Full",#N/A,FALSE,"Platform";"Fcst by Mon Full",#N/A,FALSE,"Palm.Net";"Fcst by Mon Full",#N/A,FALSE,"Elim"}</definedName>
    <definedName name="wrn.Fcst._.by._.Mon." localSheetId="13" hidden="1">{"Fcst by Mon Full",#N/A,FALSE,"Tot PalmPalm";"Fcst by Mon Full",#N/A,FALSE,"Tot Device";"Fcst by Mon Full",#N/A,FALSE,"Platform";"Fcst by Mon Full",#N/A,FALSE,"Palm.Net";"Fcst by Mon Full",#N/A,FALSE,"Elim"}</definedName>
    <definedName name="wrn.Fcst._.by._.Mon." hidden="1">{"Fcst by Mon Full",#N/A,FALSE,"Tot PalmPalm";"Fcst by Mon Full",#N/A,FALSE,"Tot Device";"Fcst by Mon Full",#N/A,FALSE,"Platform";"Fcst by Mon Full",#N/A,FALSE,"Palm.Net";"Fcst by Mon Full",#N/A,FALSE,"Elim"}</definedName>
    <definedName name="wrn.Fcst._.by._.Qtr." localSheetId="81" hidden="1">{"Fcst by Qtr Full",#N/A,FALSE,"Tot PalmPalm";"Fcst by Qtr Full",#N/A,FALSE,"Tot Device";"Fcst by Qtr Full",#N/A,FALSE,"Platform";"Fcst by Qtr Full",#N/A,FALSE,"Palm.Net";"Fcst by Qtr Full",#N/A,FALSE,"Elim"}</definedName>
    <definedName name="wrn.Fcst._.by._.Qtr." localSheetId="32" hidden="1">{"Fcst by Qtr Full",#N/A,FALSE,"Tot PalmPalm";"Fcst by Qtr Full",#N/A,FALSE,"Tot Device";"Fcst by Qtr Full",#N/A,FALSE,"Platform";"Fcst by Qtr Full",#N/A,FALSE,"Palm.Net";"Fcst by Qtr Full",#N/A,FALSE,"Elim"}</definedName>
    <definedName name="wrn.Fcst._.by._.Qtr." localSheetId="13" hidden="1">{"Fcst by Qtr Full",#N/A,FALSE,"Tot PalmPalm";"Fcst by Qtr Full",#N/A,FALSE,"Tot Device";"Fcst by Qtr Full",#N/A,FALSE,"Platform";"Fcst by Qtr Full",#N/A,FALSE,"Palm.Net";"Fcst by Qtr Full",#N/A,FALSE,"Elim"}</definedName>
    <definedName name="wrn.Fcst._.by._.Qtr." hidden="1">{"Fcst by Qtr Full",#N/A,FALSE,"Tot PalmPalm";"Fcst by Qtr Full",#N/A,FALSE,"Tot Device";"Fcst by Qtr Full",#N/A,FALSE,"Platform";"Fcst by Qtr Full",#N/A,FALSE,"Palm.Net";"Fcst by Qtr Full",#N/A,FALSE,"Elim"}</definedName>
    <definedName name="wrn.File." localSheetId="81"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32"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13"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copy." localSheetId="8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69"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3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3"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58"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ull._.Model." localSheetId="81"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32"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13" hidden="1">{#N/A,#N/A,FALSE,"Cov";#N/A,#N/A,FALSE,"sum";#N/A,#N/A,FALSE,"baladj";#N/A,#N/A,FALSE,"bs";#N/A,#N/A,FALSE,"is";#N/A,#N/A,FALSE,"pis";#N/A,#N/A,FALSE,"pis";#N/A,#N/A,FALSE,"cf";#N/A,#N/A,FALSE,"balhist";#N/A,#N/A,FALSE,"wc";#N/A,#N/A,FALSE,"ltd";#N/A,#N/A,FALSE,"cover";#N/A,#N/A,FALSE,"fa";#N/A,#N/A,FALSE,"tax";#N/A,#N/A,FALSE,"irr";#N/A,#N/A,FALSE,"in";#N/A,#N/A,FALSE,"DCF Cov";#N/A,#N/A,FALSE,"dcf"}</definedName>
    <definedName name="wrn.Full._.Model." hidden="1">{#N/A,#N/A,FALSE,"Cov";#N/A,#N/A,FALSE,"sum";#N/A,#N/A,FALSE,"baladj";#N/A,#N/A,FALSE,"bs";#N/A,#N/A,FALSE,"is";#N/A,#N/A,FALSE,"pis";#N/A,#N/A,FALSE,"pis";#N/A,#N/A,FALSE,"cf";#N/A,#N/A,FALSE,"balhist";#N/A,#N/A,FALSE,"wc";#N/A,#N/A,FALSE,"ltd";#N/A,#N/A,FALSE,"cover";#N/A,#N/A,FALSE,"fa";#N/A,#N/A,FALSE,"tax";#N/A,#N/A,FALSE,"irr";#N/A,#N/A,FALSE,"in";#N/A,#N/A,FALSE,"DCF Cov";#N/A,#N/A,FALSE,"dcf"}</definedName>
    <definedName name="wrn.Full._.Print." localSheetId="81"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32"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13"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ACQ." localSheetId="81" hidden="1">{#N/A,#N/A,FALSE,"Summary";#N/A,#N/A,FALSE,"Proforma";#N/A,#N/A,FALSE,"Tx"}</definedName>
    <definedName name="wrn.FULL_ACQ." localSheetId="32" hidden="1">{#N/A,#N/A,FALSE,"Summary";#N/A,#N/A,FALSE,"Proforma";#N/A,#N/A,FALSE,"Tx"}</definedName>
    <definedName name="wrn.FULL_ACQ." localSheetId="13" hidden="1">{#N/A,#N/A,FALSE,"Summary";#N/A,#N/A,FALSE,"Proforma";#N/A,#N/A,FALSE,"Tx"}</definedName>
    <definedName name="wrn.FULL_ACQ." hidden="1">{#N/A,#N/A,FALSE,"Summary";#N/A,#N/A,FALSE,"Proforma";#N/A,#N/A,FALSE,"Tx"}</definedName>
    <definedName name="wrn.LBO." localSheetId="81" hidden="1">{#N/A,#N/A,FALSE,"Cov";#N/A,#N/A,FALSE,"sum";#N/A,#N/A,FALSE,"baladj";#N/A,#N/A,FALSE,"bs";#N/A,#N/A,FALSE,"is";#N/A,#N/A,FALSE,"pis";#N/A,#N/A,FALSE,"cf";#N/A,#N/A,FALSE,"balhist";#N/A,#N/A,FALSE,"wc";#N/A,#N/A,FALSE,"ltd";#N/A,#N/A,FALSE,"cover";#N/A,#N/A,FALSE,"fa";#N/A,#N/A,FALSE,"tax";#N/A,#N/A,FALSE,"irr";#N/A,#N/A,FALSE,"in"}</definedName>
    <definedName name="wrn.LBO." localSheetId="32" hidden="1">{#N/A,#N/A,FALSE,"Cov";#N/A,#N/A,FALSE,"sum";#N/A,#N/A,FALSE,"baladj";#N/A,#N/A,FALSE,"bs";#N/A,#N/A,FALSE,"is";#N/A,#N/A,FALSE,"pis";#N/A,#N/A,FALSE,"cf";#N/A,#N/A,FALSE,"balhist";#N/A,#N/A,FALSE,"wc";#N/A,#N/A,FALSE,"ltd";#N/A,#N/A,FALSE,"cover";#N/A,#N/A,FALSE,"fa";#N/A,#N/A,FALSE,"tax";#N/A,#N/A,FALSE,"irr";#N/A,#N/A,FALSE,"in"}</definedName>
    <definedName name="wrn.LBO." localSheetId="13" hidden="1">{#N/A,#N/A,FALSE,"Cov";#N/A,#N/A,FALSE,"sum";#N/A,#N/A,FALSE,"baladj";#N/A,#N/A,FALSE,"bs";#N/A,#N/A,FALSE,"is";#N/A,#N/A,FALSE,"pis";#N/A,#N/A,FALSE,"cf";#N/A,#N/A,FALSE,"balhist";#N/A,#N/A,FALSE,"wc";#N/A,#N/A,FALSE,"ltd";#N/A,#N/A,FALSE,"cover";#N/A,#N/A,FALSE,"fa";#N/A,#N/A,FALSE,"tax";#N/A,#N/A,FALSE,"irr";#N/A,#N/A,FALSE,"in"}</definedName>
    <definedName name="wrn.LBO." hidden="1">{#N/A,#N/A,FALSE,"Cov";#N/A,#N/A,FALSE,"sum";#N/A,#N/A,FALSE,"baladj";#N/A,#N/A,FALSE,"bs";#N/A,#N/A,FALSE,"is";#N/A,#N/A,FALSE,"pis";#N/A,#N/A,FALSE,"cf";#N/A,#N/A,FALSE,"balhist";#N/A,#N/A,FALSE,"wc";#N/A,#N/A,FALSE,"ltd";#N/A,#N/A,FALSE,"cover";#N/A,#N/A,FALSE,"fa";#N/A,#N/A,FALSE,"tax";#N/A,#N/A,FALSE,"irr";#N/A,#N/A,FALSE,"in"}</definedName>
    <definedName name="wrn.MONTHLY." localSheetId="53" hidden="1">{"1999MONTHLY",#N/A,FALSE,"MONTHLY";"2000MONTHLY",#N/A,FALSE,"MONTHLY";"2001MONTHLY",#N/A,FALSE,"MONTHLY"}</definedName>
    <definedName name="wrn.MONTHLY." localSheetId="13" hidden="1">{"1999MONTHLY",#N/A,FALSE,"MONTHLY";"2000MONTHLY",#N/A,FALSE,"MONTHLY";"2001MONTHLY",#N/A,FALSE,"MONTHLY"}</definedName>
    <definedName name="wrn.MONTHLY." localSheetId="51" hidden="1">{"1999MONTHLY",#N/A,FALSE,"MONTHLY";"2000MONTHLY",#N/A,FALSE,"MONTHLY";"2001MONTHLY",#N/A,FALSE,"MONTHLY"}</definedName>
    <definedName name="wrn.MONTHLY." hidden="1">{"1999MONTHLY",#N/A,FALSE,"MONTHLY";"2000MONTHLY",#N/A,FALSE,"MONTHLY";"2001MONTHLY",#N/A,FALSE,"MONTHLY"}</definedName>
    <definedName name="wrn.northpoint." localSheetId="81" hidden="1">{#N/A,#N/A,FALSE,"softdraw";#N/A,#N/A,FALSE,"linereclass";"northpint loan",#N/A,FALSE,"LOAN"}</definedName>
    <definedName name="wrn.northpoint." localSheetId="32" hidden="1">{#N/A,#N/A,FALSE,"softdraw";#N/A,#N/A,FALSE,"linereclass";"northpint loan",#N/A,FALSE,"LOAN"}</definedName>
    <definedName name="wrn.northpoint." localSheetId="13" hidden="1">{#N/A,#N/A,FALSE,"softdraw";#N/A,#N/A,FALSE,"linereclass";"northpint loan",#N/A,FALSE,"LOAN"}</definedName>
    <definedName name="wrn.northpoint." hidden="1">{#N/A,#N/A,FALSE,"softdraw";#N/A,#N/A,FALSE,"linereclass";"northpint loan",#N/A,FALSE,"LOAN"}</definedName>
    <definedName name="wrn.Olk._.by._.Qtr." localSheetId="81" hidden="1">{"Olk by Qtr Full",#N/A,FALSE,"Tot PalmPalm";"Olk by Qtr Full",#N/A,FALSE,"Tot Device";"Olk by Qtr Full",#N/A,FALSE,"Platform";"Olk by Qtr Full",#N/A,FALSE,"Palm.Net";"Olk by Qtr Full",#N/A,FALSE,"Elim"}</definedName>
    <definedName name="wrn.Olk._.by._.Qtr." localSheetId="32" hidden="1">{"Olk by Qtr Full",#N/A,FALSE,"Tot PalmPalm";"Olk by Qtr Full",#N/A,FALSE,"Tot Device";"Olk by Qtr Full",#N/A,FALSE,"Platform";"Olk by Qtr Full",#N/A,FALSE,"Palm.Net";"Olk by Qtr Full",#N/A,FALSE,"Elim"}</definedName>
    <definedName name="wrn.Olk._.by._.Qtr." localSheetId="13" hidden="1">{"Olk by Qtr Full",#N/A,FALSE,"Tot PalmPalm";"Olk by Qtr Full",#N/A,FALSE,"Tot Device";"Olk by Qtr Full",#N/A,FALSE,"Platform";"Olk by Qtr Full",#N/A,FALSE,"Palm.Net";"Olk by Qtr Full",#N/A,FALSE,"Elim"}</definedName>
    <definedName name="wrn.Olk._.by._.Qtr." hidden="1">{"Olk by Qtr Full",#N/A,FALSE,"Tot PalmPalm";"Olk by Qtr Full",#N/A,FALSE,"Tot Device";"Olk by Qtr Full",#N/A,FALSE,"Platform";"Olk by Qtr Full",#N/A,FALSE,"Palm.Net";"Olk by Qtr Full",#N/A,FALSE,"Elim"}</definedName>
    <definedName name="wrn.OUTPUT." localSheetId="81" hidden="1">{"DCF","UPSIDE CASE",FALSE,"Sheet1";"DCF","BASE CASE",FALSE,"Sheet1";"DCF","DOWNSIDE CASE",FALSE,"Sheet1"}</definedName>
    <definedName name="wrn.OUTPUT." localSheetId="69" hidden="1">{"DCF","UPSIDE CASE",FALSE,"Sheet1";"DCF","BASE CASE",FALSE,"Sheet1";"DCF","DOWNSIDE CASE",FALSE,"Sheet1"}</definedName>
    <definedName name="wrn.OUTPUT." localSheetId="32" hidden="1">{"DCF","UPSIDE CASE",FALSE,"Sheet1";"DCF","BASE CASE",FALSE,"Sheet1";"DCF","DOWNSIDE CASE",FALSE,"Sheet1"}</definedName>
    <definedName name="wrn.OUTPUT." localSheetId="13" hidden="1">{"DCF","UPSIDE CASE",FALSE,"Sheet1";"DCF","BASE CASE",FALSE,"Sheet1";"DCF","DOWNSIDE CASE",FALSE,"Sheet1"}</definedName>
    <definedName name="wrn.OUTPUT." hidden="1">{"DCF","UPSIDE CASE",FALSE,"Sheet1";"DCF","BASE CASE",FALSE,"Sheet1";"DCF","DOWNSIDE CASE",FALSE,"Sheet1"}</definedName>
    <definedName name="wrn.PaperPanel." localSheetId="81" hidden="1">{#N/A,#N/A,FALSE,"Control"}</definedName>
    <definedName name="wrn.PaperPanel." localSheetId="32" hidden="1">{#N/A,#N/A,FALSE,"Control"}</definedName>
    <definedName name="wrn.PaperPanel." localSheetId="13" hidden="1">{#N/A,#N/A,FALSE,"Control"}</definedName>
    <definedName name="wrn.PaperPanel." hidden="1">{#N/A,#N/A,FALSE,"Control"}</definedName>
    <definedName name="wrn.partial._.Print." localSheetId="81"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32"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13"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NERSHIP." localSheetId="81" hidden="1">{#N/A,#N/A,FALSE,"Ptnr Cash Flow";#N/A,#N/A,FALSE,"Pship Summary";#N/A,#N/A,FALSE,"Pship Proforma";#N/A,#N/A,FALSE,"Tx"}</definedName>
    <definedName name="wrn.PARTNERSHIP." localSheetId="32" hidden="1">{#N/A,#N/A,FALSE,"Ptnr Cash Flow";#N/A,#N/A,FALSE,"Pship Summary";#N/A,#N/A,FALSE,"Pship Proforma";#N/A,#N/A,FALSE,"Tx"}</definedName>
    <definedName name="wrn.PARTNERSHIP." localSheetId="13" hidden="1">{#N/A,#N/A,FALSE,"Ptnr Cash Flow";#N/A,#N/A,FALSE,"Pship Summary";#N/A,#N/A,FALSE,"Pship Proforma";#N/A,#N/A,FALSE,"Tx"}</definedName>
    <definedName name="wrn.PARTNERSHIP." hidden="1">{#N/A,#N/A,FALSE,"Ptnr Cash Flow";#N/A,#N/A,FALSE,"Pship Summary";#N/A,#N/A,FALSE,"Pship Proforma";#N/A,#N/A,FALSE,"Tx"}</definedName>
    <definedName name="wrn.PLAN." localSheetId="53" hidden="1">{#N/A,#N/A,FALSE,"5YRPL";#N/A,#N/A,FALSE,"3YRPL"}</definedName>
    <definedName name="wrn.PLAN." localSheetId="13" hidden="1">{#N/A,#N/A,FALSE,"5YRPL";#N/A,#N/A,FALSE,"3YRPL"}</definedName>
    <definedName name="wrn.PLAN." localSheetId="51" hidden="1">{#N/A,#N/A,FALSE,"5YRPL";#N/A,#N/A,FALSE,"3YRPL"}</definedName>
    <definedName name="wrn.PLAN." hidden="1">{#N/A,#N/A,FALSE,"5YRPL";#N/A,#N/A,FALSE,"3YRPL"}</definedName>
    <definedName name="wrn.print." localSheetId="81" hidden="1">{#N/A,#N/A,FALSE,"Japan 2003";#N/A,#N/A,FALSE,"Sheet2"}</definedName>
    <definedName name="wrn.print." localSheetId="69" hidden="1">{#N/A,#N/A,FALSE,"Japan 2003";#N/A,#N/A,FALSE,"Sheet2"}</definedName>
    <definedName name="wrn.print." localSheetId="32" hidden="1">{#N/A,#N/A,FALSE,"Japan 2003";#N/A,#N/A,FALSE,"Sheet2"}</definedName>
    <definedName name="wrn.print." localSheetId="13" hidden="1">{#N/A,#N/A,FALSE,"Japan 2003";#N/A,#N/A,FALSE,"Sheet2"}</definedName>
    <definedName name="wrn.print." localSheetId="58" hidden="1">{#N/A,#N/A,FALSE,"Japan 2003";#N/A,#N/A,FALSE,"Sheet2"}</definedName>
    <definedName name="wrn.print." hidden="1">{#N/A,#N/A,FALSE,"Japan 2003";#N/A,#N/A,FALSE,"Sheet2"}</definedName>
    <definedName name="wrn.print._.all._.sheets." localSheetId="81"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3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1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Disk." localSheetId="81"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32"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13"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graphs." localSheetId="81" hidden="1">{"cap_structure",#N/A,FALSE,"Graph-Mkt Cap";"price",#N/A,FALSE,"Graph-Price";"ebit",#N/A,FALSE,"Graph-EBITDA";"ebitda",#N/A,FALSE,"Graph-EBITDA"}</definedName>
    <definedName name="wrn.print._.graphs." localSheetId="3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81" hidden="1">{"inputs raw data",#N/A,TRUE,"INPUT"}</definedName>
    <definedName name="wrn.print._.raw._.data._.entry." localSheetId="32" hidden="1">{"inputs raw data",#N/A,TRUE,"INPUT"}</definedName>
    <definedName name="wrn.print._.raw._.data._.entry." localSheetId="13" hidden="1">{"inputs raw data",#N/A,TRUE,"INPUT"}</definedName>
    <definedName name="wrn.print._.raw._.data._.entry." hidden="1">{"inputs raw data",#N/A,TRUE,"INPUT"}</definedName>
    <definedName name="wrn.print._.summary._.sheets." localSheetId="81" hidden="1">{"summary1",#N/A,TRUE,"Comps";"summary2",#N/A,TRUE,"Comps";"summary3",#N/A,TRUE,"Comps"}</definedName>
    <definedName name="wrn.print._.summary._.sheets." localSheetId="32" hidden="1">{"summary1",#N/A,TRUE,"Comps";"summary2",#N/A,TRUE,"Comps";"summary3",#N/A,TRUE,"Comps"}</definedName>
    <definedName name="wrn.print._.summary._.sheets." localSheetId="13" hidden="1">{"summary1",#N/A,TRUE,"Comps";"summary2",#N/A,TRUE,"Comps";"summary3",#N/A,TRUE,"Comps"}</definedName>
    <definedName name="wrn.print._.summary._.sheets." hidden="1">{"summary1",#N/A,TRUE,"Comps";"summary2",#N/A,TRUE,"Comps";"summary3",#N/A,TRUE,"Comps"}</definedName>
    <definedName name="wrn.PrintSelected." localSheetId="81" hidden="1">{"ModelPage1",#N/A,TRUE,"Model";"ModelSum_Debt",#N/A,TRUE,"Model"}</definedName>
    <definedName name="wrn.PrintSelected." localSheetId="32" hidden="1">{"ModelPage1",#N/A,TRUE,"Model";"ModelSum_Debt",#N/A,TRUE,"Model"}</definedName>
    <definedName name="wrn.PrintSelected." localSheetId="13" hidden="1">{"ModelPage1",#N/A,TRUE,"Model";"ModelSum_Debt",#N/A,TRUE,"Model"}</definedName>
    <definedName name="wrn.PrintSelected." hidden="1">{"ModelPage1",#N/A,TRUE,"Model";"ModelSum_Debt",#N/A,TRUE,"Model"}</definedName>
    <definedName name="wrn.QTRLY." localSheetId="53" hidden="1">{"QTRLY1999",#N/A,FALSE,"QTRLY";"QTRLY2000",#N/A,FALSE,"QTRLY";"QTRLY2001",#N/A,FALSE,"QTRLY"}</definedName>
    <definedName name="wrn.QTRLY." localSheetId="13" hidden="1">{"QTRLY1999",#N/A,FALSE,"QTRLY";"QTRLY2000",#N/A,FALSE,"QTRLY";"QTRLY2001",#N/A,FALSE,"QTRLY"}</definedName>
    <definedName name="wrn.QTRLY." localSheetId="51" hidden="1">{"QTRLY1999",#N/A,FALSE,"QTRLY";"QTRLY2000",#N/A,FALSE,"QTRLY";"QTRLY2001",#N/A,FALSE,"QTRLY"}</definedName>
    <definedName name="wrn.QTRLY." hidden="1">{"QTRLY1999",#N/A,FALSE,"QTRLY";"QTRLY2000",#N/A,FALSE,"QTRLY";"QTRLY2001",#N/A,FALSE,"QTRLY"}</definedName>
    <definedName name="wrn.Relevant." localSheetId="81" hidden="1">{#N/A,#N/A,FALSE,"Title Page";#N/A,#N/A,FALSE,"Conclusions";#N/A,#N/A,FALSE,"Assum.";#N/A,#N/A,FALSE,"Sun  DCF-WC-Dep";#N/A,#N/A,FALSE,"MarketValue";#N/A,#N/A,FALSE,"BalSheet";#N/A,#N/A,FALSE,"WACC";#N/A,#N/A,FALSE,"PC+ Info.";#N/A,#N/A,FALSE,"PC+Info_2"}</definedName>
    <definedName name="wrn.Relevant." localSheetId="32" hidden="1">{#N/A,#N/A,FALSE,"Title Page";#N/A,#N/A,FALSE,"Conclusions";#N/A,#N/A,FALSE,"Assum.";#N/A,#N/A,FALSE,"Sun  DCF-WC-Dep";#N/A,#N/A,FALSE,"MarketValue";#N/A,#N/A,FALSE,"BalSheet";#N/A,#N/A,FALSE,"WACC";#N/A,#N/A,FALSE,"PC+ Info.";#N/A,#N/A,FALSE,"PC+Info_2"}</definedName>
    <definedName name="wrn.Relevant." localSheetId="13" hidden="1">{#N/A,#N/A,FALSE,"Title Page";#N/A,#N/A,FALSE,"Conclusions";#N/A,#N/A,FALSE,"Assum.";#N/A,#N/A,FALSE,"Sun  DCF-WC-Dep";#N/A,#N/A,FALSE,"MarketValue";#N/A,#N/A,FALSE,"BalSheet";#N/A,#N/A,FALSE,"WACC";#N/A,#N/A,FALSE,"PC+ Info.";#N/A,#N/A,FALSE,"PC+Info_2"}</definedName>
    <definedName name="wrn.Relevant." hidden="1">{#N/A,#N/A,FALSE,"Title Page";#N/A,#N/A,FALSE,"Conclusions";#N/A,#N/A,FALSE,"Assum.";#N/A,#N/A,FALSE,"Sun  DCF-WC-Dep";#N/A,#N/A,FALSE,"MarketValue";#N/A,#N/A,FALSE,"BalSheet";#N/A,#N/A,FALSE,"WACC";#N/A,#N/A,FALSE,"PC+ Info.";#N/A,#N/A,FALSE,"PC+Info_2"}</definedName>
    <definedName name="wrn.Relevant1." localSheetId="81" hidden="1">{#N/A,#N/A,FALSE,"Title Page";#N/A,#N/A,FALSE,"Conclusions";#N/A,#N/A,FALSE,"Assum.";#N/A,#N/A,FALSE,"Sun  DCF-WC-Dep";#N/A,#N/A,FALSE,"MarketValue";#N/A,#N/A,FALSE,"BalSheet";#N/A,#N/A,FALSE,"WACC";#N/A,#N/A,FALSE,"PC+ Info.";#N/A,#N/A,FALSE,"PC+Info_2"}</definedName>
    <definedName name="wrn.Relevant1." localSheetId="32" hidden="1">{#N/A,#N/A,FALSE,"Title Page";#N/A,#N/A,FALSE,"Conclusions";#N/A,#N/A,FALSE,"Assum.";#N/A,#N/A,FALSE,"Sun  DCF-WC-Dep";#N/A,#N/A,FALSE,"MarketValue";#N/A,#N/A,FALSE,"BalSheet";#N/A,#N/A,FALSE,"WACC";#N/A,#N/A,FALSE,"PC+ Info.";#N/A,#N/A,FALSE,"PC+Info_2"}</definedName>
    <definedName name="wrn.Relevant1." localSheetId="13"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p." localSheetId="81" hidden="1">{#N/A,#N/A,FALSE,"Exh. 5A";#N/A,#N/A,FALSE,"Exh. 6"}</definedName>
    <definedName name="wrn.rep." localSheetId="32" hidden="1">{#N/A,#N/A,FALSE,"Exh. 5A";#N/A,#N/A,FALSE,"Exh. 6"}</definedName>
    <definedName name="wrn.rep." localSheetId="13" hidden="1">{#N/A,#N/A,FALSE,"Exh. 5A";#N/A,#N/A,FALSE,"Exh. 6"}</definedName>
    <definedName name="wrn.rep." hidden="1">{#N/A,#N/A,FALSE,"Exh. 5A";#N/A,#N/A,FALSE,"Exh. 6"}</definedName>
    <definedName name="wrn.REPORT." localSheetId="81"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32"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13"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venue._.detail." localSheetId="81" hidden="1">{"revenue detail 1",#N/A,FALSE,"Revenue Detail";"revenue detail 2",#N/A,FALSE,"Revenue Detail";"revenue detail 3",#N/A,FALSE,"Revenue Detail";"revenue detail 4",#N/A,FALSE,"Revenue Detail"}</definedName>
    <definedName name="wrn.revenue._.detail." localSheetId="32" hidden="1">{"revenue detail 1",#N/A,FALSE,"Revenue Detail";"revenue detail 2",#N/A,FALSE,"Revenue Detail";"revenue detail 3",#N/A,FALSE,"Revenue Detail";"revenue detail 4",#N/A,FALSE,"Revenue Detail"}</definedName>
    <definedName name="wrn.revenue._.detail." localSheetId="13" hidden="1">{"revenue detail 1",#N/A,FALSE,"Revenue Detail";"revenue detail 2",#N/A,FALSE,"Revenue Detail";"revenue detail 3",#N/A,FALSE,"Revenue Detail";"revenue detail 4",#N/A,FALSE,"Revenue Detail"}</definedName>
    <definedName name="wrn.revenue._.detail." hidden="1">{"revenue detail 1",#N/A,FALSE,"Revenue Detail";"revenue detail 2",#N/A,FALSE,"Revenue Detail";"revenue detail 3",#N/A,FALSE,"Revenue Detail";"revenue detail 4",#N/A,FALSE,"Revenue Detail"}</definedName>
    <definedName name="wrn.Revs." localSheetId="81" hidden="1">{"Base_rev",#N/A,FALSE,"Proj_IS_Base";"Projrev",#N/A,FALSE,"Proj_IS_wOTLC";"Delta",#N/A,FALSE,"Delta Rev_PV"}</definedName>
    <definedName name="wrn.Revs." localSheetId="32" hidden="1">{"Base_rev",#N/A,FALSE,"Proj_IS_Base";"Projrev",#N/A,FALSE,"Proj_IS_wOTLC";"Delta",#N/A,FALSE,"Delta Rev_PV"}</definedName>
    <definedName name="wrn.Revs." localSheetId="13" hidden="1">{"Base_rev",#N/A,FALSE,"Proj_IS_Base";"Projrev",#N/A,FALSE,"Proj_IS_wOTLC";"Delta",#N/A,FALSE,"Delta Rev_PV"}</definedName>
    <definedName name="wrn.Revs." hidden="1">{"Base_rev",#N/A,FALSE,"Proj_IS_Base";"Projrev",#N/A,FALSE,"Proj_IS_wOTLC";"Delta",#N/A,FALSE,"Delta Rev_PV"}</definedName>
    <definedName name="wrn.Riverwood_comp_model." localSheetId="81" hidden="1">{#N/A,#N/A,FALSE,"Che-Ga";#N/A,#N/A,FALSE,"Iv-Sm";#N/A,#N/A,FALSE,"So-We";#N/A,#N/A,FALSE,"Me-Po";#N/A,#N/A,FALSE,"Be-Bo";#N/A,#N/A,FALSE,"Cha-Ki";#N/A,#N/A,FALSE,"In";#N/A,#N/A,FALSE,"Schedule 23";#N/A,#N/A,FALSE,"Schedule 22";#N/A,#N/A,FALSE,"WACC"}</definedName>
    <definedName name="wrn.Riverwood_comp_model." localSheetId="32" hidden="1">{#N/A,#N/A,FALSE,"Che-Ga";#N/A,#N/A,FALSE,"Iv-Sm";#N/A,#N/A,FALSE,"So-We";#N/A,#N/A,FALSE,"Me-Po";#N/A,#N/A,FALSE,"Be-Bo";#N/A,#N/A,FALSE,"Cha-Ki";#N/A,#N/A,FALSE,"In";#N/A,#N/A,FALSE,"Schedule 23";#N/A,#N/A,FALSE,"Schedule 22";#N/A,#N/A,FALSE,"WACC"}</definedName>
    <definedName name="wrn.Riverwood_comp_model." localSheetId="13" hidden="1">{#N/A,#N/A,FALSE,"Che-Ga";#N/A,#N/A,FALSE,"Iv-Sm";#N/A,#N/A,FALSE,"So-We";#N/A,#N/A,FALSE,"Me-Po";#N/A,#N/A,FALSE,"Be-Bo";#N/A,#N/A,FALSE,"Cha-Ki";#N/A,#N/A,FALSE,"In";#N/A,#N/A,FALSE,"Schedule 23";#N/A,#N/A,FALSE,"Schedule 22";#N/A,#N/A,FALSE,"WACC"}</definedName>
    <definedName name="wrn.Riverwood_comp_model." hidden="1">{#N/A,#N/A,FALSE,"Che-Ga";#N/A,#N/A,FALSE,"Iv-Sm";#N/A,#N/A,FALSE,"So-We";#N/A,#N/A,FALSE,"Me-Po";#N/A,#N/A,FALSE,"Be-Bo";#N/A,#N/A,FALSE,"Cha-Ki";#N/A,#N/A,FALSE,"In";#N/A,#N/A,FALSE,"Schedule 23";#N/A,#N/A,FALSE,"Schedule 22";#N/A,#N/A,FALSE,"WACC"}</definedName>
    <definedName name="wrn.ROUGH." localSheetId="81" hidden="1">{#N/A,#N/A,FALSE,"ROA";#N/A,#N/A,FALSE,"ROI";#N/A,#N/A,FALSE,"EBIT";#N/A,#N/A,FALSE,"MULT X"}</definedName>
    <definedName name="wrn.ROUGH." localSheetId="32" hidden="1">{#N/A,#N/A,FALSE,"ROA";#N/A,#N/A,FALSE,"ROI";#N/A,#N/A,FALSE,"EBIT";#N/A,#N/A,FALSE,"MULT X"}</definedName>
    <definedName name="wrn.ROUGH." localSheetId="13" hidden="1">{#N/A,#N/A,FALSE,"ROA";#N/A,#N/A,FALSE,"ROI";#N/A,#N/A,FALSE,"EBIT";#N/A,#N/A,FALSE,"MULT X"}</definedName>
    <definedName name="wrn.ROUGH." hidden="1">{#N/A,#N/A,FALSE,"ROA";#N/A,#N/A,FALSE,"ROI";#N/A,#N/A,FALSE,"EBIT";#N/A,#N/A,FALSE,"MULT X"}</definedName>
    <definedName name="wrn.rptexhibits." localSheetId="81" hidden="1">{#N/A,#N/A,FALSE,"BS";#N/A,#N/A,FALSE,"IS";#N/A,#N/A,FALSE,"RMA ";#N/A,#N/A,FALSE,"ADJ IS";#N/A,#N/A,FALSE,"DCF"}</definedName>
    <definedName name="wrn.rptexhibits." localSheetId="32" hidden="1">{#N/A,#N/A,FALSE,"BS";#N/A,#N/A,FALSE,"IS";#N/A,#N/A,FALSE,"RMA ";#N/A,#N/A,FALSE,"ADJ IS";#N/A,#N/A,FALSE,"DCF"}</definedName>
    <definedName name="wrn.rptexhibits." localSheetId="13" hidden="1">{#N/A,#N/A,FALSE,"BS";#N/A,#N/A,FALSE,"IS";#N/A,#N/A,FALSE,"RMA ";#N/A,#N/A,FALSE,"ADJ IS";#N/A,#N/A,FALSE,"DCF"}</definedName>
    <definedName name="wrn.rptexhibits." hidden="1">{#N/A,#N/A,FALSE,"BS";#N/A,#N/A,FALSE,"IS";#N/A,#N/A,FALSE,"RMA ";#N/A,#N/A,FALSE,"ADJ IS";#N/A,#N/A,FALSE,"DCF"}</definedName>
    <definedName name="wrn.subs." localSheetId="81" hidden="1">{#N/A,#N/A,FALSE,"Comp - War";#N/A,#N/A,FALSE,"Comp - War"}</definedName>
    <definedName name="wrn.subs." localSheetId="32" hidden="1">{#N/A,#N/A,FALSE,"Comp - War";#N/A,#N/A,FALSE,"Comp - War"}</definedName>
    <definedName name="wrn.subs." localSheetId="13" hidden="1">{#N/A,#N/A,FALSE,"Comp - War";#N/A,#N/A,FALSE,"Comp - War"}</definedName>
    <definedName name="wrn.subs." hidden="1">{#N/A,#N/A,FALSE,"Comp - War";#N/A,#N/A,FALSE,"Comp - War"}</definedName>
    <definedName name="wrn.sum." localSheetId="81" hidden="1">{"Opsys",#N/A,FALSE,"NPV_OPsys";"NT",#N/A,FALSE,"NPV_NT";"DevP",#N/A,FALSE,"NPV_DevPdt";"Office",#N/A,FALSE,"NPV_Office"}</definedName>
    <definedName name="wrn.sum." localSheetId="32" hidden="1">{"Opsys",#N/A,FALSE,"NPV_OPsys";"NT",#N/A,FALSE,"NPV_NT";"DevP",#N/A,FALSE,"NPV_DevPdt";"Office",#N/A,FALSE,"NPV_Office"}</definedName>
    <definedName name="wrn.sum." localSheetId="13" hidden="1">{"Opsys",#N/A,FALSE,"NPV_OPsys";"NT",#N/A,FALSE,"NPV_NT";"DevP",#N/A,FALSE,"NPV_DevPdt";"Office",#N/A,FALSE,"NPV_Office"}</definedName>
    <definedName name="wrn.sum." hidden="1">{"Opsys",#N/A,FALSE,"NPV_OPsys";"NT",#N/A,FALSE,"NPV_NT";"DevP",#N/A,FALSE,"NPV_DevPdt";"Office",#N/A,FALSE,"NPV_Office"}</definedName>
    <definedName name="wrn.summary._.schedules." localSheetId="81" hidden="1">{"summary1",#N/A,FALSE,"Summary of Values";"summary2",#N/A,FALSE,"Summary of Values"}</definedName>
    <definedName name="wrn.summary._.schedules." localSheetId="32" hidden="1">{"summary1",#N/A,FALSE,"Summary of Values";"summary2",#N/A,FALSE,"Summary of Values"}</definedName>
    <definedName name="wrn.summary._.schedules." localSheetId="13" hidden="1">{"summary1",#N/A,FALSE,"Summary of Values";"summary2",#N/A,FALSE,"Summary of Values"}</definedName>
    <definedName name="wrn.summary._.schedules." hidden="1">{"summary1",#N/A,FALSE,"Summary of Values";"summary2",#N/A,FALSE,"Summary of Values"}</definedName>
    <definedName name="wrn.technology." localSheetId="81" hidden="1">{"developed valuation",#N/A,FALSE,"Valuation Analysis";"developed income statement",#N/A,FALSE,"Abbreviated Income Statement";"inprocess valuation",#N/A,FALSE,"Valuation Analysis";"inprocess income statement",#N/A,FALSE,"Abbreviated Income Statement"}</definedName>
    <definedName name="wrn.technology." localSheetId="32" hidden="1">{"developed valuation",#N/A,FALSE,"Valuation Analysis";"developed income statement",#N/A,FALSE,"Abbreviated Income Statement";"inprocess valuation",#N/A,FALSE,"Valuation Analysis";"inprocess income statement",#N/A,FALSE,"Abbreviated Income Statement"}</definedName>
    <definedName name="wrn.technology." localSheetId="13" hidden="1">{"developed valuation",#N/A,FALSE,"Valuation Analysis";"developed income statement",#N/A,FALSE,"Abbreviated Income Statement";"inprocess valuation",#N/A,FALSE,"Valuation Analysis";"inprocess income statement",#N/A,FALSE,"Abbreviated Income Statement"}</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hree._.Month._.I.S." localSheetId="81" hidden="1">{"Landscape Detail IS",#N/A,FALSE,"Three Months Ended 8.31.96";"Portrait Summary IS",#N/A,FALSE,"Three Months Ended 8.31.96"}</definedName>
    <definedName name="wrn.Three._.Month._.I.S." localSheetId="32" hidden="1">{"Landscape Detail IS",#N/A,FALSE,"Three Months Ended 8.31.96";"Portrait Summary IS",#N/A,FALSE,"Three Months Ended 8.31.96"}</definedName>
    <definedName name="wrn.Three._.Month._.I.S." localSheetId="13" hidden="1">{"Landscape Detail IS",#N/A,FALSE,"Three Months Ended 8.31.96";"Portrait Summary IS",#N/A,FALSE,"Three Months Ended 8.31.96"}</definedName>
    <definedName name="wrn.Three._.Month._.I.S." hidden="1">{"Landscape Detail IS",#N/A,FALSE,"Three Months Ended 8.31.96";"Portrait Summary IS",#N/A,FALSE,"Three Months Ended 8.31.96"}</definedName>
    <definedName name="wrn.trademark._.and._.trade._.name." localSheetId="81" hidden="1">{"trademark1",#N/A,FALSE,"Trademark(s) and Trade Name(s)"}</definedName>
    <definedName name="wrn.trademark._.and._.trade._.name." localSheetId="32" hidden="1">{"trademark1",#N/A,FALSE,"Trademark(s) and Trade Name(s)"}</definedName>
    <definedName name="wrn.trademark._.and._.trade._.name." localSheetId="13" hidden="1">{"trademark1",#N/A,FALSE,"Trademark(s) and Trade Name(s)"}</definedName>
    <definedName name="wrn.trademark._.and._.trade._.name." hidden="1">{"trademark1",#N/A,FALSE,"Trademark(s) and Trade Name(s)"}</definedName>
    <definedName name="wrn.wara." localSheetId="81" hidden="1">{"weighted average returns",#N/A,FALSE,"WACC and WARA"}</definedName>
    <definedName name="wrn.wara." localSheetId="32" hidden="1">{"weighted average returns",#N/A,FALSE,"WACC and WARA"}</definedName>
    <definedName name="wrn.wara." localSheetId="13" hidden="1">{"weighted average returns",#N/A,FALSE,"WACC and WARA"}</definedName>
    <definedName name="wrn.wara." hidden="1">{"weighted average returns",#N/A,FALSE,"WACC and WARA"}</definedName>
    <definedName name="wrn.Whole._.Model." localSheetId="81" hidden="1">{#N/A,#N/A,FALSE,"Model";#N/A,#N/A,FALSE,"Gen Pts &amp; Rts 2000";#N/A,#N/A,FALSE,"AcqsAss";#N/A,#N/A,FALSE,"Acqs &amp; De Novos"}</definedName>
    <definedName name="wrn.Whole._.Model." localSheetId="32" hidden="1">{#N/A,#N/A,FALSE,"Model";#N/A,#N/A,FALSE,"Gen Pts &amp; Rts 2000";#N/A,#N/A,FALSE,"AcqsAss";#N/A,#N/A,FALSE,"Acqs &amp; De Novos"}</definedName>
    <definedName name="wrn.Whole._.Model." localSheetId="13" hidden="1">{#N/A,#N/A,FALSE,"Model";#N/A,#N/A,FALSE,"Gen Pts &amp; Rts 2000";#N/A,#N/A,FALSE,"AcqsAss";#N/A,#N/A,FALSE,"Acqs &amp; De Novos"}</definedName>
    <definedName name="wrn.Whole._.Model." hidden="1">{#N/A,#N/A,FALSE,"Model";#N/A,#N/A,FALSE,"Gen Pts &amp; Rts 2000";#N/A,#N/A,FALSE,"AcqsAss";#N/A,#N/A,FALSE,"Acqs &amp; De Novos"}</definedName>
    <definedName name="wrn.work._.paper._.shcedules." localSheetId="81" hidden="1">{"summary1",#N/A,FALSE,"Summary of Values";"summary2",#N/A,FALSE,"Summary of Values";"weighted average returns",#N/A,FALSE,"WACC and WARA";"fixed asset detail",#N/A,FALSE,"Fixed Asset Detail"}</definedName>
    <definedName name="wrn.work._.paper._.shcedules." localSheetId="32" hidden="1">{"summary1",#N/A,FALSE,"Summary of Values";"summary2",#N/A,FALSE,"Summary of Values";"weighted average returns",#N/A,FALSE,"WACC and WARA";"fixed asset detail",#N/A,FALSE,"Fixed Asset Detail"}</definedName>
    <definedName name="wrn.work._.paper._.shcedules." localSheetId="13" hidden="1">{"summary1",#N/A,FALSE,"Summary of Values";"summary2",#N/A,FALSE,"Summary of Values";"weighted average returns",#N/A,FALSE,"WACC and WARA";"fixed asset detail",#N/A,FALSE,"Fixed Asset Detail"}</definedName>
    <definedName name="wrn.work._.paper._.shcedules." hidden="1">{"summary1",#N/A,FALSE,"Summary of Values";"summary2",#N/A,FALSE,"Summary of Values";"weighted average returns",#N/A,FALSE,"WACC and WARA";"fixed asset detail",#N/A,FALSE,"Fixed Asset Detail"}</definedName>
    <definedName name="wvu.inputs._.raw._.data." localSheetId="8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localSheetId="8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8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8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81" hidden="1">{#N/A,#N/A,FALSE,"Bakersfield PCs";#N/A,#N/A,FALSE,"Bremer PCs";#N/A,#N/A,FALSE,"Bakersfield Notebooks"}</definedName>
    <definedName name="ww" localSheetId="32" hidden="1">{#N/A,#N/A,FALSE,"Bakersfield PCs";#N/A,#N/A,FALSE,"Bremer PCs";#N/A,#N/A,FALSE,"Bakersfield Notebooks"}</definedName>
    <definedName name="ww" localSheetId="13" hidden="1">{#N/A,#N/A,FALSE,"Bakersfield PCs";#N/A,#N/A,FALSE,"Bremer PCs";#N/A,#N/A,FALSE,"Bakersfield Notebooks"}</definedName>
    <definedName name="ww" hidden="1">{#N/A,#N/A,FALSE,"Bakersfield PCs";#N/A,#N/A,FALSE,"Bremer PCs";#N/A,#N/A,FALSE,"Bakersfield Notebooks"}</definedName>
    <definedName name="ww.Rele" localSheetId="81" hidden="1">{#N/A,#N/A,FALSE,"Title Page";#N/A,#N/A,FALSE,"Conclusions";#N/A,#N/A,FALSE,"Assum.";#N/A,#N/A,FALSE,"Sun  DCF-WC-Dep";#N/A,#N/A,FALSE,"MarketValue";#N/A,#N/A,FALSE,"BalSheet";#N/A,#N/A,FALSE,"WACC";#N/A,#N/A,FALSE,"PC+ Info.";#N/A,#N/A,FALSE,"PC+Info_2"}</definedName>
    <definedName name="ww.Rele" localSheetId="32" hidden="1">{#N/A,#N/A,FALSE,"Title Page";#N/A,#N/A,FALSE,"Conclusions";#N/A,#N/A,FALSE,"Assum.";#N/A,#N/A,FALSE,"Sun  DCF-WC-Dep";#N/A,#N/A,FALSE,"MarketValue";#N/A,#N/A,FALSE,"BalSheet";#N/A,#N/A,FALSE,"WACC";#N/A,#N/A,FALSE,"PC+ Info.";#N/A,#N/A,FALSE,"PC+Info_2"}</definedName>
    <definedName name="ww.Rele" localSheetId="13" hidden="1">{#N/A,#N/A,FALSE,"Title Page";#N/A,#N/A,FALSE,"Conclusions";#N/A,#N/A,FALSE,"Assum.";#N/A,#N/A,FALSE,"Sun  DCF-WC-Dep";#N/A,#N/A,FALSE,"MarketValue";#N/A,#N/A,FALSE,"BalSheet";#N/A,#N/A,FALSE,"WACC";#N/A,#N/A,FALSE,"PC+ Info.";#N/A,#N/A,FALSE,"PC+Info_2"}</definedName>
    <definedName name="ww.Rele" hidden="1">{#N/A,#N/A,FALSE,"Title Page";#N/A,#N/A,FALSE,"Conclusions";#N/A,#N/A,FALSE,"Assum.";#N/A,#N/A,FALSE,"Sun  DCF-WC-Dep";#N/A,#N/A,FALSE,"MarketValue";#N/A,#N/A,FALSE,"BalSheet";#N/A,#N/A,FALSE,"WACC";#N/A,#N/A,FALSE,"PC+ Info.";#N/A,#N/A,FALSE,"PC+Info_2"}</definedName>
    <definedName name="www" localSheetId="81" hidden="1">{#N/A,#N/A,FALSE,"Model";#N/A,#N/A,FALSE,"Gen Pts &amp; Rts 2000";#N/A,#N/A,FALSE,"AcqsAss";#N/A,#N/A,FALSE,"Acqs &amp; De Novos"}</definedName>
    <definedName name="www" localSheetId="32" hidden="1">{#N/A,#N/A,FALSE,"Bakersfield PCs";#N/A,#N/A,FALSE,"Bremer PCs";#N/A,#N/A,FALSE,"Bakersfield Notebooks"}</definedName>
    <definedName name="www" localSheetId="13" hidden="1">{#N/A,#N/A,FALSE,"Bakersfield PCs";#N/A,#N/A,FALSE,"Bremer PCs";#N/A,#N/A,FALSE,"Bakersfield Notebooks"}</definedName>
    <definedName name="www" hidden="1">{#N/A,#N/A,FALSE,"Bakersfield PCs";#N/A,#N/A,FALSE,"Bremer PCs";#N/A,#N/A,FALSE,"Bakersfield Notebooks"}</definedName>
    <definedName name="x" localSheetId="81" hidden="1">{#N/A,#N/A,FALSE,"Model";#N/A,#N/A,FALSE,"Gen Pts &amp; Rts 2000";#N/A,#N/A,FALSE,"AcqsAss";#N/A,#N/A,FALSE,"Acqs &amp; De Novos"}</definedName>
    <definedName name="x" localSheetId="32" hidden="1">{"contributory1",#N/A,FALSE,"Contributory Assets Detail";"contributory2",#N/A,FALSE,"Contributory Assets Detail"}</definedName>
    <definedName name="x" localSheetId="13" hidden="1">{"contributory1",#N/A,FALSE,"Contributory Assets Detail";"contributory2",#N/A,FALSE,"Contributory Assets Detail"}</definedName>
    <definedName name="x" hidden="1">{"contributory1",#N/A,FALSE,"Contributory Assets Detail";"contributory2",#N/A,FALSE,"Contributory Assets Detail"}</definedName>
    <definedName name="xcfzbvfzbhg" localSheetId="38" hidden="1">OFFSET([10]!Data.Top.Left,1,0)</definedName>
    <definedName name="xcfzbvfzbhg" localSheetId="39" hidden="1">OFFSET([10]!Data.Top.Left,1,0)</definedName>
    <definedName name="xcfzbvfzbhg" localSheetId="79" hidden="1">OFFSET([10]!Data.Top.Left,1,0)</definedName>
    <definedName name="xcfzbvfzbhg" localSheetId="13" hidden="1">OFFSET([10]!Data.Top.Left,1,0)</definedName>
    <definedName name="xcfzbvfzbhg" localSheetId="27" hidden="1">OFFSET([10]!Data.Top.Left,1,0)</definedName>
    <definedName name="xcfzbvfzbhg" localSheetId="51" hidden="1">OFFSET([10]!Data.Top.Left,1,0)</definedName>
    <definedName name="xcfzbvfzbhg" hidden="1">OFFSET([10]!Data.Top.Left,1,0)</definedName>
    <definedName name="XRefColumnsCount" hidden="1">4</definedName>
    <definedName name="XRefCopyRangeCount" hidden="1">2</definedName>
    <definedName name="XRefPasteRangeCount" hidden="1">11</definedName>
    <definedName name="xxs" localSheetId="81" hidden="1">{#N/A,#N/A,TRUE,"Tax";#N/A,#N/A,TRUE,"Structure";#N/A,#N/A,TRUE,"Accounting";#N/A,#N/A,TRUE,"Equipment"}</definedName>
    <definedName name="xxs" localSheetId="32" hidden="1">{#N/A,#N/A,TRUE,"Tax";#N/A,#N/A,TRUE,"Structure";#N/A,#N/A,TRUE,"Accounting";#N/A,#N/A,TRUE,"Equipment"}</definedName>
    <definedName name="xxs" localSheetId="13" hidden="1">{#N/A,#N/A,TRUE,"Tax";#N/A,#N/A,TRUE,"Structure";#N/A,#N/A,TRUE,"Accounting";#N/A,#N/A,TRUE,"Equipment"}</definedName>
    <definedName name="xxs" hidden="1">{#N/A,#N/A,TRUE,"Tax";#N/A,#N/A,TRUE,"Structure";#N/A,#N/A,TRUE,"Accounting";#N/A,#N/A,TRUE,"Equipment"}</definedName>
    <definedName name="xxx" localSheetId="81" hidden="1">'[19]Sept Cash flow 10-Q Report P 3'!$B$8:$B$469</definedName>
    <definedName name="xxx" localSheetId="3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1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x" localSheetId="38" hidden="1">#REF!</definedName>
    <definedName name="xxxx" localSheetId="25" hidden="1">#REF!</definedName>
    <definedName name="xxxx" localSheetId="82" hidden="1">#REF!</definedName>
    <definedName name="xxxx" localSheetId="39" hidden="1">#REF!</definedName>
    <definedName name="xxxx" localSheetId="40" hidden="1">#REF!</definedName>
    <definedName name="xxxx" localSheetId="84" hidden="1">#REF!</definedName>
    <definedName name="xxxx" localSheetId="4" hidden="1">#REF!</definedName>
    <definedName name="xxxx" localSheetId="81" hidden="1">'[19]Sept Cash flow 10-Q Report P 3'!$I$8</definedName>
    <definedName name="xxxx" localSheetId="79" hidden="1">#REF!</definedName>
    <definedName name="xxxx" localSheetId="45" hidden="1">#REF!</definedName>
    <definedName name="xxxx" localSheetId="77" hidden="1">#REF!</definedName>
    <definedName name="xxxx" localSheetId="76" hidden="1">#REF!</definedName>
    <definedName name="xxxx" localSheetId="30" hidden="1">#REF!</definedName>
    <definedName name="xxxx" localSheetId="13" hidden="1">#REF!</definedName>
    <definedName name="xxxx" localSheetId="27" hidden="1">#REF!</definedName>
    <definedName name="xxxx" hidden="1">#REF!</definedName>
    <definedName name="yale" localSheetId="81" hidden="1">{"Opsys",#N/A,FALSE,"NPV_OPsys";"NT",#N/A,FALSE,"NPV_NT";"DevP",#N/A,FALSE,"NPV_DevPdt";"Office",#N/A,FALSE,"NPV_Office"}</definedName>
    <definedName name="yale" localSheetId="32" hidden="1">{"Opsys",#N/A,FALSE,"NPV_OPsys";"NT",#N/A,FALSE,"NPV_NT";"DevP",#N/A,FALSE,"NPV_DevPdt";"Office",#N/A,FALSE,"NPV_Office"}</definedName>
    <definedName name="yale" localSheetId="13" hidden="1">{"Opsys",#N/A,FALSE,"NPV_OPsys";"NT",#N/A,FALSE,"NPV_NT";"DevP",#N/A,FALSE,"NPV_DevPdt";"Office",#N/A,FALSE,"NPV_Office"}</definedName>
    <definedName name="yale" hidden="1">{"Opsys",#N/A,FALSE,"NPV_OPsys";"NT",#N/A,FALSE,"NPV_NT";"DevP",#N/A,FALSE,"NPV_DevPdt";"Office",#N/A,FALSE,"NPV_Office"}</definedName>
    <definedName name="Year_ID" hidden="1">" "</definedName>
    <definedName name="yyy" localSheetId="81" hidden="1">{#N/A,#N/A,FALSE,"Bakersfield PCs";#N/A,#N/A,FALSE,"Bremer PCs";#N/A,#N/A,FALSE,"Bakersfield Notebooks"}</definedName>
    <definedName name="yyy" localSheetId="32" hidden="1">{#N/A,#N/A,FALSE,"Bakersfield PCs";#N/A,#N/A,FALSE,"Bremer PCs";#N/A,#N/A,FALSE,"Bakersfield Notebooks"}</definedName>
    <definedName name="yyy" localSheetId="13" hidden="1">{#N/A,#N/A,FALSE,"Bakersfield PCs";#N/A,#N/A,FALSE,"Bremer PCs";#N/A,#N/A,FALSE,"Bakersfield Notebooks"}</definedName>
    <definedName name="yyy" hidden="1">{#N/A,#N/A,FALSE,"Bakersfield PCs";#N/A,#N/A,FALSE,"Bremer PCs";#N/A,#N/A,FALSE,"Bakersfield Notebooks"}</definedName>
    <definedName name="yyyy" localSheetId="81" hidden="1">{#N/A,#N/A,FALSE,"Bakersfield PCs";#N/A,#N/A,FALSE,"Bremer PCs";#N/A,#N/A,FALSE,"Bakersfield Notebooks"}</definedName>
    <definedName name="yyyy" localSheetId="32" hidden="1">{#N/A,#N/A,FALSE,"Bakersfield PCs";#N/A,#N/A,FALSE,"Bremer PCs";#N/A,#N/A,FALSE,"Bakersfield Notebooks"}</definedName>
    <definedName name="yyyy" localSheetId="13" hidden="1">{#N/A,#N/A,FALSE,"Bakersfield PCs";#N/A,#N/A,FALSE,"Bremer PCs";#N/A,#N/A,FALSE,"Bakersfield Notebooks"}</definedName>
    <definedName name="yyyy" hidden="1">{#N/A,#N/A,FALSE,"Bakersfield PCs";#N/A,#N/A,FALSE,"Bremer PCs";#N/A,#N/A,FALSE,"Bakersfield Notebooks"}</definedName>
    <definedName name="yyyyw" localSheetId="81" hidden="1">{#N/A,#N/A,FALSE,"Bakersfield PCs";#N/A,#N/A,FALSE,"Bremer PCs";#N/A,#N/A,FALSE,"Bakersfield Notebooks"}</definedName>
    <definedName name="yyyyw" localSheetId="32" hidden="1">{#N/A,#N/A,FALSE,"Bakersfield PCs";#N/A,#N/A,FALSE,"Bremer PCs";#N/A,#N/A,FALSE,"Bakersfield Notebooks"}</definedName>
    <definedName name="yyyyw" localSheetId="13" hidden="1">{#N/A,#N/A,FALSE,"Bakersfield PCs";#N/A,#N/A,FALSE,"Bremer PCs";#N/A,#N/A,FALSE,"Bakersfield Notebooks"}</definedName>
    <definedName name="yyyyw" hidden="1">{#N/A,#N/A,FALSE,"Bakersfield PCs";#N/A,#N/A,FALSE,"Bremer PCs";#N/A,#N/A,FALSE,"Bakersfield Notebooks"}</definedName>
    <definedName name="Z_61C555CE_15BC_4BF2_B5AF_AEAF416063B2_.wvu.PrintArea" localSheetId="69" hidden="1">'Depreciation - MACRS'!$A$5:$Q$47</definedName>
    <definedName name="Z_C8D64646_03ED_46A7_AD22_AAB54052AD9D_.wvu.PrintArea" localSheetId="69" hidden="1">'Depreciation - MACRS'!$A$5:$Q$47</definedName>
    <definedName name="Z_D71D642E_6A2D_465F_9B29_ACE3AB710F9D_.wvu.PrintArea" localSheetId="69" hidden="1">'Depreciation - MACRS'!$A$5:$Q$47</definedName>
    <definedName name="zzz.com" localSheetId="81" hidden="1">{#N/A,#N/A,FALSE,"Title Page";#N/A,#N/A,FALSE,"Conclusions";#N/A,#N/A,FALSE,"Assum.";#N/A,#N/A,FALSE,"Sun  DCF-WC-Dep";#N/A,#N/A,FALSE,"MarketValue";#N/A,#N/A,FALSE,"BalSheet";#N/A,#N/A,FALSE,"WACC";#N/A,#N/A,FALSE,"PC+ Info.";#N/A,#N/A,FALSE,"PC+Info_2"}</definedName>
    <definedName name="zzz.com" localSheetId="32" hidden="1">{#N/A,#N/A,FALSE,"Title Page";#N/A,#N/A,FALSE,"Conclusions";#N/A,#N/A,FALSE,"Assum.";#N/A,#N/A,FALSE,"Sun  DCF-WC-Dep";#N/A,#N/A,FALSE,"MarketValue";#N/A,#N/A,FALSE,"BalSheet";#N/A,#N/A,FALSE,"WACC";#N/A,#N/A,FALSE,"PC+ Info.";#N/A,#N/A,FALSE,"PC+Info_2"}</definedName>
    <definedName name="zzz.com" localSheetId="13" hidden="1">{#N/A,#N/A,FALSE,"Title Page";#N/A,#N/A,FALSE,"Conclusions";#N/A,#N/A,FALSE,"Assum.";#N/A,#N/A,FALSE,"Sun  DCF-WC-Dep";#N/A,#N/A,FALSE,"MarketValue";#N/A,#N/A,FALSE,"BalSheet";#N/A,#N/A,FALSE,"WACC";#N/A,#N/A,FALSE,"PC+ Info.";#N/A,#N/A,FALSE,"PC+Info_2"}</definedName>
    <definedName name="zzz.com" hidden="1">{#N/A,#N/A,FALSE,"Title Page";#N/A,#N/A,FALSE,"Conclusions";#N/A,#N/A,FALSE,"Assum.";#N/A,#N/A,FALSE,"Sun  DCF-WC-Dep";#N/A,#N/A,FALSE,"MarketValue";#N/A,#N/A,FALSE,"BalSheet";#N/A,#N/A,FALSE,"WACC";#N/A,#N/A,FALSE,"PC+ Info.";#N/A,#N/A,FALSE,"PC+Info_2"}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68" i="6" l="1"/>
  <c r="F69" i="6"/>
  <c r="B58" i="243" l="1"/>
  <c r="A58" i="243"/>
  <c r="P4" i="47"/>
  <c r="Z4" i="47" s="1"/>
  <c r="B47" i="10"/>
  <c r="E69" i="133" l="1"/>
  <c r="E70" i="133"/>
  <c r="E23" i="232" s="1"/>
  <c r="F45" i="11"/>
  <c r="A70" i="11"/>
  <c r="B70" i="11"/>
  <c r="E68" i="133"/>
  <c r="E67" i="133"/>
  <c r="E66" i="133"/>
  <c r="J4" i="271"/>
  <c r="E22" i="232" l="1"/>
  <c r="E21" i="232"/>
  <c r="E62" i="133"/>
  <c r="E65" i="133"/>
  <c r="E20" i="232"/>
  <c r="E61" i="133"/>
  <c r="E60" i="133"/>
  <c r="E25" i="63" l="1"/>
  <c r="E46" i="133" l="1"/>
  <c r="E44" i="133"/>
  <c r="E43" i="133"/>
  <c r="E42" i="133"/>
  <c r="E57" i="133"/>
  <c r="E58" i="133"/>
  <c r="E59" i="133"/>
  <c r="E56" i="133"/>
  <c r="E55" i="133"/>
  <c r="E12" i="133"/>
  <c r="E11" i="133"/>
  <c r="E8" i="133"/>
  <c r="F25" i="271"/>
  <c r="H25" i="271" s="1"/>
  <c r="D25" i="271"/>
  <c r="F23" i="271"/>
  <c r="H23" i="271" s="1"/>
  <c r="D23" i="271"/>
  <c r="D17" i="11" l="1"/>
  <c r="C79" i="156" l="1"/>
  <c r="C64" i="156"/>
  <c r="G64" i="156" s="1"/>
  <c r="G63" i="156"/>
  <c r="B69" i="156"/>
  <c r="B70" i="156"/>
  <c r="B68" i="156"/>
  <c r="C51" i="156"/>
  <c r="C50" i="156"/>
  <c r="C55" i="156"/>
  <c r="C54" i="156"/>
  <c r="C7" i="156"/>
  <c r="C42" i="156"/>
  <c r="F42" i="156" s="1"/>
  <c r="G46" i="156"/>
  <c r="C81" i="156"/>
  <c r="C80" i="156"/>
  <c r="F64" i="156" l="1"/>
  <c r="C43" i="156"/>
  <c r="F43" i="156" s="1"/>
  <c r="G42" i="156"/>
  <c r="A25" i="40" l="1"/>
  <c r="A24" i="40"/>
  <c r="A23" i="40"/>
  <c r="A22" i="40"/>
  <c r="G19" i="275" l="1"/>
  <c r="E19" i="275"/>
  <c r="D19" i="275"/>
  <c r="J18" i="275" s="1"/>
  <c r="B19" i="275"/>
  <c r="G18" i="275"/>
  <c r="E18" i="275"/>
  <c r="D18" i="275"/>
  <c r="I19" i="275" s="1"/>
  <c r="B18" i="275"/>
  <c r="G17" i="275"/>
  <c r="E17" i="275"/>
  <c r="D17" i="275"/>
  <c r="J16" i="275" s="1"/>
  <c r="B17" i="275"/>
  <c r="G16" i="275"/>
  <c r="E16" i="275"/>
  <c r="D16" i="275"/>
  <c r="I17" i="275" s="1"/>
  <c r="B16" i="275"/>
  <c r="G15" i="275"/>
  <c r="E15" i="275"/>
  <c r="D15" i="275"/>
  <c r="J14" i="275" s="1"/>
  <c r="B15" i="275"/>
  <c r="G14" i="275"/>
  <c r="E14" i="275"/>
  <c r="D14" i="275"/>
  <c r="I15" i="275" s="1"/>
  <c r="B14" i="275"/>
  <c r="G13" i="275"/>
  <c r="E13" i="275"/>
  <c r="D13" i="275"/>
  <c r="J12" i="275" s="1"/>
  <c r="B13" i="275"/>
  <c r="G12" i="275"/>
  <c r="E12" i="275"/>
  <c r="D12" i="275"/>
  <c r="I13" i="275" s="1"/>
  <c r="B12" i="275"/>
  <c r="G11" i="275"/>
  <c r="E11" i="275"/>
  <c r="D11" i="275"/>
  <c r="J10" i="275" s="1"/>
  <c r="B11" i="275"/>
  <c r="G10" i="275"/>
  <c r="E10" i="275"/>
  <c r="D10" i="275"/>
  <c r="I11" i="275" s="1"/>
  <c r="B10" i="275"/>
  <c r="G9" i="275"/>
  <c r="E9" i="275"/>
  <c r="D9" i="275"/>
  <c r="B9" i="275"/>
  <c r="I5" i="275"/>
  <c r="L4" i="275"/>
  <c r="I4" i="275"/>
  <c r="D24" i="275" s="1"/>
  <c r="D25" i="275" s="1"/>
  <c r="B2" i="275"/>
  <c r="J4" i="241"/>
  <c r="G8" i="8"/>
  <c r="B61" i="8" s="1"/>
  <c r="D9" i="274"/>
  <c r="J15" i="275" l="1"/>
  <c r="J11" i="275"/>
  <c r="E25" i="275"/>
  <c r="J9" i="275"/>
  <c r="D22" i="275" s="1"/>
  <c r="E22" i="275" s="1"/>
  <c r="J13" i="275"/>
  <c r="J17" i="275"/>
  <c r="I10" i="275"/>
  <c r="I16" i="275"/>
  <c r="I12" i="275"/>
  <c r="I14" i="275"/>
  <c r="I18" i="275"/>
  <c r="E18" i="133"/>
  <c r="E19" i="133"/>
  <c r="E20" i="133"/>
  <c r="B2" i="274"/>
  <c r="D18" i="274"/>
  <c r="D23" i="274"/>
  <c r="D27" i="274" s="1"/>
  <c r="D23" i="275" l="1"/>
  <c r="E23" i="275" s="1"/>
  <c r="E24" i="275" s="1"/>
  <c r="E27" i="275" s="1"/>
  <c r="D29" i="274"/>
  <c r="D11" i="13"/>
  <c r="E11" i="13"/>
  <c r="F11" i="13"/>
  <c r="G11" i="13"/>
  <c r="H11" i="13"/>
  <c r="D12" i="13"/>
  <c r="E12" i="13"/>
  <c r="F12" i="13"/>
  <c r="G12" i="13"/>
  <c r="H12" i="13"/>
  <c r="D13" i="13"/>
  <c r="E13" i="13"/>
  <c r="F13" i="13"/>
  <c r="G13" i="13"/>
  <c r="H13" i="13" s="1"/>
  <c r="D14" i="13"/>
  <c r="E14" i="13"/>
  <c r="F14" i="13" s="1"/>
  <c r="G14" i="13" s="1"/>
  <c r="H14" i="13" s="1"/>
  <c r="D15" i="13"/>
  <c r="E15" i="13"/>
  <c r="F15" i="13" s="1"/>
  <c r="G15" i="13" s="1"/>
  <c r="H15" i="13" s="1"/>
  <c r="D16" i="13"/>
  <c r="E16" i="13"/>
  <c r="F16" i="13"/>
  <c r="G16" i="13"/>
  <c r="H16" i="13" s="1"/>
  <c r="D17" i="13"/>
  <c r="E17" i="13"/>
  <c r="F17" i="13"/>
  <c r="G17" i="13"/>
  <c r="H17" i="13" s="1"/>
  <c r="D18" i="13"/>
  <c r="E18" i="13"/>
  <c r="F18" i="13"/>
  <c r="G18" i="13"/>
  <c r="H18" i="13" s="1"/>
  <c r="E10" i="13"/>
  <c r="F10" i="13"/>
  <c r="G10" i="13" s="1"/>
  <c r="H10" i="13" s="1"/>
  <c r="D12" i="52" l="1"/>
  <c r="O6" i="12"/>
  <c r="D46" i="274"/>
  <c r="D35" i="274"/>
  <c r="AD19" i="185"/>
  <c r="AD18" i="185"/>
  <c r="AD17" i="185"/>
  <c r="AD16" i="185"/>
  <c r="B16" i="185"/>
  <c r="D16" i="185"/>
  <c r="E16" i="185"/>
  <c r="F16" i="185"/>
  <c r="G16" i="185"/>
  <c r="H16" i="185"/>
  <c r="K16" i="185"/>
  <c r="N16" i="185"/>
  <c r="X16" i="185" s="1"/>
  <c r="O16" i="185"/>
  <c r="P16" i="185"/>
  <c r="Q16" i="185"/>
  <c r="R16" i="185"/>
  <c r="U16" i="185"/>
  <c r="B17" i="185"/>
  <c r="D17" i="185"/>
  <c r="E17" i="185"/>
  <c r="F17" i="185"/>
  <c r="G17" i="185"/>
  <c r="H17" i="185"/>
  <c r="K17" i="185"/>
  <c r="N17" i="185"/>
  <c r="O17" i="185"/>
  <c r="P17" i="185"/>
  <c r="Q17" i="185"/>
  <c r="R17" i="185"/>
  <c r="U17" i="185"/>
  <c r="B18" i="185"/>
  <c r="D18" i="185"/>
  <c r="E18" i="185"/>
  <c r="F18" i="185"/>
  <c r="G18" i="185"/>
  <c r="H18" i="185"/>
  <c r="K18" i="185"/>
  <c r="N18" i="185"/>
  <c r="O18" i="185"/>
  <c r="P18" i="185"/>
  <c r="Q18" i="185"/>
  <c r="R18" i="185"/>
  <c r="U18" i="185"/>
  <c r="Y18" i="185"/>
  <c r="B19" i="185"/>
  <c r="D19" i="185"/>
  <c r="E19" i="185"/>
  <c r="F19" i="185"/>
  <c r="I19" i="185" s="1"/>
  <c r="G19" i="185"/>
  <c r="H19" i="185"/>
  <c r="K19" i="185"/>
  <c r="N19" i="185"/>
  <c r="O19" i="185"/>
  <c r="P19" i="185"/>
  <c r="Q19" i="185"/>
  <c r="R19" i="185"/>
  <c r="U19" i="185"/>
  <c r="M15" i="257"/>
  <c r="M16" i="257"/>
  <c r="M17" i="257"/>
  <c r="M18" i="257"/>
  <c r="M15" i="249"/>
  <c r="M16" i="249"/>
  <c r="M17" i="249"/>
  <c r="M18" i="249"/>
  <c r="D15" i="15"/>
  <c r="D16" i="15"/>
  <c r="D17" i="15"/>
  <c r="M15" i="272"/>
  <c r="M16" i="272"/>
  <c r="M17" i="272"/>
  <c r="M18" i="272"/>
  <c r="M15" i="273"/>
  <c r="M16" i="273"/>
  <c r="M17" i="273"/>
  <c r="M18" i="273"/>
  <c r="M15" i="244"/>
  <c r="M16" i="244"/>
  <c r="M17" i="244"/>
  <c r="M18" i="244"/>
  <c r="B30" i="79"/>
  <c r="C30" i="79"/>
  <c r="B31" i="79"/>
  <c r="C31" i="79"/>
  <c r="B32" i="79"/>
  <c r="C32" i="79"/>
  <c r="B33" i="79"/>
  <c r="AA15" i="273" s="1"/>
  <c r="C33" i="79"/>
  <c r="AC16" i="185" s="1"/>
  <c r="B34" i="79"/>
  <c r="AA16" i="12" s="1"/>
  <c r="M16" i="13" s="1"/>
  <c r="C34" i="79"/>
  <c r="AC17" i="185" s="1"/>
  <c r="B35" i="79"/>
  <c r="AA17" i="257" s="1"/>
  <c r="C35" i="79"/>
  <c r="AC18" i="185" s="1"/>
  <c r="B36" i="79"/>
  <c r="AA18" i="249" s="1"/>
  <c r="C36" i="79"/>
  <c r="AC19" i="185" s="1"/>
  <c r="B37" i="79"/>
  <c r="C37" i="79"/>
  <c r="B38" i="79"/>
  <c r="C38" i="79"/>
  <c r="B39" i="79"/>
  <c r="C39" i="79"/>
  <c r="B40" i="79"/>
  <c r="C40" i="79"/>
  <c r="B41" i="79"/>
  <c r="C41" i="79"/>
  <c r="B42" i="79"/>
  <c r="C42" i="79"/>
  <c r="B43" i="79"/>
  <c r="C43" i="79"/>
  <c r="B44" i="79"/>
  <c r="C44" i="79"/>
  <c r="B45" i="79"/>
  <c r="C45" i="79"/>
  <c r="B46" i="79"/>
  <c r="C46" i="79"/>
  <c r="B47" i="79"/>
  <c r="C47" i="79"/>
  <c r="B48" i="79"/>
  <c r="C48" i="79"/>
  <c r="B49" i="79"/>
  <c r="C49" i="79"/>
  <c r="B50" i="79"/>
  <c r="C50" i="79"/>
  <c r="B51" i="79"/>
  <c r="C51" i="79"/>
  <c r="B52" i="79"/>
  <c r="C52" i="79"/>
  <c r="B56" i="79"/>
  <c r="B55" i="79"/>
  <c r="B54" i="79"/>
  <c r="B53" i="79"/>
  <c r="M15" i="12"/>
  <c r="M16" i="12"/>
  <c r="M17" i="12"/>
  <c r="M18" i="12"/>
  <c r="O15" i="13"/>
  <c r="I16" i="13"/>
  <c r="J16" i="13" s="1"/>
  <c r="K16" i="13" s="1"/>
  <c r="O16" i="13"/>
  <c r="I17" i="13"/>
  <c r="J17" i="13" s="1"/>
  <c r="K17" i="13" s="1"/>
  <c r="O17" i="13"/>
  <c r="I18" i="13"/>
  <c r="J18" i="13" s="1"/>
  <c r="K18" i="13" s="1"/>
  <c r="O18" i="13"/>
  <c r="AA16" i="244" l="1"/>
  <c r="X17" i="185"/>
  <c r="Y17" i="185"/>
  <c r="X19" i="185"/>
  <c r="S16" i="185"/>
  <c r="AA18" i="257"/>
  <c r="S18" i="185"/>
  <c r="X18" i="185"/>
  <c r="S19" i="185"/>
  <c r="J19" i="185"/>
  <c r="L19" i="185" s="1"/>
  <c r="T17" i="185"/>
  <c r="V17" i="185" s="1"/>
  <c r="AA17" i="244"/>
  <c r="AA18" i="12"/>
  <c r="M18" i="13" s="1"/>
  <c r="AA16" i="272"/>
  <c r="AA15" i="272"/>
  <c r="AA17" i="249"/>
  <c r="J18" i="185"/>
  <c r="L18" i="185" s="1"/>
  <c r="S17" i="185"/>
  <c r="AA17" i="12"/>
  <c r="M17" i="13" s="1"/>
  <c r="AA15" i="244"/>
  <c r="AA18" i="273"/>
  <c r="AA17" i="273"/>
  <c r="AA16" i="273"/>
  <c r="AA18" i="272"/>
  <c r="AA17" i="272"/>
  <c r="AA16" i="249"/>
  <c r="AA16" i="257"/>
  <c r="AA15" i="257"/>
  <c r="I18" i="185"/>
  <c r="J17" i="185"/>
  <c r="L17" i="185" s="1"/>
  <c r="T16" i="185"/>
  <c r="V16" i="185" s="1"/>
  <c r="AA15" i="249"/>
  <c r="AA15" i="12"/>
  <c r="M15" i="13" s="1"/>
  <c r="AA18" i="244"/>
  <c r="T19" i="185"/>
  <c r="V19" i="185" s="1"/>
  <c r="Z19" i="185" s="1"/>
  <c r="T18" i="185"/>
  <c r="V18" i="185" s="1"/>
  <c r="Z18" i="185" s="1"/>
  <c r="I17" i="185"/>
  <c r="I16" i="185"/>
  <c r="D39" i="274"/>
  <c r="J16" i="185"/>
  <c r="L16" i="185" s="1"/>
  <c r="Y19" i="185"/>
  <c r="Y16" i="185"/>
  <c r="I15" i="13"/>
  <c r="J15" i="13" s="1"/>
  <c r="K15" i="13" s="1"/>
  <c r="N23" i="64"/>
  <c r="Z17" i="185" l="1"/>
  <c r="Z16" i="185"/>
  <c r="G18" i="243"/>
  <c r="S29" i="273"/>
  <c r="S27" i="273"/>
  <c r="M27" i="273"/>
  <c r="M29" i="273" s="1"/>
  <c r="M14" i="273"/>
  <c r="M13" i="273"/>
  <c r="M12" i="273"/>
  <c r="M11" i="273"/>
  <c r="M10" i="273"/>
  <c r="AB5" i="273"/>
  <c r="AB4" i="273"/>
  <c r="Y4" i="273"/>
  <c r="AB3" i="273"/>
  <c r="B2" i="273"/>
  <c r="B27" i="273" s="1"/>
  <c r="G9" i="243"/>
  <c r="G11" i="243" s="1"/>
  <c r="F7" i="243"/>
  <c r="E7" i="243"/>
  <c r="D11" i="243"/>
  <c r="I29" i="73"/>
  <c r="I36" i="73" s="1"/>
  <c r="I34" i="73"/>
  <c r="E34" i="73" s="1"/>
  <c r="H33" i="73"/>
  <c r="E27" i="73"/>
  <c r="E28" i="73" s="1"/>
  <c r="D27" i="73"/>
  <c r="D28" i="73" s="1"/>
  <c r="H26" i="73"/>
  <c r="J13" i="66"/>
  <c r="G15" i="243" l="1"/>
  <c r="L6" i="275" s="1"/>
  <c r="N6" i="273"/>
  <c r="M21" i="273"/>
  <c r="B29" i="273"/>
  <c r="M20" i="273"/>
  <c r="M25" i="273"/>
  <c r="M23" i="273"/>
  <c r="M22" i="273"/>
  <c r="M24" i="273"/>
  <c r="N11" i="273"/>
  <c r="N27" i="273"/>
  <c r="E36" i="73"/>
  <c r="E35" i="73"/>
  <c r="D29" i="73"/>
  <c r="D31" i="73" s="1"/>
  <c r="E29" i="73"/>
  <c r="E31" i="73" s="1"/>
  <c r="D34" i="73"/>
  <c r="N17" i="273" l="1"/>
  <c r="N15" i="273"/>
  <c r="N18" i="273"/>
  <c r="N16" i="273"/>
  <c r="Q6" i="273"/>
  <c r="N12" i="273"/>
  <c r="N13" i="273"/>
  <c r="N29" i="273"/>
  <c r="N10" i="273"/>
  <c r="N14" i="273"/>
  <c r="E38" i="73"/>
  <c r="D36" i="73"/>
  <c r="D35" i="73"/>
  <c r="D38" i="73" l="1"/>
  <c r="N20" i="273"/>
  <c r="Q13" i="273"/>
  <c r="Q17" i="273"/>
  <c r="Q14" i="273"/>
  <c r="Q18" i="273"/>
  <c r="Q11" i="273"/>
  <c r="Q15" i="273"/>
  <c r="Q12" i="273"/>
  <c r="Q16" i="273"/>
  <c r="N25" i="273"/>
  <c r="N22" i="273"/>
  <c r="N23" i="273"/>
  <c r="N24" i="273"/>
  <c r="N21" i="273"/>
  <c r="S17" i="273" l="1"/>
  <c r="S15" i="273"/>
  <c r="S16" i="273"/>
  <c r="S18" i="273"/>
  <c r="H4" i="242"/>
  <c r="I9" i="236"/>
  <c r="G54" i="64"/>
  <c r="G55" i="64"/>
  <c r="G56" i="64"/>
  <c r="G57" i="64"/>
  <c r="G53" i="64"/>
  <c r="H57" i="64" l="1"/>
  <c r="D9" i="236"/>
  <c r="C58" i="156" s="1" a="1"/>
  <c r="E7" i="236"/>
  <c r="F7" i="236"/>
  <c r="E18" i="243"/>
  <c r="E46" i="243" s="1"/>
  <c r="S29" i="272"/>
  <c r="S27" i="272"/>
  <c r="M27" i="272"/>
  <c r="M29" i="272" s="1"/>
  <c r="M14" i="272"/>
  <c r="M13" i="272"/>
  <c r="M12" i="272"/>
  <c r="M11" i="272"/>
  <c r="M10" i="272"/>
  <c r="AB5" i="272"/>
  <c r="AB4" i="272"/>
  <c r="Y4" i="272"/>
  <c r="AB3" i="272"/>
  <c r="B2" i="272"/>
  <c r="B27" i="272" s="1"/>
  <c r="F13" i="243"/>
  <c r="E13" i="243"/>
  <c r="E45" i="243"/>
  <c r="E44" i="243"/>
  <c r="E43" i="243"/>
  <c r="K15" i="63"/>
  <c r="R6" i="13"/>
  <c r="D65" i="73"/>
  <c r="D51" i="73"/>
  <c r="D41" i="73"/>
  <c r="D42" i="73" s="1"/>
  <c r="D10" i="73"/>
  <c r="D12" i="73" s="1"/>
  <c r="E9" i="243" s="1"/>
  <c r="E11" i="243" s="1"/>
  <c r="E15" i="243" s="1"/>
  <c r="M6" i="275" s="1"/>
  <c r="E40" i="243" l="1"/>
  <c r="B4" i="272"/>
  <c r="E63" i="133" s="1"/>
  <c r="C60" i="156"/>
  <c r="C58" i="156"/>
  <c r="C59" i="156"/>
  <c r="R18" i="13"/>
  <c r="R15" i="13"/>
  <c r="R16" i="13"/>
  <c r="R17" i="13"/>
  <c r="D43" i="73"/>
  <c r="D45" i="73" s="1"/>
  <c r="E31" i="243"/>
  <c r="E42" i="243" s="1"/>
  <c r="E48" i="243" s="1"/>
  <c r="E49" i="243" s="1"/>
  <c r="E51" i="243" s="1"/>
  <c r="M6" i="14"/>
  <c r="M25" i="272"/>
  <c r="M21" i="272"/>
  <c r="M24" i="272"/>
  <c r="M20" i="272"/>
  <c r="M23" i="272"/>
  <c r="B29" i="272"/>
  <c r="M22" i="272"/>
  <c r="N6" i="272"/>
  <c r="E33" i="243"/>
  <c r="E20" i="243"/>
  <c r="E21" i="243" s="1"/>
  <c r="N17" i="272" l="1"/>
  <c r="N16" i="272"/>
  <c r="N15" i="272"/>
  <c r="N18" i="272"/>
  <c r="N14" i="272"/>
  <c r="N10" i="272"/>
  <c r="Q6" i="272"/>
  <c r="N27" i="272"/>
  <c r="N13" i="272"/>
  <c r="N11" i="272"/>
  <c r="N29" i="272"/>
  <c r="N12" i="272"/>
  <c r="E54" i="8"/>
  <c r="B2" i="271"/>
  <c r="A52" i="236"/>
  <c r="E31" i="133"/>
  <c r="E30" i="133"/>
  <c r="I51" i="236"/>
  <c r="Q15" i="272" l="1"/>
  <c r="Q18" i="272"/>
  <c r="Q17" i="272"/>
  <c r="Q16" i="272"/>
  <c r="N20" i="272"/>
  <c r="N21" i="272"/>
  <c r="N22" i="272"/>
  <c r="N25" i="272"/>
  <c r="N24" i="272"/>
  <c r="N23" i="272"/>
  <c r="I181" i="73"/>
  <c r="E45" i="133"/>
  <c r="F45" i="243"/>
  <c r="F44" i="243"/>
  <c r="F43" i="243"/>
  <c r="F40" i="243"/>
  <c r="F18" i="243"/>
  <c r="F46" i="243" s="1"/>
  <c r="M27" i="249"/>
  <c r="B4" i="249"/>
  <c r="E64" i="133" s="1"/>
  <c r="J4" i="52"/>
  <c r="J53" i="52"/>
  <c r="J27" i="52"/>
  <c r="I28" i="52"/>
  <c r="H26" i="52"/>
  <c r="D26" i="52"/>
  <c r="J21" i="52"/>
  <c r="G39" i="270"/>
  <c r="F39" i="270"/>
  <c r="E39" i="270"/>
  <c r="D39" i="270"/>
  <c r="G38" i="270"/>
  <c r="F38" i="270"/>
  <c r="E38" i="270"/>
  <c r="D38" i="270"/>
  <c r="G37" i="270"/>
  <c r="F37" i="270"/>
  <c r="E37" i="270"/>
  <c r="D37" i="270"/>
  <c r="G34" i="270"/>
  <c r="G21" i="270"/>
  <c r="G9" i="270"/>
  <c r="G25" i="270" s="1"/>
  <c r="F9" i="270"/>
  <c r="F25" i="270" s="1"/>
  <c r="F36" i="270" s="1"/>
  <c r="E9" i="270"/>
  <c r="D9" i="270"/>
  <c r="D25" i="270" s="1"/>
  <c r="D36" i="270" s="1"/>
  <c r="B2" i="270"/>
  <c r="S16" i="272" l="1"/>
  <c r="S17" i="272"/>
  <c r="S18" i="272"/>
  <c r="S15" i="272"/>
  <c r="F33" i="243"/>
  <c r="J28" i="52"/>
  <c r="G36" i="270"/>
  <c r="E25" i="270"/>
  <c r="E36" i="270" s="1"/>
  <c r="N10" i="245"/>
  <c r="G66" i="8"/>
  <c r="G67" i="8" s="1"/>
  <c r="E66" i="8"/>
  <c r="E67" i="8" s="1"/>
  <c r="E22" i="8"/>
  <c r="E23" i="8"/>
  <c r="E34" i="8"/>
  <c r="E35" i="8"/>
  <c r="E36" i="8"/>
  <c r="E37" i="8"/>
  <c r="E44" i="8"/>
  <c r="E50" i="8"/>
  <c r="E51" i="8"/>
  <c r="E52" i="8"/>
  <c r="D54" i="8"/>
  <c r="D52" i="8"/>
  <c r="D51" i="8"/>
  <c r="D50" i="8"/>
  <c r="D44" i="8"/>
  <c r="D37" i="8"/>
  <c r="D36" i="8"/>
  <c r="D35" i="8"/>
  <c r="D34" i="8"/>
  <c r="D23" i="8"/>
  <c r="D22" i="8"/>
  <c r="D17" i="8"/>
  <c r="D13" i="8"/>
  <c r="D66" i="8" s="1"/>
  <c r="D67" i="8" s="1"/>
  <c r="J36" i="8"/>
  <c r="J37" i="8"/>
  <c r="J53" i="241"/>
  <c r="I19" i="52" l="1"/>
  <c r="J19" i="52" l="1"/>
  <c r="I26" i="52"/>
  <c r="J26" i="52" l="1"/>
  <c r="I28" i="241" l="1"/>
  <c r="J27" i="241"/>
  <c r="H26" i="241"/>
  <c r="D26" i="241"/>
  <c r="I19" i="241"/>
  <c r="I26" i="241" s="1"/>
  <c r="J21" i="241"/>
  <c r="J28" i="241" l="1"/>
  <c r="J19" i="241"/>
  <c r="J26" i="241" l="1"/>
  <c r="G23" i="10" l="1"/>
  <c r="G21" i="10"/>
  <c r="E21" i="10"/>
  <c r="E23" i="10"/>
  <c r="E31" i="10"/>
  <c r="E42" i="10"/>
  <c r="D42" i="10"/>
  <c r="D31" i="10"/>
  <c r="D23" i="10"/>
  <c r="D21" i="10"/>
  <c r="M13" i="63" l="1"/>
  <c r="M14" i="63"/>
  <c r="A49" i="64" l="1"/>
  <c r="A48" i="64"/>
  <c r="D11" i="64" a="1"/>
  <c r="G11" i="64" s="1"/>
  <c r="H203" i="269"/>
  <c r="D198" i="269"/>
  <c r="Z188" i="269"/>
  <c r="T188" i="269"/>
  <c r="AB179" i="269"/>
  <c r="AB178" i="269"/>
  <c r="AB177" i="269"/>
  <c r="AB176" i="269"/>
  <c r="AB175" i="269"/>
  <c r="AB174" i="269"/>
  <c r="AB173" i="269"/>
  <c r="AB172" i="269"/>
  <c r="AB171" i="269"/>
  <c r="AB169" i="269"/>
  <c r="AB168" i="269"/>
  <c r="AB167" i="269"/>
  <c r="AB166" i="269"/>
  <c r="AB165" i="269"/>
  <c r="AB164" i="269"/>
  <c r="AB163" i="269"/>
  <c r="AB161" i="269"/>
  <c r="AB160" i="269"/>
  <c r="AB159" i="269"/>
  <c r="AB158" i="269"/>
  <c r="AB157" i="269"/>
  <c r="AB156" i="269"/>
  <c r="AB155" i="269"/>
  <c r="AB154" i="269"/>
  <c r="AB153" i="269"/>
  <c r="AB152" i="269"/>
  <c r="AB151" i="269"/>
  <c r="AB150" i="269"/>
  <c r="AB149" i="269"/>
  <c r="AB148" i="269"/>
  <c r="AB147" i="269"/>
  <c r="AB146" i="269"/>
  <c r="AB145" i="269"/>
  <c r="AB144" i="269"/>
  <c r="AB143" i="269"/>
  <c r="AB142" i="269"/>
  <c r="AB141" i="269"/>
  <c r="AB140" i="269"/>
  <c r="AB139" i="269"/>
  <c r="AB138" i="269"/>
  <c r="AB137" i="269"/>
  <c r="AB136" i="269"/>
  <c r="AB135" i="269"/>
  <c r="AB134" i="269"/>
  <c r="AB133" i="269"/>
  <c r="AB132" i="269"/>
  <c r="AB131" i="269"/>
  <c r="AB130" i="269"/>
  <c r="AB129" i="269"/>
  <c r="AB128" i="269"/>
  <c r="AB127" i="269"/>
  <c r="AB126" i="269"/>
  <c r="AB125" i="269"/>
  <c r="AB124" i="269"/>
  <c r="AB123" i="269"/>
  <c r="AB122" i="269"/>
  <c r="AB121" i="269"/>
  <c r="AB120" i="269"/>
  <c r="AB118" i="269"/>
  <c r="AB117" i="269"/>
  <c r="AB116" i="269"/>
  <c r="AB115" i="269"/>
  <c r="AB114" i="269"/>
  <c r="AB113" i="269"/>
  <c r="AB112" i="269"/>
  <c r="F111" i="269"/>
  <c r="AB111" i="269" s="1"/>
  <c r="F110" i="269"/>
  <c r="AB110" i="269" s="1"/>
  <c r="F109" i="269"/>
  <c r="AB109" i="269" s="1"/>
  <c r="AB107" i="269"/>
  <c r="AB106" i="269"/>
  <c r="AB105" i="269"/>
  <c r="AB104" i="269"/>
  <c r="AB103" i="269"/>
  <c r="AB102" i="269"/>
  <c r="AB101" i="269"/>
  <c r="AB100" i="269"/>
  <c r="AB98" i="269"/>
  <c r="AB97" i="269"/>
  <c r="AB96" i="269"/>
  <c r="AB95" i="269"/>
  <c r="AB93" i="269"/>
  <c r="AB92" i="269"/>
  <c r="AB91" i="269"/>
  <c r="AB90" i="269"/>
  <c r="AB89" i="269"/>
  <c r="AB88" i="269"/>
  <c r="AB87" i="269"/>
  <c r="AB86" i="269"/>
  <c r="AB85" i="269"/>
  <c r="AB83" i="269"/>
  <c r="AB82" i="269"/>
  <c r="AB81" i="269"/>
  <c r="AB80" i="269"/>
  <c r="AB79" i="269"/>
  <c r="AB78" i="269"/>
  <c r="AB77" i="269"/>
  <c r="AB75" i="269"/>
  <c r="AF75" i="269" s="1"/>
  <c r="AB74" i="269"/>
  <c r="AF74" i="269" s="1"/>
  <c r="AB73" i="269"/>
  <c r="AF73" i="269" s="1"/>
  <c r="AB72" i="269"/>
  <c r="AF72" i="269" s="1"/>
  <c r="AB71" i="269"/>
  <c r="AF71" i="269" s="1"/>
  <c r="AB70" i="269"/>
  <c r="AF70" i="269" s="1"/>
  <c r="AB68" i="269"/>
  <c r="J68" i="269"/>
  <c r="AB67" i="269"/>
  <c r="J67" i="269"/>
  <c r="AB66" i="269"/>
  <c r="J66" i="269"/>
  <c r="AB65" i="269"/>
  <c r="J65" i="269"/>
  <c r="AB64" i="269"/>
  <c r="J64" i="269"/>
  <c r="AB63" i="269"/>
  <c r="J63" i="269"/>
  <c r="AB61" i="269"/>
  <c r="AB60" i="269"/>
  <c r="AB59" i="269"/>
  <c r="AB58" i="269"/>
  <c r="AB57" i="269"/>
  <c r="AB56" i="269"/>
  <c r="AB55" i="269"/>
  <c r="AB54" i="269"/>
  <c r="AB53" i="269"/>
  <c r="AB52" i="269"/>
  <c r="AB51" i="269"/>
  <c r="AB50" i="269"/>
  <c r="AB49" i="269"/>
  <c r="AB48" i="269"/>
  <c r="AJ48" i="269" s="1"/>
  <c r="AB47" i="269"/>
  <c r="AJ47" i="269" s="1"/>
  <c r="AB46" i="269"/>
  <c r="AJ46" i="269" s="1"/>
  <c r="AB45" i="269"/>
  <c r="AJ45" i="269" s="1"/>
  <c r="AB43" i="269"/>
  <c r="AJ43" i="269" s="1"/>
  <c r="F42" i="269"/>
  <c r="AB42" i="269" s="1"/>
  <c r="AB41" i="269"/>
  <c r="AJ41" i="269" s="1"/>
  <c r="AB40" i="269"/>
  <c r="AJ40" i="269" s="1"/>
  <c r="AB39" i="269"/>
  <c r="AJ39" i="269" s="1"/>
  <c r="AB38" i="269"/>
  <c r="AJ38" i="269" s="1"/>
  <c r="AB36" i="269"/>
  <c r="AJ36" i="269" s="1"/>
  <c r="AB35" i="269"/>
  <c r="AJ35" i="269" s="1"/>
  <c r="AB34" i="269"/>
  <c r="AJ34" i="269" s="1"/>
  <c r="AB33" i="269"/>
  <c r="AJ33" i="269" s="1"/>
  <c r="AB32" i="269"/>
  <c r="AJ32" i="269" s="1"/>
  <c r="AB31" i="269"/>
  <c r="AJ31" i="269" s="1"/>
  <c r="AB30" i="269"/>
  <c r="AJ30" i="269" s="1"/>
  <c r="AB29" i="269"/>
  <c r="AJ29" i="269" s="1"/>
  <c r="AB28" i="269"/>
  <c r="AJ28" i="269" s="1"/>
  <c r="AB27" i="269"/>
  <c r="AJ27" i="269" s="1"/>
  <c r="AF25" i="269"/>
  <c r="AB25" i="269"/>
  <c r="AF24" i="269"/>
  <c r="AB24" i="269"/>
  <c r="AF23" i="269"/>
  <c r="AB23" i="269"/>
  <c r="AF22" i="269"/>
  <c r="AB22" i="269"/>
  <c r="AF21" i="269"/>
  <c r="AB21" i="269"/>
  <c r="AF19" i="269"/>
  <c r="AB19" i="269"/>
  <c r="AF18" i="269"/>
  <c r="AB18" i="269"/>
  <c r="AF17" i="269"/>
  <c r="AB17" i="269"/>
  <c r="AF16" i="269"/>
  <c r="AB16" i="269"/>
  <c r="AM15" i="269"/>
  <c r="AF15" i="269"/>
  <c r="P15" i="269"/>
  <c r="AF14" i="269"/>
  <c r="AB14" i="269"/>
  <c r="AH14" i="269" s="1"/>
  <c r="AF13" i="269"/>
  <c r="AB13" i="269"/>
  <c r="AH13" i="269" s="1"/>
  <c r="AF11" i="269"/>
  <c r="AB11" i="269"/>
  <c r="AH11" i="269" s="1"/>
  <c r="AM10" i="269"/>
  <c r="AF10" i="269"/>
  <c r="AB10" i="269"/>
  <c r="AF8" i="269"/>
  <c r="AB8" i="269"/>
  <c r="AF7" i="269"/>
  <c r="AB7" i="269"/>
  <c r="AF6" i="269"/>
  <c r="AB6" i="269"/>
  <c r="AF5" i="269"/>
  <c r="AB5" i="269"/>
  <c r="E35" i="268"/>
  <c r="I34" i="268"/>
  <c r="H34" i="268"/>
  <c r="E34" i="268"/>
  <c r="E33" i="268"/>
  <c r="E32" i="268"/>
  <c r="E31" i="268"/>
  <c r="E30" i="268"/>
  <c r="N59" i="267"/>
  <c r="V44" i="267"/>
  <c r="D25" i="63" s="1"/>
  <c r="H44" i="267"/>
  <c r="E9" i="63" s="1"/>
  <c r="I12" i="64" s="1"/>
  <c r="F44" i="267"/>
  <c r="D9" i="63" s="1"/>
  <c r="D44" i="267"/>
  <c r="K9" i="63" s="1"/>
  <c r="K11" i="63" s="1"/>
  <c r="J42" i="267"/>
  <c r="R42" i="267" s="1"/>
  <c r="X42" i="267" s="1"/>
  <c r="J40" i="267"/>
  <c r="R40" i="267" s="1"/>
  <c r="X40" i="267" s="1"/>
  <c r="J39" i="267"/>
  <c r="R39" i="267" s="1"/>
  <c r="X39" i="267" s="1"/>
  <c r="J38" i="267"/>
  <c r="R38" i="267" s="1"/>
  <c r="X38" i="267" s="1"/>
  <c r="J37" i="267"/>
  <c r="R37" i="267" s="1"/>
  <c r="X37" i="267" s="1"/>
  <c r="P32" i="267"/>
  <c r="J32" i="267"/>
  <c r="R32" i="267" s="1"/>
  <c r="X32" i="267" s="1"/>
  <c r="P31" i="267"/>
  <c r="J31" i="267"/>
  <c r="R31" i="267" s="1"/>
  <c r="X31" i="267" s="1"/>
  <c r="P30" i="267"/>
  <c r="J30" i="267"/>
  <c r="R30" i="267" s="1"/>
  <c r="X30" i="267" s="1"/>
  <c r="P29" i="267"/>
  <c r="J29" i="267"/>
  <c r="R29" i="267" s="1"/>
  <c r="X29" i="267" s="1"/>
  <c r="P28" i="267"/>
  <c r="J28" i="267"/>
  <c r="R28" i="267" s="1"/>
  <c r="X28" i="267" s="1"/>
  <c r="P27" i="267"/>
  <c r="J27" i="267"/>
  <c r="R27" i="267" s="1"/>
  <c r="X27" i="267" s="1"/>
  <c r="P26" i="267"/>
  <c r="J26" i="267"/>
  <c r="R26" i="267" s="1"/>
  <c r="X26" i="267" s="1"/>
  <c r="P25" i="267"/>
  <c r="J25" i="267"/>
  <c r="R25" i="267" s="1"/>
  <c r="X25" i="267" s="1"/>
  <c r="AE24" i="267"/>
  <c r="AE28" i="267" s="1"/>
  <c r="P24" i="267"/>
  <c r="J24" i="267"/>
  <c r="R24" i="267" s="1"/>
  <c r="X24" i="267" s="1"/>
  <c r="P23" i="267"/>
  <c r="J23" i="267"/>
  <c r="R23" i="267" s="1"/>
  <c r="X23" i="267" s="1"/>
  <c r="P22" i="267"/>
  <c r="J22" i="267"/>
  <c r="R22" i="267" s="1"/>
  <c r="X22" i="267" s="1"/>
  <c r="P21" i="267"/>
  <c r="J21" i="267"/>
  <c r="R21" i="267" s="1"/>
  <c r="X21" i="267" s="1"/>
  <c r="R20" i="267"/>
  <c r="X20" i="267" s="1"/>
  <c r="P19" i="267"/>
  <c r="J19" i="267"/>
  <c r="R19" i="267" s="1"/>
  <c r="X19" i="267" s="1"/>
  <c r="P18" i="267"/>
  <c r="J18" i="267"/>
  <c r="R18" i="267" s="1"/>
  <c r="X18" i="267" s="1"/>
  <c r="AE17" i="267"/>
  <c r="P17" i="267"/>
  <c r="J17" i="267"/>
  <c r="R17" i="267" s="1"/>
  <c r="X17" i="267" s="1"/>
  <c r="R16" i="267"/>
  <c r="X16" i="267" s="1"/>
  <c r="P16" i="267"/>
  <c r="J15" i="267"/>
  <c r="R15" i="267" s="1"/>
  <c r="N14" i="267"/>
  <c r="J14" i="267"/>
  <c r="P13" i="267"/>
  <c r="J13" i="267"/>
  <c r="AF7" i="267"/>
  <c r="AF10" i="267" s="1"/>
  <c r="H35" i="264"/>
  <c r="G35" i="264"/>
  <c r="H34" i="264"/>
  <c r="G34" i="264"/>
  <c r="H33" i="264"/>
  <c r="G33" i="264"/>
  <c r="H32" i="264"/>
  <c r="G32" i="264"/>
  <c r="H31" i="264"/>
  <c r="G31" i="264"/>
  <c r="H28" i="264"/>
  <c r="G28" i="264"/>
  <c r="H25" i="264"/>
  <c r="G25" i="264"/>
  <c r="H24" i="264"/>
  <c r="G24" i="264"/>
  <c r="H21" i="264"/>
  <c r="G21" i="264"/>
  <c r="H20" i="264"/>
  <c r="G20" i="264"/>
  <c r="H19" i="264"/>
  <c r="G19" i="264"/>
  <c r="H18" i="264"/>
  <c r="G18" i="264"/>
  <c r="H13" i="264"/>
  <c r="G13" i="264"/>
  <c r="H12" i="264"/>
  <c r="G12" i="264"/>
  <c r="H9" i="264"/>
  <c r="G9" i="264"/>
  <c r="H8" i="264"/>
  <c r="G8" i="264"/>
  <c r="H10" i="264" l="1"/>
  <c r="H14" i="264" s="1"/>
  <c r="H22" i="264"/>
  <c r="H26" i="264" s="1"/>
  <c r="F192" i="269"/>
  <c r="P59" i="267"/>
  <c r="D12" i="64" a="1"/>
  <c r="D12" i="64" s="1"/>
  <c r="H36" i="264"/>
  <c r="H38" i="264" s="1"/>
  <c r="AJ14" i="269"/>
  <c r="G10" i="264"/>
  <c r="G14" i="264" s="1"/>
  <c r="G36" i="264"/>
  <c r="AF25" i="267"/>
  <c r="AH25" i="267" s="1"/>
  <c r="AF22" i="267"/>
  <c r="N50" i="267" s="1"/>
  <c r="P50" i="267" s="1"/>
  <c r="AF27" i="267"/>
  <c r="AH27" i="267" s="1"/>
  <c r="AF26" i="267"/>
  <c r="N54" i="267" s="1"/>
  <c r="P54" i="267" s="1"/>
  <c r="AF24" i="267"/>
  <c r="N52" i="267" s="1"/>
  <c r="P52" i="267" s="1"/>
  <c r="N44" i="267"/>
  <c r="R14" i="267"/>
  <c r="X14" i="267" s="1"/>
  <c r="AJ6" i="269"/>
  <c r="AH6" i="269"/>
  <c r="AJ8" i="269"/>
  <c r="AH8" i="269"/>
  <c r="P14" i="267"/>
  <c r="P44" i="267" s="1"/>
  <c r="P58" i="267" s="1"/>
  <c r="AJ17" i="269"/>
  <c r="AH17" i="269"/>
  <c r="AJ19" i="269"/>
  <c r="AH19" i="269"/>
  <c r="AJ22" i="269"/>
  <c r="AH22" i="269"/>
  <c r="AJ24" i="269"/>
  <c r="AH24" i="269"/>
  <c r="J190" i="269"/>
  <c r="R13" i="267"/>
  <c r="X13" i="267" s="1"/>
  <c r="J44" i="267"/>
  <c r="L31" i="267" s="1"/>
  <c r="AJ5" i="269"/>
  <c r="AH5" i="269"/>
  <c r="AJ7" i="269"/>
  <c r="AH7" i="269"/>
  <c r="AJ10" i="269"/>
  <c r="AH10" i="269"/>
  <c r="AJ13" i="269"/>
  <c r="AN15" i="269"/>
  <c r="AB15" i="269"/>
  <c r="D199" i="269" s="1"/>
  <c r="D203" i="269" s="1"/>
  <c r="AF188" i="269"/>
  <c r="F188" i="269"/>
  <c r="F190" i="269"/>
  <c r="D205" i="269"/>
  <c r="G22" i="264"/>
  <c r="G26" i="264" s="1"/>
  <c r="AJ11" i="269"/>
  <c r="AJ16" i="269"/>
  <c r="AH16" i="269"/>
  <c r="AJ18" i="269"/>
  <c r="AH18" i="269"/>
  <c r="AJ21" i="269"/>
  <c r="AH21" i="269"/>
  <c r="AJ23" i="269"/>
  <c r="AH23" i="269"/>
  <c r="AJ25" i="269"/>
  <c r="AH25" i="269"/>
  <c r="P188" i="269"/>
  <c r="F191" i="269"/>
  <c r="K17" i="63"/>
  <c r="K21" i="63" s="1"/>
  <c r="E12" i="64"/>
  <c r="H12" i="64"/>
  <c r="F11" i="64"/>
  <c r="I11" i="64"/>
  <c r="E11" i="64"/>
  <c r="H11" i="64"/>
  <c r="D11" i="64"/>
  <c r="N53" i="267"/>
  <c r="P53" i="267" s="1"/>
  <c r="AJ42" i="269"/>
  <c r="X15" i="267"/>
  <c r="AF21" i="267"/>
  <c r="AH24" i="267"/>
  <c r="AI24" i="267" s="1"/>
  <c r="AF23" i="267"/>
  <c r="L25" i="267" l="1"/>
  <c r="L40" i="267"/>
  <c r="L18" i="267"/>
  <c r="H42" i="264"/>
  <c r="L17" i="267"/>
  <c r="L24" i="267"/>
  <c r="R44" i="267"/>
  <c r="T15" i="267" s="1"/>
  <c r="L28" i="267"/>
  <c r="L13" i="267"/>
  <c r="L27" i="267"/>
  <c r="L44" i="267"/>
  <c r="L38" i="267"/>
  <c r="L22" i="267"/>
  <c r="G12" i="64"/>
  <c r="L37" i="267"/>
  <c r="L21" i="267"/>
  <c r="L15" i="267"/>
  <c r="AH26" i="267"/>
  <c r="F12" i="64"/>
  <c r="M13" i="64" s="1"/>
  <c r="G38" i="264"/>
  <c r="G42" i="264" s="1"/>
  <c r="AJ15" i="269"/>
  <c r="AH15" i="269"/>
  <c r="F193" i="269"/>
  <c r="AB188" i="269"/>
  <c r="AH22" i="267"/>
  <c r="AI22" i="267" s="1"/>
  <c r="L30" i="267"/>
  <c r="L39" i="267"/>
  <c r="L23" i="267"/>
  <c r="L29" i="267"/>
  <c r="L14" i="267"/>
  <c r="L32" i="267"/>
  <c r="L19" i="267"/>
  <c r="L26" i="267"/>
  <c r="L42" i="267"/>
  <c r="N58" i="267"/>
  <c r="F9" i="63"/>
  <c r="J12" i="64" s="1"/>
  <c r="T27" i="267"/>
  <c r="T32" i="267"/>
  <c r="T22" i="267"/>
  <c r="AH23" i="267"/>
  <c r="AI23" i="267" s="1"/>
  <c r="N51" i="267"/>
  <c r="P51" i="267" s="1"/>
  <c r="T18" i="267"/>
  <c r="AH21" i="267"/>
  <c r="AI21" i="267" s="1"/>
  <c r="N49" i="267"/>
  <c r="Q10" i="272"/>
  <c r="Q10" i="273"/>
  <c r="I10" i="13"/>
  <c r="J10" i="13"/>
  <c r="K10" i="13"/>
  <c r="Q13" i="272"/>
  <c r="S13" i="272" s="1"/>
  <c r="Q14" i="272"/>
  <c r="S14" i="272" s="1"/>
  <c r="D10" i="13"/>
  <c r="T16" i="267" l="1"/>
  <c r="T31" i="267"/>
  <c r="T26" i="267"/>
  <c r="T29" i="267"/>
  <c r="T21" i="267"/>
  <c r="T25" i="267"/>
  <c r="T37" i="267"/>
  <c r="T17" i="267"/>
  <c r="T38" i="267"/>
  <c r="T42" i="267"/>
  <c r="T23" i="267"/>
  <c r="T19" i="267"/>
  <c r="T44" i="267"/>
  <c r="T30" i="267"/>
  <c r="T28" i="267"/>
  <c r="T14" i="267"/>
  <c r="T20" i="267"/>
  <c r="T40" i="267"/>
  <c r="T39" i="267"/>
  <c r="T13" i="267"/>
  <c r="X44" i="267"/>
  <c r="Z15" i="267" s="1"/>
  <c r="T24" i="267"/>
  <c r="I13" i="13"/>
  <c r="J13" i="13" s="1"/>
  <c r="K13" i="13" s="1"/>
  <c r="S13" i="273"/>
  <c r="I14" i="13"/>
  <c r="J14" i="13" s="1"/>
  <c r="K14" i="13" s="1"/>
  <c r="S14" i="273"/>
  <c r="S10" i="273"/>
  <c r="Q11" i="272"/>
  <c r="S11" i="272" s="1"/>
  <c r="Q12" i="272"/>
  <c r="S12" i="272" s="1"/>
  <c r="S10" i="272"/>
  <c r="D20" i="13"/>
  <c r="P49" i="267"/>
  <c r="N55" i="267"/>
  <c r="P55" i="267" s="1"/>
  <c r="Z39" i="267"/>
  <c r="Z28" i="267"/>
  <c r="Z14" i="267"/>
  <c r="Z40" i="267"/>
  <c r="Z24" i="267"/>
  <c r="N20" i="4"/>
  <c r="I48" i="251"/>
  <c r="I48" i="250"/>
  <c r="I27" i="256"/>
  <c r="Z31" i="267" l="1"/>
  <c r="Z22" i="267"/>
  <c r="Z44" i="267"/>
  <c r="Z18" i="267"/>
  <c r="Z13" i="267"/>
  <c r="Z19" i="267"/>
  <c r="Z29" i="267"/>
  <c r="Z32" i="267"/>
  <c r="Z38" i="267"/>
  <c r="Z30" i="267"/>
  <c r="Z23" i="267"/>
  <c r="Z21" i="267"/>
  <c r="Z25" i="267"/>
  <c r="Z17" i="267"/>
  <c r="Z37" i="267"/>
  <c r="Z16" i="267"/>
  <c r="Z26" i="267"/>
  <c r="Z27" i="267"/>
  <c r="Z42" i="267"/>
  <c r="Z20" i="267"/>
  <c r="I12" i="13"/>
  <c r="J12" i="13" s="1"/>
  <c r="K12" i="13" s="1"/>
  <c r="S12" i="273"/>
  <c r="I11" i="13"/>
  <c r="J11" i="13" s="1"/>
  <c r="K11" i="13" s="1"/>
  <c r="Q25" i="272"/>
  <c r="Q23" i="272"/>
  <c r="Q22" i="272"/>
  <c r="S25" i="272"/>
  <c r="S20" i="272"/>
  <c r="S21" i="272"/>
  <c r="S24" i="272"/>
  <c r="S23" i="272"/>
  <c r="S22" i="272"/>
  <c r="Q24" i="272"/>
  <c r="Q21" i="272"/>
  <c r="Q20" i="272"/>
  <c r="B76" i="73"/>
  <c r="B65" i="73"/>
  <c r="H185" i="73"/>
  <c r="H184" i="73" s="1"/>
  <c r="H177" i="73"/>
  <c r="H180" i="73" s="1"/>
  <c r="H183" i="73" s="1"/>
  <c r="H176" i="73"/>
  <c r="H179" i="73" s="1"/>
  <c r="H182" i="73" s="1"/>
  <c r="G73" i="73"/>
  <c r="B183" i="73"/>
  <c r="B200" i="73" s="1"/>
  <c r="B182" i="73"/>
  <c r="B199" i="73" s="1"/>
  <c r="B180" i="73"/>
  <c r="B197" i="73" s="1"/>
  <c r="B179" i="73"/>
  <c r="B196" i="73" s="1"/>
  <c r="B177" i="73"/>
  <c r="B194" i="73" s="1"/>
  <c r="B176" i="73"/>
  <c r="B193" i="73" s="1"/>
  <c r="S11" i="273" l="1"/>
  <c r="Q20" i="273"/>
  <c r="Q24" i="273"/>
  <c r="Q25" i="273"/>
  <c r="Q21" i="273"/>
  <c r="Q23" i="273"/>
  <c r="Q22" i="273"/>
  <c r="D73" i="73"/>
  <c r="E73" i="73"/>
  <c r="J184" i="73"/>
  <c r="D52" i="11"/>
  <c r="D56" i="11"/>
  <c r="S20" i="273" l="1"/>
  <c r="S25" i="273"/>
  <c r="S22" i="273"/>
  <c r="S21" i="273"/>
  <c r="S24" i="273"/>
  <c r="S23" i="273"/>
  <c r="D78" i="241"/>
  <c r="B29" i="13"/>
  <c r="D78" i="52"/>
  <c r="O7" i="57" l="1"/>
  <c r="N7" i="57"/>
  <c r="M7" i="57"/>
  <c r="L7" i="57"/>
  <c r="S77" i="233" l="1"/>
  <c r="T77" i="233" s="1"/>
  <c r="O77" i="233"/>
  <c r="K77" i="233"/>
  <c r="N77" i="233" s="1"/>
  <c r="S32" i="233" l="1"/>
  <c r="S33" i="233"/>
  <c r="S34" i="233"/>
  <c r="S37" i="233"/>
  <c r="S35" i="233"/>
  <c r="S36" i="233"/>
  <c r="N37" i="233"/>
  <c r="N33" i="233"/>
  <c r="N36" i="233"/>
  <c r="N32" i="233"/>
  <c r="N35" i="233"/>
  <c r="I23" i="73" s="1"/>
  <c r="N34" i="233"/>
  <c r="I22" i="73" s="1"/>
  <c r="S160" i="233"/>
  <c r="S127" i="233"/>
  <c r="P77" i="233"/>
  <c r="U77" i="233" s="1"/>
  <c r="S81" i="233"/>
  <c r="S82" i="233"/>
  <c r="X77" i="233"/>
  <c r="AA77" i="233" s="1"/>
  <c r="N131" i="233"/>
  <c r="N161" i="233"/>
  <c r="S83" i="233"/>
  <c r="S79" i="233"/>
  <c r="S84" i="233"/>
  <c r="S80" i="233"/>
  <c r="N130" i="233"/>
  <c r="N129" i="233"/>
  <c r="N84" i="233"/>
  <c r="N159" i="233"/>
  <c r="S162" i="233"/>
  <c r="S131" i="233"/>
  <c r="N158" i="233"/>
  <c r="S158" i="233"/>
  <c r="S128" i="233"/>
  <c r="S130" i="233"/>
  <c r="S126" i="233"/>
  <c r="S129" i="233"/>
  <c r="S163" i="233"/>
  <c r="S161" i="233"/>
  <c r="S159" i="233"/>
  <c r="O41" i="57"/>
  <c r="N41" i="57"/>
  <c r="M41" i="57"/>
  <c r="O40" i="57"/>
  <c r="N40" i="57"/>
  <c r="M40" i="57"/>
  <c r="O39" i="57"/>
  <c r="N39" i="57"/>
  <c r="M39" i="57"/>
  <c r="O38" i="57"/>
  <c r="N38" i="57"/>
  <c r="M38" i="57"/>
  <c r="O37" i="57"/>
  <c r="N37" i="57"/>
  <c r="M37" i="57"/>
  <c r="O36" i="57"/>
  <c r="N36" i="57"/>
  <c r="M36" i="57"/>
  <c r="O35" i="57"/>
  <c r="N35" i="57"/>
  <c r="M35" i="57"/>
  <c r="O34" i="57"/>
  <c r="N34" i="57"/>
  <c r="M34" i="57"/>
  <c r="O33" i="57"/>
  <c r="N33" i="57"/>
  <c r="M33" i="57"/>
  <c r="O32" i="57"/>
  <c r="N32" i="57"/>
  <c r="M32" i="57"/>
  <c r="O31" i="57"/>
  <c r="N31" i="57"/>
  <c r="M31" i="57"/>
  <c r="O30" i="57"/>
  <c r="N30" i="57"/>
  <c r="M30" i="57"/>
  <c r="O29" i="57"/>
  <c r="N29" i="57"/>
  <c r="M29" i="57"/>
  <c r="O28" i="57"/>
  <c r="N28" i="57"/>
  <c r="M28" i="57"/>
  <c r="O27" i="57"/>
  <c r="N27" i="57"/>
  <c r="M27" i="57"/>
  <c r="O26" i="57"/>
  <c r="N26" i="57"/>
  <c r="M26" i="57"/>
  <c r="O25" i="57"/>
  <c r="N25" i="57"/>
  <c r="M25" i="57"/>
  <c r="O24" i="57"/>
  <c r="N24" i="57"/>
  <c r="M24" i="57"/>
  <c r="O23" i="57"/>
  <c r="N23" i="57"/>
  <c r="M23" i="57"/>
  <c r="O22" i="57"/>
  <c r="N22" i="57"/>
  <c r="M22" i="57"/>
  <c r="O21" i="57"/>
  <c r="N21" i="57"/>
  <c r="M21" i="57"/>
  <c r="O20" i="57"/>
  <c r="N20" i="57"/>
  <c r="M20" i="57"/>
  <c r="O19" i="57"/>
  <c r="N19" i="57"/>
  <c r="M19" i="57"/>
  <c r="O18" i="57"/>
  <c r="N18" i="57"/>
  <c r="M18" i="57"/>
  <c r="O17" i="57"/>
  <c r="N17" i="57"/>
  <c r="M17" i="57"/>
  <c r="O16" i="57"/>
  <c r="N16" i="57"/>
  <c r="M16" i="57"/>
  <c r="O15" i="57"/>
  <c r="N15" i="57"/>
  <c r="M15" i="57"/>
  <c r="O14" i="57"/>
  <c r="N14" i="57"/>
  <c r="M14" i="57"/>
  <c r="O13" i="57"/>
  <c r="N13" i="57"/>
  <c r="M13" i="57"/>
  <c r="O12" i="57"/>
  <c r="N12" i="57"/>
  <c r="M12" i="57"/>
  <c r="O11" i="57"/>
  <c r="N11" i="57"/>
  <c r="M11" i="57"/>
  <c r="O10" i="57"/>
  <c r="N10" i="57"/>
  <c r="M10" i="57"/>
  <c r="O9" i="57"/>
  <c r="N9" i="57"/>
  <c r="M9" i="57"/>
  <c r="M46" i="57" l="1"/>
  <c r="P34" i="233"/>
  <c r="P36" i="233"/>
  <c r="P37" i="233"/>
  <c r="P32" i="233"/>
  <c r="P33" i="233"/>
  <c r="P35" i="233"/>
  <c r="P79" i="233"/>
  <c r="O43" i="57"/>
  <c r="M45" i="57"/>
  <c r="O48" i="57"/>
  <c r="N47" i="57"/>
  <c r="N127" i="233"/>
  <c r="P127" i="233"/>
  <c r="N82" i="233"/>
  <c r="N128" i="233"/>
  <c r="N83" i="233"/>
  <c r="N79" i="233"/>
  <c r="N81" i="233"/>
  <c r="N126" i="233"/>
  <c r="N80" i="233"/>
  <c r="P80" i="233"/>
  <c r="N162" i="233"/>
  <c r="P83" i="233"/>
  <c r="P159" i="233"/>
  <c r="N163" i="233"/>
  <c r="N160" i="233"/>
  <c r="P130" i="233"/>
  <c r="AE77" i="233"/>
  <c r="AD77" i="233"/>
  <c r="AF77" i="233"/>
  <c r="O47" i="57"/>
  <c r="M44" i="57"/>
  <c r="N45" i="57"/>
  <c r="O46" i="57"/>
  <c r="M48" i="57"/>
  <c r="M43" i="57"/>
  <c r="N44" i="57"/>
  <c r="O45" i="57"/>
  <c r="M47" i="57"/>
  <c r="N48" i="57"/>
  <c r="N46" i="57"/>
  <c r="N43" i="57"/>
  <c r="O44" i="57"/>
  <c r="P81" i="233" l="1"/>
  <c r="P84" i="233"/>
  <c r="P82" i="233"/>
  <c r="N167" i="233" a="1"/>
  <c r="N167" i="233" s="1"/>
  <c r="N166" i="233" a="1"/>
  <c r="N166" i="233" s="1"/>
  <c r="N171" i="233" a="1"/>
  <c r="N171" i="233" s="1"/>
  <c r="P131" i="233"/>
  <c r="N170" i="233" a="1"/>
  <c r="N170" i="233" s="1"/>
  <c r="N169" i="233" a="1"/>
  <c r="N169" i="233" s="1"/>
  <c r="N168" i="233" a="1"/>
  <c r="N168" i="233" s="1"/>
  <c r="P129" i="233"/>
  <c r="P126" i="233"/>
  <c r="P128" i="233"/>
  <c r="P160" i="233"/>
  <c r="P163" i="233"/>
  <c r="P158" i="233"/>
  <c r="P161" i="233"/>
  <c r="P162" i="233"/>
  <c r="B2" i="235" l="1"/>
  <c r="P4" i="235"/>
  <c r="K11" i="235"/>
  <c r="N11" i="235" s="1"/>
  <c r="P11" i="235" s="1"/>
  <c r="R11" i="235"/>
  <c r="K12" i="235"/>
  <c r="N12" i="235" s="1"/>
  <c r="R12" i="235"/>
  <c r="K13" i="235"/>
  <c r="N13" i="235" s="1"/>
  <c r="W13" i="235" s="1"/>
  <c r="Z13" i="235" s="1"/>
  <c r="R13" i="235"/>
  <c r="K14" i="235"/>
  <c r="N14" i="235" s="1"/>
  <c r="W14" i="235" s="1"/>
  <c r="Z14" i="235" s="1"/>
  <c r="R14" i="235"/>
  <c r="K15" i="235"/>
  <c r="N15" i="235" s="1"/>
  <c r="P15" i="235" s="1"/>
  <c r="R15" i="235"/>
  <c r="K16" i="235"/>
  <c r="N16" i="235" s="1"/>
  <c r="R16" i="235"/>
  <c r="K17" i="235"/>
  <c r="N17" i="235" s="1"/>
  <c r="W17" i="235" s="1"/>
  <c r="Z17" i="235" s="1"/>
  <c r="R17" i="235"/>
  <c r="K18" i="235"/>
  <c r="N18" i="235" s="1"/>
  <c r="W18" i="235" s="1"/>
  <c r="Z18" i="235" s="1"/>
  <c r="R18" i="235"/>
  <c r="K19" i="235"/>
  <c r="N19" i="235" s="1"/>
  <c r="P19" i="235" s="1"/>
  <c r="R19" i="235"/>
  <c r="K23" i="235"/>
  <c r="N23" i="235" s="1"/>
  <c r="O23" i="235"/>
  <c r="S23" i="235"/>
  <c r="K24" i="235"/>
  <c r="N24" i="235" s="1"/>
  <c r="O24" i="235"/>
  <c r="S24" i="235"/>
  <c r="K25" i="235"/>
  <c r="N25" i="235" s="1"/>
  <c r="O25" i="235"/>
  <c r="S25" i="235"/>
  <c r="K26" i="235"/>
  <c r="N26" i="235" s="1"/>
  <c r="O26" i="235"/>
  <c r="S26" i="235"/>
  <c r="K27" i="235"/>
  <c r="N27" i="235" s="1"/>
  <c r="O27" i="235"/>
  <c r="S27" i="235"/>
  <c r="K28" i="235"/>
  <c r="N28" i="235" s="1"/>
  <c r="O28" i="235"/>
  <c r="S28" i="235"/>
  <c r="K29" i="235"/>
  <c r="N29" i="235" s="1"/>
  <c r="O29" i="235"/>
  <c r="S29" i="235"/>
  <c r="K30" i="235"/>
  <c r="N30" i="235" s="1"/>
  <c r="O30" i="235"/>
  <c r="S30" i="235"/>
  <c r="K31" i="235"/>
  <c r="N31" i="235" s="1"/>
  <c r="O31" i="235"/>
  <c r="S31" i="235"/>
  <c r="K32" i="235"/>
  <c r="N32" i="235" s="1"/>
  <c r="O32" i="235"/>
  <c r="S32" i="235"/>
  <c r="K33" i="235"/>
  <c r="N33" i="235" s="1"/>
  <c r="O33" i="235"/>
  <c r="S33" i="235"/>
  <c r="K34" i="235"/>
  <c r="N34" i="235" s="1"/>
  <c r="O34" i="235"/>
  <c r="S34" i="235"/>
  <c r="K35" i="235"/>
  <c r="N35" i="235" s="1"/>
  <c r="O35" i="235"/>
  <c r="S35" i="235"/>
  <c r="K36" i="235"/>
  <c r="N36" i="235" s="1"/>
  <c r="O36" i="235"/>
  <c r="S36" i="235"/>
  <c r="K37" i="235"/>
  <c r="N37" i="235" s="1"/>
  <c r="O37" i="235"/>
  <c r="S37" i="235"/>
  <c r="K38" i="235"/>
  <c r="N38" i="235" s="1"/>
  <c r="O38" i="235"/>
  <c r="S38" i="235"/>
  <c r="K39" i="235"/>
  <c r="N39" i="235" s="1"/>
  <c r="O39" i="235"/>
  <c r="S39" i="235"/>
  <c r="R41" i="235"/>
  <c r="R42" i="235"/>
  <c r="R43" i="235"/>
  <c r="R44" i="235"/>
  <c r="R45" i="235"/>
  <c r="R46" i="235"/>
  <c r="L49" i="235"/>
  <c r="M49" i="235"/>
  <c r="S49" i="235"/>
  <c r="L50" i="235"/>
  <c r="O50" i="235" s="1"/>
  <c r="M50" i="235"/>
  <c r="S50" i="235"/>
  <c r="K51" i="235"/>
  <c r="N51" i="235" s="1"/>
  <c r="O51" i="235"/>
  <c r="S51" i="235"/>
  <c r="K52" i="235"/>
  <c r="N52" i="235" s="1"/>
  <c r="O52" i="235"/>
  <c r="S52" i="235"/>
  <c r="K53" i="235"/>
  <c r="N53" i="235" s="1"/>
  <c r="O53" i="235"/>
  <c r="S53" i="235"/>
  <c r="K54" i="235"/>
  <c r="N54" i="235" s="1"/>
  <c r="O54" i="235"/>
  <c r="S54" i="235"/>
  <c r="K55" i="235"/>
  <c r="N55" i="235" s="1"/>
  <c r="O55" i="235"/>
  <c r="S55" i="235"/>
  <c r="K56" i="235"/>
  <c r="N56" i="235" s="1"/>
  <c r="O56" i="235"/>
  <c r="S56" i="235"/>
  <c r="K57" i="235"/>
  <c r="N57" i="235" s="1"/>
  <c r="O57" i="235"/>
  <c r="S57" i="235"/>
  <c r="K58" i="235"/>
  <c r="N58" i="235" s="1"/>
  <c r="O58" i="235"/>
  <c r="S58" i="235"/>
  <c r="K59" i="235"/>
  <c r="N59" i="235" s="1"/>
  <c r="O59" i="235"/>
  <c r="S59" i="235"/>
  <c r="K60" i="235"/>
  <c r="N60" i="235" s="1"/>
  <c r="O60" i="235"/>
  <c r="S60" i="235"/>
  <c r="K61" i="235"/>
  <c r="N61" i="235" s="1"/>
  <c r="O61" i="235"/>
  <c r="S61" i="235"/>
  <c r="K62" i="235"/>
  <c r="N62" i="235" s="1"/>
  <c r="O62" i="235"/>
  <c r="S62" i="235"/>
  <c r="K63" i="235"/>
  <c r="N63" i="235" s="1"/>
  <c r="O63" i="235"/>
  <c r="S63" i="235"/>
  <c r="K64" i="235"/>
  <c r="N64" i="235" s="1"/>
  <c r="O64" i="235"/>
  <c r="S64" i="235"/>
  <c r="K65" i="235"/>
  <c r="N65" i="235" s="1"/>
  <c r="O65" i="235"/>
  <c r="S65" i="235"/>
  <c r="K66" i="235"/>
  <c r="N66" i="235" s="1"/>
  <c r="O66" i="235"/>
  <c r="S66" i="235"/>
  <c r="K67" i="235"/>
  <c r="N67" i="235" s="1"/>
  <c r="O67" i="235"/>
  <c r="S67" i="235"/>
  <c r="O68" i="235"/>
  <c r="P68" i="235" s="1"/>
  <c r="S68" i="235"/>
  <c r="K69" i="235"/>
  <c r="N69" i="235" s="1"/>
  <c r="O69" i="235"/>
  <c r="S69" i="235"/>
  <c r="K70" i="235"/>
  <c r="N70" i="235" s="1"/>
  <c r="O70" i="235"/>
  <c r="S70" i="235"/>
  <c r="R72" i="235"/>
  <c r="R73" i="235"/>
  <c r="R74" i="235"/>
  <c r="R75" i="235"/>
  <c r="R76" i="235"/>
  <c r="R77" i="235"/>
  <c r="L80" i="235"/>
  <c r="M80" i="235"/>
  <c r="O80" i="235"/>
  <c r="S80" i="235"/>
  <c r="AM80" i="235"/>
  <c r="AN80" i="235"/>
  <c r="AP80" i="235"/>
  <c r="AR80" i="235"/>
  <c r="AT80" i="235"/>
  <c r="AV80" i="235"/>
  <c r="AX80" i="235"/>
  <c r="AY80" i="235"/>
  <c r="BB80" i="235"/>
  <c r="K81" i="235"/>
  <c r="N81" i="235" s="1"/>
  <c r="O81" i="235"/>
  <c r="S81" i="235"/>
  <c r="K82" i="235"/>
  <c r="N82" i="235" s="1"/>
  <c r="O82" i="235"/>
  <c r="S82" i="235"/>
  <c r="K83" i="235"/>
  <c r="N83" i="235" s="1"/>
  <c r="O83" i="235"/>
  <c r="S83" i="235"/>
  <c r="K84" i="235"/>
  <c r="N84" i="235" s="1"/>
  <c r="O84" i="235"/>
  <c r="S84" i="235"/>
  <c r="K85" i="235"/>
  <c r="N85" i="235" s="1"/>
  <c r="O85" i="235"/>
  <c r="S85" i="235"/>
  <c r="K86" i="235"/>
  <c r="N86" i="235" s="1"/>
  <c r="O86" i="235"/>
  <c r="S86" i="235"/>
  <c r="K87" i="235"/>
  <c r="N87" i="235" s="1"/>
  <c r="O87" i="235"/>
  <c r="S87" i="235"/>
  <c r="K88" i="235"/>
  <c r="N88" i="235" s="1"/>
  <c r="O88" i="235"/>
  <c r="S88" i="235"/>
  <c r="K89" i="235"/>
  <c r="N89" i="235" s="1"/>
  <c r="O89" i="235"/>
  <c r="S89" i="235"/>
  <c r="K90" i="235"/>
  <c r="N90" i="235" s="1"/>
  <c r="O90" i="235"/>
  <c r="S90" i="235"/>
  <c r="K91" i="235"/>
  <c r="N91" i="235" s="1"/>
  <c r="O91" i="235"/>
  <c r="S91" i="235"/>
  <c r="K92" i="235"/>
  <c r="N92" i="235" s="1"/>
  <c r="O92" i="235"/>
  <c r="S92" i="235"/>
  <c r="K93" i="235"/>
  <c r="N93" i="235" s="1"/>
  <c r="O93" i="235"/>
  <c r="S93" i="235"/>
  <c r="K94" i="235"/>
  <c r="N94" i="235" s="1"/>
  <c r="O94" i="235"/>
  <c r="S94" i="235"/>
  <c r="K95" i="235"/>
  <c r="N95" i="235" s="1"/>
  <c r="O95" i="235"/>
  <c r="S95" i="235"/>
  <c r="K96" i="235"/>
  <c r="N96" i="235" s="1"/>
  <c r="O96" i="235"/>
  <c r="S96" i="235"/>
  <c r="K97" i="235"/>
  <c r="N97" i="235" s="1"/>
  <c r="O97" i="235"/>
  <c r="S97" i="235"/>
  <c r="K98" i="235"/>
  <c r="N98" i="235" s="1"/>
  <c r="O98" i="235"/>
  <c r="S98" i="235"/>
  <c r="O99" i="235"/>
  <c r="P99" i="235" s="1"/>
  <c r="S99" i="235"/>
  <c r="R101" i="235"/>
  <c r="R102" i="235"/>
  <c r="R103" i="235"/>
  <c r="R104" i="235"/>
  <c r="R105" i="235"/>
  <c r="R106" i="235"/>
  <c r="K109" i="235"/>
  <c r="N109" i="235" s="1"/>
  <c r="O109" i="235"/>
  <c r="K110" i="235"/>
  <c r="N110" i="235" s="1"/>
  <c r="O110" i="235"/>
  <c r="S110" i="235"/>
  <c r="L111" i="235"/>
  <c r="O111" i="235" s="1"/>
  <c r="M111" i="235"/>
  <c r="K112" i="235"/>
  <c r="N112" i="235" s="1"/>
  <c r="O112" i="235"/>
  <c r="S112" i="235"/>
  <c r="K113" i="235"/>
  <c r="N113" i="235" s="1"/>
  <c r="O113" i="235"/>
  <c r="S113" i="235"/>
  <c r="K114" i="235"/>
  <c r="N114" i="235" s="1"/>
  <c r="O114" i="235"/>
  <c r="S114" i="235"/>
  <c r="K115" i="235"/>
  <c r="N115" i="235" s="1"/>
  <c r="O115" i="235"/>
  <c r="S115" i="235"/>
  <c r="K116" i="235"/>
  <c r="N116" i="235" s="1"/>
  <c r="O116" i="235"/>
  <c r="S116" i="235"/>
  <c r="K117" i="235"/>
  <c r="N117" i="235" s="1"/>
  <c r="O117" i="235"/>
  <c r="S117" i="235"/>
  <c r="K118" i="235"/>
  <c r="N118" i="235" s="1"/>
  <c r="O118" i="235"/>
  <c r="S118" i="235"/>
  <c r="K119" i="235"/>
  <c r="N119" i="235" s="1"/>
  <c r="O119" i="235"/>
  <c r="S119" i="235"/>
  <c r="K120" i="235"/>
  <c r="N120" i="235" s="1"/>
  <c r="O120" i="235"/>
  <c r="S120" i="235"/>
  <c r="R122" i="235"/>
  <c r="R123" i="235"/>
  <c r="R124" i="235"/>
  <c r="R125" i="235"/>
  <c r="R126" i="235"/>
  <c r="R127" i="235"/>
  <c r="AH40" i="234"/>
  <c r="AL40" i="234" s="1"/>
  <c r="AH39" i="234"/>
  <c r="AL39" i="234" s="1"/>
  <c r="AH38" i="234"/>
  <c r="AL38" i="234" s="1"/>
  <c r="AH37" i="234"/>
  <c r="AL37" i="234" s="1"/>
  <c r="AH36" i="234"/>
  <c r="AL36" i="234" s="1"/>
  <c r="AH35" i="234"/>
  <c r="AL35" i="234" s="1"/>
  <c r="AH34" i="234"/>
  <c r="AL34" i="234" s="1"/>
  <c r="AH33" i="234"/>
  <c r="AL33" i="234" s="1"/>
  <c r="AH32" i="234"/>
  <c r="AL32" i="234" s="1"/>
  <c r="AH31" i="234"/>
  <c r="AL31" i="234" s="1"/>
  <c r="AH30" i="234"/>
  <c r="AL30" i="234" s="1"/>
  <c r="AH29" i="234"/>
  <c r="AL29" i="234" s="1"/>
  <c r="AH28" i="234"/>
  <c r="AL28" i="234" s="1"/>
  <c r="AH27" i="234"/>
  <c r="AL27" i="234" s="1"/>
  <c r="AH26" i="234"/>
  <c r="AL26" i="234" s="1"/>
  <c r="AH25" i="234"/>
  <c r="AL25" i="234" s="1"/>
  <c r="AH24" i="234"/>
  <c r="AL24" i="234" s="1"/>
  <c r="AH23" i="234"/>
  <c r="AL23" i="234" s="1"/>
  <c r="AH22" i="234"/>
  <c r="AL22" i="234" s="1"/>
  <c r="AH21" i="234"/>
  <c r="AL21" i="234" s="1"/>
  <c r="AH20" i="234"/>
  <c r="AL20" i="234" s="1"/>
  <c r="AH19" i="234"/>
  <c r="AL19" i="234" s="1"/>
  <c r="AH18" i="234"/>
  <c r="AL18" i="234" s="1"/>
  <c r="AH17" i="234"/>
  <c r="AL17" i="234" s="1"/>
  <c r="AH16" i="234"/>
  <c r="AL16" i="234" s="1"/>
  <c r="AH15" i="234"/>
  <c r="AL15" i="234" s="1"/>
  <c r="AH14" i="234"/>
  <c r="AL14" i="234" s="1"/>
  <c r="AH13" i="234"/>
  <c r="AL13" i="234" s="1"/>
  <c r="AH12" i="234"/>
  <c r="AL12" i="234" s="1"/>
  <c r="BF80" i="235"/>
  <c r="R134" i="235" l="1"/>
  <c r="R131" i="235"/>
  <c r="W69" i="235"/>
  <c r="W68" i="235"/>
  <c r="X68" i="235" s="1"/>
  <c r="R130" i="235"/>
  <c r="P97" i="235"/>
  <c r="T97" i="235" s="1"/>
  <c r="R133" i="235"/>
  <c r="P90" i="235"/>
  <c r="T90" i="235" s="1"/>
  <c r="W89" i="235"/>
  <c r="P84" i="235"/>
  <c r="T84" i="235" s="1"/>
  <c r="R132" i="235"/>
  <c r="W15" i="235"/>
  <c r="Z15" i="235" s="1"/>
  <c r="AD15" i="235" s="1"/>
  <c r="R135" i="235"/>
  <c r="AK14" i="234"/>
  <c r="AK22" i="234"/>
  <c r="AK30" i="234"/>
  <c r="AK38" i="234"/>
  <c r="P13" i="235"/>
  <c r="AE13" i="235" s="1"/>
  <c r="AK16" i="234"/>
  <c r="AK24" i="234"/>
  <c r="AK32" i="234"/>
  <c r="AK40" i="234"/>
  <c r="P95" i="235"/>
  <c r="P91" i="235"/>
  <c r="T91" i="235" s="1"/>
  <c r="P86" i="235"/>
  <c r="T86" i="235" s="1"/>
  <c r="W85" i="235"/>
  <c r="AK18" i="234"/>
  <c r="AK26" i="234"/>
  <c r="AK34" i="234"/>
  <c r="P82" i="235"/>
  <c r="T82" i="235" s="1"/>
  <c r="W81" i="235"/>
  <c r="AK12" i="234"/>
  <c r="AK20" i="234"/>
  <c r="AK28" i="234"/>
  <c r="AK36" i="234"/>
  <c r="P93" i="235"/>
  <c r="T93" i="235" s="1"/>
  <c r="P88" i="235"/>
  <c r="T88" i="235" s="1"/>
  <c r="K50" i="235"/>
  <c r="N50" i="235" s="1"/>
  <c r="P50" i="235" s="1"/>
  <c r="BH80" i="235"/>
  <c r="N44" i="235"/>
  <c r="N131" i="235"/>
  <c r="N135" i="235"/>
  <c r="AK13" i="234"/>
  <c r="AK17" i="234"/>
  <c r="AK21" i="234"/>
  <c r="AK25" i="234"/>
  <c r="AK29" i="234"/>
  <c r="AK33" i="234"/>
  <c r="AK37" i="234"/>
  <c r="P98" i="235"/>
  <c r="T98" i="235" s="1"/>
  <c r="P94" i="235"/>
  <c r="T94" i="235" s="1"/>
  <c r="W86" i="235"/>
  <c r="K80" i="235"/>
  <c r="N80" i="235" s="1"/>
  <c r="P80" i="235" s="1"/>
  <c r="W88" i="235"/>
  <c r="W87" i="235"/>
  <c r="AK15" i="234"/>
  <c r="AK19" i="234"/>
  <c r="AK23" i="234"/>
  <c r="AK27" i="234"/>
  <c r="AK31" i="234"/>
  <c r="AK35" i="234"/>
  <c r="AK39" i="234"/>
  <c r="K111" i="235"/>
  <c r="N111" i="235" s="1"/>
  <c r="N127" i="235" s="1"/>
  <c r="P96" i="235"/>
  <c r="T96" i="235" s="1"/>
  <c r="P92" i="235"/>
  <c r="T92" i="235" s="1"/>
  <c r="W90" i="235"/>
  <c r="W82" i="235"/>
  <c r="X82" i="235" s="1"/>
  <c r="P17" i="235"/>
  <c r="AE17" i="235" s="1"/>
  <c r="W99" i="235"/>
  <c r="X99" i="235" s="1"/>
  <c r="T95" i="235"/>
  <c r="W84" i="235"/>
  <c r="W83" i="235"/>
  <c r="K49" i="235"/>
  <c r="N49" i="235" s="1"/>
  <c r="N76" i="235" s="1"/>
  <c r="AD18" i="235"/>
  <c r="AC18" i="235"/>
  <c r="AD17" i="235"/>
  <c r="AC17" i="235"/>
  <c r="AC14" i="235"/>
  <c r="AD14" i="235"/>
  <c r="AD13" i="235"/>
  <c r="AC13" i="235"/>
  <c r="W114" i="235"/>
  <c r="P114" i="235"/>
  <c r="W117" i="235"/>
  <c r="P117" i="235"/>
  <c r="W113" i="235"/>
  <c r="P113" i="235"/>
  <c r="T99" i="235"/>
  <c r="P87" i="235"/>
  <c r="X87" i="235" s="1"/>
  <c r="P83" i="235"/>
  <c r="W110" i="235"/>
  <c r="P110" i="235"/>
  <c r="N122" i="235"/>
  <c r="N126" i="235"/>
  <c r="W118" i="235"/>
  <c r="P118" i="235"/>
  <c r="N125" i="235"/>
  <c r="W120" i="235"/>
  <c r="P120" i="235"/>
  <c r="W116" i="235"/>
  <c r="P116" i="235"/>
  <c r="W112" i="235"/>
  <c r="P112" i="235"/>
  <c r="W119" i="235"/>
  <c r="P119" i="235"/>
  <c r="W115" i="235"/>
  <c r="P115" i="235"/>
  <c r="P111" i="235"/>
  <c r="W111" i="235"/>
  <c r="P109" i="235"/>
  <c r="W109" i="235"/>
  <c r="W98" i="235"/>
  <c r="X98" i="235" s="1"/>
  <c r="W97" i="235"/>
  <c r="X97" i="235" s="1"/>
  <c r="W96" i="235"/>
  <c r="W95" i="235"/>
  <c r="W94" i="235"/>
  <c r="X94" i="235" s="1"/>
  <c r="W93" i="235"/>
  <c r="W92" i="235"/>
  <c r="W91" i="235"/>
  <c r="P89" i="235"/>
  <c r="P85" i="235"/>
  <c r="P81" i="235"/>
  <c r="W70" i="235"/>
  <c r="P70" i="235"/>
  <c r="T68" i="235"/>
  <c r="W64" i="235"/>
  <c r="P64" i="235"/>
  <c r="W39" i="235"/>
  <c r="P39" i="235"/>
  <c r="W35" i="235"/>
  <c r="P35" i="235"/>
  <c r="N132" i="235"/>
  <c r="P69" i="235"/>
  <c r="W67" i="235"/>
  <c r="P67" i="235"/>
  <c r="W63" i="235"/>
  <c r="P63" i="235"/>
  <c r="W59" i="235"/>
  <c r="P59" i="235"/>
  <c r="W55" i="235"/>
  <c r="P55" i="235"/>
  <c r="W51" i="235"/>
  <c r="P51" i="235"/>
  <c r="W50" i="235"/>
  <c r="W38" i="235"/>
  <c r="P38" i="235"/>
  <c r="W34" i="235"/>
  <c r="P34" i="235"/>
  <c r="W30" i="235"/>
  <c r="P30" i="235"/>
  <c r="W26" i="235"/>
  <c r="P26" i="235"/>
  <c r="W31" i="235"/>
  <c r="P31" i="235"/>
  <c r="P12" i="235"/>
  <c r="W12" i="235"/>
  <c r="Z12" i="235" s="1"/>
  <c r="N133" i="235"/>
  <c r="W66" i="235"/>
  <c r="P66" i="235"/>
  <c r="W62" i="235"/>
  <c r="P62" i="235"/>
  <c r="W58" i="235"/>
  <c r="P58" i="235"/>
  <c r="W54" i="235"/>
  <c r="P54" i="235"/>
  <c r="W37" i="235"/>
  <c r="P37" i="235"/>
  <c r="W33" i="235"/>
  <c r="P33" i="235"/>
  <c r="W29" i="235"/>
  <c r="P29" i="235"/>
  <c r="W25" i="235"/>
  <c r="P25" i="235"/>
  <c r="W19" i="235"/>
  <c r="Z19" i="235" s="1"/>
  <c r="P16" i="235"/>
  <c r="W16" i="235"/>
  <c r="Z16" i="235" s="1"/>
  <c r="W11" i="235"/>
  <c r="Z11" i="235" s="1"/>
  <c r="W60" i="235"/>
  <c r="P60" i="235"/>
  <c r="W56" i="235"/>
  <c r="P56" i="235"/>
  <c r="W52" i="235"/>
  <c r="P52" i="235"/>
  <c r="W27" i="235"/>
  <c r="P27" i="235"/>
  <c r="W23" i="235"/>
  <c r="N43" i="235"/>
  <c r="P23" i="235"/>
  <c r="N42" i="235"/>
  <c r="N46" i="235"/>
  <c r="N41" i="235"/>
  <c r="N45" i="235"/>
  <c r="N134" i="235"/>
  <c r="N130" i="235"/>
  <c r="W65" i="235"/>
  <c r="P65" i="235"/>
  <c r="W61" i="235"/>
  <c r="P61" i="235"/>
  <c r="W57" i="235"/>
  <c r="P57" i="235"/>
  <c r="W53" i="235"/>
  <c r="P53" i="235"/>
  <c r="W36" i="235"/>
  <c r="P36" i="235"/>
  <c r="W32" i="235"/>
  <c r="P32" i="235"/>
  <c r="W28" i="235"/>
  <c r="P28" i="235"/>
  <c r="W24" i="235"/>
  <c r="P24" i="235"/>
  <c r="P18" i="235"/>
  <c r="AE18" i="235" s="1"/>
  <c r="P14" i="235"/>
  <c r="AE14" i="235" s="1"/>
  <c r="O49" i="235"/>
  <c r="N123" i="235" l="1"/>
  <c r="X90" i="235"/>
  <c r="X95" i="235"/>
  <c r="N124" i="235"/>
  <c r="X92" i="235"/>
  <c r="N103" i="235"/>
  <c r="N101" i="235"/>
  <c r="N75" i="235"/>
  <c r="N72" i="235"/>
  <c r="X93" i="235"/>
  <c r="W49" i="235"/>
  <c r="N73" i="235"/>
  <c r="AC15" i="235"/>
  <c r="AE15" i="235"/>
  <c r="N77" i="235"/>
  <c r="N74" i="235"/>
  <c r="X91" i="235"/>
  <c r="X86" i="235"/>
  <c r="X96" i="235"/>
  <c r="N106" i="235"/>
  <c r="N104" i="235"/>
  <c r="T87" i="235"/>
  <c r="N102" i="235"/>
  <c r="W80" i="235"/>
  <c r="X80" i="235" s="1"/>
  <c r="N105" i="235"/>
  <c r="X84" i="235"/>
  <c r="X88" i="235"/>
  <c r="X110" i="235"/>
  <c r="X50" i="235"/>
  <c r="AD16" i="235"/>
  <c r="AC16" i="235"/>
  <c r="AD12" i="235"/>
  <c r="AC12" i="235"/>
  <c r="AC19" i="235"/>
  <c r="AD19" i="235"/>
  <c r="AD11" i="235"/>
  <c r="AC11" i="235"/>
  <c r="X70" i="235"/>
  <c r="T70" i="235"/>
  <c r="P125" i="235"/>
  <c r="T109" i="235"/>
  <c r="P124" i="235"/>
  <c r="P123" i="235"/>
  <c r="P127" i="235"/>
  <c r="P126" i="235"/>
  <c r="P122" i="235"/>
  <c r="X112" i="235"/>
  <c r="T112" i="235"/>
  <c r="X120" i="235"/>
  <c r="T120" i="235"/>
  <c r="X24" i="235"/>
  <c r="T24" i="235"/>
  <c r="X32" i="235"/>
  <c r="T32" i="235"/>
  <c r="X53" i="235"/>
  <c r="T53" i="235"/>
  <c r="X61" i="235"/>
  <c r="T61" i="235"/>
  <c r="P44" i="235"/>
  <c r="X23" i="235"/>
  <c r="P43" i="235"/>
  <c r="P42" i="235"/>
  <c r="P46" i="235"/>
  <c r="P41" i="235"/>
  <c r="P45" i="235"/>
  <c r="T23" i="235"/>
  <c r="X25" i="235"/>
  <c r="T25" i="235"/>
  <c r="X33" i="235"/>
  <c r="T33" i="235"/>
  <c r="X54" i="235"/>
  <c r="T54" i="235"/>
  <c r="X62" i="235"/>
  <c r="T62" i="235"/>
  <c r="P130" i="235"/>
  <c r="AE12" i="235"/>
  <c r="P132" i="235"/>
  <c r="X35" i="235"/>
  <c r="T35" i="235"/>
  <c r="X64" i="235"/>
  <c r="T64" i="235"/>
  <c r="P49" i="235"/>
  <c r="X89" i="235"/>
  <c r="T89" i="235"/>
  <c r="X119" i="235"/>
  <c r="T119" i="235"/>
  <c r="BM80" i="235"/>
  <c r="P101" i="235"/>
  <c r="P105" i="235"/>
  <c r="P104" i="235"/>
  <c r="P103" i="235"/>
  <c r="P106" i="235"/>
  <c r="P102" i="235"/>
  <c r="X83" i="235"/>
  <c r="T83" i="235"/>
  <c r="X113" i="235"/>
  <c r="T113" i="235"/>
  <c r="T110" i="235"/>
  <c r="X27" i="235"/>
  <c r="T27" i="235"/>
  <c r="X56" i="235"/>
  <c r="T56" i="235"/>
  <c r="X26" i="235"/>
  <c r="T26" i="235"/>
  <c r="X34" i="235"/>
  <c r="T34" i="235"/>
  <c r="X55" i="235"/>
  <c r="T55" i="235"/>
  <c r="AE19" i="235"/>
  <c r="P131" i="235"/>
  <c r="X52" i="235"/>
  <c r="T52" i="235"/>
  <c r="X60" i="235"/>
  <c r="T60" i="235"/>
  <c r="X31" i="235"/>
  <c r="T31" i="235"/>
  <c r="X30" i="235"/>
  <c r="T30" i="235"/>
  <c r="X38" i="235"/>
  <c r="T38" i="235"/>
  <c r="X51" i="235"/>
  <c r="T51" i="235"/>
  <c r="X59" i="235"/>
  <c r="T59" i="235"/>
  <c r="X67" i="235"/>
  <c r="T67" i="235"/>
  <c r="P133" i="235"/>
  <c r="X81" i="235"/>
  <c r="T81" i="235"/>
  <c r="X116" i="235"/>
  <c r="T116" i="235"/>
  <c r="X114" i="235"/>
  <c r="T114" i="235"/>
  <c r="P135" i="235"/>
  <c r="X63" i="235"/>
  <c r="T63" i="235"/>
  <c r="T69" i="235"/>
  <c r="X69" i="235"/>
  <c r="X28" i="235"/>
  <c r="T28" i="235"/>
  <c r="X36" i="235"/>
  <c r="T36" i="235"/>
  <c r="X57" i="235"/>
  <c r="T57" i="235"/>
  <c r="X65" i="235"/>
  <c r="T65" i="235"/>
  <c r="AE16" i="235"/>
  <c r="X29" i="235"/>
  <c r="T29" i="235"/>
  <c r="X37" i="235"/>
  <c r="T37" i="235"/>
  <c r="X58" i="235"/>
  <c r="T58" i="235"/>
  <c r="X66" i="235"/>
  <c r="T66" i="235"/>
  <c r="P134" i="235"/>
  <c r="AE11" i="235"/>
  <c r="X39" i="235"/>
  <c r="T39" i="235"/>
  <c r="X85" i="235"/>
  <c r="T85" i="235"/>
  <c r="X115" i="235"/>
  <c r="T115" i="235"/>
  <c r="X118" i="235"/>
  <c r="T118" i="235"/>
  <c r="X117" i="235"/>
  <c r="T117" i="235"/>
  <c r="E65" i="213"/>
  <c r="E62" i="213"/>
  <c r="E61" i="213"/>
  <c r="E57" i="213"/>
  <c r="E59" i="213"/>
  <c r="E67" i="213"/>
  <c r="E64" i="213"/>
  <c r="E60" i="213"/>
  <c r="E66" i="213"/>
  <c r="E63" i="213"/>
  <c r="E58" i="213"/>
  <c r="X49" i="235" l="1"/>
  <c r="P75" i="235"/>
  <c r="P76" i="235"/>
  <c r="P73" i="235"/>
  <c r="P72" i="235"/>
  <c r="P74" i="235"/>
  <c r="P77" i="235"/>
  <c r="B8" i="88"/>
  <c r="B9" i="88" s="1"/>
  <c r="B10" i="88" s="1"/>
  <c r="B11" i="88" s="1"/>
  <c r="B12" i="88" s="1"/>
  <c r="B13" i="88" s="1"/>
  <c r="B14" i="88" s="1"/>
  <c r="B15" i="88" s="1"/>
  <c r="B16" i="88" s="1"/>
  <c r="B17" i="88" s="1"/>
  <c r="B18" i="88" s="1"/>
  <c r="B19" i="88" s="1"/>
  <c r="B20" i="88" s="1"/>
  <c r="B21" i="88" s="1"/>
  <c r="B22" i="88" s="1"/>
  <c r="B1" i="213"/>
  <c r="B2" i="213"/>
  <c r="AX10" i="213" s="1"/>
  <c r="BC10" i="213" s="1"/>
  <c r="L2" i="213"/>
  <c r="B3" i="213"/>
  <c r="AY10" i="213" s="1"/>
  <c r="BD10" i="213" s="1"/>
  <c r="L3" i="213"/>
  <c r="B4" i="213"/>
  <c r="T11" i="213" s="1"/>
  <c r="L4" i="213"/>
  <c r="B5" i="213"/>
  <c r="U11" i="213" s="1"/>
  <c r="L5" i="213"/>
  <c r="B6" i="213"/>
  <c r="V11" i="213" s="1"/>
  <c r="L6" i="213"/>
  <c r="B7" i="213"/>
  <c r="W11" i="213" s="1"/>
  <c r="B8" i="213"/>
  <c r="A10" i="213"/>
  <c r="BS11" i="213"/>
  <c r="BT11" i="213"/>
  <c r="BU11" i="213"/>
  <c r="BV11" i="213"/>
  <c r="BW11" i="213"/>
  <c r="BX11" i="213"/>
  <c r="BY11" i="213"/>
  <c r="BZ11" i="213"/>
  <c r="B13" i="213"/>
  <c r="AP13" i="213"/>
  <c r="AG13" i="213"/>
  <c r="K13" i="213"/>
  <c r="D60" i="213"/>
  <c r="BB13" i="213"/>
  <c r="C13" i="213"/>
  <c r="D13" i="213"/>
  <c r="D65" i="213"/>
  <c r="AZ13" i="213"/>
  <c r="D66" i="213"/>
  <c r="BK13" i="213"/>
  <c r="AI13" i="213"/>
  <c r="D62" i="213"/>
  <c r="G13" i="213"/>
  <c r="W13" i="213"/>
  <c r="BE13" i="213"/>
  <c r="BL13" i="213"/>
  <c r="BI13" i="213"/>
  <c r="AN13" i="213"/>
  <c r="D61" i="213"/>
  <c r="BN13" i="213"/>
  <c r="J13" i="213"/>
  <c r="BO13" i="213"/>
  <c r="AA13" i="213"/>
  <c r="AE13" i="213"/>
  <c r="U13" i="213"/>
  <c r="L13" i="213"/>
  <c r="Y13" i="213"/>
  <c r="AS13" i="213"/>
  <c r="BM13" i="213"/>
  <c r="AY13" i="213"/>
  <c r="I13" i="213"/>
  <c r="O13" i="213"/>
  <c r="N13" i="213"/>
  <c r="D57" i="213"/>
  <c r="E13" i="213"/>
  <c r="AT13" i="213"/>
  <c r="AL13" i="213"/>
  <c r="AO13" i="213"/>
  <c r="AV13" i="213"/>
  <c r="BA13" i="213"/>
  <c r="BP13" i="213"/>
  <c r="BC13" i="213"/>
  <c r="C71" i="213"/>
  <c r="BH13" i="213"/>
  <c r="BD13" i="213"/>
  <c r="S13" i="213"/>
  <c r="AQ13" i="213"/>
  <c r="P13" i="213"/>
  <c r="T13" i="213"/>
  <c r="A13" i="213"/>
  <c r="AD13" i="213"/>
  <c r="V13" i="213"/>
  <c r="BQ13" i="213"/>
  <c r="AF13" i="213"/>
  <c r="H13" i="213"/>
  <c r="F13" i="213"/>
  <c r="AM13" i="213"/>
  <c r="X13" i="213"/>
  <c r="AB13" i="213"/>
  <c r="D58" i="213"/>
  <c r="BJ13" i="213"/>
  <c r="D63" i="213"/>
  <c r="Q13" i="213"/>
  <c r="AW13" i="213"/>
  <c r="AK13" i="213"/>
  <c r="AX13" i="213"/>
  <c r="AU13" i="213"/>
  <c r="AJ13" i="213"/>
  <c r="C74" i="213"/>
  <c r="M13" i="213"/>
  <c r="AR13" i="213"/>
  <c r="BF13" i="213"/>
  <c r="Z13" i="213"/>
  <c r="AC13" i="213"/>
  <c r="BG13" i="213"/>
  <c r="D59" i="213"/>
  <c r="R13" i="213"/>
  <c r="D64" i="213"/>
  <c r="D67" i="213"/>
  <c r="AH13" i="213"/>
  <c r="S11" i="213" l="1"/>
  <c r="R11" i="213"/>
  <c r="BS13" i="213"/>
  <c r="BT13" i="213"/>
  <c r="BU13" i="213"/>
  <c r="BV13" i="213"/>
  <c r="BW13" i="213"/>
  <c r="BX13" i="213"/>
  <c r="BY13" i="213"/>
  <c r="BZ13" i="213"/>
  <c r="CE13" i="213"/>
  <c r="B14" i="213"/>
  <c r="BR13" i="213"/>
  <c r="BL14" i="213"/>
  <c r="BK14" i="213"/>
  <c r="AG14" i="213"/>
  <c r="AH14" i="213"/>
  <c r="BB14" i="213"/>
  <c r="K14" i="213"/>
  <c r="BI14" i="213"/>
  <c r="AQ14" i="213"/>
  <c r="AZ14" i="213"/>
  <c r="U14" i="213"/>
  <c r="D14" i="213"/>
  <c r="BM14" i="213"/>
  <c r="BH14" i="213"/>
  <c r="J14" i="213"/>
  <c r="AM14" i="213"/>
  <c r="H14" i="213"/>
  <c r="BP14" i="213"/>
  <c r="AD14" i="213"/>
  <c r="X14" i="213"/>
  <c r="Q14" i="213"/>
  <c r="AS14" i="213"/>
  <c r="AO14" i="213"/>
  <c r="V14" i="213"/>
  <c r="O14" i="213"/>
  <c r="BA14" i="213"/>
  <c r="AP14" i="213"/>
  <c r="R14" i="213"/>
  <c r="N14" i="213"/>
  <c r="AW14" i="213"/>
  <c r="M14" i="213"/>
  <c r="BC14" i="213"/>
  <c r="AK14" i="213"/>
  <c r="W14" i="213"/>
  <c r="T14" i="213"/>
  <c r="BG14" i="213"/>
  <c r="A14" i="213"/>
  <c r="BD14" i="213"/>
  <c r="AT14" i="213"/>
  <c r="AY14" i="213"/>
  <c r="E14" i="213"/>
  <c r="AF14" i="213"/>
  <c r="BN14" i="213"/>
  <c r="AI14" i="213"/>
  <c r="BO14" i="213"/>
  <c r="AL14" i="213"/>
  <c r="S14" i="213"/>
  <c r="AU14" i="213"/>
  <c r="AN14" i="213"/>
  <c r="AC14" i="213"/>
  <c r="AR14" i="213"/>
  <c r="AA14" i="213"/>
  <c r="Z14" i="213"/>
  <c r="G14" i="213"/>
  <c r="AE14" i="213"/>
  <c r="Y14" i="213"/>
  <c r="BE14" i="213"/>
  <c r="AX14" i="213"/>
  <c r="AJ14" i="213"/>
  <c r="AV14" i="213"/>
  <c r="BQ14" i="213"/>
  <c r="C14" i="213"/>
  <c r="F14" i="213"/>
  <c r="P14" i="213"/>
  <c r="AB14" i="213"/>
  <c r="BJ14" i="213"/>
  <c r="L14" i="213"/>
  <c r="I14" i="213"/>
  <c r="BF14" i="213"/>
  <c r="BS14" i="213" l="1"/>
  <c r="BT14" i="213"/>
  <c r="BU14" i="213"/>
  <c r="BV14" i="213"/>
  <c r="BW14" i="213"/>
  <c r="BX14" i="213"/>
  <c r="BY14" i="213"/>
  <c r="BZ14" i="213"/>
  <c r="CE14" i="213"/>
  <c r="B15" i="213"/>
  <c r="BS15" i="213"/>
  <c r="BT15" i="213"/>
  <c r="BU15" i="213"/>
  <c r="BV15" i="213"/>
  <c r="BW15" i="213"/>
  <c r="BX15" i="213"/>
  <c r="BY15" i="213"/>
  <c r="BZ15" i="213"/>
  <c r="CE15" i="213"/>
  <c r="B16" i="213"/>
  <c r="BS16" i="213"/>
  <c r="BT16" i="213"/>
  <c r="BU16" i="213"/>
  <c r="BV16" i="213"/>
  <c r="BW16" i="213"/>
  <c r="BX16" i="213"/>
  <c r="BY16" i="213"/>
  <c r="BZ16" i="213"/>
  <c r="CE16" i="213"/>
  <c r="B17" i="213"/>
  <c r="BS17" i="213"/>
  <c r="BT17" i="213"/>
  <c r="BU17" i="213"/>
  <c r="BV17" i="213"/>
  <c r="BW17" i="213"/>
  <c r="BX17" i="213"/>
  <c r="BY17" i="213"/>
  <c r="BZ17" i="213"/>
  <c r="CE17" i="213"/>
  <c r="B18" i="213"/>
  <c r="BS18" i="213"/>
  <c r="BT18" i="213"/>
  <c r="BU18" i="213"/>
  <c r="BV18" i="213"/>
  <c r="BW18" i="213"/>
  <c r="BX18" i="213"/>
  <c r="BY18" i="213"/>
  <c r="BZ18" i="213"/>
  <c r="CE18" i="213"/>
  <c r="B19" i="213"/>
  <c r="BS19" i="213"/>
  <c r="BT19" i="213"/>
  <c r="BU19" i="213"/>
  <c r="BV19" i="213"/>
  <c r="BW19" i="213"/>
  <c r="BX19" i="213"/>
  <c r="BY19" i="213"/>
  <c r="BZ19" i="213"/>
  <c r="CE19" i="213"/>
  <c r="B20" i="213"/>
  <c r="BS20" i="213"/>
  <c r="BT20" i="213"/>
  <c r="BU20" i="213"/>
  <c r="BV20" i="213"/>
  <c r="BW20" i="213"/>
  <c r="BX20" i="213"/>
  <c r="BY20" i="213"/>
  <c r="BZ20" i="213"/>
  <c r="CE20" i="213"/>
  <c r="B21" i="213"/>
  <c r="BS21" i="213"/>
  <c r="BT21" i="213"/>
  <c r="BU21" i="213"/>
  <c r="BV21" i="213"/>
  <c r="BW21" i="213"/>
  <c r="BX21" i="213"/>
  <c r="BY21" i="213"/>
  <c r="BZ21" i="213"/>
  <c r="CE21" i="213"/>
  <c r="B22" i="213"/>
  <c r="BS22" i="213"/>
  <c r="BT22" i="213"/>
  <c r="BU22" i="213"/>
  <c r="BV22" i="213"/>
  <c r="BW22" i="213"/>
  <c r="BX22" i="213"/>
  <c r="BY22" i="213"/>
  <c r="BZ22" i="213"/>
  <c r="CE22" i="213"/>
  <c r="B23" i="213"/>
  <c r="BS23" i="213"/>
  <c r="BT23" i="213"/>
  <c r="BU23" i="213"/>
  <c r="BV23" i="213"/>
  <c r="BW23" i="213"/>
  <c r="BX23" i="213"/>
  <c r="BY23" i="213"/>
  <c r="BZ23" i="213"/>
  <c r="CE23" i="213"/>
  <c r="B24" i="213"/>
  <c r="BS24" i="213"/>
  <c r="BT24" i="213"/>
  <c r="BU24" i="213"/>
  <c r="BV24" i="213"/>
  <c r="BW24" i="213"/>
  <c r="BX24" i="213"/>
  <c r="BY24" i="213"/>
  <c r="BZ24" i="213"/>
  <c r="CE24" i="213"/>
  <c r="B25" i="213"/>
  <c r="BS25" i="213"/>
  <c r="BT25" i="213"/>
  <c r="BU25" i="213"/>
  <c r="BV25" i="213"/>
  <c r="BW25" i="213"/>
  <c r="BX25" i="213"/>
  <c r="BY25" i="213"/>
  <c r="BZ25" i="213"/>
  <c r="CE25" i="213"/>
  <c r="B26" i="213"/>
  <c r="BS26" i="213"/>
  <c r="BT26" i="213"/>
  <c r="BU26" i="213"/>
  <c r="BV26" i="213"/>
  <c r="BW26" i="213"/>
  <c r="BX26" i="213"/>
  <c r="BY26" i="213"/>
  <c r="BZ26" i="213"/>
  <c r="CE26" i="213"/>
  <c r="B27" i="213"/>
  <c r="BS27" i="213"/>
  <c r="BT27" i="213"/>
  <c r="BU27" i="213"/>
  <c r="BV27" i="213"/>
  <c r="BW27" i="213"/>
  <c r="BX27" i="213"/>
  <c r="BY27" i="213"/>
  <c r="BZ27" i="213"/>
  <c r="CE27" i="213"/>
  <c r="B28" i="213"/>
  <c r="BS28" i="213"/>
  <c r="BT28" i="213"/>
  <c r="BU28" i="213"/>
  <c r="BV28" i="213"/>
  <c r="BW28" i="213"/>
  <c r="BX28" i="213"/>
  <c r="BY28" i="213"/>
  <c r="BZ28" i="213"/>
  <c r="CE28" i="213"/>
  <c r="B29" i="213"/>
  <c r="BS29" i="213"/>
  <c r="BT29" i="213"/>
  <c r="BU29" i="213"/>
  <c r="BV29" i="213"/>
  <c r="BW29" i="213"/>
  <c r="BX29" i="213"/>
  <c r="BY29" i="213"/>
  <c r="BZ29" i="213"/>
  <c r="CE29" i="213"/>
  <c r="B30" i="213"/>
  <c r="BS30" i="213"/>
  <c r="BT30" i="213"/>
  <c r="BU30" i="213"/>
  <c r="BV30" i="213"/>
  <c r="BW30" i="213"/>
  <c r="BX30" i="213"/>
  <c r="BY30" i="213"/>
  <c r="BZ30" i="213"/>
  <c r="CE30" i="213"/>
  <c r="B31" i="213"/>
  <c r="BS31" i="213"/>
  <c r="BT31" i="213"/>
  <c r="BU31" i="213"/>
  <c r="BV31" i="213"/>
  <c r="BW31" i="213"/>
  <c r="BX31" i="213"/>
  <c r="BY31" i="213"/>
  <c r="BZ31" i="213"/>
  <c r="CE31" i="213"/>
  <c r="B32" i="213"/>
  <c r="BS32" i="213"/>
  <c r="BT32" i="213"/>
  <c r="BU32" i="213"/>
  <c r="BV32" i="213"/>
  <c r="BW32" i="213"/>
  <c r="BX32" i="213"/>
  <c r="BY32" i="213"/>
  <c r="BZ32" i="213"/>
  <c r="CE32" i="213"/>
  <c r="B33" i="213"/>
  <c r="BS33" i="213"/>
  <c r="BT33" i="213"/>
  <c r="BU33" i="213"/>
  <c r="BV33" i="213"/>
  <c r="BW33" i="213"/>
  <c r="BX33" i="213"/>
  <c r="BY33" i="213"/>
  <c r="BZ33" i="213"/>
  <c r="CE33" i="213"/>
  <c r="B34" i="213"/>
  <c r="BS34" i="213"/>
  <c r="BT34" i="213"/>
  <c r="BU34" i="213"/>
  <c r="BV34" i="213"/>
  <c r="BW34" i="213"/>
  <c r="BX34" i="213"/>
  <c r="BY34" i="213"/>
  <c r="BZ34" i="213"/>
  <c r="CE34" i="213"/>
  <c r="B35" i="213"/>
  <c r="BS35" i="213"/>
  <c r="BT35" i="213"/>
  <c r="BU35" i="213"/>
  <c r="BV35" i="213"/>
  <c r="BW35" i="213"/>
  <c r="BX35" i="213"/>
  <c r="BY35" i="213"/>
  <c r="BZ35" i="213"/>
  <c r="CE35" i="213"/>
  <c r="B36" i="213"/>
  <c r="BS36" i="213"/>
  <c r="BT36" i="213"/>
  <c r="BU36" i="213"/>
  <c r="BV36" i="213"/>
  <c r="BW36" i="213"/>
  <c r="BX36" i="213"/>
  <c r="BY36" i="213"/>
  <c r="BZ36" i="213"/>
  <c r="CE36" i="213"/>
  <c r="B37" i="213"/>
  <c r="BS37" i="213"/>
  <c r="BT37" i="213"/>
  <c r="BU37" i="213"/>
  <c r="BV37" i="213"/>
  <c r="BW37" i="213"/>
  <c r="BX37" i="213"/>
  <c r="BY37" i="213"/>
  <c r="BZ37" i="213"/>
  <c r="CE37" i="213"/>
  <c r="B38" i="213"/>
  <c r="BS38" i="213"/>
  <c r="BT38" i="213"/>
  <c r="BU38" i="213"/>
  <c r="BV38" i="213"/>
  <c r="BW38" i="213"/>
  <c r="BX38" i="213"/>
  <c r="BY38" i="213"/>
  <c r="BZ38" i="213"/>
  <c r="CE38" i="213"/>
  <c r="B39" i="213"/>
  <c r="BS39" i="213"/>
  <c r="BT39" i="213"/>
  <c r="BU39" i="213"/>
  <c r="BV39" i="213"/>
  <c r="BW39" i="213"/>
  <c r="BX39" i="213"/>
  <c r="BY39" i="213"/>
  <c r="BZ39" i="213"/>
  <c r="CE39" i="213"/>
  <c r="B40" i="213"/>
  <c r="BS40" i="213"/>
  <c r="BT40" i="213"/>
  <c r="BU40" i="213"/>
  <c r="BV40" i="213"/>
  <c r="BW40" i="213"/>
  <c r="BX40" i="213"/>
  <c r="BY40" i="213"/>
  <c r="BZ40" i="213"/>
  <c r="CE40" i="213"/>
  <c r="B41" i="213"/>
  <c r="BS41" i="213"/>
  <c r="BT41" i="213"/>
  <c r="BU41" i="213"/>
  <c r="BV41" i="213"/>
  <c r="BW41" i="213"/>
  <c r="BX41" i="213"/>
  <c r="BY41" i="213"/>
  <c r="BZ41" i="213"/>
  <c r="CE41" i="213"/>
  <c r="B42" i="213"/>
  <c r="BS42" i="213"/>
  <c r="BT42" i="213"/>
  <c r="BU42" i="213"/>
  <c r="BV42" i="213"/>
  <c r="BW42" i="213"/>
  <c r="BX42" i="213"/>
  <c r="BY42" i="213"/>
  <c r="BZ42" i="213"/>
  <c r="CE42" i="213"/>
  <c r="A43" i="213"/>
  <c r="B44" i="213"/>
  <c r="BS44" i="213"/>
  <c r="BT44" i="213"/>
  <c r="BU44" i="213"/>
  <c r="BV44" i="213"/>
  <c r="BW44" i="213"/>
  <c r="BX44" i="213"/>
  <c r="BY44" i="213"/>
  <c r="BZ44" i="213"/>
  <c r="B45" i="213"/>
  <c r="BS45" i="213"/>
  <c r="BT45" i="213"/>
  <c r="BU45" i="213"/>
  <c r="BV45" i="213"/>
  <c r="BW45" i="213"/>
  <c r="BX45" i="213"/>
  <c r="BY45" i="213"/>
  <c r="BZ45" i="213"/>
  <c r="B46" i="213"/>
  <c r="BS46" i="213"/>
  <c r="BT46" i="213"/>
  <c r="BU46" i="213"/>
  <c r="BV46" i="213"/>
  <c r="BW46" i="213"/>
  <c r="BX46" i="213"/>
  <c r="BY46" i="213"/>
  <c r="BZ46" i="213"/>
  <c r="B47" i="213"/>
  <c r="BS47" i="213"/>
  <c r="BT47" i="213"/>
  <c r="BU47" i="213"/>
  <c r="BV47" i="213"/>
  <c r="BW47" i="213"/>
  <c r="BX47" i="213"/>
  <c r="BY47" i="213"/>
  <c r="BZ47" i="213"/>
  <c r="B48" i="213"/>
  <c r="BS48" i="213"/>
  <c r="BT48" i="213"/>
  <c r="BU48" i="213"/>
  <c r="BV48" i="213"/>
  <c r="BW48" i="213"/>
  <c r="BX48" i="213"/>
  <c r="BY48" i="213"/>
  <c r="BZ48" i="213"/>
  <c r="B49" i="213"/>
  <c r="BS49" i="213"/>
  <c r="BT49" i="213"/>
  <c r="BU49" i="213"/>
  <c r="BV49" i="213"/>
  <c r="BW49" i="213"/>
  <c r="BX49" i="213"/>
  <c r="BY49" i="213"/>
  <c r="BZ49" i="213"/>
  <c r="B50" i="213"/>
  <c r="BS50" i="213"/>
  <c r="BT50" i="213"/>
  <c r="BU50" i="213"/>
  <c r="BV50" i="213"/>
  <c r="BW50" i="213"/>
  <c r="BX50" i="213"/>
  <c r="BY50" i="213"/>
  <c r="BZ50" i="213"/>
  <c r="B51" i="213"/>
  <c r="BS51" i="213"/>
  <c r="BT51" i="213"/>
  <c r="BU51" i="213"/>
  <c r="BV51" i="213"/>
  <c r="BW51" i="213"/>
  <c r="BX51" i="213"/>
  <c r="BY51" i="213"/>
  <c r="BZ51" i="213"/>
  <c r="B52" i="213"/>
  <c r="BS52" i="213"/>
  <c r="BT52" i="213"/>
  <c r="BU52" i="213"/>
  <c r="BV52" i="213"/>
  <c r="BW52" i="213"/>
  <c r="BX52" i="213"/>
  <c r="BY52" i="213"/>
  <c r="BZ52" i="213"/>
  <c r="B53" i="213"/>
  <c r="BS53" i="213"/>
  <c r="BT53" i="213"/>
  <c r="BU53" i="213"/>
  <c r="BV53" i="213"/>
  <c r="BW53" i="213"/>
  <c r="BX53" i="213"/>
  <c r="BY53" i="213"/>
  <c r="BZ53" i="213"/>
  <c r="C57" i="213"/>
  <c r="C58" i="213"/>
  <c r="C59" i="213"/>
  <c r="AJ2" i="214"/>
  <c r="AI10" i="214"/>
  <c r="AI11" i="214"/>
  <c r="AI12" i="214"/>
  <c r="AI13" i="214"/>
  <c r="AI14" i="214"/>
  <c r="AI15" i="214"/>
  <c r="AI16" i="214"/>
  <c r="AI17" i="214"/>
  <c r="AI18" i="214"/>
  <c r="AI19" i="214"/>
  <c r="AI20" i="214"/>
  <c r="AI21" i="214"/>
  <c r="AI22" i="214"/>
  <c r="AI23" i="214"/>
  <c r="AI24" i="214"/>
  <c r="AI25" i="214"/>
  <c r="AI26" i="214"/>
  <c r="AI27" i="214"/>
  <c r="AI28" i="214"/>
  <c r="AI29" i="214"/>
  <c r="AI30" i="214"/>
  <c r="AI31" i="214"/>
  <c r="AI32" i="214"/>
  <c r="AI33" i="214"/>
  <c r="AI34" i="214"/>
  <c r="AI35" i="214"/>
  <c r="AI36" i="214"/>
  <c r="AI37" i="214"/>
  <c r="AI38" i="214"/>
  <c r="AI39" i="214"/>
  <c r="AI40" i="214"/>
  <c r="B2" i="2"/>
  <c r="F21" i="2"/>
  <c r="F22" i="2"/>
  <c r="F24" i="2"/>
  <c r="F25" i="2"/>
  <c r="F43" i="2"/>
  <c r="F44" i="2"/>
  <c r="B2" i="5"/>
  <c r="B2" i="173"/>
  <c r="AP2" i="173"/>
  <c r="J9" i="173" s="1"/>
  <c r="Q4" i="173"/>
  <c r="L9" i="173"/>
  <c r="Z12" i="173" s="1"/>
  <c r="M9" i="173"/>
  <c r="AA12" i="173" s="1"/>
  <c r="N9" i="173"/>
  <c r="AB12" i="173" s="1"/>
  <c r="S12" i="173"/>
  <c r="T12" i="173"/>
  <c r="U12" i="173"/>
  <c r="S13" i="173"/>
  <c r="T13" i="173"/>
  <c r="U13" i="173"/>
  <c r="W13" i="173"/>
  <c r="X13" i="173"/>
  <c r="Z13" i="173"/>
  <c r="AA13" i="173"/>
  <c r="AB13" i="173"/>
  <c r="AD13" i="173"/>
  <c r="AE13" i="173"/>
  <c r="S14" i="173"/>
  <c r="T14" i="173"/>
  <c r="U14" i="173"/>
  <c r="W14" i="173"/>
  <c r="X14" i="173"/>
  <c r="Z14" i="173"/>
  <c r="AA14" i="173"/>
  <c r="AB14" i="173"/>
  <c r="AD14" i="173"/>
  <c r="AE14" i="173"/>
  <c r="S15" i="173"/>
  <c r="T15" i="173"/>
  <c r="U15" i="173"/>
  <c r="W15" i="173"/>
  <c r="X15" i="173"/>
  <c r="Z15" i="173"/>
  <c r="AA15" i="173"/>
  <c r="AB15" i="173"/>
  <c r="AD15" i="173"/>
  <c r="AE15" i="173"/>
  <c r="S16" i="173"/>
  <c r="T16" i="173"/>
  <c r="U16" i="173"/>
  <c r="W16" i="173"/>
  <c r="X16" i="173"/>
  <c r="Z16" i="173"/>
  <c r="AA16" i="173"/>
  <c r="AB16" i="173"/>
  <c r="AD16" i="173"/>
  <c r="AE16" i="173"/>
  <c r="S17" i="173"/>
  <c r="T17" i="173"/>
  <c r="U17" i="173"/>
  <c r="W17" i="173"/>
  <c r="X17" i="173"/>
  <c r="Z17" i="173"/>
  <c r="AA17" i="173"/>
  <c r="AB17" i="173"/>
  <c r="AD17" i="173"/>
  <c r="AE17" i="173"/>
  <c r="S18" i="173"/>
  <c r="T18" i="173"/>
  <c r="U18" i="173"/>
  <c r="W18" i="173"/>
  <c r="X18" i="173"/>
  <c r="Z18" i="173"/>
  <c r="AA18" i="173"/>
  <c r="AB18" i="173"/>
  <c r="AD18" i="173"/>
  <c r="AE18" i="173"/>
  <c r="S19" i="173"/>
  <c r="T19" i="173"/>
  <c r="U19" i="173"/>
  <c r="W19" i="173"/>
  <c r="X19" i="173"/>
  <c r="Z19" i="173"/>
  <c r="AA19" i="173"/>
  <c r="AB19" i="173"/>
  <c r="AD19" i="173"/>
  <c r="AE19" i="173"/>
  <c r="S20" i="173"/>
  <c r="T20" i="173"/>
  <c r="U20" i="173"/>
  <c r="W20" i="173"/>
  <c r="X20" i="173"/>
  <c r="Z20" i="173"/>
  <c r="AA20" i="173"/>
  <c r="AB20" i="173"/>
  <c r="AD20" i="173"/>
  <c r="AE20" i="173"/>
  <c r="S21" i="173"/>
  <c r="T21" i="173"/>
  <c r="U21" i="173"/>
  <c r="W21" i="173"/>
  <c r="X21" i="173"/>
  <c r="Z21" i="173"/>
  <c r="AA21" i="173"/>
  <c r="AB21" i="173"/>
  <c r="AD21" i="173"/>
  <c r="AE21" i="173"/>
  <c r="S22" i="173"/>
  <c r="T22" i="173"/>
  <c r="U22" i="173"/>
  <c r="W22" i="173"/>
  <c r="X22" i="173"/>
  <c r="Z22" i="173"/>
  <c r="AA22" i="173"/>
  <c r="AB22" i="173"/>
  <c r="AD22" i="173"/>
  <c r="AE22" i="173"/>
  <c r="S23" i="173"/>
  <c r="T23" i="173"/>
  <c r="U23" i="173"/>
  <c r="W23" i="173"/>
  <c r="X23" i="173"/>
  <c r="Z23" i="173"/>
  <c r="AA23" i="173"/>
  <c r="AB23" i="173"/>
  <c r="AD23" i="173"/>
  <c r="AE23" i="173"/>
  <c r="S24" i="173"/>
  <c r="T24" i="173"/>
  <c r="U24" i="173"/>
  <c r="W24" i="173"/>
  <c r="X24" i="173"/>
  <c r="Z24" i="173"/>
  <c r="AA24" i="173"/>
  <c r="AB24" i="173"/>
  <c r="AD24" i="173"/>
  <c r="AE24" i="173"/>
  <c r="S25" i="173"/>
  <c r="T25" i="173"/>
  <c r="U25" i="173"/>
  <c r="W25" i="173"/>
  <c r="X25" i="173"/>
  <c r="Z25" i="173"/>
  <c r="AA25" i="173"/>
  <c r="AB25" i="173"/>
  <c r="AD25" i="173"/>
  <c r="AE25" i="173"/>
  <c r="S26" i="173"/>
  <c r="T26" i="173"/>
  <c r="U26" i="173"/>
  <c r="W26" i="173"/>
  <c r="X26" i="173"/>
  <c r="Z26" i="173"/>
  <c r="AA26" i="173"/>
  <c r="AB26" i="173"/>
  <c r="AD26" i="173"/>
  <c r="AE26" i="173"/>
  <c r="S27" i="173"/>
  <c r="T27" i="173"/>
  <c r="U27" i="173"/>
  <c r="W27" i="173"/>
  <c r="X27" i="173"/>
  <c r="Z27" i="173"/>
  <c r="AA27" i="173"/>
  <c r="AB27" i="173"/>
  <c r="AD27" i="173"/>
  <c r="AE27" i="173"/>
  <c r="S28" i="173"/>
  <c r="T28" i="173"/>
  <c r="U28" i="173"/>
  <c r="W28" i="173"/>
  <c r="X28" i="173"/>
  <c r="Z28" i="173"/>
  <c r="AA28" i="173"/>
  <c r="AB28" i="173"/>
  <c r="AD28" i="173"/>
  <c r="AE28" i="173"/>
  <c r="S29" i="173"/>
  <c r="T29" i="173"/>
  <c r="U29" i="173"/>
  <c r="W29" i="173"/>
  <c r="X29" i="173"/>
  <c r="Z29" i="173"/>
  <c r="AA29" i="173"/>
  <c r="AB29" i="173"/>
  <c r="AD29" i="173"/>
  <c r="AE29" i="173"/>
  <c r="S30" i="173"/>
  <c r="T30" i="173"/>
  <c r="U30" i="173"/>
  <c r="W30" i="173"/>
  <c r="X30" i="173"/>
  <c r="Z30" i="173"/>
  <c r="AA30" i="173"/>
  <c r="AB30" i="173"/>
  <c r="AD30" i="173"/>
  <c r="AE30" i="173"/>
  <c r="S31" i="173"/>
  <c r="T31" i="173"/>
  <c r="U31" i="173"/>
  <c r="W31" i="173"/>
  <c r="X31" i="173"/>
  <c r="Z31" i="173"/>
  <c r="AA31" i="173"/>
  <c r="AB31" i="173"/>
  <c r="AD31" i="173"/>
  <c r="AE31" i="173"/>
  <c r="S32" i="173"/>
  <c r="T32" i="173"/>
  <c r="U32" i="173"/>
  <c r="W32" i="173"/>
  <c r="X32" i="173"/>
  <c r="Z32" i="173"/>
  <c r="AA32" i="173"/>
  <c r="AB32" i="173"/>
  <c r="AD32" i="173"/>
  <c r="AE32" i="173"/>
  <c r="S33" i="173"/>
  <c r="T33" i="173"/>
  <c r="U33" i="173"/>
  <c r="W33" i="173"/>
  <c r="X33" i="173"/>
  <c r="Z33" i="173"/>
  <c r="AA33" i="173"/>
  <c r="AB33" i="173"/>
  <c r="AD33" i="173"/>
  <c r="AE33" i="173"/>
  <c r="S34" i="173"/>
  <c r="T34" i="173"/>
  <c r="U34" i="173"/>
  <c r="W34" i="173"/>
  <c r="X34" i="173"/>
  <c r="Z34" i="173"/>
  <c r="AA34" i="173"/>
  <c r="AB34" i="173"/>
  <c r="AD34" i="173"/>
  <c r="AE34" i="173"/>
  <c r="S35" i="173"/>
  <c r="T35" i="173"/>
  <c r="U35" i="173"/>
  <c r="W35" i="173"/>
  <c r="X35" i="173"/>
  <c r="Z35" i="173"/>
  <c r="AA35" i="173"/>
  <c r="AB35" i="173"/>
  <c r="AD35" i="173"/>
  <c r="AE35" i="173"/>
  <c r="S36" i="173"/>
  <c r="T36" i="173"/>
  <c r="U36" i="173"/>
  <c r="W36" i="173"/>
  <c r="X36" i="173"/>
  <c r="Z36" i="173"/>
  <c r="AA36" i="173"/>
  <c r="AB36" i="173"/>
  <c r="AD36" i="173"/>
  <c r="AE36" i="173"/>
  <c r="S37" i="173"/>
  <c r="T37" i="173"/>
  <c r="U37" i="173"/>
  <c r="W37" i="173"/>
  <c r="X37" i="173"/>
  <c r="Z37" i="173"/>
  <c r="AA37" i="173"/>
  <c r="AB37" i="173"/>
  <c r="AD37" i="173"/>
  <c r="AE37" i="173"/>
  <c r="S38" i="173"/>
  <c r="T38" i="173"/>
  <c r="U38" i="173"/>
  <c r="W38" i="173"/>
  <c r="X38" i="173"/>
  <c r="Z38" i="173"/>
  <c r="AA38" i="173"/>
  <c r="AB38" i="173"/>
  <c r="AD38" i="173"/>
  <c r="AE38" i="173"/>
  <c r="S39" i="173"/>
  <c r="T39" i="173"/>
  <c r="U39" i="173"/>
  <c r="W39" i="173"/>
  <c r="X39" i="173"/>
  <c r="Z39" i="173"/>
  <c r="AA39" i="173"/>
  <c r="AB39" i="173"/>
  <c r="AD39" i="173"/>
  <c r="AE39" i="173"/>
  <c r="S40" i="173"/>
  <c r="T40" i="173"/>
  <c r="U40" i="173"/>
  <c r="W40" i="173"/>
  <c r="X40" i="173"/>
  <c r="Z40" i="173"/>
  <c r="AA40" i="173"/>
  <c r="AB40" i="173"/>
  <c r="AD40" i="173"/>
  <c r="AE40" i="173"/>
  <c r="S41" i="173"/>
  <c r="T41" i="173"/>
  <c r="U41" i="173"/>
  <c r="W41" i="173"/>
  <c r="X41" i="173"/>
  <c r="Z41" i="173"/>
  <c r="AA41" i="173"/>
  <c r="AB41" i="173"/>
  <c r="AD41" i="173"/>
  <c r="AE41" i="173"/>
  <c r="S42" i="173"/>
  <c r="T42" i="173"/>
  <c r="U42" i="173"/>
  <c r="W42" i="173"/>
  <c r="X42" i="173"/>
  <c r="Z42" i="173"/>
  <c r="AA42" i="173"/>
  <c r="AB42" i="173"/>
  <c r="AD42" i="173"/>
  <c r="AE42" i="173"/>
  <c r="B2" i="156"/>
  <c r="G4" i="156"/>
  <c r="G30" i="156"/>
  <c r="C35" i="156"/>
  <c r="C36" i="156" s="1"/>
  <c r="G39" i="156"/>
  <c r="F50" i="156"/>
  <c r="G50" i="156"/>
  <c r="F51" i="156"/>
  <c r="G51" i="156"/>
  <c r="F54" i="156"/>
  <c r="G54" i="156"/>
  <c r="F55" i="156"/>
  <c r="G55" i="156"/>
  <c r="F58" i="156"/>
  <c r="G58" i="156"/>
  <c r="F59" i="156"/>
  <c r="G59" i="156"/>
  <c r="F60" i="156"/>
  <c r="G60" i="156"/>
  <c r="G67" i="156"/>
  <c r="C73" i="156"/>
  <c r="G73" i="156" s="1"/>
  <c r="C74" i="156"/>
  <c r="G74" i="156" s="1"/>
  <c r="C75" i="156"/>
  <c r="G75" i="156" s="1"/>
  <c r="C76" i="156"/>
  <c r="G76" i="156" s="1"/>
  <c r="F81" i="156"/>
  <c r="G81" i="156"/>
  <c r="F86" i="156"/>
  <c r="G86" i="156"/>
  <c r="B2" i="189"/>
  <c r="G28" i="189"/>
  <c r="B2" i="185"/>
  <c r="AD2" i="185"/>
  <c r="AG2" i="185"/>
  <c r="N7" i="185" s="1"/>
  <c r="AD3" i="185"/>
  <c r="AG3" i="185" s="1"/>
  <c r="Z4" i="185"/>
  <c r="AD4" i="185"/>
  <c r="AG4" i="185" s="1"/>
  <c r="AD5" i="185"/>
  <c r="AG5" i="185" s="1"/>
  <c r="B11" i="185"/>
  <c r="D11" i="185"/>
  <c r="E11" i="185"/>
  <c r="F11" i="185"/>
  <c r="G11" i="185"/>
  <c r="H11" i="185"/>
  <c r="K11" i="185"/>
  <c r="N11" i="185"/>
  <c r="X11" i="185" s="1"/>
  <c r="O11" i="185"/>
  <c r="P11" i="185"/>
  <c r="Q11" i="185"/>
  <c r="R11" i="185"/>
  <c r="U11" i="185"/>
  <c r="AD11" i="185"/>
  <c r="B12" i="185"/>
  <c r="D12" i="185"/>
  <c r="E12" i="185"/>
  <c r="F12" i="185"/>
  <c r="G12" i="185"/>
  <c r="H12" i="185"/>
  <c r="K12" i="185"/>
  <c r="N12" i="185"/>
  <c r="O12" i="185"/>
  <c r="P12" i="185"/>
  <c r="Q12" i="185"/>
  <c r="R12" i="185"/>
  <c r="U12" i="185"/>
  <c r="AD12" i="185"/>
  <c r="B13" i="185"/>
  <c r="D13" i="185"/>
  <c r="E13" i="185"/>
  <c r="F13" i="185"/>
  <c r="G13" i="185"/>
  <c r="H13" i="185"/>
  <c r="K13" i="185"/>
  <c r="N13" i="185"/>
  <c r="O13" i="185"/>
  <c r="P13" i="185"/>
  <c r="Q13" i="185"/>
  <c r="R13" i="185"/>
  <c r="U13" i="185"/>
  <c r="AD13" i="185"/>
  <c r="B14" i="185"/>
  <c r="D14" i="185"/>
  <c r="E14" i="185"/>
  <c r="F14" i="185"/>
  <c r="G14" i="185"/>
  <c r="H14" i="185"/>
  <c r="K14" i="185"/>
  <c r="N14" i="185"/>
  <c r="O14" i="185"/>
  <c r="P14" i="185"/>
  <c r="Q14" i="185"/>
  <c r="R14" i="185"/>
  <c r="U14" i="185"/>
  <c r="AD14" i="185"/>
  <c r="B15" i="185"/>
  <c r="D15" i="185"/>
  <c r="E15" i="185"/>
  <c r="F15" i="185"/>
  <c r="G15" i="185"/>
  <c r="H15" i="185"/>
  <c r="K15" i="185"/>
  <c r="N15" i="185"/>
  <c r="O15" i="185"/>
  <c r="P15" i="185"/>
  <c r="Q15" i="185"/>
  <c r="R15" i="185"/>
  <c r="U15" i="185"/>
  <c r="AD15" i="185"/>
  <c r="B20" i="185"/>
  <c r="D20" i="185"/>
  <c r="E20" i="185"/>
  <c r="F20" i="185"/>
  <c r="G20" i="185"/>
  <c r="H20" i="185"/>
  <c r="K20" i="185"/>
  <c r="N20" i="185"/>
  <c r="O20" i="185"/>
  <c r="P20" i="185"/>
  <c r="Q20" i="185"/>
  <c r="R20" i="185"/>
  <c r="U20" i="185"/>
  <c r="AD20" i="185"/>
  <c r="B21" i="185"/>
  <c r="D21" i="185"/>
  <c r="E21" i="185"/>
  <c r="F21" i="185"/>
  <c r="G21" i="185"/>
  <c r="H21" i="185"/>
  <c r="K21" i="185"/>
  <c r="N21" i="185"/>
  <c r="O21" i="185"/>
  <c r="P21" i="185"/>
  <c r="Q21" i="185"/>
  <c r="R21" i="185"/>
  <c r="U21" i="185"/>
  <c r="AD21" i="185"/>
  <c r="B22" i="185"/>
  <c r="D22" i="185"/>
  <c r="E22" i="185"/>
  <c r="F22" i="185"/>
  <c r="G22" i="185"/>
  <c r="H22" i="185"/>
  <c r="K22" i="185"/>
  <c r="N22" i="185"/>
  <c r="O22" i="185"/>
  <c r="P22" i="185"/>
  <c r="Q22" i="185"/>
  <c r="R22" i="185"/>
  <c r="U22" i="185"/>
  <c r="AD22" i="185"/>
  <c r="B23" i="185"/>
  <c r="D23" i="185"/>
  <c r="E23" i="185"/>
  <c r="F23" i="185"/>
  <c r="G23" i="185"/>
  <c r="H23" i="185"/>
  <c r="K23" i="185"/>
  <c r="N23" i="185"/>
  <c r="O23" i="185"/>
  <c r="P23" i="185"/>
  <c r="Q23" i="185"/>
  <c r="R23" i="185"/>
  <c r="U23" i="185"/>
  <c r="AD23" i="185"/>
  <c r="B24" i="185"/>
  <c r="D24" i="185"/>
  <c r="E24" i="185"/>
  <c r="F24" i="185"/>
  <c r="G24" i="185"/>
  <c r="H24" i="185"/>
  <c r="K24" i="185"/>
  <c r="N24" i="185"/>
  <c r="O24" i="185"/>
  <c r="P24" i="185"/>
  <c r="Q24" i="185"/>
  <c r="R24" i="185"/>
  <c r="U24" i="185"/>
  <c r="AD24" i="185"/>
  <c r="B25" i="185"/>
  <c r="D25" i="185"/>
  <c r="E25" i="185"/>
  <c r="F25" i="185"/>
  <c r="G25" i="185"/>
  <c r="H25" i="185"/>
  <c r="K25" i="185"/>
  <c r="N25" i="185"/>
  <c r="O25" i="185"/>
  <c r="P25" i="185"/>
  <c r="Q25" i="185"/>
  <c r="R25" i="185"/>
  <c r="U25" i="185"/>
  <c r="AD25" i="185"/>
  <c r="B26" i="185"/>
  <c r="D26" i="185"/>
  <c r="E26" i="185"/>
  <c r="F26" i="185"/>
  <c r="G26" i="185"/>
  <c r="H26" i="185"/>
  <c r="K26" i="185"/>
  <c r="N26" i="185"/>
  <c r="O26" i="185"/>
  <c r="P26" i="185"/>
  <c r="Q26" i="185"/>
  <c r="R26" i="185"/>
  <c r="U26" i="185"/>
  <c r="AD26" i="185"/>
  <c r="B27" i="185"/>
  <c r="D27" i="185"/>
  <c r="E27" i="185"/>
  <c r="F27" i="185"/>
  <c r="G27" i="185"/>
  <c r="H27" i="185"/>
  <c r="K27" i="185"/>
  <c r="N27" i="185"/>
  <c r="O27" i="185"/>
  <c r="P27" i="185"/>
  <c r="Q27" i="185"/>
  <c r="R27" i="185"/>
  <c r="U27" i="185"/>
  <c r="AD27" i="185"/>
  <c r="B28" i="185"/>
  <c r="D28" i="185"/>
  <c r="E28" i="185"/>
  <c r="F28" i="185"/>
  <c r="G28" i="185"/>
  <c r="H28" i="185"/>
  <c r="K28" i="185"/>
  <c r="N28" i="185"/>
  <c r="O28" i="185"/>
  <c r="P28" i="185"/>
  <c r="Q28" i="185"/>
  <c r="R28" i="185"/>
  <c r="U28" i="185"/>
  <c r="AD28" i="185"/>
  <c r="B29" i="185"/>
  <c r="D29" i="185"/>
  <c r="E29" i="185"/>
  <c r="F29" i="185"/>
  <c r="G29" i="185"/>
  <c r="H29" i="185"/>
  <c r="K29" i="185"/>
  <c r="N29" i="185"/>
  <c r="O29" i="185"/>
  <c r="P29" i="185"/>
  <c r="Q29" i="185"/>
  <c r="R29" i="185"/>
  <c r="U29" i="185"/>
  <c r="AD29" i="185"/>
  <c r="B30" i="185"/>
  <c r="D30" i="185"/>
  <c r="E30" i="185"/>
  <c r="F30" i="185"/>
  <c r="G30" i="185"/>
  <c r="H30" i="185"/>
  <c r="K30" i="185"/>
  <c r="N30" i="185"/>
  <c r="O30" i="185"/>
  <c r="P30" i="185"/>
  <c r="Q30" i="185"/>
  <c r="R30" i="185"/>
  <c r="U30" i="185"/>
  <c r="AD30" i="185"/>
  <c r="B31" i="185"/>
  <c r="D31" i="185"/>
  <c r="E31" i="185"/>
  <c r="F31" i="185"/>
  <c r="G31" i="185"/>
  <c r="H31" i="185"/>
  <c r="K31" i="185"/>
  <c r="N31" i="185"/>
  <c r="O31" i="185"/>
  <c r="P31" i="185"/>
  <c r="Q31" i="185"/>
  <c r="R31" i="185"/>
  <c r="U31" i="185"/>
  <c r="AD31" i="185"/>
  <c r="B32" i="185"/>
  <c r="D32" i="185"/>
  <c r="E32" i="185"/>
  <c r="F32" i="185"/>
  <c r="G32" i="185"/>
  <c r="H32" i="185"/>
  <c r="K32" i="185"/>
  <c r="N32" i="185"/>
  <c r="O32" i="185"/>
  <c r="P32" i="185"/>
  <c r="Q32" i="185"/>
  <c r="R32" i="185"/>
  <c r="U32" i="185"/>
  <c r="AD32" i="185"/>
  <c r="B33" i="185"/>
  <c r="D33" i="185"/>
  <c r="E33" i="185"/>
  <c r="F33" i="185"/>
  <c r="G33" i="185"/>
  <c r="H33" i="185"/>
  <c r="K33" i="185"/>
  <c r="N33" i="185"/>
  <c r="O33" i="185"/>
  <c r="P33" i="185"/>
  <c r="Q33" i="185"/>
  <c r="R33" i="185"/>
  <c r="U33" i="185"/>
  <c r="AD33" i="185"/>
  <c r="B34" i="185"/>
  <c r="D34" i="185"/>
  <c r="E34" i="185"/>
  <c r="F34" i="185"/>
  <c r="G34" i="185"/>
  <c r="H34" i="185"/>
  <c r="K34" i="185"/>
  <c r="N34" i="185"/>
  <c r="O34" i="185"/>
  <c r="P34" i="185"/>
  <c r="Q34" i="185"/>
  <c r="R34" i="185"/>
  <c r="U34" i="185"/>
  <c r="AD34" i="185"/>
  <c r="B35" i="185"/>
  <c r="D35" i="185"/>
  <c r="E35" i="185"/>
  <c r="F35" i="185"/>
  <c r="G35" i="185"/>
  <c r="H35" i="185"/>
  <c r="K35" i="185"/>
  <c r="N35" i="185"/>
  <c r="O35" i="185"/>
  <c r="P35" i="185"/>
  <c r="Q35" i="185"/>
  <c r="R35" i="185"/>
  <c r="U35" i="185"/>
  <c r="AD35" i="185"/>
  <c r="B36" i="185"/>
  <c r="D36" i="185"/>
  <c r="E36" i="185"/>
  <c r="F36" i="185"/>
  <c r="G36" i="185"/>
  <c r="H36" i="185"/>
  <c r="K36" i="185"/>
  <c r="N36" i="185"/>
  <c r="O36" i="185"/>
  <c r="P36" i="185"/>
  <c r="Q36" i="185"/>
  <c r="R36" i="185"/>
  <c r="U36" i="185"/>
  <c r="AD36" i="185"/>
  <c r="B37" i="185"/>
  <c r="D37" i="185"/>
  <c r="E37" i="185"/>
  <c r="F37" i="185"/>
  <c r="G37" i="185"/>
  <c r="H37" i="185"/>
  <c r="K37" i="185"/>
  <c r="N37" i="185"/>
  <c r="O37" i="185"/>
  <c r="P37" i="185"/>
  <c r="Q37" i="185"/>
  <c r="R37" i="185"/>
  <c r="U37" i="185"/>
  <c r="AD37" i="185"/>
  <c r="B38" i="185"/>
  <c r="D38" i="185"/>
  <c r="E38" i="185"/>
  <c r="F38" i="185"/>
  <c r="G38" i="185"/>
  <c r="H38" i="185"/>
  <c r="K38" i="185"/>
  <c r="N38" i="185"/>
  <c r="O38" i="185"/>
  <c r="P38" i="185"/>
  <c r="Q38" i="185"/>
  <c r="R38" i="185"/>
  <c r="U38" i="185"/>
  <c r="AD38" i="185"/>
  <c r="B39" i="185"/>
  <c r="D39" i="185"/>
  <c r="E39" i="185"/>
  <c r="F39" i="185"/>
  <c r="G39" i="185"/>
  <c r="H39" i="185"/>
  <c r="K39" i="185"/>
  <c r="N39" i="185"/>
  <c r="O39" i="185"/>
  <c r="P39" i="185"/>
  <c r="Q39" i="185"/>
  <c r="R39" i="185"/>
  <c r="U39" i="185"/>
  <c r="AD39" i="185"/>
  <c r="B40" i="185"/>
  <c r="D40" i="185"/>
  <c r="E40" i="185"/>
  <c r="F40" i="185"/>
  <c r="G40" i="185"/>
  <c r="H40" i="185"/>
  <c r="K40" i="185"/>
  <c r="N40" i="185"/>
  <c r="O40" i="185"/>
  <c r="P40" i="185"/>
  <c r="Q40" i="185"/>
  <c r="R40" i="185"/>
  <c r="U40" i="185"/>
  <c r="AD40" i="185"/>
  <c r="B41" i="185"/>
  <c r="D41" i="185"/>
  <c r="E41" i="185"/>
  <c r="F41" i="185"/>
  <c r="G41" i="185"/>
  <c r="H41" i="185"/>
  <c r="K41" i="185"/>
  <c r="N41" i="185"/>
  <c r="O41" i="185"/>
  <c r="P41" i="185"/>
  <c r="Q41" i="185"/>
  <c r="R41" i="185"/>
  <c r="U41" i="185"/>
  <c r="AD41" i="185"/>
  <c r="B42" i="185"/>
  <c r="D42" i="185"/>
  <c r="E42" i="185"/>
  <c r="F42" i="185"/>
  <c r="G42" i="185"/>
  <c r="H42" i="185"/>
  <c r="K42" i="185"/>
  <c r="N42" i="185"/>
  <c r="O42" i="185"/>
  <c r="P42" i="185"/>
  <c r="Q42" i="185"/>
  <c r="R42" i="185"/>
  <c r="U42" i="185"/>
  <c r="AD42" i="185"/>
  <c r="B43" i="185"/>
  <c r="D43" i="185"/>
  <c r="E43" i="185"/>
  <c r="F43" i="185"/>
  <c r="G43" i="185"/>
  <c r="H43" i="185"/>
  <c r="K43" i="185"/>
  <c r="N43" i="185"/>
  <c r="O43" i="185"/>
  <c r="P43" i="185"/>
  <c r="Q43" i="185"/>
  <c r="R43" i="185"/>
  <c r="U43" i="185"/>
  <c r="AD43" i="185"/>
  <c r="B2" i="245"/>
  <c r="B2" i="244"/>
  <c r="B27" i="244" s="1"/>
  <c r="B29" i="244" s="1"/>
  <c r="AB3" i="244"/>
  <c r="Y4" i="244"/>
  <c r="AB4" i="244"/>
  <c r="AB5" i="244"/>
  <c r="N6" i="244"/>
  <c r="M10" i="244"/>
  <c r="M11" i="244"/>
  <c r="M12" i="244"/>
  <c r="M13" i="244"/>
  <c r="M14" i="244"/>
  <c r="M27" i="244"/>
  <c r="M29" i="244" s="1"/>
  <c r="S27" i="244"/>
  <c r="S29" i="244"/>
  <c r="B2" i="243"/>
  <c r="G31" i="243"/>
  <c r="G42" i="243" s="1"/>
  <c r="G27" i="243"/>
  <c r="G40" i="243"/>
  <c r="G43" i="243"/>
  <c r="G44" i="243"/>
  <c r="G45" i="243"/>
  <c r="B2" i="242"/>
  <c r="F12" i="242"/>
  <c r="B2" i="241"/>
  <c r="D9" i="241"/>
  <c r="D11" i="241"/>
  <c r="E15" i="241"/>
  <c r="E50" i="241" s="1"/>
  <c r="N18" i="241"/>
  <c r="B19" i="241"/>
  <c r="B20" i="241"/>
  <c r="B34" i="241" s="1"/>
  <c r="B21" i="241"/>
  <c r="B35" i="241" s="1"/>
  <c r="J23" i="241"/>
  <c r="N25" i="241"/>
  <c r="B26" i="241"/>
  <c r="B27" i="241"/>
  <c r="B28" i="241"/>
  <c r="J30" i="241"/>
  <c r="N32" i="241"/>
  <c r="B36" i="241"/>
  <c r="B18" i="245" s="1"/>
  <c r="N36" i="241"/>
  <c r="B37" i="241"/>
  <c r="B19" i="245" s="1"/>
  <c r="D50" i="241"/>
  <c r="D66" i="241"/>
  <c r="D88" i="241"/>
  <c r="D102" i="241" s="1"/>
  <c r="D111" i="241" s="1"/>
  <c r="B15" i="242"/>
  <c r="B2" i="236"/>
  <c r="F4" i="236"/>
  <c r="A51" i="236"/>
  <c r="B2" i="232"/>
  <c r="D9" i="152"/>
  <c r="D13" i="152"/>
  <c r="D15" i="152"/>
  <c r="B2" i="234"/>
  <c r="O4" i="234"/>
  <c r="J12" i="234"/>
  <c r="M12" i="234" s="1"/>
  <c r="X12" i="234"/>
  <c r="Y12" i="234"/>
  <c r="AA12" i="234"/>
  <c r="AC12" i="234"/>
  <c r="J13" i="234"/>
  <c r="M13" i="234" s="1"/>
  <c r="O13" i="234" s="1"/>
  <c r="X13" i="234"/>
  <c r="Y13" i="234"/>
  <c r="AA13" i="234"/>
  <c r="AC13" i="234"/>
  <c r="J14" i="234"/>
  <c r="M14" i="234" s="1"/>
  <c r="O14" i="234" s="1"/>
  <c r="X14" i="234"/>
  <c r="Y14" i="234"/>
  <c r="AA14" i="234"/>
  <c r="AC14" i="234"/>
  <c r="J15" i="234"/>
  <c r="M15" i="234" s="1"/>
  <c r="O15" i="234" s="1"/>
  <c r="X15" i="234"/>
  <c r="Y15" i="234"/>
  <c r="AA15" i="234"/>
  <c r="AC15" i="234"/>
  <c r="K16" i="234"/>
  <c r="J16" i="234" s="1"/>
  <c r="M16" i="234" s="1"/>
  <c r="O16" i="234" s="1"/>
  <c r="X16" i="234"/>
  <c r="Y16" i="234"/>
  <c r="AA16" i="234"/>
  <c r="AC16" i="234"/>
  <c r="J17" i="234"/>
  <c r="M17" i="234" s="1"/>
  <c r="O17" i="234" s="1"/>
  <c r="X17" i="234"/>
  <c r="Y17" i="234"/>
  <c r="AA17" i="234"/>
  <c r="AC17" i="234"/>
  <c r="J18" i="234"/>
  <c r="M18" i="234" s="1"/>
  <c r="O18" i="234" s="1"/>
  <c r="X18" i="234"/>
  <c r="Y18" i="234"/>
  <c r="AA18" i="234"/>
  <c r="AC18" i="234"/>
  <c r="J19" i="234"/>
  <c r="AA19" i="234" s="1"/>
  <c r="X19" i="234"/>
  <c r="Y19" i="234"/>
  <c r="AC19" i="234"/>
  <c r="J20" i="234"/>
  <c r="AA20" i="234" s="1"/>
  <c r="X20" i="234"/>
  <c r="Y20" i="234"/>
  <c r="AC20" i="234"/>
  <c r="J21" i="234"/>
  <c r="AA21" i="234" s="1"/>
  <c r="X21" i="234"/>
  <c r="Y21" i="234"/>
  <c r="AC21" i="234"/>
  <c r="J22" i="234"/>
  <c r="M22" i="234" s="1"/>
  <c r="O22" i="234" s="1"/>
  <c r="U22" i="234"/>
  <c r="V22" i="234"/>
  <c r="X22" i="234"/>
  <c r="Y22" i="234"/>
  <c r="J23" i="234"/>
  <c r="M23" i="234" s="1"/>
  <c r="O23" i="234" s="1"/>
  <c r="X23" i="234"/>
  <c r="Y23" i="234"/>
  <c r="AC23" i="234"/>
  <c r="J24" i="234"/>
  <c r="AA24" i="234" s="1"/>
  <c r="X24" i="234"/>
  <c r="Y24" i="234"/>
  <c r="AC24" i="234"/>
  <c r="J25" i="234"/>
  <c r="AA25" i="234" s="1"/>
  <c r="X25" i="234"/>
  <c r="Y25" i="234"/>
  <c r="AC25" i="234"/>
  <c r="J26" i="234"/>
  <c r="M26" i="234" s="1"/>
  <c r="O26" i="234" s="1"/>
  <c r="X26" i="234"/>
  <c r="Y26" i="234"/>
  <c r="AC26" i="234"/>
  <c r="J27" i="234"/>
  <c r="M27" i="234" s="1"/>
  <c r="O27" i="234" s="1"/>
  <c r="X27" i="234"/>
  <c r="Y27" i="234"/>
  <c r="AC27" i="234"/>
  <c r="J28" i="234"/>
  <c r="M28" i="234" s="1"/>
  <c r="O28" i="234" s="1"/>
  <c r="X28" i="234"/>
  <c r="Y28" i="234"/>
  <c r="AC28" i="234"/>
  <c r="J29" i="234"/>
  <c r="M29" i="234" s="1"/>
  <c r="O29" i="234" s="1"/>
  <c r="U29" i="234"/>
  <c r="V29" i="234"/>
  <c r="X29" i="234"/>
  <c r="Y29" i="234"/>
  <c r="J30" i="234"/>
  <c r="M30" i="234" s="1"/>
  <c r="O30" i="234" s="1"/>
  <c r="X30" i="234"/>
  <c r="Y30" i="234"/>
  <c r="AC30" i="234"/>
  <c r="J31" i="234"/>
  <c r="M31" i="234" s="1"/>
  <c r="O31" i="234" s="1"/>
  <c r="X31" i="234"/>
  <c r="Y31" i="234"/>
  <c r="AC31" i="234"/>
  <c r="J32" i="234"/>
  <c r="M32" i="234" s="1"/>
  <c r="O32" i="234" s="1"/>
  <c r="X32" i="234"/>
  <c r="Y32" i="234"/>
  <c r="AC32" i="234"/>
  <c r="J33" i="234"/>
  <c r="M33" i="234" s="1"/>
  <c r="O33" i="234" s="1"/>
  <c r="X33" i="234"/>
  <c r="Y33" i="234"/>
  <c r="AC33" i="234"/>
  <c r="J34" i="234"/>
  <c r="M34" i="234" s="1"/>
  <c r="O34" i="234" s="1"/>
  <c r="X34" i="234"/>
  <c r="Y34" i="234"/>
  <c r="AC34" i="234"/>
  <c r="J35" i="234"/>
  <c r="M35" i="234" s="1"/>
  <c r="O35" i="234" s="1"/>
  <c r="U35" i="234"/>
  <c r="V35" i="234"/>
  <c r="X35" i="234"/>
  <c r="Y35" i="234"/>
  <c r="J36" i="234"/>
  <c r="M36" i="234" s="1"/>
  <c r="O36" i="234" s="1"/>
  <c r="U36" i="234"/>
  <c r="V36" i="234"/>
  <c r="X36" i="234"/>
  <c r="Y36" i="234"/>
  <c r="J37" i="234"/>
  <c r="M37" i="234" s="1"/>
  <c r="O37" i="234" s="1"/>
  <c r="X37" i="234"/>
  <c r="Y37" i="234"/>
  <c r="AC37" i="234"/>
  <c r="J38" i="234"/>
  <c r="M38" i="234" s="1"/>
  <c r="O38" i="234" s="1"/>
  <c r="X38" i="234"/>
  <c r="Y38" i="234"/>
  <c r="AC38" i="234"/>
  <c r="J39" i="234"/>
  <c r="M39" i="234" s="1"/>
  <c r="O39" i="234" s="1"/>
  <c r="X39" i="234"/>
  <c r="Y39" i="234"/>
  <c r="AC39" i="234"/>
  <c r="J40" i="234"/>
  <c r="M40" i="234" s="1"/>
  <c r="O40" i="234" s="1"/>
  <c r="X40" i="234"/>
  <c r="Y40" i="234"/>
  <c r="AC40" i="234"/>
  <c r="P42" i="234"/>
  <c r="Q42" i="234"/>
  <c r="W42" i="234"/>
  <c r="P43" i="234"/>
  <c r="Q43" i="234"/>
  <c r="W43" i="234"/>
  <c r="P44" i="234"/>
  <c r="Q44" i="234"/>
  <c r="W44" i="234"/>
  <c r="P45" i="234"/>
  <c r="Q45" i="234"/>
  <c r="W45" i="234"/>
  <c r="P46" i="234"/>
  <c r="Q46" i="234"/>
  <c r="W46" i="234"/>
  <c r="P47" i="234"/>
  <c r="Q47" i="234"/>
  <c r="W47" i="234"/>
  <c r="B2" i="233"/>
  <c r="P4" i="233"/>
  <c r="B2" i="217"/>
  <c r="K4" i="217"/>
  <c r="K9" i="217"/>
  <c r="K10" i="217"/>
  <c r="K11" i="217"/>
  <c r="K12" i="217"/>
  <c r="K13" i="217"/>
  <c r="K14" i="217"/>
  <c r="K15" i="217"/>
  <c r="K16" i="217"/>
  <c r="K17" i="217"/>
  <c r="K18" i="217"/>
  <c r="K19" i="217"/>
  <c r="K20" i="217"/>
  <c r="K21" i="217"/>
  <c r="K22" i="217"/>
  <c r="K23" i="217"/>
  <c r="K24" i="217"/>
  <c r="K25" i="217"/>
  <c r="K26" i="217"/>
  <c r="K27" i="217"/>
  <c r="K28" i="217"/>
  <c r="K29" i="217"/>
  <c r="K30" i="217"/>
  <c r="K31" i="217"/>
  <c r="K32" i="217"/>
  <c r="K33" i="217"/>
  <c r="K34" i="217"/>
  <c r="K35" i="217"/>
  <c r="K36" i="217"/>
  <c r="K37" i="217"/>
  <c r="K38" i="217"/>
  <c r="K39" i="217"/>
  <c r="K40" i="217"/>
  <c r="K41" i="217"/>
  <c r="K42" i="217"/>
  <c r="K43" i="217"/>
  <c r="K44" i="217"/>
  <c r="K45" i="217"/>
  <c r="K48" i="217"/>
  <c r="K49" i="217"/>
  <c r="K50" i="217"/>
  <c r="K51" i="217"/>
  <c r="K52" i="217"/>
  <c r="K53" i="217"/>
  <c r="K54" i="217"/>
  <c r="K55" i="217"/>
  <c r="K56" i="217"/>
  <c r="K57" i="217"/>
  <c r="K58" i="217"/>
  <c r="K59" i="217"/>
  <c r="K62" i="217"/>
  <c r="K63" i="217"/>
  <c r="K64" i="217"/>
  <c r="K65" i="217"/>
  <c r="K66" i="217"/>
  <c r="K67" i="217"/>
  <c r="K68" i="217"/>
  <c r="K69" i="217"/>
  <c r="K70" i="217"/>
  <c r="K71" i="217"/>
  <c r="K72" i="217"/>
  <c r="K73" i="217"/>
  <c r="K74" i="217"/>
  <c r="K75" i="217"/>
  <c r="K76" i="217"/>
  <c r="K77" i="217"/>
  <c r="K78" i="217"/>
  <c r="K79" i="217"/>
  <c r="K80" i="217"/>
  <c r="K81" i="217"/>
  <c r="K82" i="217"/>
  <c r="K83" i="217"/>
  <c r="K84" i="217"/>
  <c r="K85" i="217"/>
  <c r="K86" i="217"/>
  <c r="K87" i="217"/>
  <c r="K88" i="217"/>
  <c r="K89" i="217"/>
  <c r="K90" i="217"/>
  <c r="K93" i="217"/>
  <c r="K94" i="217"/>
  <c r="K95" i="217"/>
  <c r="K96" i="217"/>
  <c r="K97" i="217"/>
  <c r="K98" i="217"/>
  <c r="K99" i="217"/>
  <c r="K100" i="217"/>
  <c r="K101" i="217"/>
  <c r="K102" i="217"/>
  <c r="K103" i="217"/>
  <c r="K104" i="217"/>
  <c r="K105" i="217"/>
  <c r="K106" i="217"/>
  <c r="K107" i="217"/>
  <c r="K108" i="217"/>
  <c r="K109" i="217"/>
  <c r="K110" i="217"/>
  <c r="K111" i="217"/>
  <c r="H114" i="217"/>
  <c r="K114" i="217" s="1"/>
  <c r="K115" i="217"/>
  <c r="K116" i="217"/>
  <c r="K117" i="217"/>
  <c r="K118" i="217"/>
  <c r="K119" i="217"/>
  <c r="K120" i="217"/>
  <c r="K121" i="217"/>
  <c r="K124" i="217"/>
  <c r="K125" i="217"/>
  <c r="K126" i="217"/>
  <c r="K127" i="217"/>
  <c r="K128" i="217"/>
  <c r="K129" i="217"/>
  <c r="K130" i="217"/>
  <c r="K131" i="217"/>
  <c r="K132" i="217"/>
  <c r="K133" i="217"/>
  <c r="K134" i="217"/>
  <c r="K135" i="217"/>
  <c r="K136" i="217"/>
  <c r="K137" i="217"/>
  <c r="I139" i="217"/>
  <c r="I140" i="217"/>
  <c r="H141" i="217"/>
  <c r="I141" i="217"/>
  <c r="I142" i="217"/>
  <c r="I143" i="217"/>
  <c r="I144" i="217"/>
  <c r="B2" i="14"/>
  <c r="I4" i="14"/>
  <c r="L4" i="14"/>
  <c r="D40" i="14" s="1"/>
  <c r="I5" i="14"/>
  <c r="B9" i="14"/>
  <c r="D9" i="14"/>
  <c r="I10" i="14" s="1"/>
  <c r="E9" i="14"/>
  <c r="G9" i="14"/>
  <c r="B10" i="14"/>
  <c r="D10" i="14"/>
  <c r="J9" i="14" s="1"/>
  <c r="E10" i="14"/>
  <c r="G10" i="14"/>
  <c r="B11" i="14"/>
  <c r="D11" i="14"/>
  <c r="J10" i="14" s="1"/>
  <c r="E11" i="14"/>
  <c r="G11" i="14"/>
  <c r="B12" i="14"/>
  <c r="D12" i="14"/>
  <c r="J11" i="14" s="1"/>
  <c r="E12" i="14"/>
  <c r="G12" i="14"/>
  <c r="B13" i="14"/>
  <c r="D13" i="14"/>
  <c r="J12" i="14" s="1"/>
  <c r="E13" i="14"/>
  <c r="G13" i="14"/>
  <c r="B14" i="14"/>
  <c r="D14" i="14"/>
  <c r="J13" i="14" s="1"/>
  <c r="E14" i="14"/>
  <c r="G14" i="14"/>
  <c r="B15" i="14"/>
  <c r="D15" i="14"/>
  <c r="J14" i="14" s="1"/>
  <c r="E15" i="14"/>
  <c r="G15" i="14"/>
  <c r="B16" i="14"/>
  <c r="D16" i="14"/>
  <c r="J15" i="14" s="1"/>
  <c r="E16" i="14"/>
  <c r="G16" i="14"/>
  <c r="B17" i="14"/>
  <c r="D17" i="14"/>
  <c r="J16" i="14" s="1"/>
  <c r="E17" i="14"/>
  <c r="G17" i="14"/>
  <c r="B18" i="14"/>
  <c r="D18" i="14"/>
  <c r="J17" i="14" s="1"/>
  <c r="E18" i="14"/>
  <c r="H30" i="39" s="1"/>
  <c r="G18" i="14"/>
  <c r="B19" i="14"/>
  <c r="D19" i="14"/>
  <c r="J18" i="14" s="1"/>
  <c r="E19" i="14"/>
  <c r="G19" i="14"/>
  <c r="B2" i="13"/>
  <c r="N6" i="13"/>
  <c r="G23" i="13"/>
  <c r="O10" i="13"/>
  <c r="O11" i="13"/>
  <c r="O12" i="13"/>
  <c r="O13" i="13"/>
  <c r="O14" i="13"/>
  <c r="G25" i="13"/>
  <c r="B2" i="251"/>
  <c r="AB3" i="251"/>
  <c r="B4" i="251"/>
  <c r="Y4" i="251"/>
  <c r="AB4" i="251"/>
  <c r="AB5" i="251"/>
  <c r="M10" i="251"/>
  <c r="M11" i="251"/>
  <c r="M12" i="251"/>
  <c r="M13" i="251"/>
  <c r="M14" i="251"/>
  <c r="M15" i="251"/>
  <c r="M16" i="251"/>
  <c r="M17" i="251"/>
  <c r="M18" i="251"/>
  <c r="M19" i="251"/>
  <c r="M20" i="251"/>
  <c r="M21" i="251"/>
  <c r="M22" i="251"/>
  <c r="M23" i="251"/>
  <c r="M24" i="251"/>
  <c r="M25" i="251"/>
  <c r="M26" i="251"/>
  <c r="M27" i="251"/>
  <c r="M28" i="251"/>
  <c r="M29" i="251"/>
  <c r="M30" i="251"/>
  <c r="M31" i="251"/>
  <c r="M32" i="251"/>
  <c r="M33" i="251"/>
  <c r="M34" i="251"/>
  <c r="M35" i="251"/>
  <c r="M36" i="251"/>
  <c r="M37" i="251"/>
  <c r="M38" i="251"/>
  <c r="M39" i="251"/>
  <c r="B48" i="251"/>
  <c r="B50" i="251" s="1"/>
  <c r="Y50" i="251" s="1"/>
  <c r="AB42" i="251" s="1"/>
  <c r="M48" i="251"/>
  <c r="M50" i="251" s="1"/>
  <c r="S48" i="251"/>
  <c r="S50" i="251"/>
  <c r="B2" i="250"/>
  <c r="B48" i="250" s="1"/>
  <c r="B50" i="250" s="1"/>
  <c r="Y50" i="250" s="1"/>
  <c r="AB42" i="250" s="1"/>
  <c r="AB3" i="250"/>
  <c r="B4" i="250"/>
  <c r="Y4" i="250"/>
  <c r="AB4" i="250"/>
  <c r="AB5" i="250"/>
  <c r="M10" i="250"/>
  <c r="M11" i="250"/>
  <c r="M12" i="250"/>
  <c r="M13" i="250"/>
  <c r="M14" i="250"/>
  <c r="M15" i="250"/>
  <c r="M16" i="250"/>
  <c r="M17" i="250"/>
  <c r="M18" i="250"/>
  <c r="M19" i="250"/>
  <c r="M20" i="250"/>
  <c r="M21" i="250"/>
  <c r="M22" i="250"/>
  <c r="M23" i="250"/>
  <c r="M24" i="250"/>
  <c r="M25" i="250"/>
  <c r="M26" i="250"/>
  <c r="M27" i="250"/>
  <c r="M28" i="250"/>
  <c r="M29" i="250"/>
  <c r="M30" i="250"/>
  <c r="M31" i="250"/>
  <c r="M32" i="250"/>
  <c r="M33" i="250"/>
  <c r="M34" i="250"/>
  <c r="M35" i="250"/>
  <c r="M36" i="250"/>
  <c r="M37" i="250"/>
  <c r="M38" i="250"/>
  <c r="M39" i="250"/>
  <c r="M48" i="250"/>
  <c r="M50" i="250" s="1"/>
  <c r="S48" i="250"/>
  <c r="S50" i="250"/>
  <c r="B2" i="249"/>
  <c r="B27" i="249" s="1"/>
  <c r="B29" i="249" s="1"/>
  <c r="AB3" i="249"/>
  <c r="Y4" i="249"/>
  <c r="AB4" i="249"/>
  <c r="AB5" i="249"/>
  <c r="M10" i="249"/>
  <c r="M11" i="249"/>
  <c r="M12" i="249"/>
  <c r="M13" i="249"/>
  <c r="M14" i="249"/>
  <c r="M29" i="249"/>
  <c r="S27" i="249"/>
  <c r="S29" i="249"/>
  <c r="B2" i="256"/>
  <c r="B27" i="256" s="1"/>
  <c r="B29" i="256" s="1"/>
  <c r="Y29" i="256" s="1"/>
  <c r="AB21" i="256" s="1"/>
  <c r="AB3" i="256"/>
  <c r="B4" i="256"/>
  <c r="Y4" i="256"/>
  <c r="AB4" i="256"/>
  <c r="AB5" i="256"/>
  <c r="M10" i="256"/>
  <c r="M11" i="256"/>
  <c r="M12" i="256"/>
  <c r="M13" i="256"/>
  <c r="M14" i="256"/>
  <c r="M15" i="256"/>
  <c r="M16" i="256"/>
  <c r="M17" i="256"/>
  <c r="M18" i="256"/>
  <c r="M27" i="256"/>
  <c r="M29" i="256" s="1"/>
  <c r="S27" i="256"/>
  <c r="S29" i="256"/>
  <c r="B2" i="257"/>
  <c r="B27" i="257" s="1"/>
  <c r="B29" i="257" s="1"/>
  <c r="AB3" i="257"/>
  <c r="Y4" i="257"/>
  <c r="AB4" i="257"/>
  <c r="AB5" i="257"/>
  <c r="M10" i="257"/>
  <c r="M11" i="257"/>
  <c r="M12" i="257"/>
  <c r="M13" i="257"/>
  <c r="M14" i="257"/>
  <c r="M27" i="257"/>
  <c r="M29" i="257" s="1"/>
  <c r="S27" i="257"/>
  <c r="S29" i="257"/>
  <c r="B2" i="12"/>
  <c r="B27" i="12" s="1"/>
  <c r="B29" i="12" s="1"/>
  <c r="AB3" i="12"/>
  <c r="Y4" i="12"/>
  <c r="AB4" i="12"/>
  <c r="AB5" i="12"/>
  <c r="N6" i="12"/>
  <c r="M10" i="12"/>
  <c r="M11" i="12"/>
  <c r="M12" i="12"/>
  <c r="M13" i="12"/>
  <c r="M14" i="12"/>
  <c r="M27" i="12"/>
  <c r="M29" i="12" s="1"/>
  <c r="S27" i="12"/>
  <c r="S29" i="12"/>
  <c r="B2" i="11"/>
  <c r="D8" i="11"/>
  <c r="D12" i="11"/>
  <c r="D39" i="11" s="1"/>
  <c r="D32" i="11"/>
  <c r="F32" i="11"/>
  <c r="A71" i="11" s="1"/>
  <c r="D42" i="11"/>
  <c r="D43" i="11"/>
  <c r="D44" i="11"/>
  <c r="B2" i="64"/>
  <c r="J4" i="64"/>
  <c r="D14" i="64"/>
  <c r="D17" i="64" s="1"/>
  <c r="E14" i="64"/>
  <c r="E17" i="64" s="1"/>
  <c r="F14" i="64"/>
  <c r="F17" i="64" s="1"/>
  <c r="F39" i="64" s="1"/>
  <c r="G14" i="64"/>
  <c r="G17" i="64" s="1"/>
  <c r="H14" i="64"/>
  <c r="H17" i="64" s="1"/>
  <c r="I14" i="64"/>
  <c r="J14" i="64"/>
  <c r="D26" i="64"/>
  <c r="D31" i="64" s="1"/>
  <c r="E26" i="64"/>
  <c r="E31" i="64" s="1"/>
  <c r="E32" i="64" s="1"/>
  <c r="F26" i="64"/>
  <c r="F31" i="64" s="1"/>
  <c r="F32" i="64" s="1"/>
  <c r="G26" i="64"/>
  <c r="G31" i="64" s="1"/>
  <c r="G32" i="64" s="1"/>
  <c r="H26" i="64"/>
  <c r="H31" i="64" s="1"/>
  <c r="H32" i="64" s="1"/>
  <c r="I26" i="64"/>
  <c r="I31" i="64" s="1"/>
  <c r="I32" i="64" s="1"/>
  <c r="P20" i="52" s="1"/>
  <c r="J26" i="64"/>
  <c r="J31" i="64" s="1"/>
  <c r="J32" i="64" s="1"/>
  <c r="P21" i="52" s="1"/>
  <c r="B2" i="63"/>
  <c r="M4" i="63"/>
  <c r="F11" i="63"/>
  <c r="E23" i="236" s="1"/>
  <c r="D11" i="63"/>
  <c r="G70" i="73" s="1"/>
  <c r="M15" i="63"/>
  <c r="D27" i="63"/>
  <c r="B2" i="59"/>
  <c r="D8" i="59"/>
  <c r="D9" i="59"/>
  <c r="D10" i="59"/>
  <c r="D11" i="59"/>
  <c r="D12" i="59"/>
  <c r="D13" i="59"/>
  <c r="D14" i="59"/>
  <c r="D15" i="59"/>
  <c r="D16" i="59"/>
  <c r="D17" i="59"/>
  <c r="D18" i="59"/>
  <c r="D19" i="59"/>
  <c r="D20" i="59"/>
  <c r="D21" i="59"/>
  <c r="D22" i="59"/>
  <c r="D23" i="59"/>
  <c r="D24" i="59"/>
  <c r="D25" i="59"/>
  <c r="D26" i="59"/>
  <c r="D27" i="59"/>
  <c r="B2" i="57"/>
  <c r="AM3" i="57"/>
  <c r="AO3" i="57"/>
  <c r="AQ3" i="57"/>
  <c r="AJ4" i="57"/>
  <c r="AM4" i="57"/>
  <c r="AO4" i="57"/>
  <c r="AQ4" i="57"/>
  <c r="AM5" i="57"/>
  <c r="AO5" i="57"/>
  <c r="AQ5" i="57"/>
  <c r="B9" i="57"/>
  <c r="C9" i="57"/>
  <c r="D9" i="57"/>
  <c r="B8" i="59" s="1"/>
  <c r="E9" i="57"/>
  <c r="F9" i="57"/>
  <c r="G9" i="57"/>
  <c r="L9" i="57"/>
  <c r="Q9" i="57"/>
  <c r="R9" i="57"/>
  <c r="S9" i="57"/>
  <c r="X9" i="57"/>
  <c r="Y9" i="57"/>
  <c r="AA9" i="57"/>
  <c r="AB9" i="57"/>
  <c r="AC9" i="57"/>
  <c r="AG9" i="57"/>
  <c r="AI9" i="57"/>
  <c r="AJ9" i="57"/>
  <c r="B10" i="57"/>
  <c r="C10" i="57"/>
  <c r="D10" i="57"/>
  <c r="B9" i="59" s="1"/>
  <c r="E10" i="57"/>
  <c r="F10" i="57"/>
  <c r="G10" i="57"/>
  <c r="L10" i="57"/>
  <c r="Q10" i="57"/>
  <c r="R10" i="57"/>
  <c r="S10" i="57"/>
  <c r="X10" i="57"/>
  <c r="Y10" i="57"/>
  <c r="AA10" i="57"/>
  <c r="AB10" i="57"/>
  <c r="AC10" i="57"/>
  <c r="AG10" i="57"/>
  <c r="AI10" i="57"/>
  <c r="AJ10" i="57"/>
  <c r="B11" i="57"/>
  <c r="C11" i="57"/>
  <c r="D11" i="57"/>
  <c r="B10" i="59" s="1"/>
  <c r="E11" i="57"/>
  <c r="F11" i="57"/>
  <c r="G11" i="57"/>
  <c r="L11" i="57"/>
  <c r="Q11" i="57"/>
  <c r="R11" i="57"/>
  <c r="S11" i="57"/>
  <c r="X11" i="57"/>
  <c r="Y11" i="57"/>
  <c r="AA11" i="57"/>
  <c r="AB11" i="57"/>
  <c r="AC11" i="57"/>
  <c r="AG11" i="57"/>
  <c r="AI11" i="57"/>
  <c r="AJ11" i="57"/>
  <c r="B12" i="57"/>
  <c r="C12" i="57"/>
  <c r="D12" i="57"/>
  <c r="B11" i="59" s="1"/>
  <c r="E12" i="57"/>
  <c r="F12" i="57"/>
  <c r="G12" i="57"/>
  <c r="L12" i="57"/>
  <c r="Q12" i="57"/>
  <c r="R12" i="57"/>
  <c r="S12" i="57"/>
  <c r="X12" i="57"/>
  <c r="Y12" i="57"/>
  <c r="AA12" i="57"/>
  <c r="AB12" i="57"/>
  <c r="AC12" i="57"/>
  <c r="AG12" i="57"/>
  <c r="AI12" i="57"/>
  <c r="AJ12" i="57"/>
  <c r="B13" i="57"/>
  <c r="C13" i="57"/>
  <c r="D13" i="57"/>
  <c r="B12" i="59" s="1"/>
  <c r="E13" i="57"/>
  <c r="F13" i="57"/>
  <c r="G13" i="57"/>
  <c r="L13" i="57"/>
  <c r="Q13" i="57"/>
  <c r="R13" i="57"/>
  <c r="S13" i="57"/>
  <c r="X13" i="57"/>
  <c r="Y13" i="57"/>
  <c r="AA13" i="57"/>
  <c r="AB13" i="57"/>
  <c r="AC13" i="57"/>
  <c r="AG13" i="57"/>
  <c r="AI13" i="57"/>
  <c r="AJ13" i="57"/>
  <c r="B14" i="57"/>
  <c r="C14" i="57"/>
  <c r="D14" i="57"/>
  <c r="B13" i="59" s="1"/>
  <c r="E14" i="57"/>
  <c r="F14" i="57"/>
  <c r="G14" i="57"/>
  <c r="L14" i="57"/>
  <c r="Q14" i="57"/>
  <c r="R14" i="57"/>
  <c r="S14" i="57"/>
  <c r="X14" i="57"/>
  <c r="Y14" i="57"/>
  <c r="AA14" i="57"/>
  <c r="AB14" i="57"/>
  <c r="AC14" i="57"/>
  <c r="AG14" i="57"/>
  <c r="AI14" i="57"/>
  <c r="AJ14" i="57"/>
  <c r="B15" i="57"/>
  <c r="C15" i="57"/>
  <c r="D15" i="57"/>
  <c r="B14" i="59" s="1"/>
  <c r="E15" i="57"/>
  <c r="F15" i="57"/>
  <c r="G15" i="57"/>
  <c r="L15" i="57"/>
  <c r="Q15" i="57"/>
  <c r="R15" i="57"/>
  <c r="S15" i="57"/>
  <c r="X15" i="57"/>
  <c r="Y15" i="57"/>
  <c r="AA15" i="57"/>
  <c r="AB15" i="57"/>
  <c r="AC15" i="57"/>
  <c r="AG15" i="57"/>
  <c r="AI15" i="57"/>
  <c r="AJ15" i="57"/>
  <c r="B16" i="57"/>
  <c r="C16" i="57"/>
  <c r="D16" i="57"/>
  <c r="B15" i="59" s="1"/>
  <c r="E16" i="57"/>
  <c r="F16" i="57"/>
  <c r="G16" i="57"/>
  <c r="L16" i="57"/>
  <c r="Q16" i="57"/>
  <c r="R16" i="57"/>
  <c r="S16" i="57"/>
  <c r="X16" i="57"/>
  <c r="Y16" i="57"/>
  <c r="AA16" i="57"/>
  <c r="AB16" i="57"/>
  <c r="AC16" i="57"/>
  <c r="AG16" i="57"/>
  <c r="AI16" i="57"/>
  <c r="AJ16" i="57"/>
  <c r="B17" i="57"/>
  <c r="C17" i="57"/>
  <c r="D17" i="57"/>
  <c r="B16" i="59" s="1"/>
  <c r="E17" i="57"/>
  <c r="F17" i="57"/>
  <c r="G17" i="57"/>
  <c r="L17" i="57"/>
  <c r="Q17" i="57"/>
  <c r="R17" i="57"/>
  <c r="S17" i="57"/>
  <c r="X17" i="57"/>
  <c r="Y17" i="57"/>
  <c r="AA17" i="57"/>
  <c r="AB17" i="57"/>
  <c r="AC17" i="57"/>
  <c r="AG17" i="57"/>
  <c r="AI17" i="57"/>
  <c r="AJ17" i="57"/>
  <c r="B18" i="57"/>
  <c r="C18" i="57"/>
  <c r="D18" i="57"/>
  <c r="B17" i="59" s="1"/>
  <c r="E18" i="57"/>
  <c r="F18" i="57"/>
  <c r="G18" i="57"/>
  <c r="L18" i="57"/>
  <c r="Q18" i="57"/>
  <c r="R18" i="57"/>
  <c r="S18" i="57"/>
  <c r="X18" i="57"/>
  <c r="Y18" i="57"/>
  <c r="AA18" i="57"/>
  <c r="AB18" i="57"/>
  <c r="AC18" i="57"/>
  <c r="AG18" i="57"/>
  <c r="AI18" i="57"/>
  <c r="AJ18" i="57"/>
  <c r="B19" i="57"/>
  <c r="C19" i="57"/>
  <c r="D19" i="57"/>
  <c r="B18" i="59" s="1"/>
  <c r="E19" i="57"/>
  <c r="F19" i="57"/>
  <c r="G19" i="57"/>
  <c r="L19" i="57"/>
  <c r="Q19" i="57"/>
  <c r="R19" i="57"/>
  <c r="S19" i="57"/>
  <c r="X19" i="57"/>
  <c r="Y19" i="57"/>
  <c r="AA19" i="57"/>
  <c r="AB19" i="57"/>
  <c r="AC19" i="57"/>
  <c r="AG19" i="57"/>
  <c r="AI19" i="57"/>
  <c r="AJ19" i="57"/>
  <c r="B20" i="57"/>
  <c r="C20" i="57"/>
  <c r="D20" i="57"/>
  <c r="B19" i="59" s="1"/>
  <c r="E20" i="57"/>
  <c r="F20" i="57"/>
  <c r="G20" i="57"/>
  <c r="L20" i="57"/>
  <c r="Q20" i="57"/>
  <c r="R20" i="57"/>
  <c r="S20" i="57"/>
  <c r="X20" i="57"/>
  <c r="Y20" i="57"/>
  <c r="AA20" i="57"/>
  <c r="AB20" i="57"/>
  <c r="AC20" i="57"/>
  <c r="AG20" i="57"/>
  <c r="AI20" i="57"/>
  <c r="AJ20" i="57"/>
  <c r="B21" i="57"/>
  <c r="C21" i="57"/>
  <c r="D21" i="57"/>
  <c r="B20" i="59" s="1"/>
  <c r="E21" i="57"/>
  <c r="F21" i="57"/>
  <c r="G21" i="57"/>
  <c r="L21" i="57"/>
  <c r="Q21" i="57"/>
  <c r="R21" i="57"/>
  <c r="S21" i="57"/>
  <c r="X21" i="57"/>
  <c r="Y21" i="57"/>
  <c r="AA21" i="57"/>
  <c r="AB21" i="57"/>
  <c r="AC21" i="57"/>
  <c r="AG21" i="57"/>
  <c r="AI21" i="57"/>
  <c r="AJ21" i="57"/>
  <c r="B22" i="57"/>
  <c r="C22" i="57"/>
  <c r="D22" i="57"/>
  <c r="B21" i="59" s="1"/>
  <c r="E22" i="57"/>
  <c r="F22" i="57"/>
  <c r="G22" i="57"/>
  <c r="L22" i="57"/>
  <c r="Q22" i="57"/>
  <c r="R22" i="57"/>
  <c r="S22" i="57"/>
  <c r="X22" i="57"/>
  <c r="Y22" i="57"/>
  <c r="AA22" i="57"/>
  <c r="AB22" i="57"/>
  <c r="AC22" i="57"/>
  <c r="AG22" i="57"/>
  <c r="AI22" i="57"/>
  <c r="AJ22" i="57"/>
  <c r="B23" i="57"/>
  <c r="C23" i="57"/>
  <c r="D23" i="57"/>
  <c r="B22" i="59" s="1"/>
  <c r="E23" i="57"/>
  <c r="F23" i="57"/>
  <c r="G23" i="57"/>
  <c r="L23" i="57"/>
  <c r="Q23" i="57"/>
  <c r="R23" i="57"/>
  <c r="S23" i="57"/>
  <c r="X23" i="57"/>
  <c r="Y23" i="57"/>
  <c r="AA23" i="57"/>
  <c r="AB23" i="57"/>
  <c r="AC23" i="57"/>
  <c r="AG23" i="57"/>
  <c r="AI23" i="57"/>
  <c r="AJ23" i="57"/>
  <c r="B24" i="57"/>
  <c r="C24" i="57"/>
  <c r="D24" i="57"/>
  <c r="B23" i="59" s="1"/>
  <c r="E24" i="57"/>
  <c r="F24" i="57"/>
  <c r="G24" i="57"/>
  <c r="L24" i="57"/>
  <c r="Q24" i="57"/>
  <c r="R24" i="57"/>
  <c r="S24" i="57"/>
  <c r="X24" i="57"/>
  <c r="Y24" i="57"/>
  <c r="AA24" i="57"/>
  <c r="AB24" i="57"/>
  <c r="AC24" i="57"/>
  <c r="AG24" i="57"/>
  <c r="AI24" i="57"/>
  <c r="AJ24" i="57"/>
  <c r="B25" i="57"/>
  <c r="C25" i="57"/>
  <c r="D25" i="57"/>
  <c r="B24" i="59" s="1"/>
  <c r="E25" i="57"/>
  <c r="F25" i="57"/>
  <c r="G25" i="57"/>
  <c r="L25" i="57"/>
  <c r="Q25" i="57"/>
  <c r="R25" i="57"/>
  <c r="S25" i="57"/>
  <c r="X25" i="57"/>
  <c r="Y25" i="57"/>
  <c r="AA25" i="57"/>
  <c r="AB25" i="57"/>
  <c r="AC25" i="57"/>
  <c r="AG25" i="57"/>
  <c r="AI25" i="57"/>
  <c r="AJ25" i="57"/>
  <c r="B26" i="57"/>
  <c r="C26" i="57"/>
  <c r="D26" i="57"/>
  <c r="B25" i="59" s="1"/>
  <c r="E26" i="57"/>
  <c r="F26" i="57"/>
  <c r="G26" i="57"/>
  <c r="L26" i="57"/>
  <c r="Q26" i="57"/>
  <c r="R26" i="57"/>
  <c r="S26" i="57"/>
  <c r="X26" i="57"/>
  <c r="Y26" i="57"/>
  <c r="AA26" i="57"/>
  <c r="AB26" i="57"/>
  <c r="AC26" i="57"/>
  <c r="AG26" i="57"/>
  <c r="AI26" i="57"/>
  <c r="AJ26" i="57"/>
  <c r="B27" i="57"/>
  <c r="C27" i="57"/>
  <c r="D27" i="57"/>
  <c r="B26" i="59" s="1"/>
  <c r="E27" i="57"/>
  <c r="F27" i="57"/>
  <c r="G27" i="57"/>
  <c r="L27" i="57"/>
  <c r="Q27" i="57"/>
  <c r="R27" i="57"/>
  <c r="S27" i="57"/>
  <c r="X27" i="57"/>
  <c r="Y27" i="57"/>
  <c r="AA27" i="57"/>
  <c r="AB27" i="57"/>
  <c r="AC27" i="57"/>
  <c r="AG27" i="57"/>
  <c r="AI27" i="57"/>
  <c r="AJ27" i="57"/>
  <c r="B28" i="57"/>
  <c r="C28" i="57"/>
  <c r="D28" i="57"/>
  <c r="B27" i="59" s="1"/>
  <c r="E28" i="57"/>
  <c r="F28" i="57"/>
  <c r="G28" i="57"/>
  <c r="L28" i="57"/>
  <c r="Q28" i="57"/>
  <c r="R28" i="57"/>
  <c r="S28" i="57"/>
  <c r="X28" i="57"/>
  <c r="Y28" i="57"/>
  <c r="AA28" i="57"/>
  <c r="AB28" i="57"/>
  <c r="AC28" i="57"/>
  <c r="AG28" i="57"/>
  <c r="AI28" i="57"/>
  <c r="AJ28" i="57"/>
  <c r="B29" i="57"/>
  <c r="C29" i="57"/>
  <c r="D29" i="57"/>
  <c r="E29" i="57"/>
  <c r="F29" i="57"/>
  <c r="G29" i="57"/>
  <c r="L29" i="57"/>
  <c r="Q29" i="57"/>
  <c r="R29" i="57"/>
  <c r="S29" i="57"/>
  <c r="X29" i="57"/>
  <c r="Y29" i="57"/>
  <c r="AA29" i="57"/>
  <c r="AB29" i="57"/>
  <c r="AC29" i="57"/>
  <c r="AG29" i="57"/>
  <c r="AI29" i="57"/>
  <c r="AJ29" i="57"/>
  <c r="B30" i="57"/>
  <c r="C30" i="57"/>
  <c r="D30" i="57"/>
  <c r="E30" i="57"/>
  <c r="F30" i="57"/>
  <c r="G30" i="57"/>
  <c r="L30" i="57"/>
  <c r="Q30" i="57"/>
  <c r="R30" i="57"/>
  <c r="S30" i="57"/>
  <c r="X30" i="57"/>
  <c r="Y30" i="57"/>
  <c r="AA30" i="57"/>
  <c r="AB30" i="57"/>
  <c r="AC30" i="57"/>
  <c r="AG30" i="57"/>
  <c r="AI30" i="57"/>
  <c r="AJ30" i="57"/>
  <c r="B31" i="57"/>
  <c r="C31" i="57"/>
  <c r="D31" i="57"/>
  <c r="E31" i="57"/>
  <c r="F31" i="57"/>
  <c r="G31" i="57"/>
  <c r="L31" i="57"/>
  <c r="Q31" i="57"/>
  <c r="R31" i="57"/>
  <c r="S31" i="57"/>
  <c r="X31" i="57"/>
  <c r="Y31" i="57"/>
  <c r="AA31" i="57"/>
  <c r="AB31" i="57"/>
  <c r="AC31" i="57"/>
  <c r="AG31" i="57"/>
  <c r="AI31" i="57"/>
  <c r="AJ31" i="57"/>
  <c r="B32" i="57"/>
  <c r="C32" i="57"/>
  <c r="D32" i="57"/>
  <c r="E32" i="57"/>
  <c r="F32" i="57"/>
  <c r="G32" i="57"/>
  <c r="L32" i="57"/>
  <c r="Q32" i="57"/>
  <c r="R32" i="57"/>
  <c r="S32" i="57"/>
  <c r="X32" i="57"/>
  <c r="Y32" i="57"/>
  <c r="AA32" i="57"/>
  <c r="AB32" i="57"/>
  <c r="AC32" i="57"/>
  <c r="AG32" i="57"/>
  <c r="AI32" i="57"/>
  <c r="AJ32" i="57"/>
  <c r="B33" i="57"/>
  <c r="C33" i="57"/>
  <c r="D33" i="57"/>
  <c r="E33" i="57"/>
  <c r="F33" i="57"/>
  <c r="G33" i="57"/>
  <c r="L33" i="57"/>
  <c r="Q33" i="57"/>
  <c r="R33" i="57"/>
  <c r="S33" i="57"/>
  <c r="X33" i="57"/>
  <c r="Y33" i="57"/>
  <c r="AA33" i="57"/>
  <c r="AB33" i="57"/>
  <c r="AC33" i="57"/>
  <c r="AG33" i="57"/>
  <c r="AI33" i="57"/>
  <c r="AJ33" i="57"/>
  <c r="B34" i="57"/>
  <c r="C34" i="57"/>
  <c r="D34" i="57"/>
  <c r="E34" i="57"/>
  <c r="F34" i="57"/>
  <c r="G34" i="57"/>
  <c r="L34" i="57"/>
  <c r="Q34" i="57"/>
  <c r="R34" i="57"/>
  <c r="S34" i="57"/>
  <c r="X34" i="57"/>
  <c r="Y34" i="57"/>
  <c r="AA34" i="57"/>
  <c r="AB34" i="57"/>
  <c r="AC34" i="57"/>
  <c r="AG34" i="57"/>
  <c r="AI34" i="57"/>
  <c r="AJ34" i="57"/>
  <c r="B35" i="57"/>
  <c r="C35" i="57"/>
  <c r="D35" i="57"/>
  <c r="E35" i="57"/>
  <c r="F35" i="57"/>
  <c r="G35" i="57"/>
  <c r="L35" i="57"/>
  <c r="Q35" i="57"/>
  <c r="R35" i="57"/>
  <c r="S35" i="57"/>
  <c r="X35" i="57"/>
  <c r="Y35" i="57"/>
  <c r="AA35" i="57"/>
  <c r="AB35" i="57"/>
  <c r="AC35" i="57"/>
  <c r="AG35" i="57"/>
  <c r="AI35" i="57"/>
  <c r="AJ35" i="57"/>
  <c r="B36" i="57"/>
  <c r="C36" i="57"/>
  <c r="D36" i="57"/>
  <c r="E36" i="57"/>
  <c r="F36" i="57"/>
  <c r="G36" i="57"/>
  <c r="L36" i="57"/>
  <c r="Q36" i="57"/>
  <c r="R36" i="57"/>
  <c r="S36" i="57"/>
  <c r="X36" i="57"/>
  <c r="Y36" i="57"/>
  <c r="AA36" i="57"/>
  <c r="AB36" i="57"/>
  <c r="AC36" i="57"/>
  <c r="AG36" i="57"/>
  <c r="AI36" i="57"/>
  <c r="AJ36" i="57"/>
  <c r="B37" i="57"/>
  <c r="C37" i="57"/>
  <c r="D37" i="57"/>
  <c r="E37" i="57"/>
  <c r="F37" i="57"/>
  <c r="G37" i="57"/>
  <c r="L37" i="57"/>
  <c r="Q37" i="57"/>
  <c r="R37" i="57"/>
  <c r="S37" i="57"/>
  <c r="X37" i="57"/>
  <c r="Y37" i="57"/>
  <c r="AA37" i="57"/>
  <c r="AB37" i="57"/>
  <c r="AC37" i="57"/>
  <c r="AG37" i="57"/>
  <c r="AI37" i="57"/>
  <c r="AJ37" i="57"/>
  <c r="B38" i="57"/>
  <c r="C38" i="57"/>
  <c r="D38" i="57"/>
  <c r="E38" i="57"/>
  <c r="F38" i="57"/>
  <c r="G38" i="57"/>
  <c r="L38" i="57"/>
  <c r="Q38" i="57"/>
  <c r="R38" i="57"/>
  <c r="S38" i="57"/>
  <c r="X38" i="57"/>
  <c r="Y38" i="57"/>
  <c r="AA38" i="57"/>
  <c r="AB38" i="57"/>
  <c r="AC38" i="57"/>
  <c r="AG38" i="57"/>
  <c r="AI38" i="57"/>
  <c r="AJ38" i="57"/>
  <c r="B39" i="57"/>
  <c r="C39" i="57"/>
  <c r="D39" i="57"/>
  <c r="E39" i="57"/>
  <c r="F39" i="57"/>
  <c r="G39" i="57"/>
  <c r="L39" i="57"/>
  <c r="Q39" i="57"/>
  <c r="R39" i="57"/>
  <c r="S39" i="57"/>
  <c r="X39" i="57"/>
  <c r="Y39" i="57"/>
  <c r="AA39" i="57"/>
  <c r="AB39" i="57"/>
  <c r="AC39" i="57"/>
  <c r="AG39" i="57"/>
  <c r="AI39" i="57"/>
  <c r="AJ39" i="57"/>
  <c r="B40" i="57"/>
  <c r="C40" i="57"/>
  <c r="D40" i="57"/>
  <c r="E40" i="57"/>
  <c r="F40" i="57"/>
  <c r="G40" i="57"/>
  <c r="L40" i="57"/>
  <c r="Q40" i="57"/>
  <c r="R40" i="57"/>
  <c r="S40" i="57"/>
  <c r="X40" i="57"/>
  <c r="Y40" i="57"/>
  <c r="AA40" i="57"/>
  <c r="AB40" i="57"/>
  <c r="AC40" i="57"/>
  <c r="AG40" i="57"/>
  <c r="AI40" i="57"/>
  <c r="AJ40" i="57"/>
  <c r="B41" i="57"/>
  <c r="C41" i="57"/>
  <c r="D41" i="57"/>
  <c r="E41" i="57"/>
  <c r="F41" i="57"/>
  <c r="G41" i="57"/>
  <c r="L41" i="57"/>
  <c r="Q41" i="57"/>
  <c r="R41" i="57"/>
  <c r="S41" i="57"/>
  <c r="X41" i="57"/>
  <c r="Y41" i="57"/>
  <c r="AA41" i="57"/>
  <c r="AB41" i="57"/>
  <c r="AC41" i="57"/>
  <c r="AG41" i="57"/>
  <c r="AI41" i="57"/>
  <c r="AJ41" i="57"/>
  <c r="B2" i="62"/>
  <c r="R4" i="62"/>
  <c r="D10" i="62"/>
  <c r="F10" i="62"/>
  <c r="H10" i="62"/>
  <c r="J10" i="62"/>
  <c r="L10" i="62"/>
  <c r="N10" i="62"/>
  <c r="P10" i="62"/>
  <c r="R10" i="62"/>
  <c r="B12" i="62"/>
  <c r="B13" i="62"/>
  <c r="B14" i="62"/>
  <c r="N14" i="62"/>
  <c r="B15" i="62"/>
  <c r="N15" i="62"/>
  <c r="B16" i="62"/>
  <c r="B17" i="62"/>
  <c r="B40" i="62"/>
  <c r="D44" i="62"/>
  <c r="D45" i="62" s="1"/>
  <c r="B2" i="15"/>
  <c r="D9" i="15"/>
  <c r="D10" i="15"/>
  <c r="D11" i="15"/>
  <c r="D12" i="15"/>
  <c r="D13" i="15"/>
  <c r="D14" i="15"/>
  <c r="B2" i="53"/>
  <c r="AA3" i="53"/>
  <c r="K4" i="53"/>
  <c r="W4" i="53"/>
  <c r="AA4" i="53"/>
  <c r="AA5" i="53"/>
  <c r="D10" i="53"/>
  <c r="E10" i="53"/>
  <c r="F10" i="53"/>
  <c r="G10" i="53"/>
  <c r="I10" i="53"/>
  <c r="J10" i="53"/>
  <c r="K10" i="53"/>
  <c r="Q10" i="53"/>
  <c r="R10" i="53"/>
  <c r="S10" i="53"/>
  <c r="D11" i="53"/>
  <c r="E11" i="53"/>
  <c r="F11" i="53"/>
  <c r="G11" i="53"/>
  <c r="I11" i="53"/>
  <c r="J11" i="53"/>
  <c r="K11" i="53"/>
  <c r="Q11" i="53"/>
  <c r="R11" i="53"/>
  <c r="S11" i="53"/>
  <c r="D12" i="53"/>
  <c r="E12" i="53"/>
  <c r="F12" i="53"/>
  <c r="G12" i="53"/>
  <c r="I12" i="53"/>
  <c r="J12" i="53"/>
  <c r="K12" i="53"/>
  <c r="Q12" i="53"/>
  <c r="R12" i="53"/>
  <c r="S12" i="53"/>
  <c r="D13" i="53"/>
  <c r="E13" i="53"/>
  <c r="F13" i="53"/>
  <c r="G13" i="53"/>
  <c r="I13" i="53"/>
  <c r="J13" i="53"/>
  <c r="K13" i="53"/>
  <c r="Q13" i="53"/>
  <c r="R13" i="53"/>
  <c r="S13" i="53"/>
  <c r="D14" i="53"/>
  <c r="E14" i="53"/>
  <c r="F14" i="53"/>
  <c r="G14" i="53"/>
  <c r="I14" i="53"/>
  <c r="J14" i="53"/>
  <c r="K14" i="53"/>
  <c r="Q14" i="53"/>
  <c r="R14" i="53"/>
  <c r="S14" i="53"/>
  <c r="D15" i="53"/>
  <c r="E15" i="53"/>
  <c r="F15" i="53"/>
  <c r="G15" i="53"/>
  <c r="I15" i="53"/>
  <c r="J15" i="53"/>
  <c r="K15" i="53"/>
  <c r="Q15" i="53"/>
  <c r="R15" i="53"/>
  <c r="S15" i="53"/>
  <c r="D16" i="53"/>
  <c r="E16" i="53"/>
  <c r="F16" i="53"/>
  <c r="G16" i="53"/>
  <c r="I16" i="53"/>
  <c r="J16" i="53"/>
  <c r="K16" i="53"/>
  <c r="Q16" i="53"/>
  <c r="R16" i="53"/>
  <c r="S16" i="53"/>
  <c r="D17" i="53"/>
  <c r="E17" i="53"/>
  <c r="F17" i="53"/>
  <c r="G17" i="53"/>
  <c r="I17" i="53"/>
  <c r="J17" i="53"/>
  <c r="K17" i="53"/>
  <c r="Q17" i="53"/>
  <c r="R17" i="53"/>
  <c r="S17" i="53"/>
  <c r="D18" i="53"/>
  <c r="E18" i="53"/>
  <c r="F18" i="53"/>
  <c r="G18" i="53"/>
  <c r="I18" i="53"/>
  <c r="J18" i="53"/>
  <c r="K18" i="53"/>
  <c r="Q18" i="53"/>
  <c r="R18" i="53"/>
  <c r="S18" i="53"/>
  <c r="D19" i="53"/>
  <c r="E19" i="53"/>
  <c r="F19" i="53"/>
  <c r="G19" i="53"/>
  <c r="I19" i="53"/>
  <c r="J19" i="53"/>
  <c r="K19" i="53"/>
  <c r="Q19" i="53"/>
  <c r="R19" i="53"/>
  <c r="S19" i="53"/>
  <c r="D20" i="53"/>
  <c r="E20" i="53"/>
  <c r="F20" i="53"/>
  <c r="G20" i="53"/>
  <c r="I20" i="53"/>
  <c r="J20" i="53"/>
  <c r="K20" i="53"/>
  <c r="Q20" i="53"/>
  <c r="R20" i="53"/>
  <c r="S20" i="53"/>
  <c r="D21" i="53"/>
  <c r="E21" i="53"/>
  <c r="F21" i="53"/>
  <c r="G21" i="53"/>
  <c r="I21" i="53"/>
  <c r="J21" i="53"/>
  <c r="K21" i="53"/>
  <c r="Q21" i="53"/>
  <c r="R21" i="53"/>
  <c r="S21" i="53"/>
  <c r="D22" i="53"/>
  <c r="E22" i="53"/>
  <c r="F22" i="53"/>
  <c r="G22" i="53"/>
  <c r="I22" i="53"/>
  <c r="J22" i="53"/>
  <c r="K22" i="53"/>
  <c r="Q22" i="53"/>
  <c r="R22" i="53"/>
  <c r="S22" i="53"/>
  <c r="D23" i="53"/>
  <c r="E23" i="53"/>
  <c r="F23" i="53"/>
  <c r="G23" i="53"/>
  <c r="I23" i="53"/>
  <c r="J23" i="53"/>
  <c r="K23" i="53"/>
  <c r="Q23" i="53"/>
  <c r="R23" i="53"/>
  <c r="S23" i="53"/>
  <c r="D24" i="53"/>
  <c r="E24" i="53"/>
  <c r="F24" i="53"/>
  <c r="G24" i="53"/>
  <c r="I24" i="53"/>
  <c r="J24" i="53"/>
  <c r="K24" i="53"/>
  <c r="Q24" i="53"/>
  <c r="R24" i="53"/>
  <c r="S24" i="53"/>
  <c r="D25" i="53"/>
  <c r="E25" i="53"/>
  <c r="F25" i="53"/>
  <c r="G25" i="53"/>
  <c r="I25" i="53"/>
  <c r="J25" i="53"/>
  <c r="K25" i="53"/>
  <c r="Q25" i="53"/>
  <c r="R25" i="53"/>
  <c r="S25" i="53"/>
  <c r="D26" i="53"/>
  <c r="E26" i="53"/>
  <c r="F26" i="53"/>
  <c r="G26" i="53"/>
  <c r="I26" i="53"/>
  <c r="J26" i="53"/>
  <c r="K26" i="53"/>
  <c r="Q26" i="53"/>
  <c r="R26" i="53"/>
  <c r="S26" i="53"/>
  <c r="D27" i="53"/>
  <c r="E27" i="53"/>
  <c r="F27" i="53"/>
  <c r="G27" i="53"/>
  <c r="I27" i="53"/>
  <c r="J27" i="53"/>
  <c r="K27" i="53"/>
  <c r="Q27" i="53"/>
  <c r="R27" i="53"/>
  <c r="S27" i="53"/>
  <c r="D28" i="53"/>
  <c r="E28" i="53"/>
  <c r="F28" i="53"/>
  <c r="G28" i="53"/>
  <c r="I28" i="53"/>
  <c r="J28" i="53"/>
  <c r="K28" i="53"/>
  <c r="Q28" i="53"/>
  <c r="R28" i="53"/>
  <c r="S28" i="53"/>
  <c r="D29" i="53"/>
  <c r="E29" i="53"/>
  <c r="F29" i="53"/>
  <c r="G29" i="53"/>
  <c r="I29" i="53"/>
  <c r="J29" i="53"/>
  <c r="K29" i="53"/>
  <c r="Q29" i="53"/>
  <c r="R29" i="53"/>
  <c r="S29" i="53"/>
  <c r="D30" i="53"/>
  <c r="E30" i="53"/>
  <c r="F30" i="53"/>
  <c r="G30" i="53"/>
  <c r="I30" i="53"/>
  <c r="J30" i="53"/>
  <c r="K30" i="53"/>
  <c r="Q30" i="53"/>
  <c r="R30" i="53"/>
  <c r="S30" i="53"/>
  <c r="D31" i="53"/>
  <c r="E31" i="53"/>
  <c r="F31" i="53"/>
  <c r="G31" i="53"/>
  <c r="I31" i="53"/>
  <c r="J31" i="53"/>
  <c r="K31" i="53"/>
  <c r="Q31" i="53"/>
  <c r="R31" i="53"/>
  <c r="S31" i="53"/>
  <c r="D32" i="53"/>
  <c r="E32" i="53"/>
  <c r="F32" i="53"/>
  <c r="G32" i="53"/>
  <c r="I32" i="53"/>
  <c r="J32" i="53"/>
  <c r="K32" i="53"/>
  <c r="Q32" i="53"/>
  <c r="R32" i="53"/>
  <c r="S32" i="53"/>
  <c r="D33" i="53"/>
  <c r="E33" i="53"/>
  <c r="F33" i="53"/>
  <c r="G33" i="53"/>
  <c r="I33" i="53"/>
  <c r="J33" i="53"/>
  <c r="K33" i="53"/>
  <c r="Q33" i="53"/>
  <c r="R33" i="53"/>
  <c r="S33" i="53"/>
  <c r="D34" i="53"/>
  <c r="E34" i="53"/>
  <c r="F34" i="53"/>
  <c r="G34" i="53"/>
  <c r="I34" i="53"/>
  <c r="J34" i="53"/>
  <c r="K34" i="53"/>
  <c r="Q34" i="53"/>
  <c r="R34" i="53"/>
  <c r="S34" i="53"/>
  <c r="D35" i="53"/>
  <c r="E35" i="53"/>
  <c r="F35" i="53"/>
  <c r="G35" i="53"/>
  <c r="I35" i="53"/>
  <c r="J35" i="53"/>
  <c r="K35" i="53"/>
  <c r="Q35" i="53"/>
  <c r="R35" i="53"/>
  <c r="S35" i="53"/>
  <c r="D36" i="53"/>
  <c r="E36" i="53"/>
  <c r="F36" i="53"/>
  <c r="G36" i="53"/>
  <c r="I36" i="53"/>
  <c r="J36" i="53"/>
  <c r="K36" i="53"/>
  <c r="Q36" i="53"/>
  <c r="R36" i="53"/>
  <c r="S36" i="53"/>
  <c r="D37" i="53"/>
  <c r="E37" i="53"/>
  <c r="F37" i="53"/>
  <c r="G37" i="53"/>
  <c r="I37" i="53"/>
  <c r="J37" i="53"/>
  <c r="K37" i="53"/>
  <c r="Q37" i="53"/>
  <c r="R37" i="53"/>
  <c r="S37" i="53"/>
  <c r="D38" i="53"/>
  <c r="E38" i="53"/>
  <c r="F38" i="53"/>
  <c r="G38" i="53"/>
  <c r="I38" i="53"/>
  <c r="J38" i="53"/>
  <c r="K38" i="53"/>
  <c r="Q38" i="53"/>
  <c r="R38" i="53"/>
  <c r="S38" i="53"/>
  <c r="D39" i="53"/>
  <c r="E39" i="53"/>
  <c r="F39" i="53"/>
  <c r="G39" i="53"/>
  <c r="I39" i="53"/>
  <c r="J39" i="53"/>
  <c r="K39" i="53"/>
  <c r="Q39" i="53"/>
  <c r="R39" i="53"/>
  <c r="S39" i="53"/>
  <c r="B2" i="172"/>
  <c r="Y2" i="172"/>
  <c r="AA2" i="172"/>
  <c r="AI2" i="172"/>
  <c r="K8" i="172" s="1"/>
  <c r="Y3" i="172"/>
  <c r="AA3" i="172"/>
  <c r="W4" i="172"/>
  <c r="AA4" i="172"/>
  <c r="O8" i="172"/>
  <c r="P8" i="172"/>
  <c r="Q8" i="172"/>
  <c r="E12" i="172"/>
  <c r="F12" i="172"/>
  <c r="G12" i="172"/>
  <c r="I12" i="172"/>
  <c r="J12" i="172"/>
  <c r="K12" i="172"/>
  <c r="L12" i="172"/>
  <c r="M12" i="172"/>
  <c r="E13" i="172"/>
  <c r="F13" i="172"/>
  <c r="G13" i="172"/>
  <c r="I13" i="172"/>
  <c r="J13" i="172"/>
  <c r="K13" i="172"/>
  <c r="L13" i="172"/>
  <c r="M13" i="172"/>
  <c r="E14" i="172"/>
  <c r="F14" i="172"/>
  <c r="G14" i="172"/>
  <c r="I14" i="172"/>
  <c r="J14" i="172"/>
  <c r="K14" i="172"/>
  <c r="L14" i="172"/>
  <c r="M14" i="172"/>
  <c r="E15" i="172"/>
  <c r="F15" i="172"/>
  <c r="G15" i="172"/>
  <c r="I15" i="172"/>
  <c r="J15" i="172"/>
  <c r="K15" i="172"/>
  <c r="L15" i="172"/>
  <c r="M15" i="172"/>
  <c r="E16" i="172"/>
  <c r="F16" i="172"/>
  <c r="G16" i="172"/>
  <c r="I16" i="172"/>
  <c r="J16" i="172"/>
  <c r="K16" i="172"/>
  <c r="L16" i="172"/>
  <c r="M16" i="172"/>
  <c r="E17" i="172"/>
  <c r="F17" i="172"/>
  <c r="G17" i="172"/>
  <c r="I17" i="172"/>
  <c r="J17" i="172"/>
  <c r="K17" i="172"/>
  <c r="L17" i="172"/>
  <c r="M17" i="172"/>
  <c r="E18" i="172"/>
  <c r="F18" i="172"/>
  <c r="G18" i="172"/>
  <c r="I18" i="172"/>
  <c r="J18" i="172"/>
  <c r="K18" i="172"/>
  <c r="L18" i="172"/>
  <c r="M18" i="172"/>
  <c r="E19" i="172"/>
  <c r="F19" i="172"/>
  <c r="G19" i="172"/>
  <c r="I19" i="172"/>
  <c r="J19" i="172"/>
  <c r="K19" i="172"/>
  <c r="L19" i="172"/>
  <c r="M19" i="172"/>
  <c r="E20" i="172"/>
  <c r="F20" i="172"/>
  <c r="G20" i="172"/>
  <c r="I20" i="172"/>
  <c r="J20" i="172"/>
  <c r="K20" i="172"/>
  <c r="L20" i="172"/>
  <c r="M20" i="172"/>
  <c r="E21" i="172"/>
  <c r="F21" i="172"/>
  <c r="G21" i="172"/>
  <c r="I21" i="172"/>
  <c r="J21" i="172"/>
  <c r="K21" i="172"/>
  <c r="L21" i="172"/>
  <c r="M21" i="172"/>
  <c r="E22" i="172"/>
  <c r="F22" i="172"/>
  <c r="G22" i="172"/>
  <c r="I22" i="172"/>
  <c r="J22" i="172"/>
  <c r="K22" i="172"/>
  <c r="L22" i="172"/>
  <c r="M22" i="172"/>
  <c r="E23" i="172"/>
  <c r="F23" i="172"/>
  <c r="G23" i="172"/>
  <c r="I23" i="172"/>
  <c r="J23" i="172"/>
  <c r="K23" i="172"/>
  <c r="L23" i="172"/>
  <c r="M23" i="172"/>
  <c r="E24" i="172"/>
  <c r="F24" i="172"/>
  <c r="G24" i="172"/>
  <c r="I24" i="172"/>
  <c r="J24" i="172"/>
  <c r="K24" i="172"/>
  <c r="L24" i="172"/>
  <c r="M24" i="172"/>
  <c r="E25" i="172"/>
  <c r="F25" i="172"/>
  <c r="G25" i="172"/>
  <c r="I25" i="172"/>
  <c r="J25" i="172"/>
  <c r="K25" i="172"/>
  <c r="L25" i="172"/>
  <c r="M25" i="172"/>
  <c r="E26" i="172"/>
  <c r="F26" i="172"/>
  <c r="G26" i="172"/>
  <c r="I26" i="172"/>
  <c r="J26" i="172"/>
  <c r="K26" i="172"/>
  <c r="L26" i="172"/>
  <c r="M26" i="172"/>
  <c r="E27" i="172"/>
  <c r="F27" i="172"/>
  <c r="G27" i="172"/>
  <c r="I27" i="172"/>
  <c r="J27" i="172"/>
  <c r="K27" i="172"/>
  <c r="L27" i="172"/>
  <c r="M27" i="172"/>
  <c r="E28" i="172"/>
  <c r="F28" i="172"/>
  <c r="G28" i="172"/>
  <c r="I28" i="172"/>
  <c r="J28" i="172"/>
  <c r="K28" i="172"/>
  <c r="L28" i="172"/>
  <c r="M28" i="172"/>
  <c r="E29" i="172"/>
  <c r="F29" i="172"/>
  <c r="G29" i="172"/>
  <c r="I29" i="172"/>
  <c r="J29" i="172"/>
  <c r="K29" i="172"/>
  <c r="L29" i="172"/>
  <c r="M29" i="172"/>
  <c r="E30" i="172"/>
  <c r="F30" i="172"/>
  <c r="G30" i="172"/>
  <c r="I30" i="172"/>
  <c r="J30" i="172"/>
  <c r="K30" i="172"/>
  <c r="L30" i="172"/>
  <c r="M30" i="172"/>
  <c r="E31" i="172"/>
  <c r="F31" i="172"/>
  <c r="G31" i="172"/>
  <c r="I31" i="172"/>
  <c r="J31" i="172"/>
  <c r="K31" i="172"/>
  <c r="L31" i="172"/>
  <c r="M31" i="172"/>
  <c r="E32" i="172"/>
  <c r="F32" i="172"/>
  <c r="G32" i="172"/>
  <c r="I32" i="172"/>
  <c r="J32" i="172"/>
  <c r="K32" i="172"/>
  <c r="L32" i="172"/>
  <c r="M32" i="172"/>
  <c r="E33" i="172"/>
  <c r="F33" i="172"/>
  <c r="G33" i="172"/>
  <c r="I33" i="172"/>
  <c r="J33" i="172"/>
  <c r="K33" i="172"/>
  <c r="L33" i="172"/>
  <c r="M33" i="172"/>
  <c r="E34" i="172"/>
  <c r="F34" i="172"/>
  <c r="G34" i="172"/>
  <c r="I34" i="172"/>
  <c r="J34" i="172"/>
  <c r="K34" i="172"/>
  <c r="L34" i="172"/>
  <c r="M34" i="172"/>
  <c r="E35" i="172"/>
  <c r="F35" i="172"/>
  <c r="G35" i="172"/>
  <c r="I35" i="172"/>
  <c r="J35" i="172"/>
  <c r="K35" i="172"/>
  <c r="L35" i="172"/>
  <c r="M35" i="172"/>
  <c r="E36" i="172"/>
  <c r="F36" i="172"/>
  <c r="G36" i="172"/>
  <c r="I36" i="172"/>
  <c r="J36" i="172"/>
  <c r="K36" i="172"/>
  <c r="L36" i="172"/>
  <c r="M36" i="172"/>
  <c r="E37" i="172"/>
  <c r="F37" i="172"/>
  <c r="G37" i="172"/>
  <c r="I37" i="172"/>
  <c r="J37" i="172"/>
  <c r="K37" i="172"/>
  <c r="L37" i="172"/>
  <c r="M37" i="172"/>
  <c r="E38" i="172"/>
  <c r="F38" i="172"/>
  <c r="G38" i="172"/>
  <c r="I38" i="172"/>
  <c r="J38" i="172"/>
  <c r="K38" i="172"/>
  <c r="L38" i="172"/>
  <c r="M38" i="172"/>
  <c r="E39" i="172"/>
  <c r="F39" i="172"/>
  <c r="G39" i="172"/>
  <c r="I39" i="172"/>
  <c r="J39" i="172"/>
  <c r="K39" i="172"/>
  <c r="L39" i="172"/>
  <c r="M39" i="172"/>
  <c r="E40" i="172"/>
  <c r="F40" i="172"/>
  <c r="G40" i="172"/>
  <c r="I40" i="172"/>
  <c r="J40" i="172"/>
  <c r="K40" i="172"/>
  <c r="L40" i="172"/>
  <c r="M40" i="172"/>
  <c r="E41" i="172"/>
  <c r="F41" i="172"/>
  <c r="G41" i="172"/>
  <c r="I41" i="172"/>
  <c r="I47" i="172" s="1"/>
  <c r="J41" i="172"/>
  <c r="K41" i="172"/>
  <c r="L41" i="172"/>
  <c r="M41" i="172"/>
  <c r="E43" i="172"/>
  <c r="B2" i="47"/>
  <c r="AB2" i="47"/>
  <c r="AD2" i="47"/>
  <c r="AL2" i="47"/>
  <c r="AB2" i="273" s="1"/>
  <c r="AB3" i="47"/>
  <c r="AD3" i="47"/>
  <c r="AD4" i="47"/>
  <c r="R8" i="47"/>
  <c r="S8" i="47"/>
  <c r="T8" i="47"/>
  <c r="H9" i="48" s="1"/>
  <c r="B12" i="47"/>
  <c r="H12" i="47"/>
  <c r="I12" i="47"/>
  <c r="J12" i="47"/>
  <c r="L12" i="47"/>
  <c r="M12" i="47"/>
  <c r="N12" i="47"/>
  <c r="O12" i="47"/>
  <c r="P12" i="47"/>
  <c r="AL12" i="47"/>
  <c r="AQ13" i="173" s="1"/>
  <c r="B13" i="47"/>
  <c r="H13" i="47"/>
  <c r="I13" i="47"/>
  <c r="J13" i="47"/>
  <c r="L13" i="47"/>
  <c r="M13" i="47"/>
  <c r="N13" i="47"/>
  <c r="O13" i="47"/>
  <c r="P13" i="47"/>
  <c r="AL13" i="47"/>
  <c r="AQ14" i="173" s="1"/>
  <c r="B14" i="47"/>
  <c r="H14" i="47"/>
  <c r="I14" i="47"/>
  <c r="J14" i="47"/>
  <c r="L14" i="47"/>
  <c r="M14" i="47"/>
  <c r="N14" i="47"/>
  <c r="O14" i="47"/>
  <c r="P14" i="47"/>
  <c r="AL14" i="47"/>
  <c r="AQ15" i="173" s="1"/>
  <c r="B15" i="47"/>
  <c r="H15" i="47"/>
  <c r="I15" i="47"/>
  <c r="J15" i="47"/>
  <c r="L15" i="47"/>
  <c r="M15" i="47"/>
  <c r="N15" i="47"/>
  <c r="O15" i="47"/>
  <c r="P15" i="47"/>
  <c r="AL15" i="47"/>
  <c r="AQ16" i="173" s="1"/>
  <c r="B16" i="47"/>
  <c r="H16" i="47"/>
  <c r="I16" i="47"/>
  <c r="J16" i="47"/>
  <c r="L16" i="47"/>
  <c r="M16" i="47"/>
  <c r="N16" i="47"/>
  <c r="O16" i="47"/>
  <c r="P16" i="47"/>
  <c r="AL16" i="47"/>
  <c r="AQ17" i="173" s="1"/>
  <c r="B17" i="47"/>
  <c r="H17" i="47"/>
  <c r="I17" i="47"/>
  <c r="J17" i="47"/>
  <c r="L17" i="47"/>
  <c r="M17" i="47"/>
  <c r="N17" i="47"/>
  <c r="O17" i="47"/>
  <c r="P17" i="47"/>
  <c r="AL17" i="47"/>
  <c r="AQ18" i="173" s="1"/>
  <c r="B18" i="47"/>
  <c r="H18" i="47"/>
  <c r="I18" i="47"/>
  <c r="J18" i="47"/>
  <c r="L18" i="47"/>
  <c r="M18" i="47"/>
  <c r="N18" i="47"/>
  <c r="O18" i="47"/>
  <c r="P18" i="47"/>
  <c r="AL18" i="47"/>
  <c r="AQ19" i="173" s="1"/>
  <c r="B19" i="47"/>
  <c r="H19" i="47"/>
  <c r="I19" i="47"/>
  <c r="J19" i="47"/>
  <c r="L19" i="47"/>
  <c r="M19" i="47"/>
  <c r="N19" i="47"/>
  <c r="O19" i="47"/>
  <c r="P19" i="47"/>
  <c r="AL19" i="47"/>
  <c r="AQ20" i="173" s="1"/>
  <c r="B20" i="47"/>
  <c r="H20" i="47"/>
  <c r="I20" i="47"/>
  <c r="J20" i="47"/>
  <c r="L20" i="47"/>
  <c r="M20" i="47"/>
  <c r="N20" i="47"/>
  <c r="O20" i="47"/>
  <c r="P20" i="47"/>
  <c r="AL20" i="47"/>
  <c r="AQ21" i="173" s="1"/>
  <c r="B21" i="47"/>
  <c r="H21" i="47"/>
  <c r="I21" i="47"/>
  <c r="J21" i="47"/>
  <c r="L21" i="47"/>
  <c r="M21" i="47"/>
  <c r="N21" i="47"/>
  <c r="O21" i="47"/>
  <c r="P21" i="47"/>
  <c r="AL21" i="47"/>
  <c r="AQ22" i="173" s="1"/>
  <c r="B22" i="47"/>
  <c r="B20" i="41" s="1"/>
  <c r="H22" i="47"/>
  <c r="I22" i="47"/>
  <c r="J22" i="47"/>
  <c r="L22" i="47"/>
  <c r="M22" i="47"/>
  <c r="N22" i="47"/>
  <c r="O22" i="47"/>
  <c r="P22" i="47"/>
  <c r="AL22" i="47"/>
  <c r="AQ23" i="173" s="1"/>
  <c r="B23" i="47"/>
  <c r="H23" i="47"/>
  <c r="I23" i="47"/>
  <c r="J23" i="47"/>
  <c r="L23" i="47"/>
  <c r="M23" i="47"/>
  <c r="N23" i="47"/>
  <c r="O23" i="47"/>
  <c r="P23" i="47"/>
  <c r="AL23" i="47"/>
  <c r="AQ24" i="173" s="1"/>
  <c r="B24" i="47"/>
  <c r="H24" i="47"/>
  <c r="I24" i="47"/>
  <c r="J24" i="47"/>
  <c r="L24" i="47"/>
  <c r="M24" i="47"/>
  <c r="N24" i="47"/>
  <c r="O24" i="47"/>
  <c r="P24" i="47"/>
  <c r="AL24" i="47"/>
  <c r="AQ25" i="173" s="1"/>
  <c r="B25" i="47"/>
  <c r="H25" i="47"/>
  <c r="I25" i="47"/>
  <c r="J25" i="47"/>
  <c r="L25" i="47"/>
  <c r="M25" i="47"/>
  <c r="N25" i="47"/>
  <c r="O25" i="47"/>
  <c r="P25" i="47"/>
  <c r="AL25" i="47"/>
  <c r="AQ26" i="173" s="1"/>
  <c r="B26" i="47"/>
  <c r="H26" i="47"/>
  <c r="I26" i="47"/>
  <c r="J26" i="47"/>
  <c r="L26" i="47"/>
  <c r="M26" i="47"/>
  <c r="N26" i="47"/>
  <c r="O26" i="47"/>
  <c r="P26" i="47"/>
  <c r="AL26" i="47"/>
  <c r="AQ27" i="173" s="1"/>
  <c r="B27" i="47"/>
  <c r="H27" i="47"/>
  <c r="I27" i="47"/>
  <c r="J27" i="47"/>
  <c r="L27" i="47"/>
  <c r="M27" i="47"/>
  <c r="N27" i="47"/>
  <c r="O27" i="47"/>
  <c r="P27" i="47"/>
  <c r="AL27" i="47"/>
  <c r="AQ28" i="173" s="1"/>
  <c r="B28" i="47"/>
  <c r="H28" i="47"/>
  <c r="I28" i="47"/>
  <c r="J28" i="47"/>
  <c r="L28" i="47"/>
  <c r="M28" i="47"/>
  <c r="N28" i="47"/>
  <c r="O28" i="47"/>
  <c r="P28" i="47"/>
  <c r="AL28" i="47"/>
  <c r="AQ29" i="173" s="1"/>
  <c r="B29" i="47"/>
  <c r="H29" i="47"/>
  <c r="I29" i="47"/>
  <c r="J29" i="47"/>
  <c r="L29" i="47"/>
  <c r="M29" i="47"/>
  <c r="N29" i="47"/>
  <c r="O29" i="47"/>
  <c r="P29" i="47"/>
  <c r="AL29" i="47"/>
  <c r="AQ30" i="173" s="1"/>
  <c r="B30" i="47"/>
  <c r="B28" i="41" s="1"/>
  <c r="H30" i="47"/>
  <c r="I30" i="47"/>
  <c r="J30" i="47"/>
  <c r="L30" i="47"/>
  <c r="M30" i="47"/>
  <c r="N30" i="47"/>
  <c r="O30" i="47"/>
  <c r="P30" i="47"/>
  <c r="AL30" i="47"/>
  <c r="AQ31" i="173" s="1"/>
  <c r="B31" i="47"/>
  <c r="H31" i="47"/>
  <c r="I31" i="47"/>
  <c r="J31" i="47"/>
  <c r="L31" i="47"/>
  <c r="M31" i="47"/>
  <c r="N31" i="47"/>
  <c r="O31" i="47"/>
  <c r="P31" i="47"/>
  <c r="AL31" i="47"/>
  <c r="AQ32" i="173" s="1"/>
  <c r="B32" i="47"/>
  <c r="H32" i="47"/>
  <c r="I32" i="47"/>
  <c r="J32" i="47"/>
  <c r="L32" i="47"/>
  <c r="M32" i="47"/>
  <c r="N32" i="47"/>
  <c r="O32" i="47"/>
  <c r="P32" i="47"/>
  <c r="AL32" i="47"/>
  <c r="AQ33" i="173" s="1"/>
  <c r="B33" i="47"/>
  <c r="H33" i="47"/>
  <c r="I33" i="47"/>
  <c r="J33" i="47"/>
  <c r="L33" i="47"/>
  <c r="M33" i="47"/>
  <c r="N33" i="47"/>
  <c r="O33" i="47"/>
  <c r="P33" i="47"/>
  <c r="AL33" i="47"/>
  <c r="AQ34" i="173" s="1"/>
  <c r="B34" i="47"/>
  <c r="H34" i="47"/>
  <c r="I34" i="47"/>
  <c r="J34" i="47"/>
  <c r="L34" i="47"/>
  <c r="M34" i="47"/>
  <c r="N34" i="47"/>
  <c r="O34" i="47"/>
  <c r="P34" i="47"/>
  <c r="AL34" i="47"/>
  <c r="AQ35" i="173" s="1"/>
  <c r="B35" i="47"/>
  <c r="H35" i="47"/>
  <c r="I35" i="47"/>
  <c r="J35" i="47"/>
  <c r="L35" i="47"/>
  <c r="M35" i="47"/>
  <c r="N35" i="47"/>
  <c r="O35" i="47"/>
  <c r="P35" i="47"/>
  <c r="AL35" i="47"/>
  <c r="AQ36" i="173" s="1"/>
  <c r="B36" i="47"/>
  <c r="H36" i="47"/>
  <c r="I36" i="47"/>
  <c r="J36" i="47"/>
  <c r="L36" i="47"/>
  <c r="M36" i="47"/>
  <c r="N36" i="47"/>
  <c r="O36" i="47"/>
  <c r="P36" i="47"/>
  <c r="AL36" i="47"/>
  <c r="AQ37" i="173" s="1"/>
  <c r="B37" i="47"/>
  <c r="H37" i="47"/>
  <c r="I37" i="47"/>
  <c r="J37" i="47"/>
  <c r="L37" i="47"/>
  <c r="M37" i="47"/>
  <c r="N37" i="47"/>
  <c r="O37" i="47"/>
  <c r="P37" i="47"/>
  <c r="AL37" i="47"/>
  <c r="AQ38" i="173" s="1"/>
  <c r="B38" i="47"/>
  <c r="B36" i="41" s="1"/>
  <c r="H38" i="47"/>
  <c r="I38" i="47"/>
  <c r="J38" i="47"/>
  <c r="L38" i="47"/>
  <c r="M38" i="47"/>
  <c r="N38" i="47"/>
  <c r="O38" i="47"/>
  <c r="P38" i="47"/>
  <c r="AL38" i="47"/>
  <c r="AQ39" i="173" s="1"/>
  <c r="B39" i="47"/>
  <c r="H39" i="47"/>
  <c r="I39" i="47"/>
  <c r="J39" i="47"/>
  <c r="L39" i="47"/>
  <c r="M39" i="47"/>
  <c r="N39" i="47"/>
  <c r="O39" i="47"/>
  <c r="P39" i="47"/>
  <c r="AL39" i="47"/>
  <c r="AQ40" i="173" s="1"/>
  <c r="B40" i="47"/>
  <c r="H40" i="47"/>
  <c r="I40" i="47"/>
  <c r="J40" i="47"/>
  <c r="L40" i="47"/>
  <c r="M40" i="47"/>
  <c r="N40" i="47"/>
  <c r="O40" i="47"/>
  <c r="P40" i="47"/>
  <c r="AL40" i="47"/>
  <c r="AQ41" i="173" s="1"/>
  <c r="B41" i="47"/>
  <c r="H41" i="47"/>
  <c r="I41" i="47"/>
  <c r="J41" i="47"/>
  <c r="L41" i="47"/>
  <c r="M41" i="47"/>
  <c r="N41" i="47"/>
  <c r="O41" i="47"/>
  <c r="P41" i="47"/>
  <c r="AL41" i="47"/>
  <c r="AQ42" i="173" s="1"/>
  <c r="B2" i="48"/>
  <c r="R4" i="48"/>
  <c r="B10" i="48"/>
  <c r="B11" i="48"/>
  <c r="B19" i="48" s="1"/>
  <c r="B12" i="48"/>
  <c r="B20" i="48" s="1"/>
  <c r="B13" i="48"/>
  <c r="B21" i="48" s="1"/>
  <c r="B14" i="48"/>
  <c r="B15" i="48"/>
  <c r="B23" i="48" s="1"/>
  <c r="B16" i="48"/>
  <c r="B24" i="48" s="1"/>
  <c r="B18" i="48"/>
  <c r="B22" i="48"/>
  <c r="B2" i="38"/>
  <c r="B2" i="40"/>
  <c r="G4" i="40"/>
  <c r="D17" i="40"/>
  <c r="B2" i="41"/>
  <c r="Z3" i="41"/>
  <c r="R4" i="41"/>
  <c r="Z4" i="41"/>
  <c r="Z5" i="41"/>
  <c r="H10" i="41"/>
  <c r="K10" i="41"/>
  <c r="L10" i="41"/>
  <c r="AC12" i="47" s="1"/>
  <c r="M10" i="41"/>
  <c r="AD12" i="47" s="1"/>
  <c r="AA12" i="172" s="1"/>
  <c r="N10" i="41"/>
  <c r="AE12" i="47" s="1"/>
  <c r="AB12" i="172" s="1"/>
  <c r="Q10" i="41"/>
  <c r="AH12" i="47" s="1"/>
  <c r="AE12" i="172" s="1"/>
  <c r="Z10" i="41"/>
  <c r="H11" i="41"/>
  <c r="K11" i="41"/>
  <c r="L11" i="41"/>
  <c r="M11" i="41"/>
  <c r="N11" i="41"/>
  <c r="AE13" i="47" s="1"/>
  <c r="AB13" i="172" s="1"/>
  <c r="Q11" i="41"/>
  <c r="Z11" i="41"/>
  <c r="H12" i="41"/>
  <c r="K12" i="41"/>
  <c r="L12" i="41"/>
  <c r="AC14" i="47" s="1"/>
  <c r="M12" i="41"/>
  <c r="AD14" i="47" s="1"/>
  <c r="AA14" i="172" s="1"/>
  <c r="N12" i="41"/>
  <c r="AE14" i="47" s="1"/>
  <c r="AB14" i="172" s="1"/>
  <c r="Q12" i="41"/>
  <c r="AH14" i="47" s="1"/>
  <c r="AE14" i="172" s="1"/>
  <c r="Z12" i="41"/>
  <c r="H13" i="41"/>
  <c r="K13" i="41"/>
  <c r="L13" i="41"/>
  <c r="M13" i="41"/>
  <c r="N13" i="41"/>
  <c r="AE15" i="47" s="1"/>
  <c r="AB15" i="172" s="1"/>
  <c r="Q13" i="41"/>
  <c r="Z13" i="41"/>
  <c r="H14" i="41"/>
  <c r="K14" i="41"/>
  <c r="L14" i="41"/>
  <c r="AC16" i="47" s="1"/>
  <c r="M14" i="41"/>
  <c r="AD16" i="47" s="1"/>
  <c r="AA16" i="172" s="1"/>
  <c r="N14" i="41"/>
  <c r="AE16" i="47" s="1"/>
  <c r="AB16" i="172" s="1"/>
  <c r="Q14" i="41"/>
  <c r="AH16" i="47" s="1"/>
  <c r="AE16" i="172" s="1"/>
  <c r="Z14" i="41"/>
  <c r="H15" i="41"/>
  <c r="K15" i="41"/>
  <c r="L15" i="41"/>
  <c r="M15" i="41"/>
  <c r="N15" i="41"/>
  <c r="AE17" i="47" s="1"/>
  <c r="AB17" i="172" s="1"/>
  <c r="Q15" i="41"/>
  <c r="Z15" i="41"/>
  <c r="AB15" i="12" s="1"/>
  <c r="H16" i="41"/>
  <c r="K16" i="41"/>
  <c r="L16" i="41"/>
  <c r="AC18" i="47" s="1"/>
  <c r="M16" i="41"/>
  <c r="AD18" i="47" s="1"/>
  <c r="AA18" i="172" s="1"/>
  <c r="N16" i="41"/>
  <c r="AE18" i="47" s="1"/>
  <c r="AB18" i="172" s="1"/>
  <c r="Q16" i="41"/>
  <c r="AH18" i="47" s="1"/>
  <c r="AE18" i="172" s="1"/>
  <c r="Z16" i="41"/>
  <c r="AB16" i="12" s="1"/>
  <c r="H17" i="41"/>
  <c r="K17" i="41"/>
  <c r="L17" i="41"/>
  <c r="M17" i="41"/>
  <c r="N17" i="41"/>
  <c r="AE19" i="47" s="1"/>
  <c r="AB19" i="172" s="1"/>
  <c r="Q17" i="41"/>
  <c r="Z17" i="41"/>
  <c r="AB17" i="12" s="1"/>
  <c r="H18" i="41"/>
  <c r="K18" i="41"/>
  <c r="L18" i="41"/>
  <c r="AC20" i="47" s="1"/>
  <c r="M18" i="41"/>
  <c r="AD20" i="47" s="1"/>
  <c r="AA20" i="172" s="1"/>
  <c r="N18" i="41"/>
  <c r="AE20" i="47" s="1"/>
  <c r="AB20" i="172" s="1"/>
  <c r="Q18" i="41"/>
  <c r="AH20" i="47" s="1"/>
  <c r="AE20" i="172" s="1"/>
  <c r="Z18" i="41"/>
  <c r="AB18" i="12" s="1"/>
  <c r="H19" i="41"/>
  <c r="K19" i="41"/>
  <c r="L19" i="41"/>
  <c r="M19" i="41"/>
  <c r="N19" i="41"/>
  <c r="AE21" i="47" s="1"/>
  <c r="AB21" i="172" s="1"/>
  <c r="Q19" i="41"/>
  <c r="Z19" i="41"/>
  <c r="H20" i="41"/>
  <c r="K20" i="41"/>
  <c r="L20" i="41"/>
  <c r="AC22" i="47" s="1"/>
  <c r="M20" i="41"/>
  <c r="AD22" i="47" s="1"/>
  <c r="AA22" i="172" s="1"/>
  <c r="N20" i="41"/>
  <c r="AE22" i="47" s="1"/>
  <c r="AB22" i="172" s="1"/>
  <c r="Q20" i="41"/>
  <c r="AH22" i="47" s="1"/>
  <c r="AE22" i="172" s="1"/>
  <c r="Z20" i="41"/>
  <c r="H21" i="41"/>
  <c r="K21" i="41"/>
  <c r="L21" i="41"/>
  <c r="M21" i="41"/>
  <c r="N21" i="41"/>
  <c r="AE23" i="47" s="1"/>
  <c r="AB23" i="172" s="1"/>
  <c r="Q21" i="41"/>
  <c r="Z21" i="41"/>
  <c r="H22" i="41"/>
  <c r="K22" i="41"/>
  <c r="L22" i="41"/>
  <c r="AC24" i="47" s="1"/>
  <c r="M22" i="41"/>
  <c r="AD24" i="47" s="1"/>
  <c r="AA24" i="172" s="1"/>
  <c r="N22" i="41"/>
  <c r="AE24" i="47" s="1"/>
  <c r="AB24" i="172" s="1"/>
  <c r="Q22" i="41"/>
  <c r="AH24" i="47" s="1"/>
  <c r="AE24" i="172" s="1"/>
  <c r="Z22" i="41"/>
  <c r="H23" i="41"/>
  <c r="K23" i="41"/>
  <c r="L23" i="41"/>
  <c r="M23" i="41"/>
  <c r="N23" i="41"/>
  <c r="AE25" i="47" s="1"/>
  <c r="AB25" i="172" s="1"/>
  <c r="Q23" i="41"/>
  <c r="Z23" i="41"/>
  <c r="H24" i="41"/>
  <c r="K24" i="41"/>
  <c r="L24" i="41"/>
  <c r="AC26" i="47" s="1"/>
  <c r="M24" i="41"/>
  <c r="AD26" i="47" s="1"/>
  <c r="AA26" i="172" s="1"/>
  <c r="N24" i="41"/>
  <c r="AE26" i="47" s="1"/>
  <c r="AB26" i="172" s="1"/>
  <c r="Q24" i="41"/>
  <c r="AH26" i="47" s="1"/>
  <c r="AE26" i="172" s="1"/>
  <c r="Z24" i="41"/>
  <c r="H25" i="41"/>
  <c r="K25" i="41"/>
  <c r="L25" i="41"/>
  <c r="M25" i="41"/>
  <c r="N25" i="41"/>
  <c r="AE27" i="47" s="1"/>
  <c r="AB27" i="172" s="1"/>
  <c r="Q25" i="41"/>
  <c r="Z25" i="41"/>
  <c r="H26" i="41"/>
  <c r="K26" i="41"/>
  <c r="L26" i="41"/>
  <c r="AC28" i="47" s="1"/>
  <c r="M26" i="41"/>
  <c r="AD28" i="47" s="1"/>
  <c r="AA28" i="172" s="1"/>
  <c r="N26" i="41"/>
  <c r="AE28" i="47" s="1"/>
  <c r="AB28" i="172" s="1"/>
  <c r="Q26" i="41"/>
  <c r="AH28" i="47" s="1"/>
  <c r="AE28" i="172" s="1"/>
  <c r="Z26" i="41"/>
  <c r="H27" i="41"/>
  <c r="K27" i="41"/>
  <c r="L27" i="41"/>
  <c r="M27" i="41"/>
  <c r="N27" i="41"/>
  <c r="AE29" i="47" s="1"/>
  <c r="AB29" i="172" s="1"/>
  <c r="Q27" i="41"/>
  <c r="Z27" i="41"/>
  <c r="H28" i="41"/>
  <c r="K28" i="41"/>
  <c r="L28" i="41"/>
  <c r="AC30" i="47" s="1"/>
  <c r="M28" i="41"/>
  <c r="AD30" i="47" s="1"/>
  <c r="AA30" i="172" s="1"/>
  <c r="N28" i="41"/>
  <c r="AE30" i="47" s="1"/>
  <c r="AB30" i="172" s="1"/>
  <c r="Q28" i="41"/>
  <c r="AH30" i="47" s="1"/>
  <c r="AE30" i="172" s="1"/>
  <c r="Z28" i="41"/>
  <c r="H29" i="41"/>
  <c r="K29" i="41"/>
  <c r="L29" i="41"/>
  <c r="M29" i="41"/>
  <c r="N29" i="41"/>
  <c r="AE31" i="47" s="1"/>
  <c r="AB31" i="172" s="1"/>
  <c r="Q29" i="41"/>
  <c r="Z29" i="41"/>
  <c r="H30" i="41"/>
  <c r="K30" i="41"/>
  <c r="L30" i="41"/>
  <c r="AC32" i="47" s="1"/>
  <c r="M30" i="41"/>
  <c r="AD32" i="47" s="1"/>
  <c r="AA32" i="172" s="1"/>
  <c r="N30" i="41"/>
  <c r="AE32" i="47" s="1"/>
  <c r="AB32" i="172" s="1"/>
  <c r="Q30" i="41"/>
  <c r="AH32" i="47" s="1"/>
  <c r="AE32" i="172" s="1"/>
  <c r="Z30" i="41"/>
  <c r="H31" i="41"/>
  <c r="K31" i="41"/>
  <c r="L31" i="41"/>
  <c r="M31" i="41"/>
  <c r="N31" i="41"/>
  <c r="AE33" i="47" s="1"/>
  <c r="AB33" i="172" s="1"/>
  <c r="Q31" i="41"/>
  <c r="Z31" i="41"/>
  <c r="H32" i="41"/>
  <c r="K32" i="41"/>
  <c r="L32" i="41"/>
  <c r="AC34" i="47" s="1"/>
  <c r="M32" i="41"/>
  <c r="AD34" i="47" s="1"/>
  <c r="AA34" i="172" s="1"/>
  <c r="N32" i="41"/>
  <c r="AE34" i="47" s="1"/>
  <c r="AB34" i="172" s="1"/>
  <c r="Q32" i="41"/>
  <c r="AH34" i="47" s="1"/>
  <c r="AE34" i="172" s="1"/>
  <c r="Z32" i="41"/>
  <c r="H33" i="41"/>
  <c r="K33" i="41"/>
  <c r="L33" i="41"/>
  <c r="M33" i="41"/>
  <c r="N33" i="41"/>
  <c r="AE35" i="47" s="1"/>
  <c r="AB35" i="172" s="1"/>
  <c r="Q33" i="41"/>
  <c r="Z33" i="41"/>
  <c r="H34" i="41"/>
  <c r="K34" i="41"/>
  <c r="L34" i="41"/>
  <c r="AC36" i="47" s="1"/>
  <c r="M34" i="41"/>
  <c r="AD36" i="47" s="1"/>
  <c r="AA36" i="172" s="1"/>
  <c r="N34" i="41"/>
  <c r="AE36" i="47" s="1"/>
  <c r="AB36" i="172" s="1"/>
  <c r="Q34" i="41"/>
  <c r="AH36" i="47" s="1"/>
  <c r="AE36" i="172" s="1"/>
  <c r="Z34" i="41"/>
  <c r="H35" i="41"/>
  <c r="K35" i="41"/>
  <c r="L35" i="41"/>
  <c r="M35" i="41"/>
  <c r="N35" i="41"/>
  <c r="AE37" i="47" s="1"/>
  <c r="AB37" i="172" s="1"/>
  <c r="Q35" i="41"/>
  <c r="Z35" i="41"/>
  <c r="H36" i="41"/>
  <c r="K36" i="41"/>
  <c r="L36" i="41"/>
  <c r="AC38" i="47" s="1"/>
  <c r="M36" i="41"/>
  <c r="AD38" i="47" s="1"/>
  <c r="AA38" i="172" s="1"/>
  <c r="N36" i="41"/>
  <c r="AE38" i="47" s="1"/>
  <c r="AB38" i="172" s="1"/>
  <c r="Q36" i="41"/>
  <c r="AH38" i="47" s="1"/>
  <c r="AE38" i="172" s="1"/>
  <c r="Z36" i="41"/>
  <c r="H37" i="41"/>
  <c r="K37" i="41"/>
  <c r="L37" i="41"/>
  <c r="M37" i="41"/>
  <c r="N37" i="41"/>
  <c r="AE39" i="47" s="1"/>
  <c r="AB39" i="172" s="1"/>
  <c r="Q37" i="41"/>
  <c r="Z37" i="41"/>
  <c r="H38" i="41"/>
  <c r="K38" i="41"/>
  <c r="L38" i="41"/>
  <c r="AC40" i="47" s="1"/>
  <c r="M38" i="41"/>
  <c r="AD40" i="47" s="1"/>
  <c r="AA40" i="172" s="1"/>
  <c r="N38" i="41"/>
  <c r="AE40" i="47" s="1"/>
  <c r="AB40" i="172" s="1"/>
  <c r="Q38" i="41"/>
  <c r="AH40" i="47" s="1"/>
  <c r="AE40" i="172" s="1"/>
  <c r="Z38" i="41"/>
  <c r="H39" i="41"/>
  <c r="K39" i="41"/>
  <c r="L39" i="41"/>
  <c r="M39" i="41"/>
  <c r="N39" i="41"/>
  <c r="AE41" i="47" s="1"/>
  <c r="AB41" i="172" s="1"/>
  <c r="Q39" i="41"/>
  <c r="Z39" i="41"/>
  <c r="E58" i="41"/>
  <c r="B2" i="39"/>
  <c r="M7" i="39"/>
  <c r="M18" i="39"/>
  <c r="H18" i="39" s="1"/>
  <c r="H19" i="39"/>
  <c r="H27" i="39"/>
  <c r="H31" i="39"/>
  <c r="B2" i="8"/>
  <c r="J2" i="8"/>
  <c r="G4" i="8"/>
  <c r="O8" i="8"/>
  <c r="J12" i="8"/>
  <c r="C14" i="156"/>
  <c r="J13" i="8"/>
  <c r="J14" i="8"/>
  <c r="J15" i="8"/>
  <c r="J16" i="8"/>
  <c r="J17" i="8"/>
  <c r="J18" i="8"/>
  <c r="J20" i="8"/>
  <c r="D18" i="229"/>
  <c r="J22" i="8"/>
  <c r="J23" i="8"/>
  <c r="J24" i="8"/>
  <c r="J25" i="8"/>
  <c r="J26" i="8"/>
  <c r="J27" i="8"/>
  <c r="J29" i="8"/>
  <c r="J33" i="8"/>
  <c r="J34" i="8"/>
  <c r="J35" i="8"/>
  <c r="J38" i="8"/>
  <c r="J39" i="8"/>
  <c r="J41" i="8"/>
  <c r="J43" i="8"/>
  <c r="J44" i="8"/>
  <c r="J45" i="8"/>
  <c r="J47" i="8"/>
  <c r="J49" i="8"/>
  <c r="J50" i="8"/>
  <c r="J51" i="8"/>
  <c r="J52" i="8"/>
  <c r="J53" i="8"/>
  <c r="J54" i="8"/>
  <c r="J56" i="8"/>
  <c r="J58" i="8"/>
  <c r="D69" i="8"/>
  <c r="E69" i="8"/>
  <c r="G69" i="8"/>
  <c r="B2" i="10"/>
  <c r="J2" i="10"/>
  <c r="G4" i="10"/>
  <c r="E9" i="10"/>
  <c r="E8" i="8" s="1"/>
  <c r="M8" i="8" s="1"/>
  <c r="N9" i="10"/>
  <c r="J12" i="10"/>
  <c r="L12" i="10"/>
  <c r="M12" i="10"/>
  <c r="N12" i="10"/>
  <c r="L14" i="10"/>
  <c r="N14" i="10"/>
  <c r="J14" i="10"/>
  <c r="J16" i="10"/>
  <c r="J18" i="10"/>
  <c r="J20" i="10"/>
  <c r="J21" i="10"/>
  <c r="J22" i="10"/>
  <c r="J23" i="10"/>
  <c r="J24" i="10"/>
  <c r="J25" i="10"/>
  <c r="J27" i="10"/>
  <c r="J29" i="10"/>
  <c r="J31" i="10"/>
  <c r="J32" i="10"/>
  <c r="J33" i="10"/>
  <c r="J35" i="10"/>
  <c r="J37" i="10"/>
  <c r="J39" i="10"/>
  <c r="J41" i="10"/>
  <c r="J42" i="10"/>
  <c r="J44" i="10"/>
  <c r="B2" i="229"/>
  <c r="O4" i="229"/>
  <c r="G10" i="229"/>
  <c r="H10" i="229" s="1"/>
  <c r="D11" i="229"/>
  <c r="F11" i="229"/>
  <c r="G11" i="229"/>
  <c r="H11" i="229"/>
  <c r="I11" i="229"/>
  <c r="J11" i="229"/>
  <c r="K11" i="229"/>
  <c r="L11" i="229"/>
  <c r="M11" i="229"/>
  <c r="N11" i="229"/>
  <c r="O11" i="229"/>
  <c r="P11" i="229"/>
  <c r="D12" i="229"/>
  <c r="F12" i="229"/>
  <c r="G12" i="229"/>
  <c r="H12" i="229"/>
  <c r="I12" i="229"/>
  <c r="J12" i="229"/>
  <c r="K12" i="229"/>
  <c r="L12" i="229"/>
  <c r="M12" i="229"/>
  <c r="N12" i="229"/>
  <c r="O12" i="229"/>
  <c r="P12" i="229"/>
  <c r="F17" i="229"/>
  <c r="G17" i="229" s="1"/>
  <c r="H17" i="229" s="1"/>
  <c r="I17" i="229" s="1"/>
  <c r="J17" i="229" s="1"/>
  <c r="K17" i="229" s="1"/>
  <c r="L17" i="229" s="1"/>
  <c r="M17" i="229" s="1"/>
  <c r="N17" i="229" s="1"/>
  <c r="O17" i="229" s="1"/>
  <c r="P17" i="229" s="1"/>
  <c r="G20" i="229"/>
  <c r="H20" i="229" s="1"/>
  <c r="I20" i="229" s="1"/>
  <c r="J20" i="229" s="1"/>
  <c r="K20" i="229" s="1"/>
  <c r="L20" i="229" s="1"/>
  <c r="M20" i="229" s="1"/>
  <c r="N20" i="229" s="1"/>
  <c r="O20" i="229" s="1"/>
  <c r="P20" i="229" s="1"/>
  <c r="F21" i="229"/>
  <c r="G21" i="229"/>
  <c r="H21" i="229"/>
  <c r="I21" i="229"/>
  <c r="J21" i="229"/>
  <c r="K21" i="229"/>
  <c r="L21" i="229"/>
  <c r="M21" i="229"/>
  <c r="N21" i="229"/>
  <c r="O21" i="229"/>
  <c r="P21" i="229"/>
  <c r="F22" i="229"/>
  <c r="G22" i="229"/>
  <c r="H22" i="229"/>
  <c r="I22" i="229"/>
  <c r="J22" i="229"/>
  <c r="K22" i="229"/>
  <c r="L22" i="229"/>
  <c r="M22" i="229"/>
  <c r="N22" i="229"/>
  <c r="O22" i="229"/>
  <c r="P22" i="229"/>
  <c r="F23" i="229"/>
  <c r="G23" i="229"/>
  <c r="H23" i="229"/>
  <c r="I23" i="229"/>
  <c r="J23" i="229"/>
  <c r="K23" i="229"/>
  <c r="L23" i="229"/>
  <c r="M23" i="229"/>
  <c r="N23" i="229"/>
  <c r="O23" i="229"/>
  <c r="P23" i="229"/>
  <c r="B45" i="229"/>
  <c r="F60" i="229"/>
  <c r="G60" i="229"/>
  <c r="H60" i="229"/>
  <c r="I60" i="229"/>
  <c r="J60" i="229"/>
  <c r="F61" i="229"/>
  <c r="G61" i="229"/>
  <c r="H61" i="229"/>
  <c r="I61" i="229"/>
  <c r="J61" i="229"/>
  <c r="K61" i="229"/>
  <c r="L61" i="229"/>
  <c r="F62" i="229"/>
  <c r="G62" i="229"/>
  <c r="H62" i="229"/>
  <c r="I62" i="229"/>
  <c r="J62" i="229"/>
  <c r="K62" i="229"/>
  <c r="L62" i="229"/>
  <c r="M62" i="229"/>
  <c r="N62" i="229"/>
  <c r="O62" i="229"/>
  <c r="P62" i="229"/>
  <c r="F63" i="229"/>
  <c r="G63" i="229"/>
  <c r="H63" i="229"/>
  <c r="I63" i="229"/>
  <c r="J63" i="229"/>
  <c r="K63" i="229"/>
  <c r="L63" i="229"/>
  <c r="M63" i="229"/>
  <c r="N63" i="229"/>
  <c r="O63" i="229"/>
  <c r="P63" i="229"/>
  <c r="Q63" i="229"/>
  <c r="R63" i="229"/>
  <c r="S63" i="229"/>
  <c r="T63" i="229"/>
  <c r="U63" i="229"/>
  <c r="F64" i="229"/>
  <c r="G64" i="229"/>
  <c r="H64" i="229"/>
  <c r="I64" i="229"/>
  <c r="J64" i="229"/>
  <c r="K64" i="229"/>
  <c r="L64" i="229"/>
  <c r="M64" i="229"/>
  <c r="N64" i="229"/>
  <c r="O64" i="229"/>
  <c r="P64" i="229"/>
  <c r="Q64" i="229"/>
  <c r="R64" i="229"/>
  <c r="S64" i="229"/>
  <c r="T64" i="229"/>
  <c r="U64" i="229"/>
  <c r="V64" i="229"/>
  <c r="W64" i="229"/>
  <c r="X64" i="229"/>
  <c r="Y64" i="229"/>
  <c r="Z64" i="229"/>
  <c r="B2" i="6"/>
  <c r="O4" i="6"/>
  <c r="J12" i="6"/>
  <c r="J14" i="6" s="1"/>
  <c r="F14" i="6"/>
  <c r="F19" i="6" s="1"/>
  <c r="G14" i="6"/>
  <c r="H14" i="6"/>
  <c r="H19" i="6" s="1"/>
  <c r="H20" i="6" s="1"/>
  <c r="I14" i="6"/>
  <c r="J17" i="6"/>
  <c r="K17" i="6" s="1"/>
  <c r="L17" i="6" s="1"/>
  <c r="M17" i="6" s="1"/>
  <c r="N17" i="6" s="1"/>
  <c r="O17" i="6" s="1"/>
  <c r="F28" i="6"/>
  <c r="G28" i="6"/>
  <c r="H28" i="6"/>
  <c r="I28" i="6"/>
  <c r="M31" i="6"/>
  <c r="N31" i="6" s="1"/>
  <c r="O31" i="6" s="1"/>
  <c r="D47" i="6"/>
  <c r="W7" i="41" s="1"/>
  <c r="L67" i="6"/>
  <c r="K67" i="6" s="1"/>
  <c r="N67" i="6"/>
  <c r="O67" i="6" s="1"/>
  <c r="Q67" i="6"/>
  <c r="G68" i="6"/>
  <c r="J69" i="6"/>
  <c r="J68" i="6" s="1"/>
  <c r="J71" i="6"/>
  <c r="J72" i="6" s="1"/>
  <c r="K75" i="6"/>
  <c r="M75" i="6"/>
  <c r="F116" i="6"/>
  <c r="G116" i="6"/>
  <c r="H116" i="6"/>
  <c r="I116" i="6"/>
  <c r="J116" i="6"/>
  <c r="K116" i="6"/>
  <c r="B2" i="66"/>
  <c r="O3" i="66"/>
  <c r="L4" i="66"/>
  <c r="P4" i="66"/>
  <c r="F9" i="66"/>
  <c r="F12" i="66"/>
  <c r="B2" i="52"/>
  <c r="D9" i="52"/>
  <c r="D9" i="271" s="1"/>
  <c r="D11" i="52"/>
  <c r="C37" i="156" s="1"/>
  <c r="E15" i="52"/>
  <c r="E78" i="52" s="1"/>
  <c r="N18" i="52"/>
  <c r="B19" i="52"/>
  <c r="B20" i="52"/>
  <c r="B21" i="52"/>
  <c r="B35" i="52" s="1"/>
  <c r="J23" i="52"/>
  <c r="N25" i="52"/>
  <c r="B26" i="52"/>
  <c r="B27" i="52"/>
  <c r="B28" i="52"/>
  <c r="J30" i="52"/>
  <c r="N32" i="52"/>
  <c r="B36" i="52"/>
  <c r="B73" i="52" s="1"/>
  <c r="N36" i="52"/>
  <c r="B37" i="52"/>
  <c r="B74" i="52" s="1"/>
  <c r="D50" i="52"/>
  <c r="E50" i="52"/>
  <c r="D66" i="52"/>
  <c r="D88" i="52"/>
  <c r="D102" i="52" s="1"/>
  <c r="D110" i="52" s="1"/>
  <c r="E88" i="52"/>
  <c r="E102" i="52" s="1"/>
  <c r="E110" i="52" s="1"/>
  <c r="B15" i="66"/>
  <c r="B2" i="132"/>
  <c r="F8" i="132"/>
  <c r="E31" i="132"/>
  <c r="F35" i="132"/>
  <c r="E39" i="132"/>
  <c r="F43" i="132"/>
  <c r="F47" i="132"/>
  <c r="F51" i="132"/>
  <c r="F55" i="132"/>
  <c r="F59" i="132"/>
  <c r="F63" i="132"/>
  <c r="F67" i="132"/>
  <c r="E73" i="132"/>
  <c r="E77" i="132"/>
  <c r="E81" i="132"/>
  <c r="F91" i="132"/>
  <c r="F95" i="132"/>
  <c r="F99" i="132"/>
  <c r="F103" i="132"/>
  <c r="B2" i="126"/>
  <c r="G4" i="126"/>
  <c r="F11" i="126"/>
  <c r="J11" i="126" s="1"/>
  <c r="K11" i="126"/>
  <c r="F12" i="126"/>
  <c r="J12" i="126" s="1"/>
  <c r="G12" i="126"/>
  <c r="D51" i="126" s="1"/>
  <c r="D52" i="126" s="1"/>
  <c r="K12" i="126"/>
  <c r="F13" i="126"/>
  <c r="J13" i="126" s="1"/>
  <c r="K13" i="126"/>
  <c r="B15" i="126"/>
  <c r="C18" i="126"/>
  <c r="C19" i="126" s="1"/>
  <c r="D19" i="126" s="1"/>
  <c r="D18" i="126"/>
  <c r="E18" i="126"/>
  <c r="B22" i="126"/>
  <c r="C25" i="126"/>
  <c r="E25" i="126"/>
  <c r="B29" i="126"/>
  <c r="C32" i="126"/>
  <c r="E32" i="126"/>
  <c r="F39" i="126"/>
  <c r="G39" i="126"/>
  <c r="C40" i="126"/>
  <c r="E40" i="126"/>
  <c r="G40" i="126"/>
  <c r="C45" i="126"/>
  <c r="J45" i="126"/>
  <c r="B46" i="126"/>
  <c r="J46" i="126" s="1"/>
  <c r="D46" i="126"/>
  <c r="C47" i="126"/>
  <c r="C48" i="126" s="1"/>
  <c r="D47" i="126"/>
  <c r="E47" i="126"/>
  <c r="E49" i="126" s="1"/>
  <c r="E51" i="126" s="1"/>
  <c r="E53" i="126" s="1"/>
  <c r="J47" i="126"/>
  <c r="B48" i="126"/>
  <c r="J48" i="126" s="1"/>
  <c r="D48" i="126"/>
  <c r="E48" i="126"/>
  <c r="E50" i="126" s="1"/>
  <c r="E52" i="126" s="1"/>
  <c r="E54" i="126" s="1"/>
  <c r="C49" i="126"/>
  <c r="C55" i="126" s="1"/>
  <c r="J49" i="126"/>
  <c r="B50" i="126"/>
  <c r="J50" i="126" s="1"/>
  <c r="D50" i="126"/>
  <c r="J51" i="126"/>
  <c r="B52" i="126"/>
  <c r="J52" i="126" s="1"/>
  <c r="D53" i="126"/>
  <c r="D54" i="126" s="1"/>
  <c r="J53" i="126"/>
  <c r="B54" i="126"/>
  <c r="J54" i="126" s="1"/>
  <c r="D55" i="126"/>
  <c r="J55" i="126"/>
  <c r="J56" i="126"/>
  <c r="B57" i="126"/>
  <c r="J57" i="126" s="1"/>
  <c r="D57" i="126"/>
  <c r="D70" i="126"/>
  <c r="G70" i="126" s="1"/>
  <c r="D71" i="126"/>
  <c r="E71" i="126"/>
  <c r="E72" i="126" s="1"/>
  <c r="F72" i="126" s="1"/>
  <c r="F77" i="126" s="1"/>
  <c r="F82" i="126" s="1"/>
  <c r="F71" i="126"/>
  <c r="D72" i="126"/>
  <c r="B75" i="126"/>
  <c r="B80" i="126" s="1"/>
  <c r="E75" i="126"/>
  <c r="E80" i="126" s="1"/>
  <c r="B76" i="126"/>
  <c r="B81" i="126" s="1"/>
  <c r="F76" i="126"/>
  <c r="B77" i="126"/>
  <c r="B82" i="126" s="1"/>
  <c r="F81" i="126"/>
  <c r="E91" i="126"/>
  <c r="H91" i="126" s="1"/>
  <c r="E92" i="126"/>
  <c r="F92" i="126"/>
  <c r="G92" i="126"/>
  <c r="E93" i="126"/>
  <c r="F93" i="126"/>
  <c r="G93" i="126"/>
  <c r="E94" i="126"/>
  <c r="F94" i="126"/>
  <c r="G94" i="126"/>
  <c r="G100" i="126" s="1"/>
  <c r="D96" i="126"/>
  <c r="B97" i="126"/>
  <c r="F97" i="126"/>
  <c r="B98" i="126"/>
  <c r="G98" i="126"/>
  <c r="B99" i="126"/>
  <c r="G99" i="126"/>
  <c r="B100" i="126"/>
  <c r="D102" i="126"/>
  <c r="B103" i="126"/>
  <c r="F103" i="126"/>
  <c r="B104" i="126"/>
  <c r="G104" i="126"/>
  <c r="B105" i="126"/>
  <c r="G105" i="126"/>
  <c r="B106" i="126"/>
  <c r="F115" i="126"/>
  <c r="D120" i="126"/>
  <c r="D121" i="126"/>
  <c r="C122" i="126"/>
  <c r="C150" i="126" s="1"/>
  <c r="B124" i="126"/>
  <c r="C127" i="126"/>
  <c r="D127" i="126" s="1"/>
  <c r="F128" i="126"/>
  <c r="F129" i="126" s="1"/>
  <c r="B131" i="126"/>
  <c r="C134" i="126"/>
  <c r="C135" i="126" s="1"/>
  <c r="D135" i="126" s="1"/>
  <c r="F135" i="126" s="1"/>
  <c r="E134" i="126"/>
  <c r="C142" i="126"/>
  <c r="C149" i="126"/>
  <c r="G159" i="126" s="1"/>
  <c r="B2" i="73"/>
  <c r="E4" i="73"/>
  <c r="E10" i="73"/>
  <c r="E12" i="73" s="1"/>
  <c r="F9" i="243" s="1"/>
  <c r="F11" i="243" s="1"/>
  <c r="F15" i="243" s="1"/>
  <c r="N6" i="275" s="1"/>
  <c r="E41" i="73"/>
  <c r="E42" i="73" s="1"/>
  <c r="E51" i="73"/>
  <c r="B61" i="73"/>
  <c r="B70" i="73" s="1"/>
  <c r="B62" i="73"/>
  <c r="B71" i="73" s="1"/>
  <c r="B63" i="73"/>
  <c r="B72" i="73" s="1"/>
  <c r="B73" i="73"/>
  <c r="B85" i="73" s="1"/>
  <c r="B184" i="73" s="1"/>
  <c r="B201" i="73" s="1"/>
  <c r="B74" i="73"/>
  <c r="B86" i="73" s="1"/>
  <c r="B185" i="73" s="1"/>
  <c r="B202" i="73" s="1"/>
  <c r="C101" i="73"/>
  <c r="D101" i="73" s="1"/>
  <c r="C111" i="73"/>
  <c r="C118" i="73"/>
  <c r="C158" i="73"/>
  <c r="D158" i="73" s="1"/>
  <c r="B2" i="4"/>
  <c r="J4" i="4"/>
  <c r="B2" i="133"/>
  <c r="K8" i="133"/>
  <c r="B8" i="133" s="1"/>
  <c r="G8" i="133" s="1"/>
  <c r="G9" i="133"/>
  <c r="E10" i="133"/>
  <c r="G10" i="133"/>
  <c r="J11" i="133"/>
  <c r="K11" i="133" s="1"/>
  <c r="L11" i="133"/>
  <c r="L12" i="133" s="1"/>
  <c r="L13" i="133" s="1"/>
  <c r="L14" i="133" s="1"/>
  <c r="L15" i="133" s="1"/>
  <c r="G16" i="133"/>
  <c r="E17" i="133"/>
  <c r="G17" i="133"/>
  <c r="L18" i="133"/>
  <c r="L19" i="133" s="1"/>
  <c r="L20" i="133" s="1"/>
  <c r="L21" i="133" s="1"/>
  <c r="G22" i="133"/>
  <c r="E23" i="133"/>
  <c r="G23" i="133"/>
  <c r="L24" i="133"/>
  <c r="L25" i="133" s="1"/>
  <c r="L26" i="133" s="1"/>
  <c r="L27" i="133" s="1"/>
  <c r="G28" i="133"/>
  <c r="E29" i="133"/>
  <c r="G29" i="133"/>
  <c r="L30" i="133"/>
  <c r="L31" i="133" s="1"/>
  <c r="L32" i="133" s="1"/>
  <c r="L33" i="133" s="1"/>
  <c r="L34" i="133" s="1"/>
  <c r="G35" i="133"/>
  <c r="L36" i="133"/>
  <c r="E37" i="133"/>
  <c r="G37" i="133"/>
  <c r="E38" i="133"/>
  <c r="L38" i="133"/>
  <c r="L39" i="133" s="1"/>
  <c r="E39" i="133"/>
  <c r="G40" i="133"/>
  <c r="E41" i="133"/>
  <c r="G41" i="133"/>
  <c r="L43" i="133"/>
  <c r="L44" i="133" s="1"/>
  <c r="L45" i="133" s="1"/>
  <c r="L46" i="133" s="1"/>
  <c r="L47" i="133" s="1"/>
  <c r="L48" i="133" s="1"/>
  <c r="L49" i="133" s="1"/>
  <c r="L50" i="133" s="1"/>
  <c r="L51" i="133" s="1"/>
  <c r="L52" i="133" s="1"/>
  <c r="L53" i="133" s="1"/>
  <c r="B55" i="133"/>
  <c r="B8" i="232" s="1"/>
  <c r="E8" i="232"/>
  <c r="E9" i="232"/>
  <c r="K56" i="133"/>
  <c r="L56" i="133"/>
  <c r="L57" i="133" s="1"/>
  <c r="L58" i="133" s="1"/>
  <c r="L59" i="133" s="1"/>
  <c r="L60" i="133" s="1"/>
  <c r="E10" i="232"/>
  <c r="E11" i="232"/>
  <c r="E12" i="232"/>
  <c r="E13" i="232"/>
  <c r="E14" i="232"/>
  <c r="E15" i="232"/>
  <c r="K62" i="133"/>
  <c r="E16" i="232"/>
  <c r="E17" i="232"/>
  <c r="E18" i="232"/>
  <c r="E19" i="232"/>
  <c r="D9" i="1"/>
  <c r="D13" i="1"/>
  <c r="D15" i="1"/>
  <c r="J20" i="1"/>
  <c r="J20" i="152" s="1"/>
  <c r="D20" i="152" s="1"/>
  <c r="B2" i="248"/>
  <c r="B2" i="142"/>
  <c r="B9" i="142"/>
  <c r="B10" i="142" s="1"/>
  <c r="B11" i="142" s="1"/>
  <c r="B12" i="142" s="1"/>
  <c r="B13" i="142" s="1"/>
  <c r="B14" i="142" s="1"/>
  <c r="B15" i="142" s="1"/>
  <c r="B16" i="142" s="1"/>
  <c r="B17" i="142" s="1"/>
  <c r="B22" i="142"/>
  <c r="B23" i="142" s="1"/>
  <c r="B24" i="142" s="1"/>
  <c r="B25" i="142" s="1"/>
  <c r="B26" i="142" s="1"/>
  <c r="B27" i="142" s="1"/>
  <c r="B28" i="142" s="1"/>
  <c r="B29" i="142" s="1"/>
  <c r="B30" i="142" s="1"/>
  <c r="B28" i="79"/>
  <c r="C28" i="79"/>
  <c r="A29" i="79"/>
  <c r="A30" i="79" s="1"/>
  <c r="A31" i="79" s="1"/>
  <c r="A32" i="79" s="1"/>
  <c r="A33" i="79" s="1"/>
  <c r="A34" i="79" s="1"/>
  <c r="A35" i="79" s="1"/>
  <c r="A36" i="79" s="1"/>
  <c r="A37" i="79" s="1"/>
  <c r="A38" i="79" s="1"/>
  <c r="A39" i="79" s="1"/>
  <c r="A40" i="79" s="1"/>
  <c r="A41" i="79" s="1"/>
  <c r="A42" i="79" s="1"/>
  <c r="A43" i="79" s="1"/>
  <c r="A44" i="79" s="1"/>
  <c r="A45" i="79" s="1"/>
  <c r="A46" i="79" s="1"/>
  <c r="A47" i="79" s="1"/>
  <c r="A48" i="79" s="1"/>
  <c r="A49" i="79" s="1"/>
  <c r="A50" i="79" s="1"/>
  <c r="A51" i="79" s="1"/>
  <c r="A52" i="79" s="1"/>
  <c r="A53" i="79" s="1"/>
  <c r="A54" i="79" s="1"/>
  <c r="A55" i="79" s="1"/>
  <c r="A56" i="79" s="1"/>
  <c r="A57" i="79" s="1"/>
  <c r="B29" i="79"/>
  <c r="C29" i="79"/>
  <c r="C53" i="79"/>
  <c r="C54" i="79"/>
  <c r="C55" i="79"/>
  <c r="C56" i="79"/>
  <c r="B57" i="79"/>
  <c r="C57" i="79"/>
  <c r="A5" i="123"/>
  <c r="A6" i="123" s="1"/>
  <c r="A7" i="123" s="1"/>
  <c r="A8" i="123" s="1"/>
  <c r="K24" i="214"/>
  <c r="K17" i="214"/>
  <c r="J21" i="214"/>
  <c r="J13" i="214"/>
  <c r="K14" i="214"/>
  <c r="J19" i="214"/>
  <c r="AT46" i="213"/>
  <c r="AT49" i="213"/>
  <c r="AT44" i="213"/>
  <c r="AT47" i="213"/>
  <c r="AT53" i="213"/>
  <c r="BR14" i="213"/>
  <c r="J17" i="214"/>
  <c r="J18" i="214"/>
  <c r="K10" i="214"/>
  <c r="K15" i="214"/>
  <c r="AT45" i="213"/>
  <c r="J27" i="214"/>
  <c r="K12" i="214"/>
  <c r="K21" i="214"/>
  <c r="K19" i="214"/>
  <c r="J26" i="214"/>
  <c r="K26" i="214"/>
  <c r="K22" i="214"/>
  <c r="K13" i="214"/>
  <c r="AT50" i="213"/>
  <c r="J20" i="214"/>
  <c r="K11" i="214"/>
  <c r="J23" i="214"/>
  <c r="J15" i="214"/>
  <c r="K28" i="214"/>
  <c r="AT51" i="213"/>
  <c r="K27" i="214"/>
  <c r="K29" i="214"/>
  <c r="J29" i="214"/>
  <c r="J14" i="214"/>
  <c r="J10" i="214"/>
  <c r="J24" i="214"/>
  <c r="K20" i="214"/>
  <c r="K16" i="214"/>
  <c r="AT48" i="213"/>
  <c r="K23" i="214"/>
  <c r="J28" i="214"/>
  <c r="J12" i="214"/>
  <c r="J25" i="214"/>
  <c r="J22" i="214"/>
  <c r="J11" i="214"/>
  <c r="AT52" i="213"/>
  <c r="K18" i="214"/>
  <c r="J16" i="214"/>
  <c r="K25" i="214"/>
  <c r="E44" i="172" l="1"/>
  <c r="H39" i="64"/>
  <c r="E45" i="172"/>
  <c r="E39" i="64"/>
  <c r="G39" i="64"/>
  <c r="C26" i="156"/>
  <c r="G26" i="156" s="1"/>
  <c r="D19" i="271"/>
  <c r="E66" i="52"/>
  <c r="D7" i="245"/>
  <c r="C44" i="156"/>
  <c r="H34" i="64"/>
  <c r="H35" i="64" s="1"/>
  <c r="D34" i="64"/>
  <c r="D35" i="64" s="1"/>
  <c r="D32" i="64"/>
  <c r="D39" i="64" s="1"/>
  <c r="G34" i="64"/>
  <c r="G35" i="64" s="1"/>
  <c r="J17" i="64"/>
  <c r="J39" i="64" s="1"/>
  <c r="C82" i="156"/>
  <c r="I34" i="64"/>
  <c r="I35" i="64" s="1"/>
  <c r="E34" i="64"/>
  <c r="E35" i="64" s="1"/>
  <c r="F35" i="156"/>
  <c r="F36" i="156"/>
  <c r="B40" i="172"/>
  <c r="B38" i="41"/>
  <c r="B36" i="172"/>
  <c r="B34" i="41"/>
  <c r="B34" i="172"/>
  <c r="B32" i="41"/>
  <c r="B32" i="172"/>
  <c r="B30" i="41"/>
  <c r="B28" i="172"/>
  <c r="B26" i="41"/>
  <c r="B24" i="53"/>
  <c r="B24" i="41"/>
  <c r="B24" i="172"/>
  <c r="B22" i="41"/>
  <c r="B20" i="172"/>
  <c r="B18" i="249"/>
  <c r="B18" i="244"/>
  <c r="B18" i="13"/>
  <c r="B18" i="257"/>
  <c r="B18" i="273"/>
  <c r="B18" i="12"/>
  <c r="B17" i="15"/>
  <c r="B18" i="272"/>
  <c r="B18" i="41"/>
  <c r="B18" i="172"/>
  <c r="B16" i="272"/>
  <c r="B16" i="257"/>
  <c r="B16" i="244"/>
  <c r="B16" i="41"/>
  <c r="B16" i="249"/>
  <c r="B15" i="15"/>
  <c r="B16" i="273"/>
  <c r="B16" i="12"/>
  <c r="B16" i="13"/>
  <c r="B14" i="273"/>
  <c r="B14" i="41"/>
  <c r="B12" i="273"/>
  <c r="B12" i="41"/>
  <c r="X34" i="185"/>
  <c r="X26" i="185"/>
  <c r="B39" i="53"/>
  <c r="B39" i="41"/>
  <c r="B39" i="172"/>
  <c r="B37" i="41"/>
  <c r="B35" i="53"/>
  <c r="B35" i="41"/>
  <c r="B35" i="172"/>
  <c r="B33" i="41"/>
  <c r="B31" i="53"/>
  <c r="B31" i="41"/>
  <c r="B31" i="172"/>
  <c r="B29" i="41"/>
  <c r="B27" i="53"/>
  <c r="B27" i="41"/>
  <c r="B27" i="172"/>
  <c r="B25" i="41"/>
  <c r="B25" i="172"/>
  <c r="B23" i="41"/>
  <c r="B23" i="172"/>
  <c r="B21" i="41"/>
  <c r="B21" i="172"/>
  <c r="B19" i="41"/>
  <c r="B19" i="172"/>
  <c r="B16" i="15"/>
  <c r="B17" i="244"/>
  <c r="B17" i="13"/>
  <c r="B17" i="272"/>
  <c r="B17" i="41"/>
  <c r="B17" i="257"/>
  <c r="B17" i="249"/>
  <c r="B17" i="273"/>
  <c r="B17" i="12"/>
  <c r="B15" i="41"/>
  <c r="B15" i="257"/>
  <c r="B15" i="249"/>
  <c r="B15" i="272"/>
  <c r="B15" i="13"/>
  <c r="B15" i="273"/>
  <c r="B15" i="244"/>
  <c r="B15" i="12"/>
  <c r="B13" i="273"/>
  <c r="B13" i="41"/>
  <c r="B11" i="273"/>
  <c r="B11" i="41"/>
  <c r="N15" i="244"/>
  <c r="N18" i="244"/>
  <c r="N16" i="244"/>
  <c r="N17" i="244"/>
  <c r="Q15" i="13"/>
  <c r="Q17" i="13"/>
  <c r="Q16" i="13"/>
  <c r="Q18" i="13"/>
  <c r="Q6" i="12"/>
  <c r="N17" i="12"/>
  <c r="N18" i="12"/>
  <c r="N16" i="12"/>
  <c r="N15" i="12"/>
  <c r="D56" i="126"/>
  <c r="G62" i="73"/>
  <c r="N33" i="52"/>
  <c r="I33" i="52" s="1"/>
  <c r="I70" i="52" s="1"/>
  <c r="I117" i="6"/>
  <c r="E14" i="273"/>
  <c r="J14" i="273"/>
  <c r="F14" i="273"/>
  <c r="G14" i="273"/>
  <c r="D14" i="273"/>
  <c r="AB14" i="273"/>
  <c r="G47" i="172"/>
  <c r="G13" i="273"/>
  <c r="E13" i="273"/>
  <c r="D13" i="273"/>
  <c r="F13" i="273"/>
  <c r="AB13" i="273"/>
  <c r="J13" i="273"/>
  <c r="G11" i="273"/>
  <c r="F11" i="273"/>
  <c r="E11" i="273"/>
  <c r="AB11" i="273"/>
  <c r="D11" i="273"/>
  <c r="J11" i="273"/>
  <c r="AA13" i="272"/>
  <c r="AA13" i="273"/>
  <c r="AA11" i="272"/>
  <c r="AA11" i="273"/>
  <c r="E12" i="273"/>
  <c r="G12" i="273"/>
  <c r="J12" i="273"/>
  <c r="D12" i="273"/>
  <c r="F12" i="273"/>
  <c r="AB12" i="273"/>
  <c r="B10" i="41"/>
  <c r="B10" i="273"/>
  <c r="AA14" i="272"/>
  <c r="AA14" i="273"/>
  <c r="AA12" i="272"/>
  <c r="AA12" i="273"/>
  <c r="AA10" i="272"/>
  <c r="AA10" i="273"/>
  <c r="R45" i="53"/>
  <c r="C134" i="73"/>
  <c r="C150" i="73" s="1"/>
  <c r="D118" i="73"/>
  <c r="D134" i="73" s="1"/>
  <c r="D150" i="73" s="1"/>
  <c r="R13" i="13"/>
  <c r="Q13" i="13"/>
  <c r="Q10" i="13"/>
  <c r="R10" i="13"/>
  <c r="B16" i="172"/>
  <c r="B14" i="272"/>
  <c r="B11" i="15"/>
  <c r="B12" i="272"/>
  <c r="Q11" i="13"/>
  <c r="R11" i="13"/>
  <c r="B17" i="172"/>
  <c r="B15" i="172"/>
  <c r="B13" i="272"/>
  <c r="B13" i="172"/>
  <c r="B11" i="272"/>
  <c r="K44" i="172"/>
  <c r="F44" i="172"/>
  <c r="D70" i="73"/>
  <c r="E70" i="73"/>
  <c r="I27" i="64"/>
  <c r="Q12" i="13"/>
  <c r="R12" i="13"/>
  <c r="B10" i="53"/>
  <c r="B10" i="272"/>
  <c r="N8" i="47"/>
  <c r="AB2" i="272"/>
  <c r="Q14" i="13"/>
  <c r="R14" i="13"/>
  <c r="C127" i="73"/>
  <c r="C143" i="73" s="1"/>
  <c r="D111" i="73"/>
  <c r="D127" i="73" s="1"/>
  <c r="D143" i="73" s="1"/>
  <c r="D47" i="73"/>
  <c r="D52" i="73" s="1"/>
  <c r="D54" i="73" s="1"/>
  <c r="J44" i="172"/>
  <c r="J46" i="172"/>
  <c r="I85" i="73"/>
  <c r="H73" i="73"/>
  <c r="H27" i="64"/>
  <c r="J28" i="64"/>
  <c r="J29" i="64" s="1"/>
  <c r="J34" i="64"/>
  <c r="J35" i="64" s="1"/>
  <c r="G63" i="73" s="1"/>
  <c r="F27" i="64"/>
  <c r="F34" i="64"/>
  <c r="F35" i="64" s="1"/>
  <c r="G61" i="73" s="1"/>
  <c r="I17" i="64"/>
  <c r="I39" i="64" s="1"/>
  <c r="E19" i="73"/>
  <c r="E20" i="73" s="1"/>
  <c r="D19" i="73"/>
  <c r="D20" i="73" s="1"/>
  <c r="J176" i="73"/>
  <c r="J177" i="73" s="1"/>
  <c r="K117" i="6"/>
  <c r="K48" i="172"/>
  <c r="E48" i="172"/>
  <c r="E46" i="172"/>
  <c r="J48" i="172"/>
  <c r="E47" i="172"/>
  <c r="G72" i="73"/>
  <c r="F23" i="236"/>
  <c r="N19" i="52"/>
  <c r="N19" i="241"/>
  <c r="Y12" i="185"/>
  <c r="C151" i="126"/>
  <c r="C53" i="126"/>
  <c r="C54" i="126" s="1"/>
  <c r="C57" i="126" s="1"/>
  <c r="Q46" i="53"/>
  <c r="I12" i="14"/>
  <c r="L48" i="172"/>
  <c r="G48" i="172"/>
  <c r="N21" i="52"/>
  <c r="N21" i="241"/>
  <c r="D37" i="236"/>
  <c r="D27" i="12"/>
  <c r="D27" i="257"/>
  <c r="Q6" i="244"/>
  <c r="Q10" i="244" s="1"/>
  <c r="J33" i="52"/>
  <c r="J70" i="52" s="1"/>
  <c r="E88" i="241"/>
  <c r="E102" i="241" s="1"/>
  <c r="E111" i="241" s="1"/>
  <c r="L43" i="172"/>
  <c r="K46" i="172"/>
  <c r="F46" i="172"/>
  <c r="D42" i="53"/>
  <c r="U36" i="53"/>
  <c r="N39" i="53"/>
  <c r="N35" i="53"/>
  <c r="I44" i="53"/>
  <c r="M47" i="172"/>
  <c r="H50" i="185"/>
  <c r="V37" i="53"/>
  <c r="V33" i="53"/>
  <c r="V29" i="53"/>
  <c r="V25" i="53"/>
  <c r="V23" i="53"/>
  <c r="V19" i="53"/>
  <c r="V17" i="53"/>
  <c r="V13" i="53"/>
  <c r="F48" i="172"/>
  <c r="L46" i="172"/>
  <c r="G45" i="172"/>
  <c r="U47" i="185"/>
  <c r="M48" i="172"/>
  <c r="I48" i="172"/>
  <c r="O36" i="53"/>
  <c r="O32" i="53"/>
  <c r="O28" i="53"/>
  <c r="O22" i="53"/>
  <c r="M21" i="53"/>
  <c r="M17" i="53"/>
  <c r="O16" i="53"/>
  <c r="M13" i="53"/>
  <c r="O12" i="53"/>
  <c r="K44" i="53"/>
  <c r="F42" i="53"/>
  <c r="R46" i="53"/>
  <c r="I45" i="53"/>
  <c r="D46" i="53"/>
  <c r="J37" i="185"/>
  <c r="L37" i="185" s="1"/>
  <c r="O25" i="41"/>
  <c r="G46" i="53"/>
  <c r="I16" i="14"/>
  <c r="P36" i="241"/>
  <c r="M18" i="64"/>
  <c r="O18" i="64" s="1"/>
  <c r="H28" i="64"/>
  <c r="H29" i="64" s="1"/>
  <c r="H40" i="64" s="1"/>
  <c r="H36" i="64"/>
  <c r="H37" i="64" s="1"/>
  <c r="D27" i="64"/>
  <c r="D36" i="64"/>
  <c r="D37" i="64" s="1"/>
  <c r="G27" i="64"/>
  <c r="G36" i="64"/>
  <c r="G37" i="64" s="1"/>
  <c r="J27" i="64"/>
  <c r="J36" i="64"/>
  <c r="J37" i="64" s="1"/>
  <c r="H63" i="73" s="1"/>
  <c r="F28" i="64"/>
  <c r="F29" i="64" s="1"/>
  <c r="F40" i="64" s="1"/>
  <c r="F36" i="64"/>
  <c r="F37" i="64" s="1"/>
  <c r="I28" i="64"/>
  <c r="I29" i="64" s="1"/>
  <c r="I36" i="64"/>
  <c r="I37" i="64" s="1"/>
  <c r="H62" i="73" s="1"/>
  <c r="E27" i="64"/>
  <c r="E36" i="64"/>
  <c r="E37" i="64" s="1"/>
  <c r="M45" i="250"/>
  <c r="V20" i="53"/>
  <c r="V16" i="53"/>
  <c r="V12" i="53"/>
  <c r="M44" i="172"/>
  <c r="I44" i="172"/>
  <c r="I46" i="53"/>
  <c r="K43" i="53"/>
  <c r="Q42" i="53"/>
  <c r="E46" i="185"/>
  <c r="G49" i="185"/>
  <c r="M38" i="53"/>
  <c r="M34" i="53"/>
  <c r="U32" i="53"/>
  <c r="M30" i="53"/>
  <c r="U28" i="53"/>
  <c r="M26" i="53"/>
  <c r="U24" i="53"/>
  <c r="U22" i="53"/>
  <c r="W21" i="53"/>
  <c r="M20" i="53"/>
  <c r="O19" i="53"/>
  <c r="U18" i="53"/>
  <c r="W17" i="53"/>
  <c r="U16" i="53"/>
  <c r="O15" i="53"/>
  <c r="M14" i="53"/>
  <c r="W13" i="53"/>
  <c r="U12" i="53"/>
  <c r="O11" i="53"/>
  <c r="M10" i="53"/>
  <c r="M46" i="172"/>
  <c r="I46" i="172"/>
  <c r="L45" i="172"/>
  <c r="L44" i="172"/>
  <c r="G44" i="172"/>
  <c r="G43" i="172"/>
  <c r="F45" i="53"/>
  <c r="F43" i="53"/>
  <c r="R43" i="53"/>
  <c r="D41" i="53"/>
  <c r="F41" i="53"/>
  <c r="R44" i="53"/>
  <c r="I41" i="53"/>
  <c r="D44" i="53"/>
  <c r="K42" i="53"/>
  <c r="F44" i="53"/>
  <c r="D26" i="11"/>
  <c r="L6" i="14"/>
  <c r="D48" i="14" s="1"/>
  <c r="D46" i="14" s="1"/>
  <c r="E46" i="14" s="1"/>
  <c r="I33" i="185"/>
  <c r="S32" i="185"/>
  <c r="J32" i="185"/>
  <c r="L32" i="185" s="1"/>
  <c r="X31" i="185"/>
  <c r="X29" i="185"/>
  <c r="N31" i="53"/>
  <c r="N27" i="53"/>
  <c r="N21" i="53"/>
  <c r="N15" i="53"/>
  <c r="N11" i="53"/>
  <c r="L47" i="172"/>
  <c r="G46" i="172"/>
  <c r="J43" i="172"/>
  <c r="G45" i="53"/>
  <c r="S45" i="53"/>
  <c r="J43" i="53"/>
  <c r="E43" i="53"/>
  <c r="Q45" i="53"/>
  <c r="S46" i="53"/>
  <c r="J46" i="53"/>
  <c r="E46" i="53"/>
  <c r="D28" i="64"/>
  <c r="I15" i="14"/>
  <c r="E66" i="241"/>
  <c r="X38" i="185"/>
  <c r="I38" i="185"/>
  <c r="S37" i="185"/>
  <c r="AA38" i="234"/>
  <c r="M21" i="234"/>
  <c r="O21" i="234" s="1"/>
  <c r="M24" i="234"/>
  <c r="O24" i="234" s="1"/>
  <c r="H15" i="6"/>
  <c r="K23" i="13"/>
  <c r="H24" i="13"/>
  <c r="E23" i="13"/>
  <c r="I21" i="13"/>
  <c r="E25" i="13"/>
  <c r="D24" i="13"/>
  <c r="F13" i="66"/>
  <c r="G74" i="73"/>
  <c r="E161" i="126"/>
  <c r="E173" i="126"/>
  <c r="F20" i="6"/>
  <c r="F30" i="6"/>
  <c r="F31" i="6" s="1"/>
  <c r="L8" i="172"/>
  <c r="U8" i="172"/>
  <c r="M21" i="12"/>
  <c r="G21" i="13"/>
  <c r="H25" i="13"/>
  <c r="E24" i="13"/>
  <c r="K21" i="13"/>
  <c r="H23" i="13"/>
  <c r="D25" i="13"/>
  <c r="I23" i="13"/>
  <c r="F20" i="13"/>
  <c r="G24" i="13"/>
  <c r="D23" i="13"/>
  <c r="E22" i="13"/>
  <c r="U49" i="185"/>
  <c r="D45" i="185"/>
  <c r="Q45" i="185"/>
  <c r="K46" i="185"/>
  <c r="E165" i="126"/>
  <c r="C50" i="126"/>
  <c r="F9" i="6"/>
  <c r="F8" i="229" s="1"/>
  <c r="F16" i="229" s="1"/>
  <c r="H21" i="39"/>
  <c r="D9" i="39" s="1"/>
  <c r="N44" i="41"/>
  <c r="O39" i="41"/>
  <c r="O27" i="41"/>
  <c r="O19" i="41"/>
  <c r="K46" i="53"/>
  <c r="F46" i="53"/>
  <c r="D45" i="53"/>
  <c r="E28" i="64"/>
  <c r="E29" i="64" s="1"/>
  <c r="I22" i="13"/>
  <c r="AA37" i="234"/>
  <c r="AA28" i="234"/>
  <c r="AA23" i="234"/>
  <c r="Q49" i="185"/>
  <c r="E47" i="185"/>
  <c r="X41" i="185"/>
  <c r="J39" i="185"/>
  <c r="L39" i="185" s="1"/>
  <c r="I34" i="185"/>
  <c r="S33" i="185"/>
  <c r="J33" i="185"/>
  <c r="L33" i="185" s="1"/>
  <c r="I29" i="185"/>
  <c r="S28" i="185"/>
  <c r="J28" i="185"/>
  <c r="L28" i="185" s="1"/>
  <c r="D50" i="185"/>
  <c r="R46" i="185"/>
  <c r="X27" i="185"/>
  <c r="T11" i="185"/>
  <c r="V11" i="185" s="1"/>
  <c r="J11" i="185"/>
  <c r="E171" i="126"/>
  <c r="E159" i="126"/>
  <c r="G106" i="126"/>
  <c r="H30" i="6"/>
  <c r="H31" i="6" s="1"/>
  <c r="O21" i="41"/>
  <c r="W38" i="53"/>
  <c r="W34" i="53"/>
  <c r="W30" i="53"/>
  <c r="W26" i="53"/>
  <c r="W24" i="53"/>
  <c r="W20" i="53"/>
  <c r="U19" i="53"/>
  <c r="W18" i="53"/>
  <c r="U15" i="53"/>
  <c r="W14" i="53"/>
  <c r="U11" i="53"/>
  <c r="W10" i="53"/>
  <c r="J47" i="172"/>
  <c r="J45" i="172"/>
  <c r="K45" i="53"/>
  <c r="I24" i="13"/>
  <c r="I14" i="14"/>
  <c r="AA27" i="234"/>
  <c r="I41" i="185"/>
  <c r="S40" i="185"/>
  <c r="J40" i="185"/>
  <c r="L40" i="185" s="1"/>
  <c r="X39" i="185"/>
  <c r="X37" i="185"/>
  <c r="K50" i="185"/>
  <c r="X30" i="185"/>
  <c r="I30" i="185"/>
  <c r="S29" i="185"/>
  <c r="J29" i="185"/>
  <c r="L29" i="185" s="1"/>
  <c r="E49" i="185"/>
  <c r="U48" i="185"/>
  <c r="S24" i="185"/>
  <c r="X23" i="185"/>
  <c r="I23" i="185"/>
  <c r="S20" i="185"/>
  <c r="C128" i="126"/>
  <c r="D128" i="126" s="1"/>
  <c r="H93" i="126"/>
  <c r="F99" i="126" s="1"/>
  <c r="I15" i="6"/>
  <c r="K12" i="6"/>
  <c r="L12" i="6" s="1"/>
  <c r="M12" i="6" s="1"/>
  <c r="O35" i="41"/>
  <c r="O23" i="41"/>
  <c r="L46" i="47"/>
  <c r="N22" i="53"/>
  <c r="N18" i="53"/>
  <c r="N14" i="53"/>
  <c r="N10" i="53"/>
  <c r="K142" i="217"/>
  <c r="AA26" i="234"/>
  <c r="Q50" i="185"/>
  <c r="Q48" i="185"/>
  <c r="X42" i="185"/>
  <c r="I42" i="185"/>
  <c r="J41" i="185"/>
  <c r="L41" i="185" s="1"/>
  <c r="U46" i="185"/>
  <c r="I37" i="185"/>
  <c r="J36" i="185"/>
  <c r="L36" i="185" s="1"/>
  <c r="R48" i="185"/>
  <c r="X35" i="185"/>
  <c r="J35" i="185"/>
  <c r="L35" i="185" s="1"/>
  <c r="X33" i="185"/>
  <c r="G46" i="185"/>
  <c r="I26" i="185"/>
  <c r="S25" i="185"/>
  <c r="H45" i="185"/>
  <c r="T24" i="185"/>
  <c r="V24" i="185" s="1"/>
  <c r="Y24" i="185"/>
  <c r="J24" i="185"/>
  <c r="L24" i="185" s="1"/>
  <c r="K139" i="217"/>
  <c r="Q9" i="173"/>
  <c r="AE12" i="173" s="1"/>
  <c r="X12" i="173"/>
  <c r="O31" i="41"/>
  <c r="P25" i="41"/>
  <c r="R25" i="41" s="1"/>
  <c r="P23" i="41"/>
  <c r="U23" i="41" s="1"/>
  <c r="V23" i="41" s="1"/>
  <c r="P21" i="41"/>
  <c r="R21" i="41" s="1"/>
  <c r="P19" i="41"/>
  <c r="U19" i="41" s="1"/>
  <c r="V19" i="41" s="1"/>
  <c r="S44" i="53"/>
  <c r="J44" i="53"/>
  <c r="E44" i="53"/>
  <c r="I43" i="53"/>
  <c r="D43" i="53"/>
  <c r="I42" i="53"/>
  <c r="M21" i="256"/>
  <c r="P47" i="185"/>
  <c r="U45" i="185"/>
  <c r="H92" i="126"/>
  <c r="O37" i="41"/>
  <c r="O33" i="41"/>
  <c r="Q43" i="53"/>
  <c r="G43" i="53"/>
  <c r="S42" i="53"/>
  <c r="S41" i="53"/>
  <c r="Q41" i="53"/>
  <c r="G28" i="64"/>
  <c r="G29" i="64" s="1"/>
  <c r="M24" i="256"/>
  <c r="M23" i="249"/>
  <c r="K25" i="13"/>
  <c r="G22" i="13"/>
  <c r="J20" i="13"/>
  <c r="K20" i="13"/>
  <c r="G20" i="13"/>
  <c r="H21" i="13"/>
  <c r="D22" i="13"/>
  <c r="I20" i="13"/>
  <c r="J24" i="13"/>
  <c r="F24" i="13"/>
  <c r="E20" i="13"/>
  <c r="J21" i="13"/>
  <c r="F22" i="13"/>
  <c r="I18" i="14"/>
  <c r="H144" i="217"/>
  <c r="H139" i="217"/>
  <c r="AA40" i="234"/>
  <c r="M19" i="234"/>
  <c r="O19" i="234" s="1"/>
  <c r="R19" i="234" s="1"/>
  <c r="C9" i="236"/>
  <c r="P50" i="185"/>
  <c r="E50" i="185"/>
  <c r="P49" i="185"/>
  <c r="K48" i="185"/>
  <c r="N47" i="185"/>
  <c r="Y43" i="185"/>
  <c r="S42" i="185"/>
  <c r="K45" i="185"/>
  <c r="X40" i="185"/>
  <c r="S38" i="185"/>
  <c r="J38" i="185"/>
  <c r="L38" i="185" s="1"/>
  <c r="X36" i="185"/>
  <c r="S34" i="185"/>
  <c r="J34" i="185"/>
  <c r="L34" i="185" s="1"/>
  <c r="X32" i="185"/>
  <c r="I31" i="185"/>
  <c r="S30" i="185"/>
  <c r="J30" i="185"/>
  <c r="L30" i="185" s="1"/>
  <c r="X28" i="185"/>
  <c r="I27" i="185"/>
  <c r="S26" i="185"/>
  <c r="J26" i="185"/>
  <c r="L26" i="185" s="1"/>
  <c r="X22" i="185"/>
  <c r="I22" i="185"/>
  <c r="S21" i="185"/>
  <c r="H46" i="185"/>
  <c r="D46" i="185"/>
  <c r="T20" i="185"/>
  <c r="V20" i="185" s="1"/>
  <c r="Y20" i="185"/>
  <c r="J20" i="185"/>
  <c r="L20" i="185" s="1"/>
  <c r="S13" i="185"/>
  <c r="T12" i="185"/>
  <c r="V12" i="185" s="1"/>
  <c r="X12" i="185"/>
  <c r="I12" i="185"/>
  <c r="M45" i="47"/>
  <c r="J45" i="53"/>
  <c r="E45" i="53"/>
  <c r="Q44" i="53"/>
  <c r="G44" i="53"/>
  <c r="S43" i="53"/>
  <c r="M25" i="12"/>
  <c r="M20" i="256"/>
  <c r="M22" i="256"/>
  <c r="M44" i="250"/>
  <c r="I25" i="13"/>
  <c r="H142" i="217"/>
  <c r="H140" i="217"/>
  <c r="Y46" i="234"/>
  <c r="X47" i="234"/>
  <c r="M25" i="244"/>
  <c r="U50" i="185"/>
  <c r="N50" i="185"/>
  <c r="N49" i="185"/>
  <c r="H48" i="185"/>
  <c r="H47" i="185"/>
  <c r="S43" i="185"/>
  <c r="X43" i="185"/>
  <c r="I43" i="185"/>
  <c r="I40" i="185"/>
  <c r="S39" i="185"/>
  <c r="I36" i="185"/>
  <c r="S35" i="185"/>
  <c r="I32" i="185"/>
  <c r="S31" i="185"/>
  <c r="J31" i="185"/>
  <c r="L31" i="185" s="1"/>
  <c r="I28" i="185"/>
  <c r="S27" i="185"/>
  <c r="J27" i="185"/>
  <c r="L27" i="185" s="1"/>
  <c r="Y23" i="185"/>
  <c r="T22" i="185"/>
  <c r="V22" i="185" s="1"/>
  <c r="K47" i="185"/>
  <c r="X15" i="185"/>
  <c r="I15" i="185"/>
  <c r="S14" i="185"/>
  <c r="T13" i="185"/>
  <c r="V13" i="185" s="1"/>
  <c r="Y13" i="185"/>
  <c r="J13" i="185"/>
  <c r="L13" i="185" s="1"/>
  <c r="I11" i="185"/>
  <c r="B11" i="133"/>
  <c r="G11" i="133" s="1"/>
  <c r="F18" i="126"/>
  <c r="F49" i="126" s="1"/>
  <c r="G117" i="6"/>
  <c r="G119" i="6" s="1"/>
  <c r="O29" i="41"/>
  <c r="M22" i="12"/>
  <c r="M22" i="249"/>
  <c r="M46" i="250"/>
  <c r="K24" i="13"/>
  <c r="K22" i="13"/>
  <c r="I19" i="14"/>
  <c r="I11" i="14"/>
  <c r="K144" i="217"/>
  <c r="H143" i="217"/>
  <c r="K141" i="217"/>
  <c r="R50" i="185"/>
  <c r="H49" i="185"/>
  <c r="D48" i="185"/>
  <c r="G47" i="185"/>
  <c r="E48" i="185"/>
  <c r="P46" i="185"/>
  <c r="E45" i="185"/>
  <c r="T23" i="185"/>
  <c r="V23" i="185" s="1"/>
  <c r="T15" i="185"/>
  <c r="V15" i="185" s="1"/>
  <c r="E99" i="126"/>
  <c r="E100" i="126"/>
  <c r="L45" i="41"/>
  <c r="L44" i="41"/>
  <c r="L42" i="41"/>
  <c r="L41" i="41"/>
  <c r="R42" i="53"/>
  <c r="R41" i="53"/>
  <c r="K41" i="53"/>
  <c r="E158" i="73"/>
  <c r="E118" i="73"/>
  <c r="E134" i="73" s="1"/>
  <c r="E150" i="73" s="1"/>
  <c r="E101" i="73"/>
  <c r="E167" i="126"/>
  <c r="C136" i="126"/>
  <c r="C20" i="126"/>
  <c r="I119" i="6"/>
  <c r="N43" i="41"/>
  <c r="O17" i="41"/>
  <c r="P17" i="41"/>
  <c r="R17" i="41" s="1"/>
  <c r="O15" i="41"/>
  <c r="P15" i="41"/>
  <c r="U15" i="41" s="1"/>
  <c r="V15" i="41" s="1"/>
  <c r="O13" i="41"/>
  <c r="P13" i="41"/>
  <c r="U13" i="41" s="1"/>
  <c r="V13" i="41" s="1"/>
  <c r="O11" i="41"/>
  <c r="P11" i="41"/>
  <c r="R11" i="41" s="1"/>
  <c r="K47" i="172"/>
  <c r="F47" i="172"/>
  <c r="K45" i="172"/>
  <c r="F45" i="172"/>
  <c r="K43" i="172"/>
  <c r="F43" i="172"/>
  <c r="E111" i="73"/>
  <c r="E127" i="73" s="1"/>
  <c r="E143" i="73" s="1"/>
  <c r="E97" i="126"/>
  <c r="H97" i="126" s="1"/>
  <c r="G71" i="126"/>
  <c r="C33" i="126"/>
  <c r="C34" i="126" s="1"/>
  <c r="C26" i="126"/>
  <c r="C27" i="126" s="1"/>
  <c r="H117" i="6"/>
  <c r="H119" i="6" s="1"/>
  <c r="G15" i="6"/>
  <c r="N46" i="41"/>
  <c r="N42" i="41"/>
  <c r="P39" i="41"/>
  <c r="P37" i="41"/>
  <c r="R37" i="41" s="1"/>
  <c r="P35" i="41"/>
  <c r="R35" i="41" s="1"/>
  <c r="H41" i="41"/>
  <c r="M48" i="47"/>
  <c r="O43" i="47"/>
  <c r="M9" i="10"/>
  <c r="D9" i="10"/>
  <c r="D8" i="8" s="1"/>
  <c r="L8" i="8" s="1"/>
  <c r="N45" i="41"/>
  <c r="N41" i="41"/>
  <c r="P33" i="41"/>
  <c r="R33" i="41" s="1"/>
  <c r="P31" i="41"/>
  <c r="R31" i="41" s="1"/>
  <c r="P29" i="41"/>
  <c r="P27" i="41"/>
  <c r="R27" i="41" s="1"/>
  <c r="H48" i="47"/>
  <c r="M45" i="172"/>
  <c r="I45" i="172"/>
  <c r="M43" i="172"/>
  <c r="I43" i="172"/>
  <c r="E42" i="53"/>
  <c r="E41" i="53"/>
  <c r="W39" i="53"/>
  <c r="W37" i="53"/>
  <c r="G42" i="53"/>
  <c r="W35" i="53"/>
  <c r="G41" i="53"/>
  <c r="W33" i="53"/>
  <c r="W31" i="53"/>
  <c r="W29" i="53"/>
  <c r="W27" i="53"/>
  <c r="W25" i="53"/>
  <c r="V39" i="57"/>
  <c r="V35" i="57"/>
  <c r="V31" i="57"/>
  <c r="V27" i="57"/>
  <c r="V23" i="57"/>
  <c r="V11" i="57"/>
  <c r="M24" i="12"/>
  <c r="M20" i="12"/>
  <c r="M25" i="257"/>
  <c r="M23" i="257"/>
  <c r="M21" i="257"/>
  <c r="M20" i="257"/>
  <c r="M23" i="256"/>
  <c r="M25" i="249"/>
  <c r="M21" i="249"/>
  <c r="J25" i="13"/>
  <c r="F25" i="13"/>
  <c r="J23" i="13"/>
  <c r="F23" i="13"/>
  <c r="J22" i="13"/>
  <c r="E21" i="13"/>
  <c r="I17" i="14"/>
  <c r="K143" i="217"/>
  <c r="AA39" i="234"/>
  <c r="M25" i="234"/>
  <c r="O25" i="234" s="1"/>
  <c r="M20" i="234"/>
  <c r="O20" i="234" s="1"/>
  <c r="O50" i="185"/>
  <c r="G50" i="185"/>
  <c r="R49" i="185"/>
  <c r="K49" i="185"/>
  <c r="D49" i="185"/>
  <c r="P48" i="185"/>
  <c r="G48" i="185"/>
  <c r="R47" i="185"/>
  <c r="D47" i="185"/>
  <c r="Q46" i="185"/>
  <c r="P45" i="185"/>
  <c r="G45" i="185"/>
  <c r="S41" i="185"/>
  <c r="T41" i="185"/>
  <c r="V41" i="185" s="1"/>
  <c r="Y41" i="185"/>
  <c r="T40" i="185"/>
  <c r="V40" i="185" s="1"/>
  <c r="Y40" i="185"/>
  <c r="T39" i="185"/>
  <c r="V39" i="185" s="1"/>
  <c r="Z39" i="185" s="1"/>
  <c r="Y39" i="185"/>
  <c r="T38" i="185"/>
  <c r="V38" i="185" s="1"/>
  <c r="Y38" i="185"/>
  <c r="T37" i="185"/>
  <c r="V37" i="185" s="1"/>
  <c r="Z37" i="185" s="1"/>
  <c r="Y37" i="185"/>
  <c r="S36" i="185"/>
  <c r="T36" i="185"/>
  <c r="V36" i="185" s="1"/>
  <c r="Y36" i="185"/>
  <c r="T35" i="185"/>
  <c r="V35" i="185" s="1"/>
  <c r="Z35" i="185" s="1"/>
  <c r="Y35" i="185"/>
  <c r="T34" i="185"/>
  <c r="V34" i="185" s="1"/>
  <c r="Z34" i="185" s="1"/>
  <c r="Y34" i="185"/>
  <c r="T33" i="185"/>
  <c r="V33" i="185" s="1"/>
  <c r="Y33" i="185"/>
  <c r="T32" i="185"/>
  <c r="V32" i="185" s="1"/>
  <c r="Y32" i="185"/>
  <c r="T31" i="185"/>
  <c r="V31" i="185" s="1"/>
  <c r="Z31" i="185" s="1"/>
  <c r="Y31" i="185"/>
  <c r="T30" i="185"/>
  <c r="V30" i="185" s="1"/>
  <c r="Z30" i="185" s="1"/>
  <c r="Y30" i="185"/>
  <c r="T29" i="185"/>
  <c r="V29" i="185" s="1"/>
  <c r="Y29" i="185"/>
  <c r="T28" i="185"/>
  <c r="V28" i="185" s="1"/>
  <c r="Y28" i="185"/>
  <c r="T27" i="185"/>
  <c r="V27" i="185" s="1"/>
  <c r="Y27" i="185"/>
  <c r="T26" i="185"/>
  <c r="Y26" i="185"/>
  <c r="T25" i="185"/>
  <c r="V25" i="185" s="1"/>
  <c r="Y25" i="185"/>
  <c r="J25" i="185"/>
  <c r="L25" i="185" s="1"/>
  <c r="X24" i="185"/>
  <c r="I24" i="185"/>
  <c r="S22" i="185"/>
  <c r="T21" i="185"/>
  <c r="V21" i="185" s="1"/>
  <c r="Y21" i="185"/>
  <c r="J21" i="185"/>
  <c r="L21" i="185" s="1"/>
  <c r="X20" i="185"/>
  <c r="I20" i="185"/>
  <c r="S15" i="185"/>
  <c r="T14" i="185"/>
  <c r="V14" i="185" s="1"/>
  <c r="Y14" i="185"/>
  <c r="J14" i="185"/>
  <c r="L14" i="185" s="1"/>
  <c r="X13" i="185"/>
  <c r="I13" i="185"/>
  <c r="S11" i="185"/>
  <c r="M23" i="12"/>
  <c r="M24" i="249"/>
  <c r="M20" i="249"/>
  <c r="D21" i="13"/>
  <c r="H20" i="13"/>
  <c r="AA22" i="234"/>
  <c r="Y42" i="234"/>
  <c r="X42" i="234"/>
  <c r="Y47" i="234"/>
  <c r="N48" i="185"/>
  <c r="Q47" i="185"/>
  <c r="N45" i="185"/>
  <c r="O46" i="185"/>
  <c r="Y42" i="185"/>
  <c r="X25" i="185"/>
  <c r="I25" i="185"/>
  <c r="S23" i="185"/>
  <c r="Y22" i="185"/>
  <c r="J22" i="185"/>
  <c r="L22" i="185" s="1"/>
  <c r="X21" i="185"/>
  <c r="I21" i="185"/>
  <c r="Y15" i="185"/>
  <c r="J15" i="185"/>
  <c r="L15" i="185" s="1"/>
  <c r="X14" i="185"/>
  <c r="I14" i="185"/>
  <c r="S12" i="185"/>
  <c r="Y11" i="185"/>
  <c r="AF38" i="57"/>
  <c r="M25" i="256"/>
  <c r="H22" i="13"/>
  <c r="I13" i="14"/>
  <c r="N46" i="185"/>
  <c r="F46" i="185"/>
  <c r="R45" i="185"/>
  <c r="J23" i="185"/>
  <c r="L23" i="185" s="1"/>
  <c r="J12" i="185"/>
  <c r="L12" i="185" s="1"/>
  <c r="Z12" i="185" s="1"/>
  <c r="D45" i="11"/>
  <c r="D57" i="11"/>
  <c r="M41" i="251"/>
  <c r="K140" i="217"/>
  <c r="B33" i="241"/>
  <c r="B15" i="245" s="1"/>
  <c r="F15" i="241"/>
  <c r="E78" i="241"/>
  <c r="B17" i="245"/>
  <c r="B72" i="241"/>
  <c r="B82" i="241" s="1"/>
  <c r="B16" i="245"/>
  <c r="B71" i="241"/>
  <c r="B81" i="241" s="1"/>
  <c r="B74" i="241"/>
  <c r="B84" i="241" s="1"/>
  <c r="N29" i="244"/>
  <c r="N27" i="244"/>
  <c r="N14" i="244"/>
  <c r="N12" i="244"/>
  <c r="N10" i="244"/>
  <c r="B73" i="241"/>
  <c r="B83" i="241" s="1"/>
  <c r="N13" i="244"/>
  <c r="N11" i="244"/>
  <c r="F21" i="13"/>
  <c r="N13" i="12"/>
  <c r="N11" i="12"/>
  <c r="N27" i="12"/>
  <c r="N29" i="12"/>
  <c r="N14" i="12"/>
  <c r="N12" i="12"/>
  <c r="N10" i="12"/>
  <c r="F15" i="52"/>
  <c r="F66" i="52" s="1"/>
  <c r="B33" i="52"/>
  <c r="B93" i="52"/>
  <c r="B107" i="52" s="1"/>
  <c r="B115" i="52" s="1"/>
  <c r="B83" i="52"/>
  <c r="B94" i="52"/>
  <c r="B84" i="52"/>
  <c r="B82" i="73"/>
  <c r="B175" i="73" s="1"/>
  <c r="B192" i="73" s="1"/>
  <c r="P36" i="52"/>
  <c r="AF22" i="57"/>
  <c r="AF15" i="57"/>
  <c r="AF18" i="57"/>
  <c r="Y48" i="57"/>
  <c r="L17" i="62" s="1"/>
  <c r="H44" i="47"/>
  <c r="J47" i="47"/>
  <c r="O44" i="47"/>
  <c r="P43" i="47"/>
  <c r="L44" i="47"/>
  <c r="N48" i="47"/>
  <c r="M44" i="47"/>
  <c r="M46" i="47"/>
  <c r="J44" i="47"/>
  <c r="O47" i="47"/>
  <c r="O46" i="47"/>
  <c r="N47" i="47"/>
  <c r="I46" i="47"/>
  <c r="P48" i="47"/>
  <c r="L48" i="47"/>
  <c r="P47" i="47"/>
  <c r="P46" i="47"/>
  <c r="J46" i="47"/>
  <c r="L45" i="47"/>
  <c r="N44" i="47"/>
  <c r="I44" i="47"/>
  <c r="L43" i="47"/>
  <c r="O45" i="47"/>
  <c r="J45" i="47"/>
  <c r="M39" i="53"/>
  <c r="M37" i="53"/>
  <c r="M35" i="53"/>
  <c r="M33" i="53"/>
  <c r="M31" i="53"/>
  <c r="M29" i="53"/>
  <c r="M27" i="53"/>
  <c r="M25" i="53"/>
  <c r="O24" i="53"/>
  <c r="Z2" i="41"/>
  <c r="O48" i="47"/>
  <c r="J48" i="47"/>
  <c r="H46" i="47"/>
  <c r="H45" i="47"/>
  <c r="J43" i="47"/>
  <c r="N45" i="47"/>
  <c r="N43" i="47"/>
  <c r="N46" i="47"/>
  <c r="U39" i="53"/>
  <c r="N38" i="53"/>
  <c r="U37" i="53"/>
  <c r="N36" i="53"/>
  <c r="U35" i="53"/>
  <c r="N34" i="53"/>
  <c r="U33" i="53"/>
  <c r="N32" i="53"/>
  <c r="U31" i="53"/>
  <c r="N30" i="53"/>
  <c r="U29" i="53"/>
  <c r="N28" i="53"/>
  <c r="U27" i="53"/>
  <c r="N26" i="53"/>
  <c r="U25" i="53"/>
  <c r="I47" i="47"/>
  <c r="I48" i="47"/>
  <c r="L47" i="47"/>
  <c r="P45" i="47"/>
  <c r="P44" i="47"/>
  <c r="M47" i="47"/>
  <c r="M43" i="47"/>
  <c r="O39" i="53"/>
  <c r="O37" i="53"/>
  <c r="V36" i="53"/>
  <c r="O35" i="53"/>
  <c r="O33" i="53"/>
  <c r="V32" i="53"/>
  <c r="O31" i="53"/>
  <c r="V30" i="53"/>
  <c r="O29" i="53"/>
  <c r="V28" i="53"/>
  <c r="O27" i="53"/>
  <c r="V26" i="53"/>
  <c r="O25" i="53"/>
  <c r="V24" i="53"/>
  <c r="AF14" i="57"/>
  <c r="Y47" i="57"/>
  <c r="L16" i="62" s="1"/>
  <c r="V19" i="57"/>
  <c r="V15" i="57"/>
  <c r="AF30" i="57"/>
  <c r="X46" i="57"/>
  <c r="J15" i="62" s="1"/>
  <c r="AF27" i="57"/>
  <c r="V26" i="57"/>
  <c r="R43" i="57"/>
  <c r="AG43" i="57"/>
  <c r="Y44" i="57"/>
  <c r="L13" i="62" s="1"/>
  <c r="AJ47" i="57"/>
  <c r="R16" i="62" s="1"/>
  <c r="AJ45" i="57"/>
  <c r="H11" i="189" s="1"/>
  <c r="AB47" i="57"/>
  <c r="X44" i="57"/>
  <c r="J13" i="62" s="1"/>
  <c r="AF35" i="57"/>
  <c r="V34" i="57"/>
  <c r="AF19" i="57"/>
  <c r="V18" i="57"/>
  <c r="R48" i="57"/>
  <c r="AJ46" i="57"/>
  <c r="Y45" i="57"/>
  <c r="L14" i="62" s="1"/>
  <c r="AJ43" i="57"/>
  <c r="R12" i="62" s="1"/>
  <c r="V10" i="57"/>
  <c r="R45" i="57"/>
  <c r="AI45" i="57"/>
  <c r="G11" i="189" s="1"/>
  <c r="AJ48" i="57"/>
  <c r="R17" i="62" s="1"/>
  <c r="AB46" i="57"/>
  <c r="AG44" i="57"/>
  <c r="AF39" i="57"/>
  <c r="AF31" i="57"/>
  <c r="AF23" i="57"/>
  <c r="AB48" i="57"/>
  <c r="V38" i="57"/>
  <c r="AC46" i="57"/>
  <c r="AF34" i="57"/>
  <c r="Q46" i="57"/>
  <c r="V30" i="57"/>
  <c r="AF26" i="57"/>
  <c r="V22" i="57"/>
  <c r="V14" i="57"/>
  <c r="AF10" i="57"/>
  <c r="U36" i="57"/>
  <c r="AF36" i="57"/>
  <c r="V36" i="57"/>
  <c r="U28" i="57"/>
  <c r="AF28" i="57"/>
  <c r="V28" i="57"/>
  <c r="AI43" i="57"/>
  <c r="P12" i="62" s="1"/>
  <c r="U20" i="57"/>
  <c r="AF20" i="57"/>
  <c r="V20" i="57"/>
  <c r="U12" i="57"/>
  <c r="AF12" i="57"/>
  <c r="V12" i="57"/>
  <c r="AI47" i="57"/>
  <c r="P16" i="62" s="1"/>
  <c r="AI44" i="57"/>
  <c r="P13" i="62" s="1"/>
  <c r="AI46" i="57"/>
  <c r="G12" i="189" s="1"/>
  <c r="AI48" i="57"/>
  <c r="P17" i="62" s="1"/>
  <c r="U37" i="57"/>
  <c r="V37" i="57"/>
  <c r="AF37" i="57"/>
  <c r="U29" i="57"/>
  <c r="V29" i="57"/>
  <c r="AF29" i="57"/>
  <c r="AA44" i="57"/>
  <c r="U21" i="57"/>
  <c r="V21" i="57"/>
  <c r="AF21" i="57"/>
  <c r="U13" i="57"/>
  <c r="V13" i="57"/>
  <c r="AF13" i="57"/>
  <c r="U41" i="57"/>
  <c r="V41" i="57"/>
  <c r="AF41" i="57"/>
  <c r="U33" i="57"/>
  <c r="V33" i="57"/>
  <c r="AF33" i="57"/>
  <c r="U25" i="57"/>
  <c r="V25" i="57"/>
  <c r="AF25" i="57"/>
  <c r="AA45" i="57"/>
  <c r="U17" i="57"/>
  <c r="V17" i="57"/>
  <c r="AF17" i="57"/>
  <c r="S48" i="57"/>
  <c r="S44" i="57"/>
  <c r="S46" i="57"/>
  <c r="U9" i="57"/>
  <c r="V9" i="57"/>
  <c r="L47" i="57"/>
  <c r="L45" i="57"/>
  <c r="AF9" i="57"/>
  <c r="L43" i="57"/>
  <c r="U40" i="57"/>
  <c r="AF40" i="57"/>
  <c r="V40" i="57"/>
  <c r="U32" i="57"/>
  <c r="AF32" i="57"/>
  <c r="V32" i="57"/>
  <c r="U24" i="57"/>
  <c r="AF24" i="57"/>
  <c r="V24" i="57"/>
  <c r="U16" i="57"/>
  <c r="AF16" i="57"/>
  <c r="V16" i="57"/>
  <c r="AA48" i="57"/>
  <c r="AA46" i="57"/>
  <c r="AC45" i="57"/>
  <c r="X45" i="57"/>
  <c r="J14" i="62" s="1"/>
  <c r="AC43" i="57"/>
  <c r="X43" i="57"/>
  <c r="J12" i="62" s="1"/>
  <c r="Q47" i="57"/>
  <c r="Q43" i="57"/>
  <c r="Y43" i="57"/>
  <c r="L12" i="62" s="1"/>
  <c r="Y46" i="57"/>
  <c r="L15" i="62" s="1"/>
  <c r="AG47" i="57"/>
  <c r="AG45" i="57"/>
  <c r="AG46" i="57"/>
  <c r="AG48" i="57"/>
  <c r="R44" i="57"/>
  <c r="R46" i="57"/>
  <c r="R47" i="57"/>
  <c r="AF11" i="57"/>
  <c r="AB44" i="57"/>
  <c r="AB45" i="57"/>
  <c r="AB43" i="57"/>
  <c r="AJ44" i="57"/>
  <c r="R13" i="62" s="1"/>
  <c r="AC48" i="57"/>
  <c r="AC44" i="57"/>
  <c r="X48" i="57"/>
  <c r="J17" i="62" s="1"/>
  <c r="AC47" i="57"/>
  <c r="S47" i="57"/>
  <c r="U39" i="57"/>
  <c r="Q48" i="57"/>
  <c r="U35" i="57"/>
  <c r="U31" i="57"/>
  <c r="S43" i="57"/>
  <c r="U27" i="57"/>
  <c r="U23" i="57"/>
  <c r="U19" i="57"/>
  <c r="U15" i="57"/>
  <c r="U11" i="57"/>
  <c r="X47" i="57"/>
  <c r="J16" i="62" s="1"/>
  <c r="U38" i="57"/>
  <c r="U34" i="57"/>
  <c r="S45" i="57"/>
  <c r="U30" i="57"/>
  <c r="Q44" i="57"/>
  <c r="AA47" i="57"/>
  <c r="U26" i="57"/>
  <c r="Q45" i="57"/>
  <c r="AA43" i="57"/>
  <c r="U22" i="57"/>
  <c r="U18" i="57"/>
  <c r="U14" i="57"/>
  <c r="U10" i="57"/>
  <c r="J14" i="229"/>
  <c r="X46" i="234"/>
  <c r="Y45" i="234"/>
  <c r="X44" i="234"/>
  <c r="Y43" i="234"/>
  <c r="X45" i="234"/>
  <c r="X43" i="234"/>
  <c r="Y44" i="234"/>
  <c r="F14" i="229"/>
  <c r="N32" i="10"/>
  <c r="N25" i="10"/>
  <c r="M37" i="10"/>
  <c r="D71" i="8"/>
  <c r="M22" i="10"/>
  <c r="M16" i="10"/>
  <c r="N22" i="10"/>
  <c r="M25" i="229"/>
  <c r="N14" i="229"/>
  <c r="N33" i="10"/>
  <c r="L42" i="10"/>
  <c r="L23" i="10"/>
  <c r="E71" i="8"/>
  <c r="G18" i="10"/>
  <c r="N18" i="10" s="1"/>
  <c r="N16" i="10"/>
  <c r="D20" i="1"/>
  <c r="D94" i="6"/>
  <c r="L31" i="10"/>
  <c r="L21" i="10"/>
  <c r="N37" i="52"/>
  <c r="F37" i="52" s="1"/>
  <c r="F74" i="52" s="1"/>
  <c r="L32" i="10"/>
  <c r="L24" i="10"/>
  <c r="L37" i="10"/>
  <c r="L25" i="10"/>
  <c r="N42" i="10"/>
  <c r="N21" i="10"/>
  <c r="F11" i="66"/>
  <c r="N35" i="52"/>
  <c r="G41" i="8"/>
  <c r="G47" i="8" s="1"/>
  <c r="H25" i="229"/>
  <c r="K25" i="229"/>
  <c r="N37" i="10"/>
  <c r="L33" i="10"/>
  <c r="N31" i="10"/>
  <c r="L22" i="10"/>
  <c r="G71" i="8"/>
  <c r="O75" i="6"/>
  <c r="O25" i="229"/>
  <c r="G25" i="229"/>
  <c r="I25" i="229"/>
  <c r="P25" i="229"/>
  <c r="M14" i="229"/>
  <c r="I14" i="229"/>
  <c r="N24" i="10"/>
  <c r="N23" i="10"/>
  <c r="D17" i="63"/>
  <c r="L25" i="229"/>
  <c r="G20" i="8"/>
  <c r="G29" i="8" s="1"/>
  <c r="M9" i="63"/>
  <c r="M11" i="63" s="1"/>
  <c r="C85" i="156" s="1"/>
  <c r="G14" i="229"/>
  <c r="D20" i="8"/>
  <c r="D29" i="8" s="1"/>
  <c r="B60" i="133"/>
  <c r="L61" i="133"/>
  <c r="AP41" i="173"/>
  <c r="AC42" i="185"/>
  <c r="AK40" i="47"/>
  <c r="AH40" i="172"/>
  <c r="AP38" i="173"/>
  <c r="AC39" i="185"/>
  <c r="AK37" i="47"/>
  <c r="AH37" i="172"/>
  <c r="AP35" i="173"/>
  <c r="AC36" i="185"/>
  <c r="AK34" i="47"/>
  <c r="AH34" i="172"/>
  <c r="AP32" i="173"/>
  <c r="AC33" i="185"/>
  <c r="AK31" i="47"/>
  <c r="AH31" i="172"/>
  <c r="AP29" i="173"/>
  <c r="AC30" i="185"/>
  <c r="AK28" i="47"/>
  <c r="AH28" i="172"/>
  <c r="AP26" i="173"/>
  <c r="AC27" i="185"/>
  <c r="AK25" i="47"/>
  <c r="AH25" i="172"/>
  <c r="AP22" i="173"/>
  <c r="AC23" i="185"/>
  <c r="AK21" i="47"/>
  <c r="AH21" i="172"/>
  <c r="AA39" i="251"/>
  <c r="AA39" i="250"/>
  <c r="Z39" i="53"/>
  <c r="Y39" i="41"/>
  <c r="AA37" i="251"/>
  <c r="AA37" i="250"/>
  <c r="Y37" i="41"/>
  <c r="Z37" i="53"/>
  <c r="AA35" i="251"/>
  <c r="AA35" i="250"/>
  <c r="Z35" i="53"/>
  <c r="Y35" i="41"/>
  <c r="AA33" i="251"/>
  <c r="AA33" i="250"/>
  <c r="Y33" i="41"/>
  <c r="Z33" i="53"/>
  <c r="AA31" i="251"/>
  <c r="AA31" i="250"/>
  <c r="Z31" i="53"/>
  <c r="Y31" i="41"/>
  <c r="AA29" i="251"/>
  <c r="AA29" i="250"/>
  <c r="Y29" i="41"/>
  <c r="Z29" i="53"/>
  <c r="AA27" i="251"/>
  <c r="AA27" i="250"/>
  <c r="Z27" i="53"/>
  <c r="Y27" i="41"/>
  <c r="AA26" i="251"/>
  <c r="AA26" i="250"/>
  <c r="Z26" i="53"/>
  <c r="Y26" i="41"/>
  <c r="AA24" i="250"/>
  <c r="AA24" i="251"/>
  <c r="Z24" i="53"/>
  <c r="Y24" i="41"/>
  <c r="AA23" i="251"/>
  <c r="AA23" i="250"/>
  <c r="Y23" i="41"/>
  <c r="Z23" i="53"/>
  <c r="AA21" i="250"/>
  <c r="AA21" i="251"/>
  <c r="Z21" i="53"/>
  <c r="Y21" i="41"/>
  <c r="AA20" i="251"/>
  <c r="AA20" i="250"/>
  <c r="Z20" i="53"/>
  <c r="Y20" i="41"/>
  <c r="AA19" i="251"/>
  <c r="AA19" i="250"/>
  <c r="Z19" i="53"/>
  <c r="Y19" i="41"/>
  <c r="AA18" i="251"/>
  <c r="AA18" i="250"/>
  <c r="AA18" i="256"/>
  <c r="Z18" i="53"/>
  <c r="Y18" i="41"/>
  <c r="AA17" i="251"/>
  <c r="AA17" i="250"/>
  <c r="AA17" i="256"/>
  <c r="Z17" i="53"/>
  <c r="Y17" i="41"/>
  <c r="AA16" i="251"/>
  <c r="AA16" i="250"/>
  <c r="AA16" i="256"/>
  <c r="Z16" i="53"/>
  <c r="Y16" i="41"/>
  <c r="AA15" i="251"/>
  <c r="AA15" i="250"/>
  <c r="AA15" i="256"/>
  <c r="Z15" i="53"/>
  <c r="Y15" i="41"/>
  <c r="AA14" i="244"/>
  <c r="AA14" i="251"/>
  <c r="AA14" i="250"/>
  <c r="AA14" i="256"/>
  <c r="AA14" i="249"/>
  <c r="AA14" i="12"/>
  <c r="M14" i="13" s="1"/>
  <c r="AA14" i="257"/>
  <c r="Z14" i="53"/>
  <c r="Y14" i="41"/>
  <c r="AA13" i="244"/>
  <c r="AA13" i="251"/>
  <c r="AA13" i="250"/>
  <c r="AA13" i="256"/>
  <c r="AA13" i="249"/>
  <c r="AA13" i="257"/>
  <c r="Z13" i="53"/>
  <c r="AA13" i="12"/>
  <c r="M13" i="13" s="1"/>
  <c r="Y13" i="41"/>
  <c r="AA12" i="244"/>
  <c r="AA12" i="251"/>
  <c r="AA12" i="250"/>
  <c r="AA12" i="249"/>
  <c r="AA12" i="256"/>
  <c r="AA12" i="257"/>
  <c r="Z12" i="53"/>
  <c r="AA12" i="12"/>
  <c r="M12" i="13" s="1"/>
  <c r="Y12" i="41"/>
  <c r="AA11" i="244"/>
  <c r="AA11" i="251"/>
  <c r="AA11" i="250"/>
  <c r="AA11" i="249"/>
  <c r="AA11" i="256"/>
  <c r="AA11" i="257"/>
  <c r="AA11" i="12"/>
  <c r="M11" i="13" s="1"/>
  <c r="Y11" i="41"/>
  <c r="Z11" i="53"/>
  <c r="AA10" i="244"/>
  <c r="AA10" i="251"/>
  <c r="AA10" i="250"/>
  <c r="AA10" i="256"/>
  <c r="AA10" i="249"/>
  <c r="AA10" i="12"/>
  <c r="M10" i="13" s="1"/>
  <c r="AA10" i="257"/>
  <c r="Z10" i="53"/>
  <c r="Y10" i="41"/>
  <c r="G55" i="133"/>
  <c r="B3" i="4" s="1"/>
  <c r="D129" i="126"/>
  <c r="G129" i="126" s="1"/>
  <c r="AP42" i="173"/>
  <c r="AC43" i="185"/>
  <c r="AK41" i="47"/>
  <c r="AH41" i="172"/>
  <c r="AP39" i="173"/>
  <c r="AC40" i="185"/>
  <c r="AK38" i="47"/>
  <c r="AH38" i="172"/>
  <c r="AP36" i="173"/>
  <c r="AC37" i="185"/>
  <c r="AK35" i="47"/>
  <c r="AH35" i="172"/>
  <c r="AP33" i="173"/>
  <c r="AC34" i="185"/>
  <c r="AK32" i="47"/>
  <c r="AH32" i="172"/>
  <c r="AP31" i="173"/>
  <c r="AC32" i="185"/>
  <c r="AK30" i="47"/>
  <c r="AH30" i="172"/>
  <c r="AP27" i="173"/>
  <c r="AC28" i="185"/>
  <c r="AK26" i="47"/>
  <c r="AH26" i="172"/>
  <c r="AP24" i="173"/>
  <c r="AC25" i="185"/>
  <c r="AK23" i="47"/>
  <c r="AH23" i="172"/>
  <c r="AP20" i="173"/>
  <c r="AC21" i="185"/>
  <c r="AK19" i="47"/>
  <c r="AH19" i="172"/>
  <c r="AA38" i="251"/>
  <c r="AA38" i="250"/>
  <c r="Z38" i="53"/>
  <c r="Y38" i="41"/>
  <c r="AA36" i="250"/>
  <c r="AA36" i="251"/>
  <c r="Z36" i="53"/>
  <c r="Y36" i="41"/>
  <c r="AA34" i="251"/>
  <c r="AA34" i="250"/>
  <c r="Z34" i="53"/>
  <c r="Y34" i="41"/>
  <c r="AA32" i="250"/>
  <c r="AA32" i="251"/>
  <c r="Z32" i="53"/>
  <c r="Y32" i="41"/>
  <c r="AA30" i="251"/>
  <c r="AA30" i="250"/>
  <c r="Z30" i="53"/>
  <c r="Y30" i="41"/>
  <c r="AA28" i="250"/>
  <c r="AA28" i="251"/>
  <c r="Z28" i="53"/>
  <c r="Y28" i="41"/>
  <c r="AA25" i="250"/>
  <c r="AA25" i="251"/>
  <c r="Y25" i="41"/>
  <c r="Z25" i="53"/>
  <c r="AA22" i="251"/>
  <c r="AA22" i="250"/>
  <c r="Z22" i="53"/>
  <c r="Y22" i="41"/>
  <c r="K63" i="133"/>
  <c r="E103" i="126"/>
  <c r="H103" i="126" s="1"/>
  <c r="E104" i="126"/>
  <c r="E105" i="126"/>
  <c r="E106" i="126"/>
  <c r="E77" i="126"/>
  <c r="E76" i="126"/>
  <c r="F19" i="126"/>
  <c r="F55" i="126" s="1"/>
  <c r="D20" i="126"/>
  <c r="B56" i="133"/>
  <c r="K57" i="133"/>
  <c r="J12" i="133"/>
  <c r="E160" i="126"/>
  <c r="E158" i="126" s="1"/>
  <c r="E166" i="126"/>
  <c r="E164" i="126" s="1"/>
  <c r="E172" i="126"/>
  <c r="G160" i="126"/>
  <c r="G166" i="126"/>
  <c r="G172" i="126"/>
  <c r="D75" i="126"/>
  <c r="G75" i="126" s="1"/>
  <c r="D76" i="126"/>
  <c r="D77" i="126"/>
  <c r="J19" i="6"/>
  <c r="J20" i="6" s="1"/>
  <c r="J30" i="6"/>
  <c r="AP40" i="173"/>
  <c r="AC41" i="185"/>
  <c r="AK39" i="47"/>
  <c r="AH39" i="172"/>
  <c r="AP37" i="173"/>
  <c r="AC38" i="185"/>
  <c r="AK36" i="47"/>
  <c r="AH36" i="172"/>
  <c r="AP34" i="173"/>
  <c r="AC35" i="185"/>
  <c r="AK33" i="47"/>
  <c r="AH33" i="172"/>
  <c r="AP30" i="173"/>
  <c r="AC31" i="185"/>
  <c r="AK29" i="47"/>
  <c r="AH29" i="172"/>
  <c r="AP28" i="173"/>
  <c r="AC29" i="185"/>
  <c r="AK27" i="47"/>
  <c r="AH27" i="172"/>
  <c r="AP25" i="173"/>
  <c r="AC26" i="185"/>
  <c r="AK24" i="47"/>
  <c r="AH24" i="172"/>
  <c r="AP23" i="173"/>
  <c r="AC24" i="185"/>
  <c r="AK22" i="47"/>
  <c r="AH22" i="172"/>
  <c r="AP21" i="173"/>
  <c r="AC22" i="185"/>
  <c r="AK20" i="47"/>
  <c r="AH20" i="172"/>
  <c r="AP19" i="173"/>
  <c r="AC20" i="185"/>
  <c r="AK18" i="47"/>
  <c r="AH18" i="172"/>
  <c r="AP18" i="173"/>
  <c r="AK17" i="47"/>
  <c r="AH17" i="172"/>
  <c r="AP17" i="173"/>
  <c r="AC15" i="185"/>
  <c r="AK16" i="47"/>
  <c r="AH16" i="172"/>
  <c r="AP16" i="173"/>
  <c r="AC14" i="185"/>
  <c r="AK15" i="47"/>
  <c r="AH15" i="172"/>
  <c r="AP15" i="173"/>
  <c r="AC13" i="185"/>
  <c r="AK14" i="47"/>
  <c r="AH14" i="172"/>
  <c r="AP14" i="173"/>
  <c r="AC12" i="185"/>
  <c r="AK13" i="47"/>
  <c r="AH13" i="172"/>
  <c r="AP13" i="173"/>
  <c r="AC11" i="185"/>
  <c r="AK12" i="47"/>
  <c r="AH12" i="172"/>
  <c r="B84" i="73"/>
  <c r="B181" i="73" s="1"/>
  <c r="B198" i="73" s="1"/>
  <c r="F50" i="126"/>
  <c r="B72" i="52"/>
  <c r="B82" i="52" s="1"/>
  <c r="B83" i="73"/>
  <c r="B178" i="73" s="1"/>
  <c r="B195" i="73" s="1"/>
  <c r="N6" i="256"/>
  <c r="C155" i="126"/>
  <c r="E144" i="126" s="1"/>
  <c r="D134" i="126"/>
  <c r="C51" i="126"/>
  <c r="C52" i="126" s="1"/>
  <c r="C56" i="126" s="1"/>
  <c r="C46" i="126"/>
  <c r="B34" i="52"/>
  <c r="J117" i="6"/>
  <c r="J119" i="6" s="1"/>
  <c r="M65" i="6"/>
  <c r="I19" i="6"/>
  <c r="D35" i="62"/>
  <c r="D43" i="48"/>
  <c r="P14" i="229"/>
  <c r="L14" i="229"/>
  <c r="H14" i="229"/>
  <c r="M31" i="10"/>
  <c r="M24" i="10"/>
  <c r="G27" i="10"/>
  <c r="E56" i="8"/>
  <c r="AF34" i="47"/>
  <c r="Z34" i="172"/>
  <c r="AC34" i="172" s="1"/>
  <c r="AF26" i="47"/>
  <c r="Z26" i="172"/>
  <c r="AC26" i="172" s="1"/>
  <c r="AF18" i="47"/>
  <c r="Z18" i="172"/>
  <c r="AC18" i="172" s="1"/>
  <c r="E98" i="126"/>
  <c r="W11" i="41"/>
  <c r="W13" i="41"/>
  <c r="W15" i="41"/>
  <c r="W17" i="41"/>
  <c r="W19" i="41"/>
  <c r="W21" i="41"/>
  <c r="W23" i="41"/>
  <c r="W25" i="41"/>
  <c r="W27" i="41"/>
  <c r="W29" i="41"/>
  <c r="W31" i="41"/>
  <c r="W33" i="41"/>
  <c r="W35" i="41"/>
  <c r="W37" i="41"/>
  <c r="W39" i="41"/>
  <c r="W10" i="41"/>
  <c r="W12" i="41"/>
  <c r="W14" i="41"/>
  <c r="W16" i="41"/>
  <c r="W18" i="41"/>
  <c r="W20" i="41"/>
  <c r="W22" i="41"/>
  <c r="W24" i="41"/>
  <c r="W26" i="41"/>
  <c r="W28" i="41"/>
  <c r="W30" i="41"/>
  <c r="W32" i="41"/>
  <c r="W34" i="41"/>
  <c r="W36" i="41"/>
  <c r="W38" i="41"/>
  <c r="D31" i="62"/>
  <c r="D39" i="48"/>
  <c r="M21" i="10"/>
  <c r="E27" i="10"/>
  <c r="M27" i="10" s="1"/>
  <c r="M14" i="10"/>
  <c r="M23" i="10"/>
  <c r="M42" i="10"/>
  <c r="E18" i="10"/>
  <c r="AF36" i="47"/>
  <c r="Z36" i="172"/>
  <c r="AC36" i="172" s="1"/>
  <c r="AF28" i="47"/>
  <c r="Z28" i="172"/>
  <c r="AC28" i="172" s="1"/>
  <c r="AF20" i="47"/>
  <c r="Z20" i="172"/>
  <c r="AC20" i="172" s="1"/>
  <c r="AF12" i="47"/>
  <c r="Z12" i="172"/>
  <c r="AC12" i="172" s="1"/>
  <c r="G173" i="126"/>
  <c r="G171" i="126"/>
  <c r="G167" i="126"/>
  <c r="G165" i="126"/>
  <c r="G161" i="126"/>
  <c r="C129" i="126"/>
  <c r="G37" i="156"/>
  <c r="F37" i="156"/>
  <c r="G19" i="6"/>
  <c r="D27" i="62"/>
  <c r="D35" i="48"/>
  <c r="I10" i="229"/>
  <c r="M33" i="10"/>
  <c r="M32" i="10"/>
  <c r="D27" i="10"/>
  <c r="L27" i="10" s="1"/>
  <c r="M25" i="10"/>
  <c r="E41" i="8"/>
  <c r="D41" i="8"/>
  <c r="U37" i="41"/>
  <c r="V37" i="41" s="1"/>
  <c r="AF38" i="47"/>
  <c r="Z38" i="172"/>
  <c r="AC38" i="172" s="1"/>
  <c r="R29" i="41"/>
  <c r="U29" i="41"/>
  <c r="V29" i="41" s="1"/>
  <c r="AF30" i="47"/>
  <c r="Z30" i="172"/>
  <c r="AC30" i="172" s="1"/>
  <c r="AF22" i="47"/>
  <c r="Z22" i="172"/>
  <c r="AC22" i="172" s="1"/>
  <c r="R13" i="41"/>
  <c r="AF14" i="47"/>
  <c r="Z14" i="172"/>
  <c r="AC14" i="172" s="1"/>
  <c r="O8" i="47"/>
  <c r="AB4" i="47"/>
  <c r="M8" i="47"/>
  <c r="X8" i="47"/>
  <c r="J9" i="48" s="1"/>
  <c r="B34" i="48" s="1"/>
  <c r="D44" i="48"/>
  <c r="N25" i="229"/>
  <c r="J25" i="229"/>
  <c r="F25" i="229"/>
  <c r="L16" i="10"/>
  <c r="D18" i="10"/>
  <c r="D56" i="8"/>
  <c r="G56" i="8"/>
  <c r="R39" i="41"/>
  <c r="U39" i="41"/>
  <c r="V39" i="41" s="1"/>
  <c r="AF40" i="47"/>
  <c r="Z40" i="172"/>
  <c r="AC40" i="172" s="1"/>
  <c r="AF32" i="47"/>
  <c r="Z32" i="172"/>
  <c r="AC32" i="172" s="1"/>
  <c r="AF24" i="47"/>
  <c r="Z24" i="172"/>
  <c r="AC24" i="172" s="1"/>
  <c r="AF16" i="47"/>
  <c r="Z16" i="172"/>
  <c r="AC16" i="172" s="1"/>
  <c r="V8" i="172"/>
  <c r="M8" i="172"/>
  <c r="W8" i="172" s="1"/>
  <c r="O14" i="229"/>
  <c r="K14" i="229"/>
  <c r="E20" i="8"/>
  <c r="L46" i="41"/>
  <c r="L43" i="41"/>
  <c r="AM42" i="173"/>
  <c r="J39" i="250"/>
  <c r="J39" i="251"/>
  <c r="AI42" i="173"/>
  <c r="F39" i="250"/>
  <c r="F39" i="251"/>
  <c r="O38" i="41"/>
  <c r="AG41" i="173"/>
  <c r="D38" i="251"/>
  <c r="D38" i="250"/>
  <c r="AM40" i="173"/>
  <c r="J37" i="251"/>
  <c r="J37" i="250"/>
  <c r="AI40" i="173"/>
  <c r="F37" i="251"/>
  <c r="F37" i="250"/>
  <c r="O36" i="41"/>
  <c r="AG39" i="173"/>
  <c r="D36" i="251"/>
  <c r="D36" i="250"/>
  <c r="AM38" i="173"/>
  <c r="J35" i="250"/>
  <c r="J35" i="251"/>
  <c r="AI38" i="173"/>
  <c r="F35" i="250"/>
  <c r="F35" i="251"/>
  <c r="O34" i="41"/>
  <c r="AG37" i="173"/>
  <c r="D34" i="251"/>
  <c r="D34" i="250"/>
  <c r="AM36" i="173"/>
  <c r="J33" i="251"/>
  <c r="J33" i="250"/>
  <c r="AI36" i="173"/>
  <c r="F33" i="251"/>
  <c r="F33" i="250"/>
  <c r="O32" i="41"/>
  <c r="AG35" i="173"/>
  <c r="D32" i="251"/>
  <c r="D32" i="250"/>
  <c r="AM34" i="173"/>
  <c r="J31" i="250"/>
  <c r="J31" i="251"/>
  <c r="AI34" i="173"/>
  <c r="F31" i="250"/>
  <c r="F31" i="251"/>
  <c r="O30" i="41"/>
  <c r="AG33" i="173"/>
  <c r="D30" i="251"/>
  <c r="D30" i="250"/>
  <c r="AM32" i="173"/>
  <c r="J29" i="251"/>
  <c r="J29" i="250"/>
  <c r="AI32" i="173"/>
  <c r="F29" i="251"/>
  <c r="F29" i="250"/>
  <c r="O28" i="41"/>
  <c r="AG31" i="173"/>
  <c r="D28" i="251"/>
  <c r="D28" i="250"/>
  <c r="AM30" i="173"/>
  <c r="J27" i="250"/>
  <c r="J27" i="251"/>
  <c r="AI30" i="173"/>
  <c r="F27" i="250"/>
  <c r="F27" i="251"/>
  <c r="O26" i="41"/>
  <c r="AG29" i="173"/>
  <c r="D26" i="250"/>
  <c r="D26" i="251"/>
  <c r="AM28" i="173"/>
  <c r="J25" i="251"/>
  <c r="J25" i="250"/>
  <c r="AI28" i="173"/>
  <c r="F25" i="251"/>
  <c r="F25" i="250"/>
  <c r="O24" i="41"/>
  <c r="AG27" i="173"/>
  <c r="D24" i="251"/>
  <c r="D24" i="250"/>
  <c r="AM26" i="173"/>
  <c r="J23" i="250"/>
  <c r="J23" i="251"/>
  <c r="AI26" i="173"/>
  <c r="F23" i="250"/>
  <c r="F23" i="251"/>
  <c r="O22" i="41"/>
  <c r="AG25" i="173"/>
  <c r="D22" i="251"/>
  <c r="D22" i="250"/>
  <c r="AM24" i="173"/>
  <c r="J21" i="251"/>
  <c r="J21" i="250"/>
  <c r="AI24" i="173"/>
  <c r="F21" i="251"/>
  <c r="F21" i="250"/>
  <c r="O20" i="41"/>
  <c r="AG23" i="173"/>
  <c r="D20" i="251"/>
  <c r="D20" i="250"/>
  <c r="AM22" i="173"/>
  <c r="J19" i="251"/>
  <c r="J19" i="250"/>
  <c r="AI22" i="173"/>
  <c r="F19" i="251"/>
  <c r="F19" i="250"/>
  <c r="O18" i="41"/>
  <c r="AG21" i="173"/>
  <c r="D18" i="251"/>
  <c r="D18" i="250"/>
  <c r="D18" i="256"/>
  <c r="AM20" i="173"/>
  <c r="J17" i="251"/>
  <c r="J17" i="250"/>
  <c r="J17" i="256"/>
  <c r="AI20" i="173"/>
  <c r="F17" i="251"/>
  <c r="F17" i="250"/>
  <c r="F17" i="256"/>
  <c r="O16" i="41"/>
  <c r="AG19" i="173"/>
  <c r="D16" i="251"/>
  <c r="D16" i="250"/>
  <c r="D16" i="256"/>
  <c r="AM18" i="173"/>
  <c r="J15" i="251"/>
  <c r="J15" i="250"/>
  <c r="J15" i="256"/>
  <c r="AI18" i="173"/>
  <c r="F15" i="251"/>
  <c r="F15" i="250"/>
  <c r="F15" i="256"/>
  <c r="O14" i="41"/>
  <c r="AG17" i="173"/>
  <c r="D14" i="251"/>
  <c r="D14" i="250"/>
  <c r="D14" i="256"/>
  <c r="AM16" i="173"/>
  <c r="J13" i="251"/>
  <c r="J13" i="250"/>
  <c r="J13" i="256"/>
  <c r="AI16" i="173"/>
  <c r="F13" i="251"/>
  <c r="F13" i="250"/>
  <c r="F13" i="256"/>
  <c r="O12" i="41"/>
  <c r="AG15" i="173"/>
  <c r="D12" i="251"/>
  <c r="D12" i="250"/>
  <c r="D12" i="256"/>
  <c r="AM14" i="173"/>
  <c r="J11" i="251"/>
  <c r="J11" i="250"/>
  <c r="J11" i="256"/>
  <c r="AI14" i="173"/>
  <c r="F11" i="251"/>
  <c r="F11" i="250"/>
  <c r="F11" i="256"/>
  <c r="O10" i="41"/>
  <c r="AG13" i="173"/>
  <c r="D10" i="251"/>
  <c r="D10" i="250"/>
  <c r="D10" i="256"/>
  <c r="H47" i="47"/>
  <c r="H43" i="47"/>
  <c r="B41" i="172"/>
  <c r="B38" i="172"/>
  <c r="B37" i="172"/>
  <c r="B33" i="172"/>
  <c r="B30" i="172"/>
  <c r="B29" i="172"/>
  <c r="B26" i="172"/>
  <c r="B22" i="172"/>
  <c r="B14" i="172"/>
  <c r="B12" i="172"/>
  <c r="J8" i="172"/>
  <c r="J42" i="53"/>
  <c r="J41" i="53"/>
  <c r="V38" i="53"/>
  <c r="V34" i="53"/>
  <c r="M24" i="53"/>
  <c r="U23" i="53"/>
  <c r="M23" i="53"/>
  <c r="N20" i="53"/>
  <c r="V18" i="53"/>
  <c r="N17" i="53"/>
  <c r="W16" i="53"/>
  <c r="W15" i="53"/>
  <c r="O14" i="53"/>
  <c r="O13" i="53"/>
  <c r="F14" i="156"/>
  <c r="G14" i="156"/>
  <c r="K46" i="41"/>
  <c r="K45" i="41"/>
  <c r="K44" i="41"/>
  <c r="K43" i="41"/>
  <c r="K42" i="41"/>
  <c r="K41" i="41"/>
  <c r="AB39" i="251"/>
  <c r="AB39" i="250"/>
  <c r="AH42" i="173"/>
  <c r="E39" i="251"/>
  <c r="E39" i="250"/>
  <c r="AJ41" i="173"/>
  <c r="G38" i="251"/>
  <c r="G38" i="250"/>
  <c r="AB37" i="250"/>
  <c r="AB37" i="251"/>
  <c r="AH40" i="173"/>
  <c r="E37" i="251"/>
  <c r="E37" i="250"/>
  <c r="AJ39" i="173"/>
  <c r="G36" i="250"/>
  <c r="G36" i="251"/>
  <c r="AB35" i="251"/>
  <c r="AB35" i="250"/>
  <c r="AH38" i="173"/>
  <c r="E35" i="251"/>
  <c r="E35" i="250"/>
  <c r="AJ37" i="173"/>
  <c r="G34" i="251"/>
  <c r="G34" i="250"/>
  <c r="AB33" i="250"/>
  <c r="AB33" i="251"/>
  <c r="AH36" i="173"/>
  <c r="E33" i="251"/>
  <c r="E33" i="250"/>
  <c r="AJ35" i="173"/>
  <c r="G32" i="250"/>
  <c r="G32" i="251"/>
  <c r="AB31" i="251"/>
  <c r="AB31" i="250"/>
  <c r="AH34" i="173"/>
  <c r="E31" i="251"/>
  <c r="E31" i="250"/>
  <c r="AJ33" i="173"/>
  <c r="G30" i="251"/>
  <c r="G30" i="250"/>
  <c r="AB29" i="250"/>
  <c r="AB29" i="251"/>
  <c r="AH32" i="173"/>
  <c r="E29" i="251"/>
  <c r="E29" i="250"/>
  <c r="AJ31" i="173"/>
  <c r="G28" i="250"/>
  <c r="G28" i="251"/>
  <c r="AB27" i="251"/>
  <c r="AB27" i="250"/>
  <c r="AH30" i="173"/>
  <c r="E27" i="251"/>
  <c r="E27" i="250"/>
  <c r="AJ29" i="173"/>
  <c r="G26" i="251"/>
  <c r="G26" i="250"/>
  <c r="AB25" i="250"/>
  <c r="AB25" i="251"/>
  <c r="AH28" i="173"/>
  <c r="E25" i="251"/>
  <c r="E25" i="250"/>
  <c r="AJ27" i="173"/>
  <c r="G24" i="250"/>
  <c r="G24" i="251"/>
  <c r="AB23" i="251"/>
  <c r="AB23" i="250"/>
  <c r="AH26" i="173"/>
  <c r="E23" i="250"/>
  <c r="E23" i="251"/>
  <c r="AJ25" i="173"/>
  <c r="G22" i="251"/>
  <c r="G22" i="250"/>
  <c r="AB21" i="250"/>
  <c r="AB21" i="251"/>
  <c r="AH24" i="173"/>
  <c r="E21" i="251"/>
  <c r="E21" i="250"/>
  <c r="AJ23" i="173"/>
  <c r="G20" i="251"/>
  <c r="G20" i="250"/>
  <c r="AB19" i="251"/>
  <c r="AB19" i="250"/>
  <c r="AH22" i="173"/>
  <c r="E19" i="251"/>
  <c r="E19" i="250"/>
  <c r="AJ21" i="173"/>
  <c r="G18" i="251"/>
  <c r="G18" i="250"/>
  <c r="G18" i="256"/>
  <c r="AB17" i="251"/>
  <c r="AB17" i="250"/>
  <c r="AB17" i="256"/>
  <c r="AH20" i="173"/>
  <c r="E17" i="251"/>
  <c r="E17" i="250"/>
  <c r="E17" i="256"/>
  <c r="AJ19" i="173"/>
  <c r="G16" i="251"/>
  <c r="G16" i="250"/>
  <c r="G16" i="256"/>
  <c r="AB15" i="251"/>
  <c r="AB15" i="250"/>
  <c r="AB15" i="256"/>
  <c r="AH18" i="173"/>
  <c r="E15" i="251"/>
  <c r="E15" i="250"/>
  <c r="E15" i="256"/>
  <c r="AJ17" i="173"/>
  <c r="G14" i="251"/>
  <c r="G14" i="250"/>
  <c r="G14" i="256"/>
  <c r="AB13" i="251"/>
  <c r="AB13" i="250"/>
  <c r="AB13" i="256"/>
  <c r="AB13" i="12"/>
  <c r="AH16" i="173"/>
  <c r="E13" i="251"/>
  <c r="E13" i="250"/>
  <c r="E13" i="256"/>
  <c r="AJ15" i="173"/>
  <c r="G12" i="251"/>
  <c r="G12" i="250"/>
  <c r="G12" i="256"/>
  <c r="AB11" i="251"/>
  <c r="AB11" i="250"/>
  <c r="AB11" i="256"/>
  <c r="AB11" i="12"/>
  <c r="AH14" i="173"/>
  <c r="E11" i="251"/>
  <c r="E11" i="250"/>
  <c r="E11" i="256"/>
  <c r="AJ13" i="173"/>
  <c r="G10" i="251"/>
  <c r="G10" i="250"/>
  <c r="G10" i="256"/>
  <c r="L51" i="48"/>
  <c r="N51" i="48" s="1"/>
  <c r="I45" i="47"/>
  <c r="AH41" i="47"/>
  <c r="AE41" i="172" s="1"/>
  <c r="AD41" i="47"/>
  <c r="AA41" i="172" s="1"/>
  <c r="B42" i="173"/>
  <c r="B39" i="251"/>
  <c r="B39" i="250"/>
  <c r="B41" i="173"/>
  <c r="B38" i="251"/>
  <c r="B38" i="250"/>
  <c r="AH39" i="47"/>
  <c r="AE39" i="172" s="1"/>
  <c r="AD39" i="47"/>
  <c r="AA39" i="172" s="1"/>
  <c r="B40" i="173"/>
  <c r="B37" i="251"/>
  <c r="B37" i="250"/>
  <c r="B39" i="173"/>
  <c r="B36" i="250"/>
  <c r="B36" i="251"/>
  <c r="AH37" i="47"/>
  <c r="AE37" i="172" s="1"/>
  <c r="AD37" i="47"/>
  <c r="AA37" i="172" s="1"/>
  <c r="B38" i="173"/>
  <c r="B35" i="251"/>
  <c r="B35" i="250"/>
  <c r="B37" i="173"/>
  <c r="B34" i="251"/>
  <c r="B34" i="250"/>
  <c r="AH35" i="47"/>
  <c r="AE35" i="172" s="1"/>
  <c r="AD35" i="47"/>
  <c r="AA35" i="172" s="1"/>
  <c r="B36" i="173"/>
  <c r="B33" i="251"/>
  <c r="B33" i="250"/>
  <c r="B35" i="173"/>
  <c r="B32" i="250"/>
  <c r="B32" i="251"/>
  <c r="AH33" i="47"/>
  <c r="AE33" i="172" s="1"/>
  <c r="AD33" i="47"/>
  <c r="AA33" i="172" s="1"/>
  <c r="B34" i="173"/>
  <c r="B31" i="251"/>
  <c r="B31" i="250"/>
  <c r="B33" i="173"/>
  <c r="B30" i="251"/>
  <c r="B30" i="250"/>
  <c r="AH31" i="47"/>
  <c r="AE31" i="172" s="1"/>
  <c r="AD31" i="47"/>
  <c r="AA31" i="172" s="1"/>
  <c r="B32" i="173"/>
  <c r="B29" i="251"/>
  <c r="B29" i="250"/>
  <c r="B31" i="173"/>
  <c r="B28" i="250"/>
  <c r="B28" i="251"/>
  <c r="AH29" i="47"/>
  <c r="AE29" i="172" s="1"/>
  <c r="AD29" i="47"/>
  <c r="AA29" i="172" s="1"/>
  <c r="B30" i="173"/>
  <c r="B27" i="251"/>
  <c r="B27" i="250"/>
  <c r="B29" i="173"/>
  <c r="B26" i="251"/>
  <c r="B26" i="250"/>
  <c r="AH27" i="47"/>
  <c r="AE27" i="172" s="1"/>
  <c r="AD27" i="47"/>
  <c r="AA27" i="172" s="1"/>
  <c r="B28" i="173"/>
  <c r="B25" i="250"/>
  <c r="B25" i="251"/>
  <c r="B27" i="173"/>
  <c r="B24" i="250"/>
  <c r="B24" i="251"/>
  <c r="AH25" i="47"/>
  <c r="AE25" i="172" s="1"/>
  <c r="AD25" i="47"/>
  <c r="AA25" i="172" s="1"/>
  <c r="B26" i="173"/>
  <c r="B23" i="251"/>
  <c r="B23" i="250"/>
  <c r="B23" i="53"/>
  <c r="B25" i="173"/>
  <c r="B22" i="251"/>
  <c r="B22" i="250"/>
  <c r="AH23" i="47"/>
  <c r="AE23" i="172" s="1"/>
  <c r="AD23" i="47"/>
  <c r="AA23" i="172" s="1"/>
  <c r="B24" i="173"/>
  <c r="B21" i="250"/>
  <c r="B21" i="251"/>
  <c r="B21" i="53"/>
  <c r="B23" i="173"/>
  <c r="B20" i="251"/>
  <c r="B20" i="250"/>
  <c r="B20" i="53"/>
  <c r="AH21" i="47"/>
  <c r="AE21" i="172" s="1"/>
  <c r="AD21" i="47"/>
  <c r="AA21" i="172" s="1"/>
  <c r="B22" i="173"/>
  <c r="B19" i="251"/>
  <c r="B19" i="250"/>
  <c r="B19" i="53"/>
  <c r="B21" i="173"/>
  <c r="B18" i="251"/>
  <c r="B18" i="250"/>
  <c r="B18" i="256"/>
  <c r="AH19" i="47"/>
  <c r="AE19" i="172" s="1"/>
  <c r="AD19" i="47"/>
  <c r="AA19" i="172" s="1"/>
  <c r="B20" i="173"/>
  <c r="B17" i="251"/>
  <c r="B17" i="250"/>
  <c r="B17" i="256"/>
  <c r="B17" i="53"/>
  <c r="B19" i="173"/>
  <c r="B16" i="251"/>
  <c r="B16" i="250"/>
  <c r="B16" i="256"/>
  <c r="B16" i="53"/>
  <c r="AH17" i="47"/>
  <c r="AE17" i="172" s="1"/>
  <c r="AD17" i="47"/>
  <c r="AA17" i="172" s="1"/>
  <c r="B18" i="173"/>
  <c r="B15" i="251"/>
  <c r="B15" i="250"/>
  <c r="B15" i="256"/>
  <c r="B14" i="15"/>
  <c r="B15" i="53"/>
  <c r="B17" i="173"/>
  <c r="B14" i="244"/>
  <c r="B14" i="251"/>
  <c r="B14" i="13"/>
  <c r="B14" i="250"/>
  <c r="B14" i="256"/>
  <c r="B14" i="249"/>
  <c r="B14" i="12"/>
  <c r="B14" i="257"/>
  <c r="AH15" i="47"/>
  <c r="AE15" i="172" s="1"/>
  <c r="AD15" i="47"/>
  <c r="AA15" i="172" s="1"/>
  <c r="B16" i="173"/>
  <c r="B13" i="244"/>
  <c r="B13" i="251"/>
  <c r="B13" i="13"/>
  <c r="B13" i="250"/>
  <c r="B13" i="256"/>
  <c r="B13" i="249"/>
  <c r="B13" i="257"/>
  <c r="B12" i="15"/>
  <c r="B13" i="12"/>
  <c r="B13" i="53"/>
  <c r="B15" i="173"/>
  <c r="B12" i="244"/>
  <c r="B12" i="13"/>
  <c r="B12" i="251"/>
  <c r="B12" i="250"/>
  <c r="B12" i="249"/>
  <c r="B12" i="256"/>
  <c r="B12" i="53"/>
  <c r="B12" i="257"/>
  <c r="B12" i="12"/>
  <c r="AH13" i="47"/>
  <c r="AE13" i="172" s="1"/>
  <c r="AD13" i="47"/>
  <c r="AA13" i="172" s="1"/>
  <c r="B14" i="173"/>
  <c r="B11" i="244"/>
  <c r="B11" i="13"/>
  <c r="B11" i="251"/>
  <c r="B11" i="249"/>
  <c r="B11" i="250"/>
  <c r="B11" i="256"/>
  <c r="B10" i="15"/>
  <c r="B11" i="53"/>
  <c r="B11" i="257"/>
  <c r="B11" i="12"/>
  <c r="B13" i="173"/>
  <c r="B10" i="244"/>
  <c r="B10" i="251"/>
  <c r="B10" i="13"/>
  <c r="B10" i="250"/>
  <c r="B10" i="256"/>
  <c r="B10" i="249"/>
  <c r="B10" i="12"/>
  <c r="B10" i="257"/>
  <c r="AB2" i="244"/>
  <c r="AB2" i="251"/>
  <c r="AB2" i="250"/>
  <c r="AB2" i="249"/>
  <c r="AB2" i="256"/>
  <c r="AM2" i="57"/>
  <c r="AB2" i="257"/>
  <c r="AB2" i="12"/>
  <c r="AA2" i="53"/>
  <c r="AI41" i="172"/>
  <c r="AA39" i="53" s="1"/>
  <c r="AI40" i="172"/>
  <c r="AA38" i="53" s="1"/>
  <c r="AI39" i="172"/>
  <c r="AA37" i="53" s="1"/>
  <c r="AI38" i="172"/>
  <c r="AA36" i="53" s="1"/>
  <c r="AI37" i="172"/>
  <c r="AA35" i="53" s="1"/>
  <c r="AI36" i="172"/>
  <c r="AA34" i="53" s="1"/>
  <c r="AI35" i="172"/>
  <c r="AA33" i="53" s="1"/>
  <c r="AI34" i="172"/>
  <c r="AA32" i="53" s="1"/>
  <c r="AI33" i="172"/>
  <c r="AA31" i="53" s="1"/>
  <c r="AI32" i="172"/>
  <c r="AA30" i="53" s="1"/>
  <c r="AI31" i="172"/>
  <c r="AA29" i="53" s="1"/>
  <c r="AI30" i="172"/>
  <c r="AA28" i="53" s="1"/>
  <c r="AI29" i="172"/>
  <c r="AA27" i="53" s="1"/>
  <c r="AI28" i="172"/>
  <c r="AA26" i="53" s="1"/>
  <c r="AI27" i="172"/>
  <c r="AA25" i="53" s="1"/>
  <c r="AI26" i="172"/>
  <c r="AA24" i="53" s="1"/>
  <c r="AI25" i="172"/>
  <c r="AA23" i="53" s="1"/>
  <c r="AI24" i="172"/>
  <c r="AA22" i="53" s="1"/>
  <c r="AI23" i="172"/>
  <c r="AA21" i="53" s="1"/>
  <c r="AI22" i="172"/>
  <c r="AA20" i="53" s="1"/>
  <c r="AI21" i="172"/>
  <c r="AA19" i="53" s="1"/>
  <c r="AI20" i="172"/>
  <c r="AA18" i="53" s="1"/>
  <c r="AI19" i="172"/>
  <c r="AA17" i="53" s="1"/>
  <c r="AI18" i="172"/>
  <c r="AA16" i="53" s="1"/>
  <c r="AI17" i="172"/>
  <c r="AA15" i="53" s="1"/>
  <c r="AI16" i="172"/>
  <c r="AA14" i="53" s="1"/>
  <c r="AI15" i="172"/>
  <c r="AA13" i="53" s="1"/>
  <c r="AI14" i="172"/>
  <c r="AA12" i="53" s="1"/>
  <c r="AI13" i="172"/>
  <c r="AA11" i="53" s="1"/>
  <c r="AI12" i="172"/>
  <c r="AA10" i="53" s="1"/>
  <c r="Y4" i="172"/>
  <c r="V39" i="53"/>
  <c r="U38" i="53"/>
  <c r="O38" i="53"/>
  <c r="N37" i="53"/>
  <c r="W36" i="53"/>
  <c r="M36" i="53"/>
  <c r="B36" i="53"/>
  <c r="V35" i="53"/>
  <c r="U34" i="53"/>
  <c r="O34" i="53"/>
  <c r="N33" i="53"/>
  <c r="W32" i="53"/>
  <c r="M32" i="53"/>
  <c r="B32" i="53"/>
  <c r="V31" i="53"/>
  <c r="U30" i="53"/>
  <c r="O30" i="53"/>
  <c r="N29" i="53"/>
  <c r="W28" i="53"/>
  <c r="M28" i="53"/>
  <c r="B28" i="53"/>
  <c r="V27" i="53"/>
  <c r="U26" i="53"/>
  <c r="O26" i="53"/>
  <c r="N25" i="53"/>
  <c r="N23" i="53"/>
  <c r="W22" i="53"/>
  <c r="M22" i="53"/>
  <c r="B22" i="53"/>
  <c r="U21" i="53"/>
  <c r="M19" i="53"/>
  <c r="N16" i="53"/>
  <c r="V15" i="53"/>
  <c r="V14" i="53"/>
  <c r="N13" i="53"/>
  <c r="W12" i="53"/>
  <c r="W11" i="53"/>
  <c r="O10" i="53"/>
  <c r="B13" i="15"/>
  <c r="Q10" i="12"/>
  <c r="Q14" i="12"/>
  <c r="S14" i="12" s="1"/>
  <c r="Q13" i="12"/>
  <c r="S13" i="12" s="1"/>
  <c r="Q12" i="12"/>
  <c r="S12" i="12" s="1"/>
  <c r="Q11" i="12"/>
  <c r="S11" i="12" s="1"/>
  <c r="AG42" i="173"/>
  <c r="D39" i="251"/>
  <c r="D39" i="250"/>
  <c r="AM41" i="173"/>
  <c r="J38" i="251"/>
  <c r="J38" i="250"/>
  <c r="AI41" i="173"/>
  <c r="F38" i="251"/>
  <c r="F38" i="250"/>
  <c r="AG40" i="173"/>
  <c r="D37" i="250"/>
  <c r="D37" i="251"/>
  <c r="AM39" i="173"/>
  <c r="J36" i="251"/>
  <c r="J36" i="250"/>
  <c r="AI39" i="173"/>
  <c r="F36" i="251"/>
  <c r="F36" i="250"/>
  <c r="AG38" i="173"/>
  <c r="D35" i="251"/>
  <c r="D35" i="250"/>
  <c r="AM37" i="173"/>
  <c r="J34" i="251"/>
  <c r="J34" i="250"/>
  <c r="AI37" i="173"/>
  <c r="F34" i="251"/>
  <c r="F34" i="250"/>
  <c r="AG36" i="173"/>
  <c r="D33" i="250"/>
  <c r="D33" i="251"/>
  <c r="AM35" i="173"/>
  <c r="J32" i="251"/>
  <c r="J32" i="250"/>
  <c r="AI35" i="173"/>
  <c r="F32" i="251"/>
  <c r="F32" i="250"/>
  <c r="AG34" i="173"/>
  <c r="D31" i="251"/>
  <c r="D31" i="250"/>
  <c r="AM33" i="173"/>
  <c r="J30" i="251"/>
  <c r="J30" i="250"/>
  <c r="AI33" i="173"/>
  <c r="F30" i="251"/>
  <c r="F30" i="250"/>
  <c r="AG32" i="173"/>
  <c r="D29" i="250"/>
  <c r="D29" i="251"/>
  <c r="AM31" i="173"/>
  <c r="J28" i="251"/>
  <c r="J28" i="250"/>
  <c r="AI31" i="173"/>
  <c r="F28" i="251"/>
  <c r="F28" i="250"/>
  <c r="AG30" i="173"/>
  <c r="D27" i="251"/>
  <c r="D27" i="250"/>
  <c r="AM29" i="173"/>
  <c r="J26" i="251"/>
  <c r="J26" i="250"/>
  <c r="AI29" i="173"/>
  <c r="F26" i="251"/>
  <c r="F26" i="250"/>
  <c r="AG28" i="173"/>
  <c r="D25" i="250"/>
  <c r="D25" i="251"/>
  <c r="AM27" i="173"/>
  <c r="J24" i="250"/>
  <c r="J24" i="251"/>
  <c r="AI27" i="173"/>
  <c r="F24" i="250"/>
  <c r="F24" i="251"/>
  <c r="AG26" i="173"/>
  <c r="D23" i="251"/>
  <c r="D23" i="250"/>
  <c r="AM25" i="173"/>
  <c r="J22" i="251"/>
  <c r="J22" i="250"/>
  <c r="AI25" i="173"/>
  <c r="F22" i="251"/>
  <c r="F22" i="250"/>
  <c r="AG24" i="173"/>
  <c r="D21" i="250"/>
  <c r="D21" i="251"/>
  <c r="AM23" i="173"/>
  <c r="J20" i="251"/>
  <c r="J20" i="250"/>
  <c r="AI23" i="173"/>
  <c r="F20" i="251"/>
  <c r="F20" i="250"/>
  <c r="AG22" i="173"/>
  <c r="D19" i="251"/>
  <c r="D19" i="250"/>
  <c r="AM21" i="173"/>
  <c r="J18" i="251"/>
  <c r="J18" i="250"/>
  <c r="J18" i="256"/>
  <c r="AI21" i="173"/>
  <c r="F18" i="251"/>
  <c r="F18" i="250"/>
  <c r="F18" i="256"/>
  <c r="AG20" i="173"/>
  <c r="D17" i="251"/>
  <c r="D17" i="250"/>
  <c r="D17" i="256"/>
  <c r="AM19" i="173"/>
  <c r="J16" i="251"/>
  <c r="J16" i="250"/>
  <c r="J16" i="256"/>
  <c r="AI19" i="173"/>
  <c r="F16" i="251"/>
  <c r="F16" i="250"/>
  <c r="F16" i="256"/>
  <c r="AG18" i="173"/>
  <c r="D15" i="251"/>
  <c r="D15" i="250"/>
  <c r="D15" i="256"/>
  <c r="AM17" i="173"/>
  <c r="J14" i="251"/>
  <c r="J14" i="250"/>
  <c r="J14" i="256"/>
  <c r="AI17" i="173"/>
  <c r="F14" i="251"/>
  <c r="F14" i="250"/>
  <c r="F14" i="256"/>
  <c r="AG16" i="173"/>
  <c r="D13" i="251"/>
  <c r="D13" i="250"/>
  <c r="D13" i="256"/>
  <c r="AM15" i="173"/>
  <c r="J12" i="251"/>
  <c r="J12" i="250"/>
  <c r="J12" i="256"/>
  <c r="AI15" i="173"/>
  <c r="F12" i="251"/>
  <c r="F12" i="250"/>
  <c r="F12" i="256"/>
  <c r="AG14" i="173"/>
  <c r="D11" i="251"/>
  <c r="D11" i="250"/>
  <c r="D11" i="256"/>
  <c r="AM13" i="173"/>
  <c r="J10" i="251"/>
  <c r="J10" i="250"/>
  <c r="J10" i="256"/>
  <c r="AI13" i="173"/>
  <c r="F10" i="251"/>
  <c r="F10" i="250"/>
  <c r="F10" i="256"/>
  <c r="AC41" i="47"/>
  <c r="AC39" i="47"/>
  <c r="AC37" i="47"/>
  <c r="AC35" i="47"/>
  <c r="AC33" i="47"/>
  <c r="AC31" i="47"/>
  <c r="AC29" i="47"/>
  <c r="AC27" i="47"/>
  <c r="AC25" i="47"/>
  <c r="AC23" i="47"/>
  <c r="AC21" i="47"/>
  <c r="AC19" i="47"/>
  <c r="AC17" i="47"/>
  <c r="AC15" i="47"/>
  <c r="AC13" i="47"/>
  <c r="B37" i="53"/>
  <c r="B33" i="53"/>
  <c r="B29" i="53"/>
  <c r="B25" i="53"/>
  <c r="N24" i="53"/>
  <c r="W23" i="53"/>
  <c r="O23" i="53"/>
  <c r="V21" i="53"/>
  <c r="O21" i="53"/>
  <c r="U20" i="53"/>
  <c r="O20" i="53"/>
  <c r="N19" i="53"/>
  <c r="M18" i="53"/>
  <c r="B18" i="53"/>
  <c r="U17" i="53"/>
  <c r="M16" i="53"/>
  <c r="M15" i="53"/>
  <c r="U14" i="53"/>
  <c r="N12" i="53"/>
  <c r="V11" i="53"/>
  <c r="V10" i="53"/>
  <c r="Q46" i="41"/>
  <c r="M46" i="41"/>
  <c r="H46" i="41"/>
  <c r="Q45" i="41"/>
  <c r="M45" i="41"/>
  <c r="H45" i="41"/>
  <c r="Q44" i="41"/>
  <c r="M44" i="41"/>
  <c r="H44" i="41"/>
  <c r="Q43" i="41"/>
  <c r="M43" i="41"/>
  <c r="H43" i="41"/>
  <c r="Q42" i="41"/>
  <c r="M42" i="41"/>
  <c r="H42" i="41"/>
  <c r="Q41" i="41"/>
  <c r="M41" i="41"/>
  <c r="AJ42" i="173"/>
  <c r="G39" i="251"/>
  <c r="G39" i="250"/>
  <c r="AB38" i="251"/>
  <c r="AB38" i="250"/>
  <c r="P38" i="41"/>
  <c r="R38" i="41" s="1"/>
  <c r="AH41" i="173"/>
  <c r="E38" i="250"/>
  <c r="E38" i="251"/>
  <c r="AJ40" i="173"/>
  <c r="G37" i="251"/>
  <c r="G37" i="250"/>
  <c r="AB36" i="251"/>
  <c r="AB36" i="250"/>
  <c r="P36" i="41"/>
  <c r="R36" i="41" s="1"/>
  <c r="AH39" i="173"/>
  <c r="E36" i="251"/>
  <c r="E36" i="250"/>
  <c r="AJ38" i="173"/>
  <c r="G35" i="251"/>
  <c r="G35" i="250"/>
  <c r="AB34" i="251"/>
  <c r="AB34" i="250"/>
  <c r="P34" i="41"/>
  <c r="R34" i="41" s="1"/>
  <c r="AH37" i="173"/>
  <c r="E34" i="250"/>
  <c r="E34" i="251"/>
  <c r="AJ36" i="173"/>
  <c r="G33" i="251"/>
  <c r="G33" i="250"/>
  <c r="AB32" i="251"/>
  <c r="AB32" i="250"/>
  <c r="P32" i="41"/>
  <c r="R32" i="41" s="1"/>
  <c r="AH35" i="173"/>
  <c r="E32" i="251"/>
  <c r="E32" i="250"/>
  <c r="AJ34" i="173"/>
  <c r="G31" i="251"/>
  <c r="G31" i="250"/>
  <c r="AB30" i="251"/>
  <c r="AB30" i="250"/>
  <c r="P30" i="41"/>
  <c r="R30" i="41" s="1"/>
  <c r="AH33" i="173"/>
  <c r="E30" i="250"/>
  <c r="E30" i="251"/>
  <c r="AJ32" i="173"/>
  <c r="G29" i="251"/>
  <c r="G29" i="250"/>
  <c r="AB28" i="251"/>
  <c r="AB28" i="250"/>
  <c r="P28" i="41"/>
  <c r="R28" i="41" s="1"/>
  <c r="AH31" i="173"/>
  <c r="E28" i="251"/>
  <c r="E28" i="250"/>
  <c r="AJ30" i="173"/>
  <c r="G27" i="251"/>
  <c r="G27" i="250"/>
  <c r="AB26" i="250"/>
  <c r="AB26" i="251"/>
  <c r="P26" i="41"/>
  <c r="R26" i="41" s="1"/>
  <c r="AH29" i="173"/>
  <c r="E26" i="250"/>
  <c r="E26" i="251"/>
  <c r="AJ28" i="173"/>
  <c r="G25" i="250"/>
  <c r="G25" i="251"/>
  <c r="AB24" i="251"/>
  <c r="AB24" i="250"/>
  <c r="P24" i="41"/>
  <c r="R24" i="41" s="1"/>
  <c r="AH27" i="173"/>
  <c r="E24" i="251"/>
  <c r="E24" i="250"/>
  <c r="AJ26" i="173"/>
  <c r="G23" i="251"/>
  <c r="G23" i="250"/>
  <c r="AB22" i="250"/>
  <c r="AB22" i="251"/>
  <c r="P22" i="41"/>
  <c r="R22" i="41" s="1"/>
  <c r="AH25" i="173"/>
  <c r="E22" i="251"/>
  <c r="E22" i="250"/>
  <c r="AJ24" i="173"/>
  <c r="G21" i="250"/>
  <c r="G21" i="251"/>
  <c r="AB20" i="251"/>
  <c r="AB20" i="250"/>
  <c r="P20" i="41"/>
  <c r="R20" i="41" s="1"/>
  <c r="AH23" i="173"/>
  <c r="E20" i="251"/>
  <c r="E20" i="250"/>
  <c r="AJ22" i="173"/>
  <c r="G19" i="251"/>
  <c r="G19" i="250"/>
  <c r="AB18" i="251"/>
  <c r="AB18" i="250"/>
  <c r="AB18" i="256"/>
  <c r="P18" i="41"/>
  <c r="R18" i="41" s="1"/>
  <c r="AH21" i="173"/>
  <c r="E18" i="251"/>
  <c r="E18" i="250"/>
  <c r="E18" i="256"/>
  <c r="AJ20" i="173"/>
  <c r="G17" i="251"/>
  <c r="G17" i="250"/>
  <c r="G17" i="256"/>
  <c r="AB16" i="251"/>
  <c r="AB16" i="250"/>
  <c r="AB16" i="256"/>
  <c r="P16" i="41"/>
  <c r="R16" i="41" s="1"/>
  <c r="AH19" i="173"/>
  <c r="E16" i="251"/>
  <c r="E16" i="250"/>
  <c r="E16" i="256"/>
  <c r="AJ18" i="173"/>
  <c r="G15" i="251"/>
  <c r="G15" i="250"/>
  <c r="G15" i="256"/>
  <c r="AB14" i="251"/>
  <c r="AB14" i="250"/>
  <c r="AB14" i="256"/>
  <c r="AB14" i="12"/>
  <c r="P14" i="41"/>
  <c r="R14" i="41" s="1"/>
  <c r="AH17" i="173"/>
  <c r="E14" i="251"/>
  <c r="E14" i="250"/>
  <c r="E14" i="256"/>
  <c r="AJ16" i="173"/>
  <c r="G13" i="251"/>
  <c r="G13" i="250"/>
  <c r="G13" i="256"/>
  <c r="AB12" i="251"/>
  <c r="AB12" i="250"/>
  <c r="AB12" i="256"/>
  <c r="AB12" i="12"/>
  <c r="P12" i="41"/>
  <c r="R12" i="41" s="1"/>
  <c r="AH15" i="173"/>
  <c r="E12" i="251"/>
  <c r="E12" i="250"/>
  <c r="E12" i="256"/>
  <c r="AJ14" i="173"/>
  <c r="G11" i="251"/>
  <c r="G11" i="250"/>
  <c r="G11" i="256"/>
  <c r="AB10" i="251"/>
  <c r="AB10" i="250"/>
  <c r="AB10" i="256"/>
  <c r="AB10" i="12"/>
  <c r="P10" i="41"/>
  <c r="U10" i="41" s="1"/>
  <c r="AH13" i="173"/>
  <c r="E10" i="251"/>
  <c r="E10" i="250"/>
  <c r="E10" i="256"/>
  <c r="I43" i="47"/>
  <c r="AB41" i="47"/>
  <c r="AB40" i="47"/>
  <c r="AB39" i="47"/>
  <c r="AB38" i="47"/>
  <c r="AB37" i="47"/>
  <c r="AB36" i="47"/>
  <c r="AB35" i="47"/>
  <c r="AB34" i="47"/>
  <c r="AB33" i="47"/>
  <c r="AB32" i="47"/>
  <c r="AB31" i="47"/>
  <c r="AB30" i="47"/>
  <c r="AB29" i="47"/>
  <c r="AB28" i="47"/>
  <c r="AB27" i="47"/>
  <c r="AB26" i="47"/>
  <c r="AB25" i="47"/>
  <c r="AB24" i="47"/>
  <c r="AB23" i="47"/>
  <c r="AB22" i="47"/>
  <c r="AB21" i="47"/>
  <c r="AB20" i="47"/>
  <c r="AB19" i="47"/>
  <c r="AB18" i="47"/>
  <c r="AB17" i="47"/>
  <c r="AB16" i="47"/>
  <c r="AB15" i="47"/>
  <c r="AB14" i="47"/>
  <c r="AB13" i="47"/>
  <c r="AB12" i="47"/>
  <c r="B38" i="53"/>
  <c r="B34" i="53"/>
  <c r="B30" i="53"/>
  <c r="B26" i="53"/>
  <c r="V22" i="53"/>
  <c r="W19" i="53"/>
  <c r="O18" i="53"/>
  <c r="O17" i="53"/>
  <c r="B14" i="53"/>
  <c r="U13" i="53"/>
  <c r="M12" i="53"/>
  <c r="M11" i="53"/>
  <c r="U10" i="53"/>
  <c r="B9" i="15"/>
  <c r="F13" i="242"/>
  <c r="N37" i="241"/>
  <c r="L48" i="57"/>
  <c r="L44" i="57"/>
  <c r="W41" i="57"/>
  <c r="W40" i="57"/>
  <c r="W39" i="57"/>
  <c r="W38" i="57"/>
  <c r="W37" i="57"/>
  <c r="W36" i="57"/>
  <c r="W35" i="57"/>
  <c r="W34" i="57"/>
  <c r="W33" i="57"/>
  <c r="W32" i="57"/>
  <c r="W31" i="57"/>
  <c r="W30" i="57"/>
  <c r="W29" i="57"/>
  <c r="W28" i="57"/>
  <c r="W27" i="57"/>
  <c r="W26" i="57"/>
  <c r="W25" i="57"/>
  <c r="W24" i="57"/>
  <c r="W23" i="57"/>
  <c r="W22" i="57"/>
  <c r="W21" i="57"/>
  <c r="W20" i="57"/>
  <c r="W19" i="57"/>
  <c r="W18" i="57"/>
  <c r="W17" i="57"/>
  <c r="W16" i="57"/>
  <c r="W15" i="57"/>
  <c r="W14" i="57"/>
  <c r="W13" i="57"/>
  <c r="W12" i="57"/>
  <c r="W11" i="57"/>
  <c r="W10" i="57"/>
  <c r="W9" i="57"/>
  <c r="N35" i="241"/>
  <c r="F11" i="242"/>
  <c r="L46" i="57"/>
  <c r="AE41" i="57"/>
  <c r="AE40" i="57"/>
  <c r="AE39" i="57"/>
  <c r="AE38" i="57"/>
  <c r="AE37" i="57"/>
  <c r="AE36" i="57"/>
  <c r="AE35" i="57"/>
  <c r="AE34" i="57"/>
  <c r="AE33" i="57"/>
  <c r="AE32" i="57"/>
  <c r="AE31" i="57"/>
  <c r="AE30" i="57"/>
  <c r="AE29" i="57"/>
  <c r="AE28" i="57"/>
  <c r="AE27" i="57"/>
  <c r="AE26" i="57"/>
  <c r="AE25" i="57"/>
  <c r="AE24" i="57"/>
  <c r="AE23" i="57"/>
  <c r="AE22" i="57"/>
  <c r="AE21" i="57"/>
  <c r="AE20" i="57"/>
  <c r="AE19" i="57"/>
  <c r="AE18" i="57"/>
  <c r="AE17" i="57"/>
  <c r="AE16" i="57"/>
  <c r="AE15" i="57"/>
  <c r="AE14" i="57"/>
  <c r="AE13" i="57"/>
  <c r="AE12" i="57"/>
  <c r="AE11" i="57"/>
  <c r="AE10" i="57"/>
  <c r="AE9" i="57"/>
  <c r="F17" i="63"/>
  <c r="F21" i="63" s="1"/>
  <c r="E11" i="63"/>
  <c r="E33" i="236" s="1"/>
  <c r="C16" i="156"/>
  <c r="G16" i="156" s="1"/>
  <c r="M24" i="257"/>
  <c r="M22" i="257"/>
  <c r="N33" i="241"/>
  <c r="F9" i="242"/>
  <c r="M41" i="250"/>
  <c r="M42" i="250"/>
  <c r="M43" i="250"/>
  <c r="M46" i="251"/>
  <c r="M45" i="251"/>
  <c r="M44" i="251"/>
  <c r="M43" i="251"/>
  <c r="M42" i="251"/>
  <c r="R37" i="234"/>
  <c r="S37" i="234"/>
  <c r="T37" i="234"/>
  <c r="R29" i="234"/>
  <c r="S29" i="234"/>
  <c r="T27" i="234"/>
  <c r="R27" i="234"/>
  <c r="S27" i="234"/>
  <c r="T24" i="234"/>
  <c r="R24" i="234"/>
  <c r="S24" i="234"/>
  <c r="S19" i="234"/>
  <c r="T19" i="234"/>
  <c r="R17" i="234"/>
  <c r="S17" i="234"/>
  <c r="T17" i="234"/>
  <c r="S15" i="234"/>
  <c r="T15" i="234"/>
  <c r="R15" i="234"/>
  <c r="R40" i="234"/>
  <c r="S40" i="234"/>
  <c r="T40" i="234"/>
  <c r="R36" i="234"/>
  <c r="S36" i="234"/>
  <c r="R22" i="234"/>
  <c r="S22" i="234"/>
  <c r="S14" i="234"/>
  <c r="T14" i="234"/>
  <c r="R14" i="234"/>
  <c r="D38" i="14"/>
  <c r="E38" i="14" s="1"/>
  <c r="R39" i="234"/>
  <c r="S39" i="234"/>
  <c r="T39" i="234"/>
  <c r="T28" i="234"/>
  <c r="R28" i="234"/>
  <c r="S28" i="234"/>
  <c r="T26" i="234"/>
  <c r="R26" i="234"/>
  <c r="S26" i="234"/>
  <c r="T23" i="234"/>
  <c r="R23" i="234"/>
  <c r="S23" i="234"/>
  <c r="R21" i="234"/>
  <c r="S21" i="234"/>
  <c r="T21" i="234"/>
  <c r="R18" i="234"/>
  <c r="S18" i="234"/>
  <c r="T18" i="234"/>
  <c r="S13" i="234"/>
  <c r="T13" i="234"/>
  <c r="R13" i="234"/>
  <c r="R38" i="234"/>
  <c r="S38" i="234"/>
  <c r="T38" i="234"/>
  <c r="S35" i="234"/>
  <c r="R35" i="234"/>
  <c r="S34" i="234"/>
  <c r="T34" i="234"/>
  <c r="R34" i="234"/>
  <c r="S33" i="234"/>
  <c r="T33" i="234"/>
  <c r="R33" i="234"/>
  <c r="S32" i="234"/>
  <c r="T32" i="234"/>
  <c r="R32" i="234"/>
  <c r="S31" i="234"/>
  <c r="T31" i="234"/>
  <c r="R31" i="234"/>
  <c r="S30" i="234"/>
  <c r="T30" i="234"/>
  <c r="R30" i="234"/>
  <c r="T25" i="234"/>
  <c r="R25" i="234"/>
  <c r="S25" i="234"/>
  <c r="R20" i="234"/>
  <c r="S20" i="234"/>
  <c r="T20" i="234"/>
  <c r="R16" i="234"/>
  <c r="S16" i="234"/>
  <c r="T16" i="234"/>
  <c r="M45" i="234"/>
  <c r="O12" i="234"/>
  <c r="M42" i="234"/>
  <c r="M43" i="234"/>
  <c r="M47" i="234"/>
  <c r="D41" i="14"/>
  <c r="E41" i="14" s="1"/>
  <c r="AA34" i="234"/>
  <c r="AA33" i="234"/>
  <c r="AA32" i="234"/>
  <c r="AA31" i="234"/>
  <c r="AA30" i="234"/>
  <c r="F50" i="241"/>
  <c r="G15" i="241"/>
  <c r="G78" i="241" s="1"/>
  <c r="F66" i="241"/>
  <c r="M24" i="244"/>
  <c r="M22" i="244"/>
  <c r="M20" i="244"/>
  <c r="M23" i="244"/>
  <c r="M21" i="244"/>
  <c r="J43" i="185"/>
  <c r="L43" i="185" s="1"/>
  <c r="F50" i="185"/>
  <c r="T43" i="185"/>
  <c r="V43" i="185" s="1"/>
  <c r="J42" i="185"/>
  <c r="T42" i="185"/>
  <c r="V26" i="185"/>
  <c r="Z26" i="185" s="1"/>
  <c r="F47" i="185"/>
  <c r="F48" i="185"/>
  <c r="L11" i="185"/>
  <c r="G35" i="156"/>
  <c r="O49" i="185"/>
  <c r="F49" i="185"/>
  <c r="O45" i="185"/>
  <c r="F45" i="185"/>
  <c r="I39" i="185"/>
  <c r="I35" i="185"/>
  <c r="D7" i="185"/>
  <c r="O48" i="185"/>
  <c r="O47" i="185"/>
  <c r="I9" i="173"/>
  <c r="F26" i="156" l="1"/>
  <c r="O37" i="8"/>
  <c r="O36" i="8"/>
  <c r="P19" i="52"/>
  <c r="P22" i="52" s="1"/>
  <c r="N31" i="64"/>
  <c r="L37" i="8"/>
  <c r="L36" i="8"/>
  <c r="G44" i="156"/>
  <c r="F44" i="156"/>
  <c r="F85" i="156"/>
  <c r="G85" i="156"/>
  <c r="E27" i="273"/>
  <c r="H27" i="273" s="1"/>
  <c r="Y27" i="273" s="1"/>
  <c r="AB20" i="273" s="1"/>
  <c r="C13" i="156"/>
  <c r="G13" i="156" s="1"/>
  <c r="F82" i="156"/>
  <c r="G82" i="156"/>
  <c r="D15" i="12"/>
  <c r="F15" i="12"/>
  <c r="G15" i="12"/>
  <c r="J15" i="12"/>
  <c r="E15" i="12"/>
  <c r="E15" i="272"/>
  <c r="J15" i="272"/>
  <c r="D15" i="272"/>
  <c r="G15" i="272"/>
  <c r="AB15" i="272"/>
  <c r="F15" i="272"/>
  <c r="E17" i="249"/>
  <c r="D17" i="249"/>
  <c r="AB17" i="249"/>
  <c r="G17" i="249"/>
  <c r="F17" i="249"/>
  <c r="J17" i="249"/>
  <c r="D16" i="273"/>
  <c r="G16" i="273"/>
  <c r="F16" i="273"/>
  <c r="J16" i="273"/>
  <c r="AB16" i="273"/>
  <c r="E16" i="273"/>
  <c r="D16" i="244"/>
  <c r="G16" i="244"/>
  <c r="E16" i="244"/>
  <c r="J16" i="244"/>
  <c r="AB16" i="244"/>
  <c r="F16" i="244"/>
  <c r="E15" i="244"/>
  <c r="F15" i="244"/>
  <c r="G15" i="244"/>
  <c r="D15" i="244"/>
  <c r="J15" i="244"/>
  <c r="AB15" i="244"/>
  <c r="D15" i="249"/>
  <c r="J15" i="249"/>
  <c r="AB15" i="249"/>
  <c r="G15" i="249"/>
  <c r="E15" i="249"/>
  <c r="F15" i="249"/>
  <c r="E17" i="257"/>
  <c r="D17" i="257"/>
  <c r="J17" i="257"/>
  <c r="F17" i="257"/>
  <c r="G17" i="257"/>
  <c r="AB17" i="257"/>
  <c r="D17" i="244"/>
  <c r="J17" i="244"/>
  <c r="G17" i="244"/>
  <c r="E17" i="244"/>
  <c r="F17" i="244"/>
  <c r="AB17" i="244"/>
  <c r="D16" i="257"/>
  <c r="AB16" i="257"/>
  <c r="G16" i="257"/>
  <c r="E16" i="257"/>
  <c r="F16" i="257"/>
  <c r="J16" i="257"/>
  <c r="D18" i="12"/>
  <c r="E18" i="12"/>
  <c r="G18" i="12"/>
  <c r="F18" i="12"/>
  <c r="J18" i="12"/>
  <c r="F18" i="244"/>
  <c r="E18" i="244"/>
  <c r="AB18" i="244"/>
  <c r="G18" i="244"/>
  <c r="D18" i="244"/>
  <c r="J18" i="244"/>
  <c r="D15" i="273"/>
  <c r="F15" i="273"/>
  <c r="G15" i="273"/>
  <c r="AB15" i="273"/>
  <c r="E15" i="273"/>
  <c r="J15" i="273"/>
  <c r="D15" i="257"/>
  <c r="J15" i="257"/>
  <c r="F15" i="257"/>
  <c r="G15" i="257"/>
  <c r="AB15" i="257"/>
  <c r="E15" i="257"/>
  <c r="E17" i="12"/>
  <c r="F17" i="12"/>
  <c r="D17" i="12"/>
  <c r="G17" i="12"/>
  <c r="J17" i="12"/>
  <c r="D16" i="249"/>
  <c r="G16" i="249"/>
  <c r="J16" i="249"/>
  <c r="AB16" i="249"/>
  <c r="F16" i="249"/>
  <c r="E16" i="249"/>
  <c r="D16" i="272"/>
  <c r="F16" i="272"/>
  <c r="G16" i="272"/>
  <c r="AB16" i="272"/>
  <c r="E16" i="272"/>
  <c r="J16" i="272"/>
  <c r="D18" i="273"/>
  <c r="J18" i="273"/>
  <c r="F18" i="273"/>
  <c r="E18" i="273"/>
  <c r="AB18" i="273"/>
  <c r="G18" i="273"/>
  <c r="G18" i="249"/>
  <c r="D18" i="249"/>
  <c r="J18" i="249"/>
  <c r="AB18" i="249"/>
  <c r="E18" i="249"/>
  <c r="F18" i="249"/>
  <c r="E17" i="273"/>
  <c r="AB17" i="273"/>
  <c r="D17" i="273"/>
  <c r="J17" i="273"/>
  <c r="G17" i="273"/>
  <c r="F17" i="273"/>
  <c r="D17" i="272"/>
  <c r="E17" i="272"/>
  <c r="F17" i="272"/>
  <c r="J17" i="272"/>
  <c r="G17" i="272"/>
  <c r="AB17" i="272"/>
  <c r="D16" i="12"/>
  <c r="G16" i="12"/>
  <c r="E16" i="12"/>
  <c r="F16" i="12"/>
  <c r="J16" i="12"/>
  <c r="F18" i="272"/>
  <c r="E18" i="272"/>
  <c r="J18" i="272"/>
  <c r="D18" i="272"/>
  <c r="G18" i="272"/>
  <c r="H18" i="272" s="1"/>
  <c r="AB18" i="272"/>
  <c r="F18" i="257"/>
  <c r="E18" i="257"/>
  <c r="G18" i="257"/>
  <c r="AB18" i="257"/>
  <c r="J18" i="257"/>
  <c r="D18" i="257"/>
  <c r="D49" i="14"/>
  <c r="E49" i="14" s="1"/>
  <c r="G8" i="229"/>
  <c r="H8" i="229" s="1"/>
  <c r="I8" i="229" s="1"/>
  <c r="J8" i="229" s="1"/>
  <c r="K8" i="229" s="1"/>
  <c r="L8" i="229" s="1"/>
  <c r="M8" i="229" s="1"/>
  <c r="N8" i="229" s="1"/>
  <c r="O8" i="229" s="1"/>
  <c r="P8" i="229" s="1"/>
  <c r="U21" i="41"/>
  <c r="V21" i="41" s="1"/>
  <c r="U25" i="41"/>
  <c r="V25" i="41" s="1"/>
  <c r="Q11" i="244"/>
  <c r="Q15" i="244"/>
  <c r="Q14" i="244"/>
  <c r="Q12" i="244"/>
  <c r="Q16" i="244"/>
  <c r="Q18" i="244"/>
  <c r="Q13" i="244"/>
  <c r="Q17" i="244"/>
  <c r="H12" i="273"/>
  <c r="Y12" i="273" s="1"/>
  <c r="R19" i="41"/>
  <c r="U17" i="41"/>
  <c r="V17" i="41" s="1"/>
  <c r="Q15" i="12"/>
  <c r="Q18" i="12"/>
  <c r="Q17" i="12"/>
  <c r="Q16" i="12"/>
  <c r="D29" i="64"/>
  <c r="P19" i="241" s="1"/>
  <c r="N26" i="64"/>
  <c r="AK15" i="173"/>
  <c r="H33" i="52"/>
  <c r="H70" i="52" s="1"/>
  <c r="H61" i="73"/>
  <c r="H65" i="73" s="1"/>
  <c r="J62" i="73" s="1"/>
  <c r="H13" i="273"/>
  <c r="G76" i="126"/>
  <c r="P20" i="241"/>
  <c r="I40" i="64"/>
  <c r="P21" i="241"/>
  <c r="U31" i="41"/>
  <c r="V31" i="41" s="1"/>
  <c r="I12" i="273"/>
  <c r="K12" i="273" s="1"/>
  <c r="I11" i="273"/>
  <c r="K11" i="273" s="1"/>
  <c r="H18" i="250"/>
  <c r="I13" i="273"/>
  <c r="K13" i="273" s="1"/>
  <c r="E10" i="273"/>
  <c r="J10" i="273"/>
  <c r="G10" i="273"/>
  <c r="F10" i="273"/>
  <c r="AB10" i="273"/>
  <c r="D10" i="273"/>
  <c r="H11" i="273"/>
  <c r="I14" i="273"/>
  <c r="K14" i="273" s="1"/>
  <c r="H14" i="273"/>
  <c r="S49" i="185"/>
  <c r="H28" i="251"/>
  <c r="H36" i="251"/>
  <c r="H20" i="250"/>
  <c r="AK19" i="173"/>
  <c r="AK23" i="173"/>
  <c r="AK27" i="173"/>
  <c r="AK31" i="173"/>
  <c r="AK35" i="173"/>
  <c r="AK39" i="173"/>
  <c r="L9" i="10"/>
  <c r="D23" i="62"/>
  <c r="Z23" i="185"/>
  <c r="Z36" i="185"/>
  <c r="D72" i="73"/>
  <c r="E72" i="73"/>
  <c r="D156" i="73"/>
  <c r="D160" i="73" s="1"/>
  <c r="E37" i="236" s="1"/>
  <c r="AB13" i="272"/>
  <c r="J13" i="272"/>
  <c r="F13" i="272"/>
  <c r="E13" i="272"/>
  <c r="D13" i="272"/>
  <c r="G13" i="272"/>
  <c r="AB12" i="272"/>
  <c r="J12" i="272"/>
  <c r="F12" i="272"/>
  <c r="E12" i="272"/>
  <c r="D12" i="272"/>
  <c r="G12" i="272"/>
  <c r="D56" i="73"/>
  <c r="D58" i="73" s="1"/>
  <c r="D67" i="73" s="1"/>
  <c r="E27" i="272"/>
  <c r="H27" i="272" s="1"/>
  <c r="Y27" i="272" s="1"/>
  <c r="AB20" i="272" s="1"/>
  <c r="D74" i="73"/>
  <c r="D93" i="73" s="1"/>
  <c r="E74" i="73"/>
  <c r="J10" i="272"/>
  <c r="F10" i="272"/>
  <c r="AB10" i="272"/>
  <c r="E10" i="272"/>
  <c r="D10" i="272"/>
  <c r="G10" i="272"/>
  <c r="AK25" i="173"/>
  <c r="AK33" i="173"/>
  <c r="AK41" i="173"/>
  <c r="F100" i="126"/>
  <c r="D21" i="52"/>
  <c r="D72" i="52" s="1"/>
  <c r="D31" i="48"/>
  <c r="H16" i="256"/>
  <c r="H18" i="256"/>
  <c r="Z14" i="185"/>
  <c r="Z25" i="185"/>
  <c r="Z27" i="185"/>
  <c r="AB11" i="272"/>
  <c r="G11" i="272"/>
  <c r="F11" i="272"/>
  <c r="E11" i="272"/>
  <c r="J11" i="272"/>
  <c r="D11" i="272"/>
  <c r="J14" i="272"/>
  <c r="F14" i="272"/>
  <c r="AB14" i="272"/>
  <c r="E14" i="272"/>
  <c r="D14" i="272"/>
  <c r="G14" i="272"/>
  <c r="P14" i="62"/>
  <c r="P15" i="62"/>
  <c r="E78" i="73"/>
  <c r="D78" i="73"/>
  <c r="N20" i="241"/>
  <c r="E40" i="64"/>
  <c r="N20" i="52"/>
  <c r="N27" i="52" s="1"/>
  <c r="G40" i="64"/>
  <c r="E27" i="257"/>
  <c r="H27" i="257" s="1"/>
  <c r="E27" i="249"/>
  <c r="H27" i="249" s="1"/>
  <c r="E27" i="12"/>
  <c r="H27" i="12" s="1"/>
  <c r="E27" i="244"/>
  <c r="H27" i="244" s="1"/>
  <c r="M46" i="234"/>
  <c r="M44" i="234"/>
  <c r="F37" i="241"/>
  <c r="F74" i="241" s="1"/>
  <c r="H12" i="256"/>
  <c r="AK17" i="173"/>
  <c r="H26" i="250"/>
  <c r="H30" i="250"/>
  <c r="H34" i="250"/>
  <c r="H38" i="250"/>
  <c r="D36" i="62"/>
  <c r="F98" i="126"/>
  <c r="E170" i="126"/>
  <c r="E155" i="126" s="1"/>
  <c r="F144" i="126" s="1"/>
  <c r="Z15" i="185"/>
  <c r="K14" i="6"/>
  <c r="N28" i="52"/>
  <c r="U33" i="41"/>
  <c r="V33" i="41" s="1"/>
  <c r="Z38" i="185"/>
  <c r="Z40" i="185"/>
  <c r="J185" i="73"/>
  <c r="G71" i="73"/>
  <c r="F33" i="236"/>
  <c r="H12" i="250"/>
  <c r="AK21" i="173"/>
  <c r="AK29" i="173"/>
  <c r="AK37" i="173"/>
  <c r="AK13" i="173"/>
  <c r="H98" i="126"/>
  <c r="D7" i="270" a="1"/>
  <c r="Z33" i="185"/>
  <c r="H99" i="126"/>
  <c r="F105" i="126" s="1"/>
  <c r="H105" i="126" s="1"/>
  <c r="J182" i="73"/>
  <c r="J183" i="73" s="1"/>
  <c r="F31" i="243"/>
  <c r="F42" i="243" s="1"/>
  <c r="N6" i="249"/>
  <c r="N6" i="14"/>
  <c r="D24" i="14" s="1"/>
  <c r="F20" i="243"/>
  <c r="F21" i="243" s="1"/>
  <c r="AB11" i="249"/>
  <c r="G11" i="249"/>
  <c r="F11" i="249"/>
  <c r="J11" i="249"/>
  <c r="D11" i="249"/>
  <c r="E11" i="249"/>
  <c r="F14" i="249"/>
  <c r="D14" i="249"/>
  <c r="AB14" i="249"/>
  <c r="G14" i="249"/>
  <c r="E14" i="249"/>
  <c r="J14" i="249"/>
  <c r="E13" i="249"/>
  <c r="F13" i="249"/>
  <c r="J13" i="249"/>
  <c r="D13" i="249"/>
  <c r="AB13" i="249"/>
  <c r="G13" i="249"/>
  <c r="F10" i="249"/>
  <c r="AB10" i="249"/>
  <c r="G10" i="249"/>
  <c r="E10" i="249"/>
  <c r="D10" i="249"/>
  <c r="J10" i="249"/>
  <c r="J12" i="249"/>
  <c r="G12" i="249"/>
  <c r="AB12" i="249"/>
  <c r="E12" i="249"/>
  <c r="F12" i="249"/>
  <c r="D12" i="249"/>
  <c r="F10" i="244"/>
  <c r="G10" i="244"/>
  <c r="AB10" i="244"/>
  <c r="J10" i="244"/>
  <c r="D10" i="244"/>
  <c r="E10" i="244"/>
  <c r="AB14" i="244"/>
  <c r="E14" i="244"/>
  <c r="D14" i="244"/>
  <c r="F14" i="244"/>
  <c r="J14" i="244"/>
  <c r="G14" i="244"/>
  <c r="E13" i="244"/>
  <c r="F13" i="244"/>
  <c r="AB13" i="244"/>
  <c r="J13" i="244"/>
  <c r="G13" i="244"/>
  <c r="D13" i="244"/>
  <c r="E11" i="244"/>
  <c r="AB11" i="244"/>
  <c r="J11" i="244"/>
  <c r="F11" i="244"/>
  <c r="G11" i="244"/>
  <c r="D11" i="244"/>
  <c r="J12" i="244"/>
  <c r="E12" i="244"/>
  <c r="F12" i="244"/>
  <c r="D12" i="244"/>
  <c r="AB12" i="244"/>
  <c r="G12" i="244"/>
  <c r="G12" i="257"/>
  <c r="E12" i="257"/>
  <c r="AB12" i="257"/>
  <c r="F12" i="257"/>
  <c r="J12" i="257"/>
  <c r="D12" i="257"/>
  <c r="AB13" i="257"/>
  <c r="D13" i="257"/>
  <c r="F13" i="257"/>
  <c r="J13" i="257"/>
  <c r="G13" i="257"/>
  <c r="E13" i="257"/>
  <c r="E10" i="257"/>
  <c r="G10" i="257"/>
  <c r="AB10" i="257"/>
  <c r="D10" i="257"/>
  <c r="F10" i="257"/>
  <c r="J10" i="257"/>
  <c r="E14" i="257"/>
  <c r="G14" i="257"/>
  <c r="D14" i="257"/>
  <c r="AB14" i="257"/>
  <c r="F14" i="257"/>
  <c r="J14" i="257"/>
  <c r="F11" i="257"/>
  <c r="J11" i="257"/>
  <c r="AB11" i="257"/>
  <c r="D11" i="257"/>
  <c r="E11" i="257"/>
  <c r="G11" i="257"/>
  <c r="G10" i="12"/>
  <c r="F10" i="12"/>
  <c r="J10" i="12"/>
  <c r="D10" i="12"/>
  <c r="E10" i="12"/>
  <c r="J11" i="12"/>
  <c r="D11" i="12"/>
  <c r="G11" i="12"/>
  <c r="E11" i="12"/>
  <c r="F11" i="12"/>
  <c r="F13" i="12"/>
  <c r="G13" i="12"/>
  <c r="J13" i="12"/>
  <c r="D13" i="12"/>
  <c r="E13" i="12"/>
  <c r="E12" i="12"/>
  <c r="F12" i="12"/>
  <c r="D12" i="12"/>
  <c r="G12" i="12"/>
  <c r="J12" i="12"/>
  <c r="G14" i="12"/>
  <c r="F14" i="12"/>
  <c r="D14" i="12"/>
  <c r="J14" i="12"/>
  <c r="E14" i="12"/>
  <c r="Z20" i="185"/>
  <c r="X49" i="185"/>
  <c r="S47" i="185"/>
  <c r="I35" i="52"/>
  <c r="I72" i="52" s="1"/>
  <c r="J35" i="52"/>
  <c r="J72" i="52" s="1"/>
  <c r="G37" i="52"/>
  <c r="G74" i="52" s="1"/>
  <c r="G37" i="241"/>
  <c r="G74" i="241" s="1"/>
  <c r="I33" i="241"/>
  <c r="I70" i="241" s="1"/>
  <c r="H33" i="241"/>
  <c r="H70" i="241" s="1"/>
  <c r="J33" i="241"/>
  <c r="J70" i="241" s="1"/>
  <c r="J35" i="241"/>
  <c r="J72" i="241" s="1"/>
  <c r="I35" i="241"/>
  <c r="I72" i="241" s="1"/>
  <c r="F57" i="6"/>
  <c r="F61" i="6" s="1"/>
  <c r="G61" i="6" s="1"/>
  <c r="H61" i="6" s="1"/>
  <c r="I61" i="6" s="1"/>
  <c r="J61" i="6" s="1"/>
  <c r="K61" i="6" s="1"/>
  <c r="L61" i="6" s="1"/>
  <c r="M61" i="6" s="1"/>
  <c r="N61" i="6" s="1"/>
  <c r="O61" i="6" s="1"/>
  <c r="G9" i="6"/>
  <c r="H9" i="6" s="1"/>
  <c r="F93" i="6"/>
  <c r="F94" i="6" s="1"/>
  <c r="X47" i="185"/>
  <c r="R23" i="41"/>
  <c r="C25" i="47" s="1"/>
  <c r="D41" i="79" s="1"/>
  <c r="Z11" i="185"/>
  <c r="D39" i="14"/>
  <c r="E39" i="14" s="1"/>
  <c r="E40" i="14" s="1"/>
  <c r="E43" i="14" s="1"/>
  <c r="O6" i="244" s="1"/>
  <c r="R15" i="41"/>
  <c r="C17" i="47" s="1"/>
  <c r="D33" i="79" s="1"/>
  <c r="R14" i="62"/>
  <c r="S45" i="185"/>
  <c r="H14" i="250"/>
  <c r="H16" i="250"/>
  <c r="H22" i="250"/>
  <c r="Z22" i="185"/>
  <c r="Z29" i="185"/>
  <c r="X45" i="185"/>
  <c r="Z43" i="185"/>
  <c r="S48" i="185"/>
  <c r="H24" i="251"/>
  <c r="H32" i="251"/>
  <c r="U11" i="41"/>
  <c r="V11" i="41" s="1"/>
  <c r="U27" i="41"/>
  <c r="V27" i="41" s="1"/>
  <c r="U35" i="41"/>
  <c r="V35" i="41" s="1"/>
  <c r="Z41" i="185"/>
  <c r="J48" i="185"/>
  <c r="T48" i="185"/>
  <c r="X48" i="185"/>
  <c r="H14" i="256"/>
  <c r="Z28" i="185"/>
  <c r="Z32" i="185"/>
  <c r="D47" i="14"/>
  <c r="E47" i="14" s="1"/>
  <c r="E48" i="14" s="1"/>
  <c r="E51" i="14" s="1"/>
  <c r="O6" i="273" s="1"/>
  <c r="U38" i="41"/>
  <c r="V38" i="41" s="1"/>
  <c r="D36" i="48"/>
  <c r="L14" i="6"/>
  <c r="L30" i="6" s="1"/>
  <c r="D28" i="62"/>
  <c r="D21" i="63"/>
  <c r="Z24" i="185"/>
  <c r="J49" i="185"/>
  <c r="H12" i="251"/>
  <c r="H14" i="251"/>
  <c r="H16" i="251"/>
  <c r="H18" i="251"/>
  <c r="H20" i="251"/>
  <c r="H22" i="251"/>
  <c r="U22" i="41"/>
  <c r="H24" i="250"/>
  <c r="H26" i="251"/>
  <c r="H28" i="250"/>
  <c r="H30" i="251"/>
  <c r="H32" i="250"/>
  <c r="H34" i="251"/>
  <c r="H36" i="250"/>
  <c r="H38" i="251"/>
  <c r="G170" i="126"/>
  <c r="L11" i="126"/>
  <c r="B70" i="241"/>
  <c r="B80" i="241" s="1"/>
  <c r="N24" i="12"/>
  <c r="Z21" i="185"/>
  <c r="J45" i="185"/>
  <c r="U26" i="41"/>
  <c r="G164" i="126"/>
  <c r="S50" i="185"/>
  <c r="AA42" i="234"/>
  <c r="G158" i="126"/>
  <c r="K119" i="6"/>
  <c r="I47" i="185"/>
  <c r="U18" i="41"/>
  <c r="U34" i="41"/>
  <c r="V34" i="41" s="1"/>
  <c r="X46" i="185"/>
  <c r="X50" i="185"/>
  <c r="J59" i="241"/>
  <c r="F78" i="241"/>
  <c r="F88" i="241"/>
  <c r="F102" i="241" s="1"/>
  <c r="F111" i="241" s="1"/>
  <c r="B93" i="241"/>
  <c r="B107" i="241" s="1"/>
  <c r="B116" i="241" s="1"/>
  <c r="N23" i="244"/>
  <c r="N20" i="244"/>
  <c r="N24" i="244"/>
  <c r="N21" i="244"/>
  <c r="N22" i="244"/>
  <c r="N25" i="244"/>
  <c r="B94" i="241"/>
  <c r="B91" i="241"/>
  <c r="B105" i="241" s="1"/>
  <c r="B114" i="241" s="1"/>
  <c r="B92" i="241"/>
  <c r="B106" i="241" s="1"/>
  <c r="B115" i="241" s="1"/>
  <c r="N25" i="12"/>
  <c r="N22" i="12"/>
  <c r="N20" i="12"/>
  <c r="N23" i="12"/>
  <c r="N21" i="12"/>
  <c r="B13" i="66"/>
  <c r="B108" i="52"/>
  <c r="B116" i="52" s="1"/>
  <c r="G15" i="52"/>
  <c r="F78" i="52"/>
  <c r="F88" i="52"/>
  <c r="F102" i="52" s="1"/>
  <c r="F110" i="52" s="1"/>
  <c r="F50" i="52"/>
  <c r="B70" i="52"/>
  <c r="B90" i="52" s="1"/>
  <c r="B104" i="52" s="1"/>
  <c r="B112" i="52" s="1"/>
  <c r="J62" i="52"/>
  <c r="U47" i="57"/>
  <c r="D16" i="62" s="1"/>
  <c r="M42" i="53"/>
  <c r="T12" i="41"/>
  <c r="T17" i="41"/>
  <c r="T20" i="41"/>
  <c r="T25" i="41"/>
  <c r="T28" i="41"/>
  <c r="T33" i="41"/>
  <c r="T36" i="41"/>
  <c r="T11" i="41"/>
  <c r="T14" i="41"/>
  <c r="T22" i="41"/>
  <c r="T30" i="41"/>
  <c r="T35" i="41"/>
  <c r="T10" i="41"/>
  <c r="T15" i="41"/>
  <c r="T18" i="41"/>
  <c r="T23" i="41"/>
  <c r="T26" i="41"/>
  <c r="T31" i="41"/>
  <c r="T34" i="41"/>
  <c r="T39" i="41"/>
  <c r="T19" i="41"/>
  <c r="T38" i="41"/>
  <c r="T13" i="41"/>
  <c r="T16" i="41"/>
  <c r="T21" i="41"/>
  <c r="T24" i="41"/>
  <c r="T29" i="41"/>
  <c r="T32" i="41"/>
  <c r="T37" i="41"/>
  <c r="T27" i="41"/>
  <c r="N45" i="53"/>
  <c r="W41" i="53"/>
  <c r="AF43" i="57"/>
  <c r="U43" i="57"/>
  <c r="D12" i="62" s="1"/>
  <c r="AF46" i="57"/>
  <c r="U45" i="57"/>
  <c r="D14" i="62" s="1"/>
  <c r="H12" i="189"/>
  <c r="R15" i="62"/>
  <c r="V43" i="57"/>
  <c r="F12" i="62" s="1"/>
  <c r="V48" i="57"/>
  <c r="F17" i="62" s="1"/>
  <c r="V47" i="57"/>
  <c r="F16" i="62" s="1"/>
  <c r="U48" i="57"/>
  <c r="D17" i="62" s="1"/>
  <c r="U46" i="57"/>
  <c r="D15" i="62" s="1"/>
  <c r="AF47" i="57"/>
  <c r="V45" i="57"/>
  <c r="F14" i="62" s="1"/>
  <c r="V44" i="57"/>
  <c r="F13" i="62" s="1"/>
  <c r="U44" i="57"/>
  <c r="D13" i="62" s="1"/>
  <c r="AF48" i="57"/>
  <c r="AF45" i="57"/>
  <c r="V46" i="57"/>
  <c r="F15" i="62" s="1"/>
  <c r="AF44" i="57"/>
  <c r="L40" i="62"/>
  <c r="N40" i="62" s="1"/>
  <c r="N49" i="62" s="1"/>
  <c r="L50" i="48"/>
  <c r="N50" i="48" s="1"/>
  <c r="M17" i="63"/>
  <c r="O18" i="8"/>
  <c r="O54" i="8"/>
  <c r="O34" i="8"/>
  <c r="O47" i="8"/>
  <c r="O17" i="8"/>
  <c r="O14" i="8"/>
  <c r="O50" i="8"/>
  <c r="L52" i="8"/>
  <c r="L16" i="8"/>
  <c r="E56" i="73"/>
  <c r="O41" i="8"/>
  <c r="V42" i="185"/>
  <c r="V48" i="185" s="1"/>
  <c r="T49" i="185"/>
  <c r="I49" i="185"/>
  <c r="L42" i="185"/>
  <c r="L45" i="185" s="1"/>
  <c r="J50" i="185"/>
  <c r="S12" i="234"/>
  <c r="O43" i="234"/>
  <c r="O47" i="234"/>
  <c r="T12" i="234"/>
  <c r="O44" i="234"/>
  <c r="O45" i="234"/>
  <c r="R12" i="234"/>
  <c r="O42" i="234"/>
  <c r="O46" i="234"/>
  <c r="U31" i="234"/>
  <c r="V31" i="234"/>
  <c r="U13" i="234"/>
  <c r="V13" i="234"/>
  <c r="U28" i="234"/>
  <c r="V28" i="234"/>
  <c r="AA47" i="234"/>
  <c r="AA45" i="234"/>
  <c r="V19" i="234"/>
  <c r="U19" i="234"/>
  <c r="U27" i="234"/>
  <c r="V27" i="234"/>
  <c r="N34" i="241"/>
  <c r="F10" i="242"/>
  <c r="F15" i="242" s="1"/>
  <c r="E17" i="63"/>
  <c r="N34" i="52"/>
  <c r="J34" i="52" s="1"/>
  <c r="J71" i="52" s="1"/>
  <c r="F10" i="66"/>
  <c r="F15" i="66" s="1"/>
  <c r="W43" i="57"/>
  <c r="H12" i="62" s="1"/>
  <c r="W47" i="57"/>
  <c r="H16" i="62" s="1"/>
  <c r="W44" i="57"/>
  <c r="H13" i="62" s="1"/>
  <c r="W48" i="57"/>
  <c r="H17" i="62" s="1"/>
  <c r="W45" i="57"/>
  <c r="H14" i="62" s="1"/>
  <c r="W46" i="57"/>
  <c r="H15" i="62" s="1"/>
  <c r="Y13" i="172"/>
  <c r="AG13" i="47"/>
  <c r="AI13" i="47" s="1"/>
  <c r="Y17" i="172"/>
  <c r="AG17" i="47"/>
  <c r="AI17" i="47" s="1"/>
  <c r="Y21" i="172"/>
  <c r="AG21" i="47"/>
  <c r="AI21" i="47" s="1"/>
  <c r="Y25" i="172"/>
  <c r="AG25" i="47"/>
  <c r="AI25" i="47" s="1"/>
  <c r="Y29" i="172"/>
  <c r="AG29" i="47"/>
  <c r="AI29" i="47" s="1"/>
  <c r="Y33" i="172"/>
  <c r="AG33" i="47"/>
  <c r="AI33" i="47" s="1"/>
  <c r="Y37" i="172"/>
  <c r="AG37" i="47"/>
  <c r="AI37" i="47" s="1"/>
  <c r="Y41" i="172"/>
  <c r="AG41" i="47"/>
  <c r="AI41" i="47" s="1"/>
  <c r="H10" i="251"/>
  <c r="E41" i="251"/>
  <c r="E42" i="251"/>
  <c r="E43" i="251"/>
  <c r="E44" i="251"/>
  <c r="E45" i="251"/>
  <c r="E46" i="251"/>
  <c r="V10" i="41"/>
  <c r="AA12" i="41"/>
  <c r="C14" i="47"/>
  <c r="D30" i="79" s="1"/>
  <c r="AA20" i="41"/>
  <c r="C22" i="47"/>
  <c r="D38" i="79" s="1"/>
  <c r="AA28" i="41"/>
  <c r="C30" i="47"/>
  <c r="D46" i="79" s="1"/>
  <c r="AA36" i="41"/>
  <c r="C38" i="47"/>
  <c r="V41" i="53"/>
  <c r="V42" i="53"/>
  <c r="V43" i="53"/>
  <c r="V44" i="53"/>
  <c r="V45" i="53"/>
  <c r="V46" i="53"/>
  <c r="AF19" i="47"/>
  <c r="Z19" i="172"/>
  <c r="AC19" i="172" s="1"/>
  <c r="AF27" i="47"/>
  <c r="Z27" i="172"/>
  <c r="AC27" i="172" s="1"/>
  <c r="AF35" i="47"/>
  <c r="Z35" i="172"/>
  <c r="AC35" i="172" s="1"/>
  <c r="F41" i="250"/>
  <c r="F42" i="250"/>
  <c r="F43" i="250"/>
  <c r="F44" i="250"/>
  <c r="F45" i="250"/>
  <c r="F46" i="250"/>
  <c r="I11" i="250"/>
  <c r="K11" i="250" s="1"/>
  <c r="I13" i="250"/>
  <c r="K13" i="250" s="1"/>
  <c r="I15" i="250"/>
  <c r="K15" i="250" s="1"/>
  <c r="I17" i="250"/>
  <c r="K17" i="250" s="1"/>
  <c r="I19" i="250"/>
  <c r="K19" i="250" s="1"/>
  <c r="I21" i="251"/>
  <c r="K21" i="251" s="1"/>
  <c r="I23" i="250"/>
  <c r="K23" i="250" s="1"/>
  <c r="I25" i="251"/>
  <c r="K25" i="251" s="1"/>
  <c r="I27" i="250"/>
  <c r="K27" i="250" s="1"/>
  <c r="I29" i="251"/>
  <c r="K29" i="251" s="1"/>
  <c r="I31" i="250"/>
  <c r="K31" i="250" s="1"/>
  <c r="I33" i="251"/>
  <c r="K33" i="251" s="1"/>
  <c r="I35" i="250"/>
  <c r="K35" i="250" s="1"/>
  <c r="I37" i="251"/>
  <c r="K37" i="251" s="1"/>
  <c r="I39" i="250"/>
  <c r="K39" i="250" s="1"/>
  <c r="N42" i="53"/>
  <c r="N46" i="53"/>
  <c r="I10" i="41"/>
  <c r="G20" i="256"/>
  <c r="G21" i="256"/>
  <c r="G22" i="256"/>
  <c r="G23" i="256"/>
  <c r="G24" i="256"/>
  <c r="G25" i="256"/>
  <c r="H11" i="256"/>
  <c r="AK14" i="173"/>
  <c r="H13" i="250"/>
  <c r="H15" i="251"/>
  <c r="H17" i="256"/>
  <c r="AK22" i="173"/>
  <c r="H21" i="250"/>
  <c r="H23" i="250"/>
  <c r="AK30" i="173"/>
  <c r="H29" i="250"/>
  <c r="H31" i="251"/>
  <c r="AK38" i="173"/>
  <c r="H37" i="250"/>
  <c r="H39" i="251"/>
  <c r="I12" i="251"/>
  <c r="K12" i="251" s="1"/>
  <c r="I14" i="250"/>
  <c r="K14" i="250" s="1"/>
  <c r="E19" i="173"/>
  <c r="J19" i="173"/>
  <c r="P19" i="173"/>
  <c r="F19" i="173"/>
  <c r="L19" i="173"/>
  <c r="Q19" i="173"/>
  <c r="AL19" i="173"/>
  <c r="AN19" i="173" s="1"/>
  <c r="G19" i="173"/>
  <c r="M19" i="173"/>
  <c r="C19" i="173"/>
  <c r="I19" i="173"/>
  <c r="N19" i="173"/>
  <c r="I20" i="251"/>
  <c r="K20" i="251" s="1"/>
  <c r="I22" i="250"/>
  <c r="K22" i="250" s="1"/>
  <c r="F27" i="173"/>
  <c r="L27" i="173"/>
  <c r="Q27" i="173"/>
  <c r="AL27" i="173"/>
  <c r="AN27" i="173" s="1"/>
  <c r="C27" i="173"/>
  <c r="I27" i="173"/>
  <c r="N27" i="173"/>
  <c r="G27" i="173"/>
  <c r="J27" i="173"/>
  <c r="M27" i="173"/>
  <c r="E27" i="173"/>
  <c r="P27" i="173"/>
  <c r="I28" i="251"/>
  <c r="K28" i="251" s="1"/>
  <c r="I30" i="250"/>
  <c r="K30" i="250" s="1"/>
  <c r="C35" i="173"/>
  <c r="I35" i="173"/>
  <c r="N35" i="173"/>
  <c r="E35" i="173"/>
  <c r="J35" i="173"/>
  <c r="P35" i="173"/>
  <c r="F35" i="173"/>
  <c r="L35" i="173"/>
  <c r="Q35" i="173"/>
  <c r="AL35" i="173"/>
  <c r="AN35" i="173" s="1"/>
  <c r="G35" i="173"/>
  <c r="M35" i="173"/>
  <c r="I36" i="251"/>
  <c r="K36" i="251" s="1"/>
  <c r="I38" i="250"/>
  <c r="K38" i="250" s="1"/>
  <c r="C41" i="47"/>
  <c r="AA39" i="41"/>
  <c r="L22" i="8"/>
  <c r="D29" i="10"/>
  <c r="L18" i="10"/>
  <c r="L8" i="47"/>
  <c r="V8" i="47" s="1"/>
  <c r="D9" i="48" s="1"/>
  <c r="W8" i="47"/>
  <c r="F9" i="48" s="1"/>
  <c r="M45" i="53"/>
  <c r="M41" i="53"/>
  <c r="C15" i="47"/>
  <c r="D31" i="79" s="1"/>
  <c r="AA13" i="41"/>
  <c r="C29" i="47"/>
  <c r="D45" i="79" s="1"/>
  <c r="AA27" i="41"/>
  <c r="M18" i="10"/>
  <c r="E29" i="10"/>
  <c r="W44" i="53"/>
  <c r="D51" i="6" s="1"/>
  <c r="B9" i="232"/>
  <c r="G56" i="133"/>
  <c r="B3" i="236" s="1"/>
  <c r="J9" i="4" s="1"/>
  <c r="B61" i="133"/>
  <c r="L62" i="133"/>
  <c r="Y46" i="185"/>
  <c r="Y47" i="185"/>
  <c r="Y48" i="185"/>
  <c r="Y45" i="185"/>
  <c r="Y49" i="185"/>
  <c r="Y50" i="185"/>
  <c r="T47" i="185"/>
  <c r="T50" i="185"/>
  <c r="I45" i="185"/>
  <c r="T45" i="185"/>
  <c r="H15" i="241"/>
  <c r="H78" i="241" s="1"/>
  <c r="G66" i="241"/>
  <c r="G50" i="241"/>
  <c r="G88" i="241"/>
  <c r="G102" i="241" s="1"/>
  <c r="G111" i="241" s="1"/>
  <c r="U30" i="234"/>
  <c r="V30" i="234"/>
  <c r="U34" i="234"/>
  <c r="V34" i="234"/>
  <c r="U38" i="234"/>
  <c r="V38" i="234"/>
  <c r="V21" i="234"/>
  <c r="U21" i="234"/>
  <c r="U26" i="234"/>
  <c r="V26" i="234"/>
  <c r="U39" i="234"/>
  <c r="V39" i="234"/>
  <c r="AA43" i="234"/>
  <c r="AA44" i="234"/>
  <c r="V17" i="234"/>
  <c r="U17" i="234"/>
  <c r="U24" i="234"/>
  <c r="V24" i="234"/>
  <c r="AE45" i="57"/>
  <c r="AE46" i="57"/>
  <c r="AE43" i="57"/>
  <c r="AE47" i="57"/>
  <c r="AE44" i="57"/>
  <c r="AE48" i="57"/>
  <c r="Y14" i="172"/>
  <c r="AD14" i="172" s="1"/>
  <c r="AF14" i="172" s="1"/>
  <c r="AG14" i="47"/>
  <c r="AI14" i="47" s="1"/>
  <c r="Y18" i="172"/>
  <c r="AD18" i="172" s="1"/>
  <c r="AF18" i="172" s="1"/>
  <c r="AG18" i="47"/>
  <c r="AI18" i="47" s="1"/>
  <c r="Y22" i="172"/>
  <c r="AD22" i="172" s="1"/>
  <c r="AF22" i="172" s="1"/>
  <c r="AG22" i="47"/>
  <c r="AI22" i="47" s="1"/>
  <c r="Y26" i="172"/>
  <c r="AD26" i="172" s="1"/>
  <c r="AF26" i="172" s="1"/>
  <c r="AG26" i="47"/>
  <c r="AI26" i="47" s="1"/>
  <c r="Y30" i="172"/>
  <c r="AD30" i="172" s="1"/>
  <c r="AF30" i="172" s="1"/>
  <c r="AG30" i="47"/>
  <c r="AI30" i="47" s="1"/>
  <c r="Y34" i="172"/>
  <c r="AD34" i="172" s="1"/>
  <c r="AF34" i="172" s="1"/>
  <c r="AG34" i="47"/>
  <c r="AI34" i="47" s="1"/>
  <c r="Y38" i="172"/>
  <c r="AD38" i="172" s="1"/>
  <c r="AF38" i="172" s="1"/>
  <c r="AG38" i="47"/>
  <c r="AI38" i="47" s="1"/>
  <c r="H10" i="256"/>
  <c r="E20" i="256"/>
  <c r="E21" i="256"/>
  <c r="E22" i="256"/>
  <c r="E23" i="256"/>
  <c r="E24" i="256"/>
  <c r="E25" i="256"/>
  <c r="U12" i="41"/>
  <c r="V12" i="41" s="1"/>
  <c r="AA14" i="41"/>
  <c r="C16" i="47"/>
  <c r="D32" i="79" s="1"/>
  <c r="U20" i="41"/>
  <c r="V20" i="41" s="1"/>
  <c r="AA22" i="41"/>
  <c r="C24" i="47"/>
  <c r="D40" i="79" s="1"/>
  <c r="U28" i="41"/>
  <c r="V28" i="41" s="1"/>
  <c r="AA30" i="41"/>
  <c r="C32" i="47"/>
  <c r="D48" i="79" s="1"/>
  <c r="U36" i="41"/>
  <c r="V36" i="41" s="1"/>
  <c r="AA38" i="41"/>
  <c r="C40" i="47"/>
  <c r="AF13" i="47"/>
  <c r="Z13" i="172"/>
  <c r="AC13" i="172" s="1"/>
  <c r="AF21" i="47"/>
  <c r="Z21" i="172"/>
  <c r="AC21" i="172" s="1"/>
  <c r="AF29" i="47"/>
  <c r="Z29" i="172"/>
  <c r="AC29" i="172" s="1"/>
  <c r="AF37" i="47"/>
  <c r="Z37" i="172"/>
  <c r="AC37" i="172" s="1"/>
  <c r="F41" i="251"/>
  <c r="F42" i="251"/>
  <c r="F43" i="251"/>
  <c r="F44" i="251"/>
  <c r="F45" i="251"/>
  <c r="F46" i="251"/>
  <c r="J41" i="251"/>
  <c r="J42" i="251"/>
  <c r="J43" i="251"/>
  <c r="J44" i="251"/>
  <c r="J45" i="251"/>
  <c r="J46" i="251"/>
  <c r="I11" i="251"/>
  <c r="K11" i="251" s="1"/>
  <c r="I13" i="251"/>
  <c r="K13" i="251" s="1"/>
  <c r="I15" i="251"/>
  <c r="K15" i="251" s="1"/>
  <c r="I17" i="251"/>
  <c r="K17" i="251" s="1"/>
  <c r="I19" i="251"/>
  <c r="K19" i="251" s="1"/>
  <c r="I21" i="250"/>
  <c r="K21" i="250" s="1"/>
  <c r="I23" i="251"/>
  <c r="K23" i="251" s="1"/>
  <c r="I25" i="250"/>
  <c r="K25" i="250" s="1"/>
  <c r="I27" i="251"/>
  <c r="K27" i="251" s="1"/>
  <c r="I29" i="250"/>
  <c r="K29" i="250" s="1"/>
  <c r="I31" i="251"/>
  <c r="K31" i="251" s="1"/>
  <c r="I33" i="250"/>
  <c r="K33" i="250" s="1"/>
  <c r="I35" i="251"/>
  <c r="K35" i="251" s="1"/>
  <c r="I37" i="250"/>
  <c r="K37" i="250" s="1"/>
  <c r="I39" i="251"/>
  <c r="K39" i="251" s="1"/>
  <c r="N43" i="53"/>
  <c r="G41" i="250"/>
  <c r="G43" i="250"/>
  <c r="G45" i="250"/>
  <c r="G46" i="250"/>
  <c r="G42" i="250"/>
  <c r="G44" i="250"/>
  <c r="H11" i="250"/>
  <c r="H13" i="251"/>
  <c r="H17" i="250"/>
  <c r="AK20" i="173"/>
  <c r="H19" i="250"/>
  <c r="H21" i="251"/>
  <c r="H25" i="250"/>
  <c r="AK28" i="173"/>
  <c r="H27" i="250"/>
  <c r="H29" i="251"/>
  <c r="AK36" i="173"/>
  <c r="H35" i="250"/>
  <c r="H37" i="251"/>
  <c r="I8" i="172"/>
  <c r="S8" i="172" s="1"/>
  <c r="T8" i="172"/>
  <c r="I10" i="256"/>
  <c r="D20" i="256"/>
  <c r="D21" i="256"/>
  <c r="D22" i="256"/>
  <c r="D23" i="256"/>
  <c r="D24" i="256"/>
  <c r="D25" i="256"/>
  <c r="C13" i="173"/>
  <c r="I13" i="173"/>
  <c r="N13" i="173"/>
  <c r="F13" i="173"/>
  <c r="L13" i="173"/>
  <c r="Q13" i="173"/>
  <c r="AL13" i="173"/>
  <c r="AN13" i="173" s="1"/>
  <c r="J13" i="173"/>
  <c r="M13" i="173"/>
  <c r="E13" i="173"/>
  <c r="P13" i="173"/>
  <c r="G13" i="173"/>
  <c r="I12" i="256"/>
  <c r="K12" i="256" s="1"/>
  <c r="I14" i="251"/>
  <c r="K14" i="251" s="1"/>
  <c r="I16" i="250"/>
  <c r="K16" i="250" s="1"/>
  <c r="I18" i="256"/>
  <c r="K18" i="256" s="1"/>
  <c r="F21" i="173"/>
  <c r="L21" i="173"/>
  <c r="Q21" i="173"/>
  <c r="AL21" i="173"/>
  <c r="AN21" i="173" s="1"/>
  <c r="C21" i="173"/>
  <c r="I21" i="173"/>
  <c r="N21" i="173"/>
  <c r="M21" i="173"/>
  <c r="E21" i="173"/>
  <c r="P21" i="173"/>
  <c r="G21" i="173"/>
  <c r="J21" i="173"/>
  <c r="I22" i="251"/>
  <c r="K22" i="251" s="1"/>
  <c r="I24" i="250"/>
  <c r="K24" i="250" s="1"/>
  <c r="F29" i="173"/>
  <c r="L29" i="173"/>
  <c r="C29" i="173"/>
  <c r="I29" i="173"/>
  <c r="N29" i="173"/>
  <c r="M29" i="173"/>
  <c r="E29" i="173"/>
  <c r="P29" i="173"/>
  <c r="G29" i="173"/>
  <c r="Q29" i="173"/>
  <c r="AL29" i="173"/>
  <c r="AN29" i="173" s="1"/>
  <c r="J29" i="173"/>
  <c r="I30" i="251"/>
  <c r="K30" i="251" s="1"/>
  <c r="I32" i="250"/>
  <c r="K32" i="250" s="1"/>
  <c r="C37" i="173"/>
  <c r="I37" i="173"/>
  <c r="N37" i="173"/>
  <c r="E37" i="173"/>
  <c r="J37" i="173"/>
  <c r="P37" i="173"/>
  <c r="F37" i="173"/>
  <c r="L37" i="173"/>
  <c r="Q37" i="173"/>
  <c r="AL37" i="173"/>
  <c r="AN37" i="173" s="1"/>
  <c r="G37" i="173"/>
  <c r="M37" i="173"/>
  <c r="I38" i="251"/>
  <c r="K38" i="251" s="1"/>
  <c r="L25" i="8"/>
  <c r="L35" i="8"/>
  <c r="L43" i="8"/>
  <c r="L51" i="8"/>
  <c r="L14" i="8"/>
  <c r="L18" i="8"/>
  <c r="L24" i="8"/>
  <c r="L29" i="8"/>
  <c r="L13" i="8"/>
  <c r="L17" i="8"/>
  <c r="L23" i="8"/>
  <c r="L27" i="8"/>
  <c r="L39" i="8"/>
  <c r="L45" i="8"/>
  <c r="L34" i="8"/>
  <c r="L50" i="8"/>
  <c r="L54" i="8"/>
  <c r="L26" i="8"/>
  <c r="L56" i="8"/>
  <c r="M44" i="53"/>
  <c r="C23" i="47"/>
  <c r="D39" i="79" s="1"/>
  <c r="AA21" i="41"/>
  <c r="E47" i="8"/>
  <c r="E58" i="8" s="1"/>
  <c r="G20" i="6"/>
  <c r="G30" i="6"/>
  <c r="C37" i="47"/>
  <c r="AA35" i="41"/>
  <c r="O20" i="8"/>
  <c r="I39" i="41"/>
  <c r="I31" i="41"/>
  <c r="I23" i="41"/>
  <c r="I15" i="41"/>
  <c r="W43" i="53"/>
  <c r="C19" i="47"/>
  <c r="D35" i="79" s="1"/>
  <c r="AA17" i="41"/>
  <c r="G29" i="10"/>
  <c r="N27" i="10"/>
  <c r="B71" i="52"/>
  <c r="B81" i="52" s="1"/>
  <c r="G16" i="229"/>
  <c r="H16" i="229" s="1"/>
  <c r="I16" i="229" s="1"/>
  <c r="J16" i="229" s="1"/>
  <c r="K16" i="229" s="1"/>
  <c r="L16" i="229" s="1"/>
  <c r="M16" i="229" s="1"/>
  <c r="N16" i="229" s="1"/>
  <c r="O16" i="229" s="1"/>
  <c r="P16" i="229" s="1"/>
  <c r="F27" i="229"/>
  <c r="B13" i="232"/>
  <c r="G60" i="133"/>
  <c r="I50" i="185"/>
  <c r="I48" i="185"/>
  <c r="J46" i="185"/>
  <c r="S10" i="244"/>
  <c r="V20" i="234"/>
  <c r="U20" i="234"/>
  <c r="U33" i="234"/>
  <c r="V33" i="234"/>
  <c r="V18" i="234"/>
  <c r="U18" i="234"/>
  <c r="U23" i="234"/>
  <c r="V23" i="234"/>
  <c r="U14" i="234"/>
  <c r="V14" i="234"/>
  <c r="AA46" i="234"/>
  <c r="U40" i="234"/>
  <c r="V40" i="234"/>
  <c r="U41" i="53"/>
  <c r="U42" i="53"/>
  <c r="U43" i="53"/>
  <c r="U44" i="53"/>
  <c r="U45" i="53"/>
  <c r="U46" i="53"/>
  <c r="Y15" i="172"/>
  <c r="AG15" i="47"/>
  <c r="AI15" i="47" s="1"/>
  <c r="Y19" i="172"/>
  <c r="AG19" i="47"/>
  <c r="AI19" i="47" s="1"/>
  <c r="Y23" i="172"/>
  <c r="AG23" i="47"/>
  <c r="AI23" i="47" s="1"/>
  <c r="Y27" i="172"/>
  <c r="AG27" i="47"/>
  <c r="AI27" i="47" s="1"/>
  <c r="Y31" i="172"/>
  <c r="AG31" i="47"/>
  <c r="AI31" i="47" s="1"/>
  <c r="Y35" i="172"/>
  <c r="AG35" i="47"/>
  <c r="AI35" i="47" s="1"/>
  <c r="Y39" i="172"/>
  <c r="AG39" i="47"/>
  <c r="AI39" i="47" s="1"/>
  <c r="AA16" i="41"/>
  <c r="C18" i="47"/>
  <c r="D34" i="79" s="1"/>
  <c r="AA24" i="41"/>
  <c r="C26" i="47"/>
  <c r="D42" i="79" s="1"/>
  <c r="AA32" i="41"/>
  <c r="C34" i="47"/>
  <c r="D50" i="79" s="1"/>
  <c r="AF15" i="47"/>
  <c r="Z15" i="172"/>
  <c r="AC15" i="172" s="1"/>
  <c r="AF23" i="47"/>
  <c r="Z23" i="172"/>
  <c r="AC23" i="172" s="1"/>
  <c r="AF31" i="47"/>
  <c r="Z31" i="172"/>
  <c r="AC31" i="172" s="1"/>
  <c r="AF39" i="47"/>
  <c r="Z39" i="172"/>
  <c r="AC39" i="172" s="1"/>
  <c r="F20" i="256"/>
  <c r="F21" i="256"/>
  <c r="F22" i="256"/>
  <c r="F23" i="256"/>
  <c r="F24" i="256"/>
  <c r="F25" i="256"/>
  <c r="J20" i="256"/>
  <c r="J21" i="256"/>
  <c r="J22" i="256"/>
  <c r="J23" i="256"/>
  <c r="J24" i="256"/>
  <c r="J25" i="256"/>
  <c r="I13" i="256"/>
  <c r="K13" i="256" s="1"/>
  <c r="I17" i="256"/>
  <c r="K17" i="256" s="1"/>
  <c r="S10" i="12"/>
  <c r="O41" i="53"/>
  <c r="O42" i="53"/>
  <c r="O43" i="53"/>
  <c r="O44" i="53"/>
  <c r="D53" i="6" s="1"/>
  <c r="M53" i="6" s="1"/>
  <c r="O45" i="53"/>
  <c r="O46" i="53"/>
  <c r="N44" i="53"/>
  <c r="G41" i="251"/>
  <c r="G42" i="251"/>
  <c r="G43" i="251"/>
  <c r="G44" i="251"/>
  <c r="G45" i="251"/>
  <c r="G46" i="251"/>
  <c r="H11" i="251"/>
  <c r="H13" i="256"/>
  <c r="H15" i="256"/>
  <c r="AK18" i="173"/>
  <c r="H19" i="251"/>
  <c r="AK26" i="173"/>
  <c r="H27" i="251"/>
  <c r="AK34" i="173"/>
  <c r="H33" i="250"/>
  <c r="H35" i="251"/>
  <c r="AK42" i="173"/>
  <c r="I10" i="250"/>
  <c r="D41" i="250"/>
  <c r="D42" i="250"/>
  <c r="D43" i="250"/>
  <c r="D44" i="250"/>
  <c r="D45" i="250"/>
  <c r="D46" i="250"/>
  <c r="O41" i="41"/>
  <c r="O42" i="41"/>
  <c r="O43" i="41"/>
  <c r="O44" i="41"/>
  <c r="O45" i="41"/>
  <c r="O46" i="41"/>
  <c r="I12" i="250"/>
  <c r="K12" i="250" s="1"/>
  <c r="C15" i="173"/>
  <c r="I15" i="173"/>
  <c r="N15" i="173"/>
  <c r="F15" i="173"/>
  <c r="L15" i="173"/>
  <c r="Q15" i="173"/>
  <c r="AL15" i="173"/>
  <c r="AN15" i="173" s="1"/>
  <c r="E15" i="173"/>
  <c r="P15" i="173"/>
  <c r="G15" i="173"/>
  <c r="J15" i="173"/>
  <c r="M15" i="173"/>
  <c r="I16" i="251"/>
  <c r="K16" i="251" s="1"/>
  <c r="I18" i="250"/>
  <c r="K18" i="250" s="1"/>
  <c r="I20" i="250"/>
  <c r="K20" i="250" s="1"/>
  <c r="F23" i="173"/>
  <c r="L23" i="173"/>
  <c r="Q23" i="173"/>
  <c r="AL23" i="173"/>
  <c r="AN23" i="173" s="1"/>
  <c r="C23" i="173"/>
  <c r="I23" i="173"/>
  <c r="N23" i="173"/>
  <c r="G23" i="173"/>
  <c r="J23" i="173"/>
  <c r="M23" i="173"/>
  <c r="E23" i="173"/>
  <c r="P23" i="173"/>
  <c r="I24" i="251"/>
  <c r="K24" i="251" s="1"/>
  <c r="I26" i="251"/>
  <c r="K26" i="251" s="1"/>
  <c r="C31" i="173"/>
  <c r="I31" i="173"/>
  <c r="N31" i="173"/>
  <c r="E31" i="173"/>
  <c r="J31" i="173"/>
  <c r="P31" i="173"/>
  <c r="F31" i="173"/>
  <c r="L31" i="173"/>
  <c r="Q31" i="173"/>
  <c r="AL31" i="173"/>
  <c r="AN31" i="173" s="1"/>
  <c r="G31" i="173"/>
  <c r="M31" i="173"/>
  <c r="I32" i="251"/>
  <c r="K32" i="251" s="1"/>
  <c r="I34" i="250"/>
  <c r="K34" i="250" s="1"/>
  <c r="C39" i="173"/>
  <c r="I39" i="173"/>
  <c r="N39" i="173"/>
  <c r="E39" i="173"/>
  <c r="J39" i="173"/>
  <c r="P39" i="173"/>
  <c r="F39" i="173"/>
  <c r="L39" i="173"/>
  <c r="Q39" i="173"/>
  <c r="AL39" i="173"/>
  <c r="AN39" i="173" s="1"/>
  <c r="G39" i="173"/>
  <c r="M39" i="173"/>
  <c r="E29" i="8"/>
  <c r="AA23" i="41"/>
  <c r="L20" i="8"/>
  <c r="L38" i="8"/>
  <c r="L53" i="8"/>
  <c r="Y8" i="47"/>
  <c r="L9" i="48" s="1"/>
  <c r="B38" i="48" s="1"/>
  <c r="P8" i="47"/>
  <c r="Z8" i="47" s="1"/>
  <c r="N9" i="48" s="1"/>
  <c r="B42" i="48" s="1"/>
  <c r="M43" i="53"/>
  <c r="C31" i="47"/>
  <c r="D47" i="79" s="1"/>
  <c r="AA29" i="41"/>
  <c r="N41" i="53"/>
  <c r="C13" i="47"/>
  <c r="AA11" i="41"/>
  <c r="O13" i="8"/>
  <c r="O23" i="8"/>
  <c r="O27" i="8"/>
  <c r="O39" i="8"/>
  <c r="O45" i="8"/>
  <c r="O53" i="8"/>
  <c r="O16" i="8"/>
  <c r="O22" i="8"/>
  <c r="O26" i="8"/>
  <c r="O15" i="8"/>
  <c r="O25" i="8"/>
  <c r="O35" i="8"/>
  <c r="O43" i="8"/>
  <c r="O51" i="8"/>
  <c r="O29" i="8"/>
  <c r="O38" i="8"/>
  <c r="O52" i="8"/>
  <c r="O44" i="8"/>
  <c r="I37" i="41"/>
  <c r="I29" i="41"/>
  <c r="I13" i="41"/>
  <c r="W46" i="53"/>
  <c r="W42" i="53"/>
  <c r="C27" i="47"/>
  <c r="D43" i="79" s="1"/>
  <c r="AA25" i="41"/>
  <c r="I20" i="6"/>
  <c r="I30" i="6"/>
  <c r="B92" i="52"/>
  <c r="B106" i="52" s="1"/>
  <c r="B114" i="52" s="1"/>
  <c r="J28" i="6"/>
  <c r="E81" i="126"/>
  <c r="E82" i="126"/>
  <c r="K12" i="133"/>
  <c r="B12" i="133" s="1"/>
  <c r="G12" i="133" s="1"/>
  <c r="J13" i="133"/>
  <c r="P9" i="173"/>
  <c r="AD12" i="173" s="1"/>
  <c r="W12" i="173"/>
  <c r="L46" i="185"/>
  <c r="L50" i="185"/>
  <c r="L47" i="185"/>
  <c r="L49" i="185"/>
  <c r="I46" i="185"/>
  <c r="V16" i="234"/>
  <c r="U16" i="234"/>
  <c r="U25" i="234"/>
  <c r="V25" i="234"/>
  <c r="U32" i="234"/>
  <c r="V32" i="234"/>
  <c r="U15" i="234"/>
  <c r="V15" i="234"/>
  <c r="U37" i="234"/>
  <c r="V37" i="234"/>
  <c r="Y12" i="172"/>
  <c r="AD12" i="172" s="1"/>
  <c r="AF12" i="172" s="1"/>
  <c r="AG12" i="47"/>
  <c r="AI12" i="47" s="1"/>
  <c r="Y16" i="172"/>
  <c r="AD16" i="172" s="1"/>
  <c r="AF16" i="172" s="1"/>
  <c r="AG16" i="47"/>
  <c r="AI16" i="47" s="1"/>
  <c r="Y20" i="172"/>
  <c r="AD20" i="172" s="1"/>
  <c r="AF20" i="172" s="1"/>
  <c r="AG20" i="47"/>
  <c r="AI20" i="47" s="1"/>
  <c r="Y24" i="172"/>
  <c r="AD24" i="172" s="1"/>
  <c r="AF24" i="172" s="1"/>
  <c r="AG24" i="47"/>
  <c r="AI24" i="47" s="1"/>
  <c r="Y28" i="172"/>
  <c r="AD28" i="172" s="1"/>
  <c r="AF28" i="172" s="1"/>
  <c r="AG28" i="47"/>
  <c r="AI28" i="47" s="1"/>
  <c r="Y32" i="172"/>
  <c r="AD32" i="172" s="1"/>
  <c r="AF32" i="172" s="1"/>
  <c r="AG32" i="47"/>
  <c r="AI32" i="47" s="1"/>
  <c r="Y36" i="172"/>
  <c r="AD36" i="172" s="1"/>
  <c r="AF36" i="172" s="1"/>
  <c r="AG36" i="47"/>
  <c r="AI36" i="47" s="1"/>
  <c r="Y40" i="172"/>
  <c r="AD40" i="172" s="1"/>
  <c r="AF40" i="172" s="1"/>
  <c r="AG40" i="47"/>
  <c r="AI40" i="47" s="1"/>
  <c r="H10" i="250"/>
  <c r="E41" i="250"/>
  <c r="E43" i="250"/>
  <c r="E42" i="250"/>
  <c r="E44" i="250"/>
  <c r="E45" i="250"/>
  <c r="E46" i="250"/>
  <c r="R10" i="41"/>
  <c r="P41" i="41"/>
  <c r="P42" i="41"/>
  <c r="P43" i="41"/>
  <c r="P44" i="41"/>
  <c r="P45" i="41"/>
  <c r="P46" i="41"/>
  <c r="U16" i="41"/>
  <c r="AA18" i="41"/>
  <c r="C20" i="47"/>
  <c r="D36" i="79" s="1"/>
  <c r="U24" i="41"/>
  <c r="AA26" i="41"/>
  <c r="C28" i="47"/>
  <c r="D44" i="79" s="1"/>
  <c r="U32" i="41"/>
  <c r="AA34" i="41"/>
  <c r="C36" i="47"/>
  <c r="D52" i="79" s="1"/>
  <c r="AF17" i="47"/>
  <c r="Z17" i="172"/>
  <c r="AC17" i="172" s="1"/>
  <c r="AF25" i="47"/>
  <c r="Z25" i="172"/>
  <c r="AC25" i="172" s="1"/>
  <c r="AF33" i="47"/>
  <c r="Z33" i="172"/>
  <c r="AC33" i="172" s="1"/>
  <c r="AF41" i="47"/>
  <c r="Z41" i="172"/>
  <c r="AC41" i="172" s="1"/>
  <c r="J41" i="250"/>
  <c r="J42" i="250"/>
  <c r="J43" i="250"/>
  <c r="J44" i="250"/>
  <c r="J45" i="250"/>
  <c r="J46" i="250"/>
  <c r="I11" i="256"/>
  <c r="K11" i="256" s="1"/>
  <c r="C14" i="173"/>
  <c r="I14" i="173"/>
  <c r="N14" i="173"/>
  <c r="F14" i="173"/>
  <c r="L14" i="173"/>
  <c r="Q14" i="173"/>
  <c r="AL14" i="173"/>
  <c r="AN14" i="173" s="1"/>
  <c r="G14" i="173"/>
  <c r="J14" i="173"/>
  <c r="M14" i="173"/>
  <c r="E14" i="173"/>
  <c r="P14" i="173"/>
  <c r="C16" i="173"/>
  <c r="I16" i="173"/>
  <c r="N16" i="173"/>
  <c r="F16" i="173"/>
  <c r="L16" i="173"/>
  <c r="Q16" i="173"/>
  <c r="AL16" i="173"/>
  <c r="AN16" i="173" s="1"/>
  <c r="M16" i="173"/>
  <c r="E16" i="173"/>
  <c r="P16" i="173"/>
  <c r="G16" i="173"/>
  <c r="J16" i="173"/>
  <c r="I15" i="256"/>
  <c r="K15" i="256" s="1"/>
  <c r="E18" i="173"/>
  <c r="J18" i="173"/>
  <c r="P18" i="173"/>
  <c r="F18" i="173"/>
  <c r="L18" i="173"/>
  <c r="Q18" i="173"/>
  <c r="AL18" i="173"/>
  <c r="AN18" i="173" s="1"/>
  <c r="G18" i="173"/>
  <c r="M18" i="173"/>
  <c r="C18" i="173"/>
  <c r="I18" i="173"/>
  <c r="N18" i="173"/>
  <c r="F20" i="173"/>
  <c r="L20" i="173"/>
  <c r="Q20" i="173"/>
  <c r="AL20" i="173"/>
  <c r="AN20" i="173" s="1"/>
  <c r="G20" i="173"/>
  <c r="M20" i="173"/>
  <c r="C20" i="173"/>
  <c r="I20" i="173"/>
  <c r="N20" i="173"/>
  <c r="P20" i="173"/>
  <c r="E20" i="173"/>
  <c r="J20" i="173"/>
  <c r="F22" i="173"/>
  <c r="L22" i="173"/>
  <c r="Q22" i="173"/>
  <c r="AL22" i="173"/>
  <c r="AN22" i="173" s="1"/>
  <c r="C22" i="173"/>
  <c r="I22" i="173"/>
  <c r="N22" i="173"/>
  <c r="J22" i="173"/>
  <c r="M22" i="173"/>
  <c r="E22" i="173"/>
  <c r="P22" i="173"/>
  <c r="G22" i="173"/>
  <c r="F24" i="173"/>
  <c r="L24" i="173"/>
  <c r="Q24" i="173"/>
  <c r="AL24" i="173"/>
  <c r="AN24" i="173" s="1"/>
  <c r="C24" i="173"/>
  <c r="I24" i="173"/>
  <c r="N24" i="173"/>
  <c r="E24" i="173"/>
  <c r="P24" i="173"/>
  <c r="G24" i="173"/>
  <c r="J24" i="173"/>
  <c r="M24" i="173"/>
  <c r="F26" i="173"/>
  <c r="L26" i="173"/>
  <c r="Q26" i="173"/>
  <c r="AL26" i="173"/>
  <c r="AN26" i="173" s="1"/>
  <c r="C26" i="173"/>
  <c r="I26" i="173"/>
  <c r="N26" i="173"/>
  <c r="J26" i="173"/>
  <c r="M26" i="173"/>
  <c r="E26" i="173"/>
  <c r="P26" i="173"/>
  <c r="G26" i="173"/>
  <c r="F28" i="173"/>
  <c r="L28" i="173"/>
  <c r="Q28" i="173"/>
  <c r="AL28" i="173"/>
  <c r="AN28" i="173" s="1"/>
  <c r="C28" i="173"/>
  <c r="I28" i="173"/>
  <c r="N28" i="173"/>
  <c r="E28" i="173"/>
  <c r="P28" i="173"/>
  <c r="G28" i="173"/>
  <c r="J28" i="173"/>
  <c r="M28" i="173"/>
  <c r="C30" i="173"/>
  <c r="I30" i="173"/>
  <c r="N30" i="173"/>
  <c r="E30" i="173"/>
  <c r="J30" i="173"/>
  <c r="P30" i="173"/>
  <c r="F30" i="173"/>
  <c r="L30" i="173"/>
  <c r="Q30" i="173"/>
  <c r="AL30" i="173"/>
  <c r="AN30" i="173" s="1"/>
  <c r="G30" i="173"/>
  <c r="M30" i="173"/>
  <c r="C32" i="173"/>
  <c r="I32" i="173"/>
  <c r="N32" i="173"/>
  <c r="E32" i="173"/>
  <c r="J32" i="173"/>
  <c r="P32" i="173"/>
  <c r="F32" i="173"/>
  <c r="L32" i="173"/>
  <c r="Q32" i="173"/>
  <c r="AL32" i="173"/>
  <c r="AN32" i="173" s="1"/>
  <c r="G32" i="173"/>
  <c r="M32" i="173"/>
  <c r="C34" i="173"/>
  <c r="I34" i="173"/>
  <c r="N34" i="173"/>
  <c r="E34" i="173"/>
  <c r="J34" i="173"/>
  <c r="P34" i="173"/>
  <c r="F34" i="173"/>
  <c r="L34" i="173"/>
  <c r="Q34" i="173"/>
  <c r="AL34" i="173"/>
  <c r="AN34" i="173" s="1"/>
  <c r="G34" i="173"/>
  <c r="M34" i="173"/>
  <c r="C36" i="173"/>
  <c r="I36" i="173"/>
  <c r="N36" i="173"/>
  <c r="E36" i="173"/>
  <c r="J36" i="173"/>
  <c r="P36" i="173"/>
  <c r="F36" i="173"/>
  <c r="L36" i="173"/>
  <c r="Q36" i="173"/>
  <c r="AL36" i="173"/>
  <c r="AN36" i="173" s="1"/>
  <c r="G36" i="173"/>
  <c r="M36" i="173"/>
  <c r="C38" i="173"/>
  <c r="I38" i="173"/>
  <c r="N38" i="173"/>
  <c r="E38" i="173"/>
  <c r="J38" i="173"/>
  <c r="P38" i="173"/>
  <c r="F38" i="173"/>
  <c r="L38" i="173"/>
  <c r="Q38" i="173"/>
  <c r="AL38" i="173"/>
  <c r="AN38" i="173" s="1"/>
  <c r="G38" i="173"/>
  <c r="M38" i="173"/>
  <c r="C40" i="173"/>
  <c r="I40" i="173"/>
  <c r="N40" i="173"/>
  <c r="E40" i="173"/>
  <c r="J40" i="173"/>
  <c r="P40" i="173"/>
  <c r="F40" i="173"/>
  <c r="L40" i="173"/>
  <c r="Q40" i="173"/>
  <c r="AL40" i="173"/>
  <c r="AN40" i="173" s="1"/>
  <c r="G40" i="173"/>
  <c r="M40" i="173"/>
  <c r="C42" i="173"/>
  <c r="I42" i="173"/>
  <c r="N42" i="173"/>
  <c r="E42" i="173"/>
  <c r="J42" i="173"/>
  <c r="P42" i="173"/>
  <c r="F42" i="173"/>
  <c r="L42" i="173"/>
  <c r="Q42" i="173"/>
  <c r="AL42" i="173"/>
  <c r="AN42" i="173" s="1"/>
  <c r="G42" i="173"/>
  <c r="M42" i="173"/>
  <c r="AK16" i="173"/>
  <c r="H15" i="250"/>
  <c r="H17" i="251"/>
  <c r="AK24" i="173"/>
  <c r="H23" i="251"/>
  <c r="H25" i="251"/>
  <c r="AK32" i="173"/>
  <c r="H31" i="250"/>
  <c r="H33" i="251"/>
  <c r="AK40" i="173"/>
  <c r="H39" i="250"/>
  <c r="I10" i="251"/>
  <c r="D41" i="251"/>
  <c r="D42" i="251"/>
  <c r="D43" i="251"/>
  <c r="D44" i="251"/>
  <c r="D45" i="251"/>
  <c r="D46" i="251"/>
  <c r="I14" i="256"/>
  <c r="K14" i="256" s="1"/>
  <c r="C17" i="173"/>
  <c r="I17" i="173"/>
  <c r="N17" i="173"/>
  <c r="G17" i="173"/>
  <c r="P17" i="173"/>
  <c r="J17" i="173"/>
  <c r="Q17" i="173"/>
  <c r="AL17" i="173"/>
  <c r="AN17" i="173" s="1"/>
  <c r="E17" i="173"/>
  <c r="L17" i="173"/>
  <c r="F17" i="173"/>
  <c r="M17" i="173"/>
  <c r="I16" i="256"/>
  <c r="K16" i="256" s="1"/>
  <c r="I18" i="251"/>
  <c r="K18" i="251" s="1"/>
  <c r="F25" i="173"/>
  <c r="L25" i="173"/>
  <c r="Q25" i="173"/>
  <c r="AL25" i="173"/>
  <c r="AN25" i="173" s="1"/>
  <c r="C25" i="173"/>
  <c r="I25" i="173"/>
  <c r="N25" i="173"/>
  <c r="M25" i="173"/>
  <c r="E25" i="173"/>
  <c r="P25" i="173"/>
  <c r="G25" i="173"/>
  <c r="J25" i="173"/>
  <c r="I26" i="250"/>
  <c r="K26" i="250" s="1"/>
  <c r="I28" i="250"/>
  <c r="K28" i="250" s="1"/>
  <c r="C33" i="173"/>
  <c r="I33" i="173"/>
  <c r="N33" i="173"/>
  <c r="E33" i="173"/>
  <c r="J33" i="173"/>
  <c r="P33" i="173"/>
  <c r="F33" i="173"/>
  <c r="L33" i="173"/>
  <c r="Q33" i="173"/>
  <c r="AL33" i="173"/>
  <c r="AN33" i="173" s="1"/>
  <c r="G33" i="173"/>
  <c r="M33" i="173"/>
  <c r="I34" i="251"/>
  <c r="K34" i="251" s="1"/>
  <c r="I36" i="250"/>
  <c r="K36" i="250" s="1"/>
  <c r="C41" i="173"/>
  <c r="I41" i="173"/>
  <c r="E41" i="173"/>
  <c r="J41" i="173"/>
  <c r="F41" i="173"/>
  <c r="L41" i="173"/>
  <c r="G41" i="173"/>
  <c r="M41" i="173"/>
  <c r="N41" i="173"/>
  <c r="P41" i="173"/>
  <c r="Q41" i="173"/>
  <c r="AL41" i="173"/>
  <c r="AN41" i="173" s="1"/>
  <c r="C33" i="47"/>
  <c r="D49" i="79" s="1"/>
  <c r="AA31" i="41"/>
  <c r="O56" i="8"/>
  <c r="G58" i="8"/>
  <c r="M46" i="53"/>
  <c r="C39" i="47"/>
  <c r="AA37" i="41"/>
  <c r="D47" i="8"/>
  <c r="L47" i="8" s="1"/>
  <c r="L41" i="8"/>
  <c r="J10" i="229"/>
  <c r="C21" i="47"/>
  <c r="D37" i="79" s="1"/>
  <c r="AA19" i="41"/>
  <c r="L15" i="8"/>
  <c r="O24" i="8"/>
  <c r="L44" i="8"/>
  <c r="I19" i="41"/>
  <c r="W45" i="53"/>
  <c r="C35" i="47"/>
  <c r="D51" i="79" s="1"/>
  <c r="AA33" i="41"/>
  <c r="F134" i="126"/>
  <c r="F136" i="126" s="1"/>
  <c r="D136" i="126"/>
  <c r="N12" i="256"/>
  <c r="N16" i="256"/>
  <c r="N11" i="256"/>
  <c r="N15" i="256"/>
  <c r="N10" i="256"/>
  <c r="N14" i="256"/>
  <c r="N18" i="256"/>
  <c r="Q6" i="256"/>
  <c r="N13" i="256"/>
  <c r="N17" i="256"/>
  <c r="N27" i="256"/>
  <c r="N29" i="256"/>
  <c r="I43" i="73"/>
  <c r="D82" i="126"/>
  <c r="D80" i="126"/>
  <c r="G80" i="126" s="1"/>
  <c r="D81" i="126"/>
  <c r="G81" i="126" s="1"/>
  <c r="K58" i="133"/>
  <c r="B57" i="133"/>
  <c r="M14" i="6"/>
  <c r="N12" i="6"/>
  <c r="K64" i="133"/>
  <c r="I27" i="41" l="1"/>
  <c r="L19" i="6"/>
  <c r="L20" i="6" s="1"/>
  <c r="I15" i="272"/>
  <c r="K15" i="272" s="1"/>
  <c r="H18" i="244"/>
  <c r="E9" i="241"/>
  <c r="M20" i="8"/>
  <c r="M36" i="8"/>
  <c r="M37" i="8"/>
  <c r="I27" i="12"/>
  <c r="H13" i="12"/>
  <c r="F106" i="126"/>
  <c r="H106" i="126" s="1"/>
  <c r="I18" i="249"/>
  <c r="K18" i="249" s="1"/>
  <c r="AC18" i="249" s="1"/>
  <c r="E24" i="249"/>
  <c r="I21" i="41"/>
  <c r="I34" i="41"/>
  <c r="I27" i="257"/>
  <c r="H18" i="273"/>
  <c r="H17" i="12"/>
  <c r="Y17" i="12" s="1"/>
  <c r="H15" i="273"/>
  <c r="Y15" i="273" s="1"/>
  <c r="H16" i="273"/>
  <c r="I12" i="249"/>
  <c r="K12" i="249" s="1"/>
  <c r="I17" i="273"/>
  <c r="K17" i="273" s="1"/>
  <c r="AC17" i="273" s="1"/>
  <c r="I16" i="273"/>
  <c r="K16" i="273" s="1"/>
  <c r="AC16" i="273" s="1"/>
  <c r="F20" i="257"/>
  <c r="J23" i="257"/>
  <c r="D20" i="241"/>
  <c r="D71" i="241" s="1"/>
  <c r="I18" i="257"/>
  <c r="K18" i="257" s="1"/>
  <c r="AC18" i="257" s="1"/>
  <c r="H18" i="257"/>
  <c r="H16" i="249"/>
  <c r="I17" i="12"/>
  <c r="K17" i="12" s="1"/>
  <c r="AC17" i="12" s="1"/>
  <c r="I15" i="257"/>
  <c r="K15" i="257" s="1"/>
  <c r="AC15" i="257" s="1"/>
  <c r="H16" i="257"/>
  <c r="H17" i="257"/>
  <c r="H10" i="12"/>
  <c r="H16" i="12"/>
  <c r="H17" i="272"/>
  <c r="Y17" i="272" s="1"/>
  <c r="H17" i="273"/>
  <c r="Y17" i="273" s="1"/>
  <c r="H18" i="249"/>
  <c r="I16" i="249"/>
  <c r="K16" i="249" s="1"/>
  <c r="AC16" i="249" s="1"/>
  <c r="I18" i="12"/>
  <c r="K18" i="12" s="1"/>
  <c r="AC18" i="12" s="1"/>
  <c r="I16" i="244"/>
  <c r="K16" i="244" s="1"/>
  <c r="AC16" i="244" s="1"/>
  <c r="I15" i="273"/>
  <c r="K15" i="273" s="1"/>
  <c r="AC15" i="272"/>
  <c r="I17" i="272"/>
  <c r="K17" i="272" s="1"/>
  <c r="H16" i="272"/>
  <c r="I16" i="272"/>
  <c r="K16" i="272" s="1"/>
  <c r="AC16" i="272" s="1"/>
  <c r="I17" i="244"/>
  <c r="K17" i="244" s="1"/>
  <c r="AC17" i="244" s="1"/>
  <c r="H15" i="244"/>
  <c r="Y15" i="244" s="1"/>
  <c r="H17" i="249"/>
  <c r="H15" i="272"/>
  <c r="Y15" i="272" s="1"/>
  <c r="N16" i="249"/>
  <c r="N18" i="249"/>
  <c r="N17" i="249"/>
  <c r="N15" i="249"/>
  <c r="I18" i="272"/>
  <c r="K18" i="272" s="1"/>
  <c r="AC18" i="272" s="1"/>
  <c r="I16" i="12"/>
  <c r="K16" i="12" s="1"/>
  <c r="AC16" i="12" s="1"/>
  <c r="I18" i="273"/>
  <c r="K18" i="273" s="1"/>
  <c r="AC18" i="273" s="1"/>
  <c r="H15" i="257"/>
  <c r="I18" i="244"/>
  <c r="K18" i="244" s="1"/>
  <c r="AC18" i="244" s="1"/>
  <c r="H18" i="12"/>
  <c r="I16" i="257"/>
  <c r="K16" i="257" s="1"/>
  <c r="AC16" i="257" s="1"/>
  <c r="H17" i="244"/>
  <c r="Y17" i="244" s="1"/>
  <c r="I17" i="257"/>
  <c r="K17" i="257" s="1"/>
  <c r="AC17" i="257" s="1"/>
  <c r="H15" i="249"/>
  <c r="I15" i="249"/>
  <c r="K15" i="249" s="1"/>
  <c r="AC15" i="249" s="1"/>
  <c r="I15" i="244"/>
  <c r="K15" i="244" s="1"/>
  <c r="AC15" i="244" s="1"/>
  <c r="H16" i="244"/>
  <c r="I17" i="249"/>
  <c r="K17" i="249" s="1"/>
  <c r="AC17" i="249" s="1"/>
  <c r="H15" i="12"/>
  <c r="I15" i="12"/>
  <c r="K15" i="12" s="1"/>
  <c r="AC15" i="12" s="1"/>
  <c r="O18" i="244"/>
  <c r="O15" i="244"/>
  <c r="O16" i="244"/>
  <c r="O17" i="244"/>
  <c r="Q22" i="12"/>
  <c r="G21" i="12"/>
  <c r="I11" i="12"/>
  <c r="K11" i="12" s="1"/>
  <c r="AC11" i="12" s="1"/>
  <c r="D22" i="257"/>
  <c r="F24" i="257"/>
  <c r="G23" i="257"/>
  <c r="AA15" i="41"/>
  <c r="I17" i="41"/>
  <c r="I35" i="41"/>
  <c r="Q20" i="12"/>
  <c r="AC12" i="249"/>
  <c r="S12" i="244"/>
  <c r="S13" i="244"/>
  <c r="S18" i="244"/>
  <c r="S15" i="244"/>
  <c r="S17" i="244"/>
  <c r="S14" i="244"/>
  <c r="S16" i="244"/>
  <c r="S11" i="244"/>
  <c r="O18" i="273"/>
  <c r="T18" i="273" s="1"/>
  <c r="O16" i="273"/>
  <c r="T16" i="273" s="1"/>
  <c r="O17" i="273"/>
  <c r="O15" i="273"/>
  <c r="E23" i="12"/>
  <c r="I10" i="12"/>
  <c r="K10" i="12" s="1"/>
  <c r="Q24" i="12"/>
  <c r="H12" i="12"/>
  <c r="S18" i="12"/>
  <c r="S16" i="12"/>
  <c r="Q25" i="12"/>
  <c r="Q21" i="12"/>
  <c r="S17" i="12"/>
  <c r="Q23" i="12"/>
  <c r="S15" i="12"/>
  <c r="Y15" i="12"/>
  <c r="G25" i="12"/>
  <c r="D23" i="12"/>
  <c r="I13" i="12"/>
  <c r="K13" i="12" s="1"/>
  <c r="H11" i="12"/>
  <c r="J20" i="12"/>
  <c r="F20" i="12"/>
  <c r="H14" i="257"/>
  <c r="J21" i="257"/>
  <c r="I12" i="257"/>
  <c r="K12" i="257" s="1"/>
  <c r="AC12" i="257" s="1"/>
  <c r="H12" i="257"/>
  <c r="J24" i="244"/>
  <c r="F24" i="244"/>
  <c r="H10" i="244"/>
  <c r="J22" i="249"/>
  <c r="D23" i="249"/>
  <c r="G22" i="249"/>
  <c r="D25" i="272"/>
  <c r="N24" i="64"/>
  <c r="N27" i="64"/>
  <c r="R19" i="52"/>
  <c r="AC14" i="273"/>
  <c r="D23" i="273"/>
  <c r="D21" i="273"/>
  <c r="I10" i="273"/>
  <c r="D25" i="273"/>
  <c r="D24" i="273"/>
  <c r="D22" i="273"/>
  <c r="D20" i="273"/>
  <c r="J24" i="273"/>
  <c r="J20" i="273"/>
  <c r="J23" i="273"/>
  <c r="J22" i="273"/>
  <c r="J25" i="273"/>
  <c r="AC13" i="273"/>
  <c r="J24" i="12"/>
  <c r="F24" i="12"/>
  <c r="G25" i="272"/>
  <c r="I12" i="272"/>
  <c r="K12" i="272" s="1"/>
  <c r="AC12" i="272" s="1"/>
  <c r="H10" i="273"/>
  <c r="E24" i="273"/>
  <c r="E21" i="273"/>
  <c r="E25" i="273"/>
  <c r="E22" i="273"/>
  <c r="E23" i="273"/>
  <c r="E20" i="273"/>
  <c r="J20" i="257"/>
  <c r="H12" i="272"/>
  <c r="Y12" i="272" s="1"/>
  <c r="F23" i="273"/>
  <c r="F24" i="273"/>
  <c r="F22" i="273"/>
  <c r="F21" i="273"/>
  <c r="F25" i="273"/>
  <c r="AC11" i="273"/>
  <c r="F20" i="273"/>
  <c r="O29" i="273"/>
  <c r="O10" i="273"/>
  <c r="O12" i="273"/>
  <c r="O27" i="273"/>
  <c r="O14" i="273"/>
  <c r="T14" i="273" s="1"/>
  <c r="O11" i="273"/>
  <c r="T11" i="273" s="1"/>
  <c r="O13" i="273"/>
  <c r="T13" i="273" s="1"/>
  <c r="F21" i="12"/>
  <c r="D20" i="257"/>
  <c r="G24" i="244"/>
  <c r="I11" i="249"/>
  <c r="K11" i="249" s="1"/>
  <c r="AC11" i="249" s="1"/>
  <c r="J24" i="257"/>
  <c r="E22" i="257"/>
  <c r="I14" i="12"/>
  <c r="K14" i="12" s="1"/>
  <c r="AC14" i="12" s="1"/>
  <c r="G22" i="12"/>
  <c r="E20" i="12"/>
  <c r="F23" i="12"/>
  <c r="D20" i="12"/>
  <c r="J21" i="12"/>
  <c r="I11" i="257"/>
  <c r="K11" i="257" s="1"/>
  <c r="AC11" i="257" s="1"/>
  <c r="D23" i="257"/>
  <c r="F21" i="257"/>
  <c r="H10" i="257"/>
  <c r="G20" i="257"/>
  <c r="G20" i="244"/>
  <c r="E25" i="244"/>
  <c r="I10" i="249"/>
  <c r="K10" i="249" s="1"/>
  <c r="AC10" i="249" s="1"/>
  <c r="E20" i="249"/>
  <c r="I14" i="249"/>
  <c r="K14" i="249" s="1"/>
  <c r="AC14" i="249" s="1"/>
  <c r="H11" i="249"/>
  <c r="H14" i="272"/>
  <c r="G25" i="273"/>
  <c r="G21" i="273"/>
  <c r="G20" i="273"/>
  <c r="G24" i="273"/>
  <c r="G23" i="273"/>
  <c r="G22" i="273"/>
  <c r="T12" i="273"/>
  <c r="AC12" i="273"/>
  <c r="J21" i="273"/>
  <c r="I38" i="41"/>
  <c r="AD27" i="172"/>
  <c r="AF27" i="172" s="1"/>
  <c r="G93" i="6"/>
  <c r="G94" i="6" s="1"/>
  <c r="J61" i="73"/>
  <c r="D20" i="52"/>
  <c r="D71" i="52" s="1"/>
  <c r="E21" i="52"/>
  <c r="E28" i="52" s="1"/>
  <c r="D28" i="52"/>
  <c r="I12" i="12"/>
  <c r="K12" i="12" s="1"/>
  <c r="AC12" i="12" s="1"/>
  <c r="D25" i="257"/>
  <c r="D22" i="12"/>
  <c r="H11" i="257"/>
  <c r="G24" i="12"/>
  <c r="G20" i="12"/>
  <c r="I13" i="244"/>
  <c r="K13" i="244" s="1"/>
  <c r="AC13" i="244" s="1"/>
  <c r="I14" i="257"/>
  <c r="K14" i="257" s="1"/>
  <c r="AC14" i="257" s="1"/>
  <c r="H13" i="257"/>
  <c r="G22" i="257"/>
  <c r="F23" i="257"/>
  <c r="J23" i="12"/>
  <c r="E25" i="257"/>
  <c r="E21" i="257"/>
  <c r="E71" i="73"/>
  <c r="D71" i="73"/>
  <c r="D76" i="73" s="1"/>
  <c r="J25" i="272"/>
  <c r="I10" i="272"/>
  <c r="D21" i="272"/>
  <c r="D23" i="272"/>
  <c r="D20" i="272"/>
  <c r="D22" i="272"/>
  <c r="D24" i="272"/>
  <c r="J20" i="272"/>
  <c r="J22" i="272"/>
  <c r="J24" i="272"/>
  <c r="J21" i="272"/>
  <c r="J23" i="272"/>
  <c r="I11" i="41"/>
  <c r="D24" i="257"/>
  <c r="F22" i="249"/>
  <c r="E25" i="12"/>
  <c r="E21" i="12"/>
  <c r="L48" i="185"/>
  <c r="D25" i="12"/>
  <c r="D21" i="12"/>
  <c r="G23" i="12"/>
  <c r="F104" i="126"/>
  <c r="H104" i="126" s="1"/>
  <c r="G25" i="257"/>
  <c r="G21" i="257"/>
  <c r="I13" i="257"/>
  <c r="K13" i="257" s="1"/>
  <c r="AC13" i="257" s="1"/>
  <c r="J22" i="257"/>
  <c r="F22" i="257"/>
  <c r="J22" i="12"/>
  <c r="F22" i="12"/>
  <c r="E24" i="257"/>
  <c r="E20" i="257"/>
  <c r="H14" i="12"/>
  <c r="I11" i="272"/>
  <c r="K11" i="272" s="1"/>
  <c r="AC11" i="272" s="1"/>
  <c r="H11" i="272"/>
  <c r="H10" i="272"/>
  <c r="E21" i="272"/>
  <c r="E23" i="272"/>
  <c r="E25" i="272"/>
  <c r="E20" i="272"/>
  <c r="E22" i="272"/>
  <c r="E24" i="272"/>
  <c r="I13" i="272"/>
  <c r="K13" i="272" s="1"/>
  <c r="AC13" i="272" s="1"/>
  <c r="J63" i="73"/>
  <c r="G23" i="272"/>
  <c r="G20" i="272"/>
  <c r="G24" i="272"/>
  <c r="G21" i="272"/>
  <c r="G22" i="272"/>
  <c r="F21" i="272"/>
  <c r="F23" i="272"/>
  <c r="F20" i="272"/>
  <c r="F22" i="272"/>
  <c r="F24" i="272"/>
  <c r="D21" i="257"/>
  <c r="E22" i="12"/>
  <c r="I10" i="257"/>
  <c r="K10" i="257" s="1"/>
  <c r="AC10" i="257" s="1"/>
  <c r="E24" i="12"/>
  <c r="V50" i="185"/>
  <c r="D24" i="12"/>
  <c r="G24" i="257"/>
  <c r="J25" i="257"/>
  <c r="F25" i="257"/>
  <c r="J25" i="12"/>
  <c r="F25" i="12"/>
  <c r="E23" i="257"/>
  <c r="G21" i="244"/>
  <c r="E23" i="244"/>
  <c r="F21" i="244"/>
  <c r="D22" i="244"/>
  <c r="H13" i="244"/>
  <c r="I14" i="244"/>
  <c r="K14" i="244" s="1"/>
  <c r="AC14" i="244" s="1"/>
  <c r="J23" i="244"/>
  <c r="D20" i="249"/>
  <c r="G23" i="249"/>
  <c r="E21" i="249"/>
  <c r="F23" i="249"/>
  <c r="I14" i="272"/>
  <c r="K14" i="272" s="1"/>
  <c r="F25" i="272"/>
  <c r="H13" i="272"/>
  <c r="I41" i="64"/>
  <c r="N10" i="64" s="1"/>
  <c r="M21" i="64" s="1"/>
  <c r="D27" i="241"/>
  <c r="E20" i="241"/>
  <c r="E27" i="241" s="1"/>
  <c r="Q24" i="244"/>
  <c r="Q20" i="244"/>
  <c r="Q23" i="244"/>
  <c r="Q22" i="244"/>
  <c r="Q25" i="244"/>
  <c r="Q21" i="244"/>
  <c r="F21" i="52"/>
  <c r="J179" i="73"/>
  <c r="J180" i="73" s="1"/>
  <c r="K19" i="6"/>
  <c r="K20" i="6" s="1"/>
  <c r="K30" i="6"/>
  <c r="J23" i="249"/>
  <c r="J40" i="64"/>
  <c r="H12" i="244"/>
  <c r="Y12" i="244" s="1"/>
  <c r="H14" i="249"/>
  <c r="E7" i="270"/>
  <c r="D7" i="270"/>
  <c r="F7" i="270"/>
  <c r="D40" i="64"/>
  <c r="D16" i="241" a="1"/>
  <c r="F16" i="241" s="1"/>
  <c r="D16" i="52" a="1"/>
  <c r="D32" i="14"/>
  <c r="D31" i="14" s="1"/>
  <c r="E31" i="14" s="1"/>
  <c r="F48" i="243"/>
  <c r="F49" i="243" s="1"/>
  <c r="F51" i="243" s="1"/>
  <c r="H13" i="249"/>
  <c r="G25" i="249"/>
  <c r="G21" i="249"/>
  <c r="I13" i="249"/>
  <c r="K13" i="249" s="1"/>
  <c r="AC13" i="249" s="1"/>
  <c r="F25" i="249"/>
  <c r="F21" i="249"/>
  <c r="E23" i="249"/>
  <c r="D22" i="249"/>
  <c r="J25" i="249"/>
  <c r="J21" i="249"/>
  <c r="G24" i="249"/>
  <c r="G20" i="249"/>
  <c r="F24" i="249"/>
  <c r="F20" i="249"/>
  <c r="H10" i="249"/>
  <c r="E22" i="249"/>
  <c r="D25" i="249"/>
  <c r="D21" i="249"/>
  <c r="J24" i="249"/>
  <c r="J20" i="249"/>
  <c r="E25" i="249"/>
  <c r="D24" i="249"/>
  <c r="H12" i="249"/>
  <c r="D20" i="244"/>
  <c r="H11" i="244"/>
  <c r="G23" i="244"/>
  <c r="J20" i="244"/>
  <c r="F20" i="244"/>
  <c r="E22" i="244"/>
  <c r="D24" i="244"/>
  <c r="G22" i="244"/>
  <c r="G25" i="244"/>
  <c r="F23" i="244"/>
  <c r="D21" i="244"/>
  <c r="E24" i="244"/>
  <c r="J22" i="244"/>
  <c r="I11" i="244"/>
  <c r="K11" i="244" s="1"/>
  <c r="AC11" i="244" s="1"/>
  <c r="J21" i="244"/>
  <c r="F22" i="244"/>
  <c r="I12" i="244"/>
  <c r="K12" i="244" s="1"/>
  <c r="AC12" i="244" s="1"/>
  <c r="E21" i="244"/>
  <c r="E20" i="244"/>
  <c r="D23" i="244"/>
  <c r="I10" i="244"/>
  <c r="K10" i="244" s="1"/>
  <c r="AC10" i="244" s="1"/>
  <c r="H14" i="244"/>
  <c r="J25" i="244"/>
  <c r="F25" i="244"/>
  <c r="D25" i="244"/>
  <c r="F10" i="270"/>
  <c r="F26" i="270" s="1"/>
  <c r="E10" i="270"/>
  <c r="E26" i="270" s="1"/>
  <c r="D10" i="270"/>
  <c r="D26" i="270" s="1"/>
  <c r="G10" i="270"/>
  <c r="G26" i="270" s="1"/>
  <c r="V49" i="185"/>
  <c r="H37" i="52"/>
  <c r="H74" i="52" s="1"/>
  <c r="H37" i="241"/>
  <c r="H74" i="241" s="1"/>
  <c r="R20" i="241"/>
  <c r="J34" i="241"/>
  <c r="J71" i="241" s="1"/>
  <c r="R21" i="241"/>
  <c r="D21" i="241"/>
  <c r="D72" i="241" s="1"/>
  <c r="R19" i="241"/>
  <c r="E19" i="241"/>
  <c r="E70" i="241" s="1"/>
  <c r="J58" i="241"/>
  <c r="B90" i="241"/>
  <c r="B9" i="242" s="1"/>
  <c r="G16" i="243"/>
  <c r="G32" i="243" s="1"/>
  <c r="V46" i="185"/>
  <c r="E21" i="63"/>
  <c r="M21" i="63" s="1"/>
  <c r="F21" i="66" s="1"/>
  <c r="Z3" i="172"/>
  <c r="AB3" i="172" s="1"/>
  <c r="M5" i="4" s="1"/>
  <c r="AC3" i="47"/>
  <c r="AE3" i="47" s="1"/>
  <c r="L5" i="4" s="1"/>
  <c r="AC4" i="47"/>
  <c r="AE4" i="47" s="1"/>
  <c r="L6" i="4" s="1"/>
  <c r="AC2" i="47"/>
  <c r="AE2" i="47" s="1"/>
  <c r="L4" i="4" s="1"/>
  <c r="Z2" i="172"/>
  <c r="AB2" i="172" s="1"/>
  <c r="M4" i="4" s="1"/>
  <c r="Z4" i="172"/>
  <c r="AB4" i="172" s="1"/>
  <c r="M6" i="4" s="1"/>
  <c r="J47" i="185"/>
  <c r="U14" i="41"/>
  <c r="T46" i="185"/>
  <c r="I33" i="41"/>
  <c r="I25" i="41"/>
  <c r="F20" i="126"/>
  <c r="G20" i="126" s="1"/>
  <c r="D25" i="126" s="1"/>
  <c r="Z13" i="185"/>
  <c r="U30" i="41"/>
  <c r="S46" i="185"/>
  <c r="Z42" i="185"/>
  <c r="V47" i="185"/>
  <c r="H93" i="6"/>
  <c r="H94" i="6" s="1"/>
  <c r="I9" i="6"/>
  <c r="N39" i="241"/>
  <c r="B13" i="242"/>
  <c r="B108" i="241"/>
  <c r="B117" i="241" s="1"/>
  <c r="B11" i="242"/>
  <c r="B10" i="242"/>
  <c r="N39" i="52"/>
  <c r="G78" i="52"/>
  <c r="G66" i="52"/>
  <c r="G50" i="52"/>
  <c r="G88" i="52"/>
  <c r="G102" i="52" s="1"/>
  <c r="G110" i="52" s="1"/>
  <c r="H15" i="52"/>
  <c r="B9" i="66"/>
  <c r="B80" i="52"/>
  <c r="J59" i="52"/>
  <c r="J58" i="52"/>
  <c r="AD35" i="172"/>
  <c r="AF35" i="172" s="1"/>
  <c r="AD19" i="172"/>
  <c r="AF19" i="172" s="1"/>
  <c r="F13" i="156"/>
  <c r="L49" i="62"/>
  <c r="H48" i="251"/>
  <c r="H48" i="250"/>
  <c r="H27" i="256"/>
  <c r="Q10" i="256"/>
  <c r="Q14" i="256"/>
  <c r="Q18" i="256"/>
  <c r="Q13" i="256"/>
  <c r="S13" i="256" s="1"/>
  <c r="Q17" i="256"/>
  <c r="Q12" i="256"/>
  <c r="Q16" i="256"/>
  <c r="Q11" i="256"/>
  <c r="Q15" i="256"/>
  <c r="N20" i="256"/>
  <c r="N21" i="256"/>
  <c r="N22" i="256"/>
  <c r="N23" i="256"/>
  <c r="N24" i="256"/>
  <c r="N25" i="256"/>
  <c r="G78" i="8"/>
  <c r="O58" i="8"/>
  <c r="AC34" i="251"/>
  <c r="AC11" i="256"/>
  <c r="C28" i="172"/>
  <c r="R28" i="47"/>
  <c r="W28" i="47"/>
  <c r="S28" i="47"/>
  <c r="X28" i="47"/>
  <c r="T28" i="47"/>
  <c r="Y28" i="47"/>
  <c r="V28" i="47"/>
  <c r="Z28" i="47"/>
  <c r="AA10" i="41"/>
  <c r="D22" i="248" s="1"/>
  <c r="R41" i="41"/>
  <c r="R42" i="41"/>
  <c r="R43" i="41"/>
  <c r="R44" i="41"/>
  <c r="R45" i="41"/>
  <c r="R46" i="41"/>
  <c r="C12" i="47"/>
  <c r="L28" i="6"/>
  <c r="I31" i="6"/>
  <c r="N10" i="249"/>
  <c r="N14" i="249"/>
  <c r="N27" i="249"/>
  <c r="N29" i="249"/>
  <c r="Q6" i="249"/>
  <c r="N13" i="249"/>
  <c r="N12" i="249"/>
  <c r="N11" i="249"/>
  <c r="C31" i="172"/>
  <c r="R31" i="47"/>
  <c r="W31" i="47"/>
  <c r="S31" i="47"/>
  <c r="X31" i="47"/>
  <c r="T31" i="47"/>
  <c r="Y31" i="47"/>
  <c r="V31" i="47"/>
  <c r="Z31" i="47"/>
  <c r="AC26" i="251"/>
  <c r="C34" i="172"/>
  <c r="R34" i="47"/>
  <c r="W34" i="47"/>
  <c r="S34" i="47"/>
  <c r="X34" i="47"/>
  <c r="T34" i="47"/>
  <c r="Y34" i="47"/>
  <c r="V34" i="47"/>
  <c r="Z34" i="47"/>
  <c r="C18" i="172"/>
  <c r="R18" i="47"/>
  <c r="W18" i="47"/>
  <c r="S18" i="47"/>
  <c r="X18" i="47"/>
  <c r="T18" i="47"/>
  <c r="Y18" i="47"/>
  <c r="V18" i="47"/>
  <c r="Z18" i="47"/>
  <c r="AD39" i="172"/>
  <c r="AF39" i="172" s="1"/>
  <c r="AD31" i="172"/>
  <c r="AF31" i="172" s="1"/>
  <c r="AD23" i="172"/>
  <c r="AF23" i="172" s="1"/>
  <c r="AD15" i="172"/>
  <c r="AF15" i="172" s="1"/>
  <c r="G35" i="10"/>
  <c r="N29" i="10"/>
  <c r="G44" i="10"/>
  <c r="N44" i="10" s="1"/>
  <c r="C19" i="172"/>
  <c r="R19" i="47"/>
  <c r="W19" i="47"/>
  <c r="S19" i="47"/>
  <c r="X19" i="47"/>
  <c r="T19" i="47"/>
  <c r="Y19" i="47"/>
  <c r="V19" i="47"/>
  <c r="Z19" i="47"/>
  <c r="C37" i="172"/>
  <c r="R37" i="47"/>
  <c r="W37" i="47"/>
  <c r="S37" i="47"/>
  <c r="X37" i="47"/>
  <c r="T37" i="47"/>
  <c r="Y37" i="47"/>
  <c r="V37" i="47"/>
  <c r="Z37" i="47"/>
  <c r="D53" i="79"/>
  <c r="C23" i="172"/>
  <c r="R23" i="47"/>
  <c r="W23" i="47"/>
  <c r="S23" i="47"/>
  <c r="X23" i="47"/>
  <c r="T23" i="47"/>
  <c r="Y23" i="47"/>
  <c r="V23" i="47"/>
  <c r="Z23" i="47"/>
  <c r="D58" i="8"/>
  <c r="AC38" i="251"/>
  <c r="AC24" i="250"/>
  <c r="AC12" i="256"/>
  <c r="M46" i="173"/>
  <c r="M45" i="173"/>
  <c r="M49" i="173"/>
  <c r="M44" i="173"/>
  <c r="M48" i="173"/>
  <c r="M47" i="173"/>
  <c r="L45" i="173"/>
  <c r="L49" i="173"/>
  <c r="L44" i="173"/>
  <c r="L48" i="173"/>
  <c r="L47" i="173"/>
  <c r="L46" i="173"/>
  <c r="C47" i="173"/>
  <c r="C46" i="173"/>
  <c r="C45" i="173"/>
  <c r="C49" i="173"/>
  <c r="C44" i="173"/>
  <c r="C48" i="173"/>
  <c r="C32" i="172"/>
  <c r="R32" i="47"/>
  <c r="W32" i="47"/>
  <c r="S32" i="47"/>
  <c r="X32" i="47"/>
  <c r="T32" i="47"/>
  <c r="Y32" i="47"/>
  <c r="V32" i="47"/>
  <c r="Z32" i="47"/>
  <c r="E44" i="10"/>
  <c r="M44" i="10" s="1"/>
  <c r="M29" i="10"/>
  <c r="E35" i="10"/>
  <c r="C15" i="172"/>
  <c r="R15" i="47"/>
  <c r="W15" i="47"/>
  <c r="S15" i="47"/>
  <c r="X15" i="47"/>
  <c r="T15" i="47"/>
  <c r="Y15" i="47"/>
  <c r="V15" i="47"/>
  <c r="Z15" i="47"/>
  <c r="AC30" i="250"/>
  <c r="AC12" i="251"/>
  <c r="S43" i="234"/>
  <c r="S47" i="234"/>
  <c r="S44" i="234"/>
  <c r="S45" i="234"/>
  <c r="S42" i="234"/>
  <c r="S46" i="234"/>
  <c r="I12" i="41"/>
  <c r="K65" i="133"/>
  <c r="M30" i="6"/>
  <c r="M19" i="6"/>
  <c r="M20" i="6" s="1"/>
  <c r="AC28" i="250"/>
  <c r="AC16" i="256"/>
  <c r="C36" i="172"/>
  <c r="R36" i="47"/>
  <c r="W36" i="47"/>
  <c r="S36" i="47"/>
  <c r="X36" i="47"/>
  <c r="T36" i="47"/>
  <c r="Y36" i="47"/>
  <c r="V36" i="47"/>
  <c r="Z36" i="47"/>
  <c r="V16" i="41"/>
  <c r="I16" i="41" s="1"/>
  <c r="K13" i="133"/>
  <c r="B13" i="133" s="1"/>
  <c r="G13" i="133" s="1"/>
  <c r="J14" i="133"/>
  <c r="B11" i="66"/>
  <c r="C13" i="172"/>
  <c r="R13" i="47"/>
  <c r="W13" i="47"/>
  <c r="S13" i="47"/>
  <c r="X13" i="47"/>
  <c r="T13" i="47"/>
  <c r="Y13" i="47"/>
  <c r="V13" i="47"/>
  <c r="Z13" i="47"/>
  <c r="D29" i="79"/>
  <c r="M22" i="8"/>
  <c r="M26" i="8"/>
  <c r="M38" i="8"/>
  <c r="M44" i="8"/>
  <c r="M52" i="8"/>
  <c r="M15" i="8"/>
  <c r="M25" i="8"/>
  <c r="M14" i="8"/>
  <c r="M18" i="8"/>
  <c r="M24" i="8"/>
  <c r="M29" i="8"/>
  <c r="M34" i="8"/>
  <c r="M50" i="8"/>
  <c r="M54" i="8"/>
  <c r="M35" i="8"/>
  <c r="M51" i="8"/>
  <c r="M43" i="8"/>
  <c r="M45" i="8"/>
  <c r="M17" i="8"/>
  <c r="M53" i="8"/>
  <c r="M27" i="8"/>
  <c r="M23" i="8"/>
  <c r="M13" i="8"/>
  <c r="M16" i="8"/>
  <c r="M39" i="8"/>
  <c r="AC34" i="250"/>
  <c r="AC16" i="251"/>
  <c r="AC12" i="250"/>
  <c r="AC17" i="256"/>
  <c r="AC13" i="256"/>
  <c r="M56" i="8"/>
  <c r="D32" i="62"/>
  <c r="D40" i="48"/>
  <c r="G31" i="6"/>
  <c r="M41" i="8"/>
  <c r="C17" i="172"/>
  <c r="R17" i="47"/>
  <c r="W17" i="47"/>
  <c r="S17" i="47"/>
  <c r="X17" i="47"/>
  <c r="T17" i="47"/>
  <c r="Y17" i="47"/>
  <c r="V17" i="47"/>
  <c r="Z17" i="47"/>
  <c r="AC32" i="250"/>
  <c r="AC14" i="251"/>
  <c r="G46" i="173"/>
  <c r="G45" i="173"/>
  <c r="G49" i="173"/>
  <c r="G44" i="173"/>
  <c r="G48" i="173"/>
  <c r="G47" i="173"/>
  <c r="J44" i="173"/>
  <c r="J48" i="173"/>
  <c r="J47" i="173"/>
  <c r="J46" i="173"/>
  <c r="J45" i="173"/>
  <c r="J49" i="173"/>
  <c r="F45" i="173"/>
  <c r="F49" i="173"/>
  <c r="F44" i="173"/>
  <c r="F48" i="173"/>
  <c r="F47" i="173"/>
  <c r="F46" i="173"/>
  <c r="AC37" i="250"/>
  <c r="AC33" i="250"/>
  <c r="AC29" i="250"/>
  <c r="AC25" i="250"/>
  <c r="AC21" i="250"/>
  <c r="AC17" i="251"/>
  <c r="AC13" i="251"/>
  <c r="C40" i="172"/>
  <c r="R40" i="47"/>
  <c r="W40" i="47"/>
  <c r="S40" i="47"/>
  <c r="X40" i="47"/>
  <c r="T40" i="47"/>
  <c r="Y40" i="47"/>
  <c r="V40" i="47"/>
  <c r="Z40" i="47"/>
  <c r="D56" i="79"/>
  <c r="L63" i="133"/>
  <c r="B62" i="133"/>
  <c r="N6" i="250"/>
  <c r="F51" i="6"/>
  <c r="J51" i="6"/>
  <c r="G51" i="6"/>
  <c r="K51" i="6"/>
  <c r="H51" i="6"/>
  <c r="L51" i="6"/>
  <c r="I51" i="6"/>
  <c r="M51" i="6"/>
  <c r="C41" i="172"/>
  <c r="R41" i="47"/>
  <c r="W41" i="47"/>
  <c r="S41" i="47"/>
  <c r="X41" i="47"/>
  <c r="T41" i="47"/>
  <c r="Y41" i="47"/>
  <c r="V41" i="47"/>
  <c r="Z41" i="47"/>
  <c r="D57" i="79"/>
  <c r="AC38" i="250"/>
  <c r="AC20" i="251"/>
  <c r="AC37" i="251"/>
  <c r="AC33" i="251"/>
  <c r="AC29" i="251"/>
  <c r="AC25" i="251"/>
  <c r="AC21" i="251"/>
  <c r="AC17" i="250"/>
  <c r="AC13" i="250"/>
  <c r="C38" i="172"/>
  <c r="R38" i="47"/>
  <c r="W38" i="47"/>
  <c r="S38" i="47"/>
  <c r="X38" i="47"/>
  <c r="T38" i="47"/>
  <c r="Y38" i="47"/>
  <c r="V38" i="47"/>
  <c r="Z38" i="47"/>
  <c r="D54" i="79"/>
  <c r="C22" i="172"/>
  <c r="R22" i="47"/>
  <c r="W22" i="47"/>
  <c r="S22" i="47"/>
  <c r="X22" i="47"/>
  <c r="T22" i="47"/>
  <c r="Y22" i="47"/>
  <c r="V22" i="47"/>
  <c r="Z22" i="47"/>
  <c r="U42" i="41"/>
  <c r="AD37" i="172"/>
  <c r="AF37" i="172" s="1"/>
  <c r="AD29" i="172"/>
  <c r="AF29" i="172" s="1"/>
  <c r="AD21" i="172"/>
  <c r="AF21" i="172" s="1"/>
  <c r="AD13" i="172"/>
  <c r="AF13" i="172" s="1"/>
  <c r="T42" i="234"/>
  <c r="T46" i="234"/>
  <c r="T43" i="234"/>
  <c r="T47" i="234"/>
  <c r="U12" i="234"/>
  <c r="T44" i="234"/>
  <c r="V12" i="234"/>
  <c r="T45" i="234"/>
  <c r="I20" i="41"/>
  <c r="B10" i="232"/>
  <c r="G57" i="133"/>
  <c r="B3" i="73" s="1"/>
  <c r="C35" i="172"/>
  <c r="R35" i="47"/>
  <c r="W35" i="47"/>
  <c r="S35" i="47"/>
  <c r="X35" i="47"/>
  <c r="T35" i="47"/>
  <c r="Y35" i="47"/>
  <c r="V35" i="47"/>
  <c r="Z35" i="47"/>
  <c r="AC36" i="250"/>
  <c r="AC18" i="251"/>
  <c r="AC14" i="256"/>
  <c r="AC15" i="256"/>
  <c r="V24" i="41"/>
  <c r="I24" i="41" s="1"/>
  <c r="O13" i="244"/>
  <c r="O12" i="244"/>
  <c r="O10" i="244"/>
  <c r="O11" i="244"/>
  <c r="O14" i="244"/>
  <c r="O27" i="244"/>
  <c r="D12" i="241" s="1"/>
  <c r="O29" i="244"/>
  <c r="C25" i="172"/>
  <c r="R25" i="47"/>
  <c r="W25" i="47"/>
  <c r="S25" i="47"/>
  <c r="X25" i="47"/>
  <c r="T25" i="47"/>
  <c r="Y25" i="47"/>
  <c r="V25" i="47"/>
  <c r="Z25" i="47"/>
  <c r="AC24" i="251"/>
  <c r="AC20" i="250"/>
  <c r="K10" i="250"/>
  <c r="I42" i="250"/>
  <c r="I44" i="250"/>
  <c r="I41" i="250"/>
  <c r="I43" i="250"/>
  <c r="I45" i="250"/>
  <c r="I46" i="250"/>
  <c r="I53" i="6"/>
  <c r="F53" i="6"/>
  <c r="G53" i="6"/>
  <c r="K53" i="6"/>
  <c r="H53" i="6"/>
  <c r="L53" i="6"/>
  <c r="J53" i="6"/>
  <c r="C26" i="172"/>
  <c r="R26" i="47"/>
  <c r="W26" i="47"/>
  <c r="S26" i="47"/>
  <c r="X26" i="47"/>
  <c r="T26" i="47"/>
  <c r="Y26" i="47"/>
  <c r="V26" i="47"/>
  <c r="Z26" i="47"/>
  <c r="M58" i="8"/>
  <c r="E78" i="8"/>
  <c r="M47" i="8"/>
  <c r="AC22" i="251"/>
  <c r="AC18" i="256"/>
  <c r="P44" i="173"/>
  <c r="P48" i="173"/>
  <c r="P47" i="173"/>
  <c r="P46" i="173"/>
  <c r="P45" i="173"/>
  <c r="P49" i="173"/>
  <c r="N47" i="173"/>
  <c r="N46" i="173"/>
  <c r="N45" i="173"/>
  <c r="N49" i="173"/>
  <c r="N44" i="173"/>
  <c r="N48" i="173"/>
  <c r="C16" i="172"/>
  <c r="R16" i="47"/>
  <c r="W16" i="47"/>
  <c r="S16" i="47"/>
  <c r="X16" i="47"/>
  <c r="T16" i="47"/>
  <c r="Y16" i="47"/>
  <c r="V16" i="47"/>
  <c r="Z16" i="47"/>
  <c r="H20" i="256"/>
  <c r="H21" i="256"/>
  <c r="H22" i="256"/>
  <c r="H23" i="256"/>
  <c r="H24" i="256"/>
  <c r="H25" i="256"/>
  <c r="B14" i="232"/>
  <c r="G61" i="133"/>
  <c r="C29" i="172"/>
  <c r="R29" i="47"/>
  <c r="W29" i="47"/>
  <c r="S29" i="47"/>
  <c r="X29" i="47"/>
  <c r="T29" i="47"/>
  <c r="Y29" i="47"/>
  <c r="V29" i="47"/>
  <c r="Z29" i="47"/>
  <c r="D35" i="10"/>
  <c r="D44" i="10"/>
  <c r="L44" i="10" s="1"/>
  <c r="L29" i="10"/>
  <c r="AC28" i="251"/>
  <c r="AC14" i="250"/>
  <c r="AC13" i="12"/>
  <c r="H41" i="251"/>
  <c r="H42" i="251"/>
  <c r="H43" i="251"/>
  <c r="H44" i="251"/>
  <c r="H45" i="251"/>
  <c r="H46" i="251"/>
  <c r="R44" i="234"/>
  <c r="R45" i="234"/>
  <c r="R42" i="234"/>
  <c r="R46" i="234"/>
  <c r="R43" i="234"/>
  <c r="R47" i="234"/>
  <c r="I28" i="41"/>
  <c r="O12" i="6"/>
  <c r="O53" i="6" s="1"/>
  <c r="N14" i="6"/>
  <c r="N53" i="6"/>
  <c r="B58" i="133"/>
  <c r="K59" i="133"/>
  <c r="B59" i="133" s="1"/>
  <c r="E43" i="73"/>
  <c r="E45" i="73" s="1"/>
  <c r="E47" i="73" s="1"/>
  <c r="E52" i="73" s="1"/>
  <c r="E54" i="73" s="1"/>
  <c r="G136" i="126"/>
  <c r="C21" i="172"/>
  <c r="R21" i="47"/>
  <c r="W21" i="47"/>
  <c r="S21" i="47"/>
  <c r="X21" i="47"/>
  <c r="T21" i="47"/>
  <c r="Y21" i="47"/>
  <c r="V21" i="47"/>
  <c r="Z21" i="47"/>
  <c r="K10" i="229"/>
  <c r="C39" i="172"/>
  <c r="R39" i="47"/>
  <c r="W39" i="47"/>
  <c r="S39" i="47"/>
  <c r="X39" i="47"/>
  <c r="T39" i="47"/>
  <c r="Y39" i="47"/>
  <c r="V39" i="47"/>
  <c r="Z39" i="47"/>
  <c r="D55" i="79"/>
  <c r="C33" i="172"/>
  <c r="R33" i="47"/>
  <c r="W33" i="47"/>
  <c r="S33" i="47"/>
  <c r="X33" i="47"/>
  <c r="T33" i="47"/>
  <c r="Y33" i="47"/>
  <c r="V33" i="47"/>
  <c r="Z33" i="47"/>
  <c r="AC26" i="250"/>
  <c r="K10" i="251"/>
  <c r="I41" i="251"/>
  <c r="I42" i="251"/>
  <c r="I43" i="251"/>
  <c r="I44" i="251"/>
  <c r="I45" i="251"/>
  <c r="I46" i="251"/>
  <c r="V32" i="41"/>
  <c r="I32" i="41" s="1"/>
  <c r="C20" i="172"/>
  <c r="R20" i="47"/>
  <c r="W20" i="47"/>
  <c r="S20" i="47"/>
  <c r="X20" i="47"/>
  <c r="T20" i="47"/>
  <c r="Y20" i="47"/>
  <c r="V20" i="47"/>
  <c r="Z20" i="47"/>
  <c r="H41" i="250"/>
  <c r="H42" i="250"/>
  <c r="H43" i="250"/>
  <c r="H44" i="250"/>
  <c r="H45" i="250"/>
  <c r="H46" i="250"/>
  <c r="C27" i="172"/>
  <c r="R27" i="47"/>
  <c r="W27" i="47"/>
  <c r="S27" i="47"/>
  <c r="X27" i="47"/>
  <c r="T27" i="47"/>
  <c r="Y27" i="47"/>
  <c r="V27" i="47"/>
  <c r="Z27" i="47"/>
  <c r="AC32" i="251"/>
  <c r="AC18" i="250"/>
  <c r="G27" i="229"/>
  <c r="H27" i="229" s="1"/>
  <c r="I27" i="229" s="1"/>
  <c r="J27" i="229" s="1"/>
  <c r="K27" i="229" s="1"/>
  <c r="L27" i="229" s="1"/>
  <c r="M27" i="229" s="1"/>
  <c r="N27" i="229" s="1"/>
  <c r="O27" i="229" s="1"/>
  <c r="P27" i="229" s="1"/>
  <c r="C28" i="229"/>
  <c r="B91" i="52"/>
  <c r="B105" i="52" s="1"/>
  <c r="B113" i="52" s="1"/>
  <c r="AC30" i="251"/>
  <c r="AC16" i="250"/>
  <c r="E44" i="173"/>
  <c r="E48" i="173"/>
  <c r="E47" i="173"/>
  <c r="E46" i="173"/>
  <c r="E45" i="173"/>
  <c r="E49" i="173"/>
  <c r="Q45" i="173"/>
  <c r="Q49" i="173"/>
  <c r="Q44" i="173"/>
  <c r="Q48" i="173"/>
  <c r="Q47" i="173"/>
  <c r="Q46" i="173"/>
  <c r="I47" i="173"/>
  <c r="I46" i="173"/>
  <c r="I45" i="173"/>
  <c r="I49" i="173"/>
  <c r="I44" i="173"/>
  <c r="I48" i="173"/>
  <c r="K10" i="256"/>
  <c r="I20" i="256"/>
  <c r="I21" i="256"/>
  <c r="I22" i="256"/>
  <c r="I23" i="256"/>
  <c r="I24" i="256"/>
  <c r="I25" i="256"/>
  <c r="AC39" i="251"/>
  <c r="AC35" i="251"/>
  <c r="AC31" i="251"/>
  <c r="AC27" i="251"/>
  <c r="AC23" i="251"/>
  <c r="AC19" i="251"/>
  <c r="AC15" i="251"/>
  <c r="AC11" i="251"/>
  <c r="C24" i="172"/>
  <c r="R24" i="47"/>
  <c r="W24" i="47"/>
  <c r="S24" i="47"/>
  <c r="X24" i="47"/>
  <c r="T24" i="47"/>
  <c r="Y24" i="47"/>
  <c r="V24" i="47"/>
  <c r="Z24" i="47"/>
  <c r="I15" i="241"/>
  <c r="I78" i="241" s="1"/>
  <c r="H50" i="241"/>
  <c r="H66" i="241"/>
  <c r="H88" i="241"/>
  <c r="H102" i="241" s="1"/>
  <c r="H111" i="241" s="1"/>
  <c r="AC36" i="251"/>
  <c r="AC22" i="250"/>
  <c r="AC39" i="250"/>
  <c r="AC35" i="250"/>
  <c r="AC31" i="250"/>
  <c r="AC27" i="250"/>
  <c r="AC23" i="250"/>
  <c r="AC19" i="250"/>
  <c r="AC15" i="250"/>
  <c r="AC11" i="250"/>
  <c r="C30" i="172"/>
  <c r="R30" i="47"/>
  <c r="W30" i="47"/>
  <c r="S30" i="47"/>
  <c r="X30" i="47"/>
  <c r="T30" i="47"/>
  <c r="Y30" i="47"/>
  <c r="V30" i="47"/>
  <c r="Z30" i="47"/>
  <c r="C14" i="172"/>
  <c r="R14" i="47"/>
  <c r="W14" i="47"/>
  <c r="S14" i="47"/>
  <c r="X14" i="47"/>
  <c r="T14" i="47"/>
  <c r="Y14" i="47"/>
  <c r="V14" i="47"/>
  <c r="Z14" i="47"/>
  <c r="AD41" i="172"/>
  <c r="AF41" i="172" s="1"/>
  <c r="AD33" i="172"/>
  <c r="AF33" i="172" s="1"/>
  <c r="AD25" i="172"/>
  <c r="AF25" i="172" s="1"/>
  <c r="AD17" i="172"/>
  <c r="AF17" i="172" s="1"/>
  <c r="V45" i="185"/>
  <c r="I36" i="41"/>
  <c r="U41" i="41" l="1"/>
  <c r="H21" i="244"/>
  <c r="H24" i="12"/>
  <c r="T11" i="244"/>
  <c r="V11" i="244" s="1"/>
  <c r="H22" i="273"/>
  <c r="B52" i="236"/>
  <c r="F11" i="40"/>
  <c r="F13" i="40"/>
  <c r="K27" i="12"/>
  <c r="K27" i="257"/>
  <c r="D26" i="126"/>
  <c r="F26" i="126" s="1"/>
  <c r="F56" i="126" s="1"/>
  <c r="D30" i="14"/>
  <c r="E30" i="14" s="1"/>
  <c r="J65" i="73"/>
  <c r="H24" i="257"/>
  <c r="D27" i="52"/>
  <c r="E20" i="52"/>
  <c r="E27" i="52" s="1"/>
  <c r="T15" i="273"/>
  <c r="AC15" i="273"/>
  <c r="H20" i="12"/>
  <c r="T17" i="273"/>
  <c r="I23" i="257"/>
  <c r="N26" i="52"/>
  <c r="AC17" i="272"/>
  <c r="T17" i="272"/>
  <c r="T15" i="272"/>
  <c r="E19" i="52"/>
  <c r="E70" i="52" s="1"/>
  <c r="E76" i="52" s="1"/>
  <c r="E80" i="52" s="1"/>
  <c r="Z46" i="185"/>
  <c r="Q17" i="249"/>
  <c r="Q18" i="249"/>
  <c r="S18" i="249" s="1"/>
  <c r="Q16" i="249"/>
  <c r="S16" i="249" s="1"/>
  <c r="Q15" i="249"/>
  <c r="S22" i="12"/>
  <c r="T12" i="272"/>
  <c r="V12" i="272" s="1"/>
  <c r="I22" i="249"/>
  <c r="H21" i="12"/>
  <c r="S25" i="12"/>
  <c r="S25" i="244"/>
  <c r="T13" i="244"/>
  <c r="U13" i="244" s="1"/>
  <c r="W13" i="244" s="1"/>
  <c r="S21" i="12"/>
  <c r="S24" i="12"/>
  <c r="S20" i="12"/>
  <c r="S23" i="12"/>
  <c r="S20" i="244"/>
  <c r="S22" i="244"/>
  <c r="T14" i="244"/>
  <c r="U14" i="244" s="1"/>
  <c r="W14" i="244" s="1"/>
  <c r="S23" i="244"/>
  <c r="T15" i="244"/>
  <c r="T17" i="244"/>
  <c r="S24" i="244"/>
  <c r="S21" i="244"/>
  <c r="T16" i="244"/>
  <c r="T18" i="244"/>
  <c r="V16" i="273"/>
  <c r="U16" i="273"/>
  <c r="W16" i="273" s="1"/>
  <c r="U18" i="273"/>
  <c r="W18" i="273" s="1"/>
  <c r="V18" i="273"/>
  <c r="H23" i="12"/>
  <c r="T17" i="12"/>
  <c r="H22" i="12"/>
  <c r="I25" i="12"/>
  <c r="O18" i="12"/>
  <c r="T18" i="12" s="1"/>
  <c r="O17" i="12"/>
  <c r="O16" i="12"/>
  <c r="T16" i="12" s="1"/>
  <c r="O15" i="12"/>
  <c r="T15" i="12"/>
  <c r="H25" i="12"/>
  <c r="I21" i="12"/>
  <c r="D23" i="52"/>
  <c r="F20" i="241"/>
  <c r="G20" i="241" s="1"/>
  <c r="H20" i="241" s="1"/>
  <c r="H25" i="249"/>
  <c r="H22" i="244"/>
  <c r="H25" i="272"/>
  <c r="F19" i="242"/>
  <c r="H21" i="257"/>
  <c r="N32" i="64"/>
  <c r="U11" i="273"/>
  <c r="W11" i="273" s="1"/>
  <c r="V11" i="273"/>
  <c r="H21" i="249"/>
  <c r="O23" i="273"/>
  <c r="O21" i="273"/>
  <c r="O24" i="273"/>
  <c r="O22" i="273"/>
  <c r="O20" i="273"/>
  <c r="O25" i="273"/>
  <c r="H20" i="244"/>
  <c r="I24" i="12"/>
  <c r="H24" i="244"/>
  <c r="I23" i="12"/>
  <c r="H23" i="244"/>
  <c r="I20" i="273"/>
  <c r="I22" i="273"/>
  <c r="I24" i="273"/>
  <c r="I25" i="273"/>
  <c r="I23" i="273"/>
  <c r="I21" i="273"/>
  <c r="K10" i="273"/>
  <c r="V13" i="273"/>
  <c r="U13" i="273"/>
  <c r="W13" i="273" s="1"/>
  <c r="H25" i="244"/>
  <c r="T12" i="244"/>
  <c r="U12" i="244" s="1"/>
  <c r="W12" i="244" s="1"/>
  <c r="H20" i="257"/>
  <c r="I20" i="12"/>
  <c r="I22" i="12"/>
  <c r="I22" i="244"/>
  <c r="U43" i="41"/>
  <c r="V12" i="273"/>
  <c r="U12" i="273"/>
  <c r="W12" i="273" s="1"/>
  <c r="H25" i="273"/>
  <c r="H21" i="273"/>
  <c r="H23" i="273"/>
  <c r="H24" i="273"/>
  <c r="H20" i="273"/>
  <c r="U14" i="273"/>
  <c r="W14" i="273" s="1"/>
  <c r="V14" i="273"/>
  <c r="D30" i="52"/>
  <c r="AC14" i="272"/>
  <c r="I22" i="257"/>
  <c r="U45" i="41"/>
  <c r="I25" i="257"/>
  <c r="I21" i="257"/>
  <c r="H22" i="257"/>
  <c r="U46" i="41"/>
  <c r="I21" i="244"/>
  <c r="H23" i="257"/>
  <c r="I25" i="244"/>
  <c r="U44" i="41"/>
  <c r="I24" i="257"/>
  <c r="I20" i="257"/>
  <c r="H25" i="257"/>
  <c r="H21" i="272"/>
  <c r="H23" i="272"/>
  <c r="H20" i="272"/>
  <c r="H22" i="272"/>
  <c r="H24" i="272"/>
  <c r="K10" i="272"/>
  <c r="I21" i="272"/>
  <c r="I23" i="272"/>
  <c r="I25" i="272"/>
  <c r="I20" i="272"/>
  <c r="I22" i="272"/>
  <c r="I24" i="272"/>
  <c r="J41" i="64"/>
  <c r="N11" i="64" s="1"/>
  <c r="M20" i="64" s="1"/>
  <c r="D41" i="64"/>
  <c r="D33" i="14"/>
  <c r="E33" i="14" s="1"/>
  <c r="G65" i="73"/>
  <c r="I62" i="73" s="1"/>
  <c r="E34" i="270"/>
  <c r="E21" i="270"/>
  <c r="G21" i="52"/>
  <c r="F28" i="52"/>
  <c r="H22" i="249"/>
  <c r="F21" i="270"/>
  <c r="F34" i="270"/>
  <c r="K28" i="6"/>
  <c r="D34" i="270"/>
  <c r="D21" i="270"/>
  <c r="D76" i="52"/>
  <c r="D81" i="52" s="1"/>
  <c r="J16" i="241"/>
  <c r="H16" i="241"/>
  <c r="G16" i="241"/>
  <c r="E16" i="241"/>
  <c r="D16" i="241"/>
  <c r="I16" i="241"/>
  <c r="D16" i="52"/>
  <c r="E16" i="52"/>
  <c r="G16" i="52"/>
  <c r="J16" i="52"/>
  <c r="I16" i="52"/>
  <c r="F16" i="52"/>
  <c r="H16" i="52"/>
  <c r="I21" i="249"/>
  <c r="H24" i="249"/>
  <c r="H20" i="249"/>
  <c r="I25" i="249"/>
  <c r="I24" i="249"/>
  <c r="I20" i="249"/>
  <c r="H23" i="249"/>
  <c r="I23" i="249"/>
  <c r="I23" i="244"/>
  <c r="I20" i="244"/>
  <c r="I24" i="244"/>
  <c r="I37" i="52"/>
  <c r="I74" i="52" s="1"/>
  <c r="D76" i="241"/>
  <c r="D82" i="241" s="1"/>
  <c r="I37" i="241"/>
  <c r="I74" i="241" s="1"/>
  <c r="E26" i="241"/>
  <c r="F19" i="241"/>
  <c r="D28" i="241"/>
  <c r="D30" i="241" s="1"/>
  <c r="E21" i="241"/>
  <c r="D23" i="241"/>
  <c r="G27" i="241"/>
  <c r="B104" i="241"/>
  <c r="B113" i="241" s="1"/>
  <c r="Q20" i="63"/>
  <c r="P22" i="63"/>
  <c r="L39" i="241"/>
  <c r="L39" i="52"/>
  <c r="D22" i="14"/>
  <c r="E22" i="14" s="1"/>
  <c r="D23" i="14"/>
  <c r="E23" i="14" s="1"/>
  <c r="D25" i="14"/>
  <c r="E25" i="14" s="1"/>
  <c r="V18" i="41"/>
  <c r="I18" i="41" s="1"/>
  <c r="V26" i="41"/>
  <c r="I26" i="41" s="1"/>
  <c r="J62" i="241"/>
  <c r="V22" i="41"/>
  <c r="I22" i="41" s="1"/>
  <c r="G155" i="126"/>
  <c r="G144" i="126" s="1"/>
  <c r="K144" i="126" s="1"/>
  <c r="V14" i="41"/>
  <c r="I14" i="41" s="1"/>
  <c r="V30" i="41"/>
  <c r="I30" i="41" s="1"/>
  <c r="I93" i="6"/>
  <c r="I94" i="6" s="1"/>
  <c r="J9" i="6"/>
  <c r="E32" i="14"/>
  <c r="E35" i="14" s="1"/>
  <c r="H78" i="52"/>
  <c r="H50" i="52"/>
  <c r="H88" i="52"/>
  <c r="H102" i="52" s="1"/>
  <c r="H110" i="52" s="1"/>
  <c r="H66" i="52"/>
  <c r="I15" i="52"/>
  <c r="D55" i="52"/>
  <c r="D118" i="52" s="1"/>
  <c r="O12" i="12"/>
  <c r="T12" i="12" s="1"/>
  <c r="U12" i="12" s="1"/>
  <c r="W12" i="12" s="1"/>
  <c r="O14" i="12"/>
  <c r="T14" i="12" s="1"/>
  <c r="V14" i="12" s="1"/>
  <c r="O29" i="12"/>
  <c r="O27" i="12"/>
  <c r="O13" i="12"/>
  <c r="T13" i="12" s="1"/>
  <c r="U13" i="12" s="1"/>
  <c r="W13" i="12" s="1"/>
  <c r="O11" i="12"/>
  <c r="T11" i="12" s="1"/>
  <c r="U11" i="12" s="1"/>
  <c r="W11" i="12" s="1"/>
  <c r="O10" i="12"/>
  <c r="T10" i="12" s="1"/>
  <c r="K20" i="249"/>
  <c r="K21" i="249"/>
  <c r="K22" i="249"/>
  <c r="K23" i="249"/>
  <c r="K24" i="249"/>
  <c r="K25" i="249"/>
  <c r="J15" i="241"/>
  <c r="J78" i="241" s="1"/>
  <c r="I66" i="241"/>
  <c r="I50" i="241"/>
  <c r="I88" i="241"/>
  <c r="I102" i="241" s="1"/>
  <c r="I111" i="241" s="1"/>
  <c r="AC10" i="256"/>
  <c r="K20" i="256"/>
  <c r="K21" i="256"/>
  <c r="K22" i="256"/>
  <c r="K23" i="256"/>
  <c r="K24" i="256"/>
  <c r="K25" i="256"/>
  <c r="C29" i="229"/>
  <c r="S27" i="172"/>
  <c r="W27" i="172"/>
  <c r="O27" i="172"/>
  <c r="T27" i="172"/>
  <c r="P27" i="172"/>
  <c r="U27" i="172"/>
  <c r="Q27" i="172"/>
  <c r="V27" i="172"/>
  <c r="Z50" i="185"/>
  <c r="Z45" i="185"/>
  <c r="S39" i="172"/>
  <c r="W39" i="172"/>
  <c r="O39" i="172"/>
  <c r="T39" i="172"/>
  <c r="P39" i="172"/>
  <c r="U39" i="172"/>
  <c r="Q39" i="172"/>
  <c r="V39" i="172"/>
  <c r="B12" i="232"/>
  <c r="G59" i="133"/>
  <c r="S26" i="172"/>
  <c r="W26" i="172"/>
  <c r="O26" i="172"/>
  <c r="T26" i="172"/>
  <c r="P26" i="172"/>
  <c r="U26" i="172"/>
  <c r="Q26" i="172"/>
  <c r="V26" i="172"/>
  <c r="O21" i="244"/>
  <c r="O23" i="244"/>
  <c r="O25" i="244"/>
  <c r="O20" i="244"/>
  <c r="O22" i="244"/>
  <c r="O24" i="244"/>
  <c r="V44" i="234"/>
  <c r="V45" i="234"/>
  <c r="V42" i="234"/>
  <c r="V46" i="234"/>
  <c r="V43" i="234"/>
  <c r="V47" i="234"/>
  <c r="S22" i="172"/>
  <c r="W22" i="172"/>
  <c r="O22" i="172"/>
  <c r="T22" i="172"/>
  <c r="P22" i="172"/>
  <c r="U22" i="172"/>
  <c r="Q22" i="172"/>
  <c r="V22" i="172"/>
  <c r="K20" i="12"/>
  <c r="K21" i="12"/>
  <c r="K22" i="12"/>
  <c r="K23" i="12"/>
  <c r="K24" i="12"/>
  <c r="K25" i="12"/>
  <c r="AC10" i="12"/>
  <c r="S13" i="172"/>
  <c r="W13" i="172"/>
  <c r="O13" i="172"/>
  <c r="T13" i="172"/>
  <c r="P13" i="172"/>
  <c r="U13" i="172"/>
  <c r="Q13" i="172"/>
  <c r="V13" i="172"/>
  <c r="S36" i="172"/>
  <c r="W36" i="172"/>
  <c r="O36" i="172"/>
  <c r="T36" i="172"/>
  <c r="P36" i="172"/>
  <c r="U36" i="172"/>
  <c r="Q36" i="172"/>
  <c r="V36" i="172"/>
  <c r="K66" i="133"/>
  <c r="D24" i="62"/>
  <c r="D32" i="48"/>
  <c r="S34" i="172"/>
  <c r="W34" i="172"/>
  <c r="O34" i="172"/>
  <c r="T34" i="172"/>
  <c r="P34" i="172"/>
  <c r="U34" i="172"/>
  <c r="Q34" i="172"/>
  <c r="V34" i="172"/>
  <c r="Q12" i="249"/>
  <c r="Q11" i="249"/>
  <c r="Q10" i="249"/>
  <c r="Q14" i="249"/>
  <c r="Q13" i="249"/>
  <c r="S15" i="256"/>
  <c r="S16" i="256"/>
  <c r="S30" i="172"/>
  <c r="W30" i="172"/>
  <c r="O30" i="172"/>
  <c r="T30" i="172"/>
  <c r="P30" i="172"/>
  <c r="U30" i="172"/>
  <c r="Q30" i="172"/>
  <c r="V30" i="172"/>
  <c r="S24" i="172"/>
  <c r="W24" i="172"/>
  <c r="O24" i="172"/>
  <c r="T24" i="172"/>
  <c r="P24" i="172"/>
  <c r="U24" i="172"/>
  <c r="Q24" i="172"/>
  <c r="V24" i="172"/>
  <c r="V14" i="244"/>
  <c r="Z48" i="185"/>
  <c r="S20" i="172"/>
  <c r="W20" i="172"/>
  <c r="O20" i="172"/>
  <c r="T20" i="172"/>
  <c r="P20" i="172"/>
  <c r="U20" i="172"/>
  <c r="Q20" i="172"/>
  <c r="V20" i="172"/>
  <c r="L10" i="229"/>
  <c r="E156" i="73"/>
  <c r="E160" i="73" s="1"/>
  <c r="F37" i="236" s="1"/>
  <c r="C47" i="236" s="1"/>
  <c r="E58" i="73"/>
  <c r="B11" i="232"/>
  <c r="G58" i="133"/>
  <c r="B3" i="241" s="1"/>
  <c r="S29" i="172"/>
  <c r="W29" i="172"/>
  <c r="O29" i="172"/>
  <c r="T29" i="172"/>
  <c r="P29" i="172"/>
  <c r="U29" i="172"/>
  <c r="Q29" i="172"/>
  <c r="V29" i="172"/>
  <c r="D55" i="241"/>
  <c r="S35" i="172"/>
  <c r="W35" i="172"/>
  <c r="O35" i="172"/>
  <c r="T35" i="172"/>
  <c r="P35" i="172"/>
  <c r="U35" i="172"/>
  <c r="Q35" i="172"/>
  <c r="V35" i="172"/>
  <c r="F25" i="126"/>
  <c r="D27" i="126"/>
  <c r="B15" i="232"/>
  <c r="G62" i="133"/>
  <c r="S17" i="172"/>
  <c r="W17" i="172"/>
  <c r="O17" i="172"/>
  <c r="T17" i="172"/>
  <c r="P17" i="172"/>
  <c r="U17" i="172"/>
  <c r="Q17" i="172"/>
  <c r="V17" i="172"/>
  <c r="M35" i="10"/>
  <c r="E39" i="10"/>
  <c r="M39" i="10" s="1"/>
  <c r="D78" i="8"/>
  <c r="G79" i="8" s="1"/>
  <c r="D20" i="248" s="1"/>
  <c r="L58" i="8"/>
  <c r="S37" i="172"/>
  <c r="W37" i="172"/>
  <c r="O37" i="172"/>
  <c r="T37" i="172"/>
  <c r="P37" i="172"/>
  <c r="U37" i="172"/>
  <c r="Q37" i="172"/>
  <c r="V37" i="172"/>
  <c r="S31" i="172"/>
  <c r="W31" i="172"/>
  <c r="O31" i="172"/>
  <c r="T31" i="172"/>
  <c r="P31" i="172"/>
  <c r="U31" i="172"/>
  <c r="Q31" i="172"/>
  <c r="V31" i="172"/>
  <c r="C12" i="172"/>
  <c r="R12" i="47"/>
  <c r="W12" i="47"/>
  <c r="C45" i="47"/>
  <c r="S12" i="47"/>
  <c r="X12" i="47"/>
  <c r="C46" i="47"/>
  <c r="T12" i="47"/>
  <c r="Y12" i="47"/>
  <c r="C43" i="47"/>
  <c r="C47" i="47"/>
  <c r="V12" i="47"/>
  <c r="Z12" i="47"/>
  <c r="C44" i="47"/>
  <c r="C48" i="47"/>
  <c r="D28" i="79"/>
  <c r="S11" i="256"/>
  <c r="S12" i="256"/>
  <c r="S18" i="256"/>
  <c r="B10" i="66"/>
  <c r="Z47" i="185"/>
  <c r="AC10" i="251"/>
  <c r="K41" i="251"/>
  <c r="K42" i="251"/>
  <c r="K43" i="251"/>
  <c r="K44" i="251"/>
  <c r="K45" i="251"/>
  <c r="K46" i="251"/>
  <c r="S33" i="172"/>
  <c r="W33" i="172"/>
  <c r="O33" i="172"/>
  <c r="T33" i="172"/>
  <c r="P33" i="172"/>
  <c r="U33" i="172"/>
  <c r="Q33" i="172"/>
  <c r="V33" i="172"/>
  <c r="U45" i="234"/>
  <c r="U42" i="234"/>
  <c r="U46" i="234"/>
  <c r="U43" i="234"/>
  <c r="U47" i="234"/>
  <c r="U44" i="234"/>
  <c r="S38" i="172"/>
  <c r="W38" i="172"/>
  <c r="O38" i="172"/>
  <c r="T38" i="172"/>
  <c r="P38" i="172"/>
  <c r="U38" i="172"/>
  <c r="Q38" i="172"/>
  <c r="V38" i="172"/>
  <c r="L64" i="133"/>
  <c r="B63" i="133"/>
  <c r="S40" i="172"/>
  <c r="W40" i="172"/>
  <c r="O40" i="172"/>
  <c r="T40" i="172"/>
  <c r="P40" i="172"/>
  <c r="U40" i="172"/>
  <c r="Q40" i="172"/>
  <c r="V40" i="172"/>
  <c r="K14" i="133"/>
  <c r="B14" i="133" s="1"/>
  <c r="G14" i="133" s="1"/>
  <c r="B3" i="52" s="1"/>
  <c r="J9" i="271" s="1"/>
  <c r="C29" i="156" s="1"/>
  <c r="G29" i="156" s="1"/>
  <c r="J15" i="133"/>
  <c r="T10" i="244"/>
  <c r="K20" i="244"/>
  <c r="K21" i="244"/>
  <c r="K22" i="244"/>
  <c r="K23" i="244"/>
  <c r="K24" i="244"/>
  <c r="K25" i="244"/>
  <c r="S15" i="172"/>
  <c r="W15" i="172"/>
  <c r="O15" i="172"/>
  <c r="T15" i="172"/>
  <c r="P15" i="172"/>
  <c r="U15" i="172"/>
  <c r="Q15" i="172"/>
  <c r="V15" i="172"/>
  <c r="G39" i="10"/>
  <c r="N39" i="10" s="1"/>
  <c r="N35" i="10"/>
  <c r="S18" i="172"/>
  <c r="W18" i="172"/>
  <c r="O18" i="172"/>
  <c r="T18" i="172"/>
  <c r="P18" i="172"/>
  <c r="U18" i="172"/>
  <c r="Q18" i="172"/>
  <c r="V18" i="172"/>
  <c r="N20" i="249"/>
  <c r="N21" i="249"/>
  <c r="N22" i="249"/>
  <c r="N23" i="249"/>
  <c r="N24" i="249"/>
  <c r="N25" i="249"/>
  <c r="S28" i="172"/>
  <c r="W28" i="172"/>
  <c r="O28" i="172"/>
  <c r="T28" i="172"/>
  <c r="P28" i="172"/>
  <c r="U28" i="172"/>
  <c r="Q28" i="172"/>
  <c r="V28" i="172"/>
  <c r="S17" i="256"/>
  <c r="S14" i="256"/>
  <c r="S14" i="172"/>
  <c r="W14" i="172"/>
  <c r="O14" i="172"/>
  <c r="T14" i="172"/>
  <c r="P14" i="172"/>
  <c r="U14" i="172"/>
  <c r="Q14" i="172"/>
  <c r="V14" i="172"/>
  <c r="Z49" i="185"/>
  <c r="S21" i="172"/>
  <c r="W21" i="172"/>
  <c r="O21" i="172"/>
  <c r="T21" i="172"/>
  <c r="P21" i="172"/>
  <c r="U21" i="172"/>
  <c r="Q21" i="172"/>
  <c r="V21" i="172"/>
  <c r="N19" i="6"/>
  <c r="N20" i="6" s="1"/>
  <c r="O14" i="6"/>
  <c r="N30" i="6"/>
  <c r="D39" i="10"/>
  <c r="L39" i="10" s="1"/>
  <c r="L35" i="10"/>
  <c r="S16" i="172"/>
  <c r="W16" i="172"/>
  <c r="O16" i="172"/>
  <c r="T16" i="172"/>
  <c r="P16" i="172"/>
  <c r="U16" i="172"/>
  <c r="Q16" i="172"/>
  <c r="V16" i="172"/>
  <c r="AC10" i="250"/>
  <c r="K42" i="250"/>
  <c r="K44" i="250"/>
  <c r="K45" i="250"/>
  <c r="K46" i="250"/>
  <c r="K41" i="250"/>
  <c r="K43" i="250"/>
  <c r="S25" i="172"/>
  <c r="W25" i="172"/>
  <c r="O25" i="172"/>
  <c r="T25" i="172"/>
  <c r="P25" i="172"/>
  <c r="U25" i="172"/>
  <c r="Q25" i="172"/>
  <c r="V25" i="172"/>
  <c r="K20" i="257"/>
  <c r="K21" i="257"/>
  <c r="K22" i="257"/>
  <c r="K23" i="257"/>
  <c r="K24" i="257"/>
  <c r="K25" i="257"/>
  <c r="S41" i="172"/>
  <c r="W41" i="172"/>
  <c r="O41" i="172"/>
  <c r="T41" i="172"/>
  <c r="P41" i="172"/>
  <c r="U41" i="172"/>
  <c r="Q41" i="172"/>
  <c r="V41" i="172"/>
  <c r="N51" i="6"/>
  <c r="N11" i="250"/>
  <c r="N15" i="250"/>
  <c r="N19" i="250"/>
  <c r="N23" i="250"/>
  <c r="N10" i="250"/>
  <c r="N14" i="250"/>
  <c r="N18" i="250"/>
  <c r="N22" i="250"/>
  <c r="N26" i="250"/>
  <c r="N30" i="250"/>
  <c r="N34" i="250"/>
  <c r="N38" i="250"/>
  <c r="N12" i="250"/>
  <c r="N16" i="250"/>
  <c r="N20" i="250"/>
  <c r="N24" i="250"/>
  <c r="N28" i="250"/>
  <c r="N32" i="250"/>
  <c r="N36" i="250"/>
  <c r="Q6" i="250"/>
  <c r="N17" i="250"/>
  <c r="N25" i="250"/>
  <c r="N27" i="250"/>
  <c r="N29" i="250"/>
  <c r="N31" i="250"/>
  <c r="N33" i="250"/>
  <c r="N35" i="250"/>
  <c r="N37" i="250"/>
  <c r="N39" i="250"/>
  <c r="N48" i="250"/>
  <c r="N50" i="250"/>
  <c r="N13" i="250"/>
  <c r="N21" i="250"/>
  <c r="M28" i="6"/>
  <c r="S32" i="172"/>
  <c r="W32" i="172"/>
  <c r="O32" i="172"/>
  <c r="T32" i="172"/>
  <c r="P32" i="172"/>
  <c r="U32" i="172"/>
  <c r="Q32" i="172"/>
  <c r="V32" i="172"/>
  <c r="S23" i="172"/>
  <c r="W23" i="172"/>
  <c r="O23" i="172"/>
  <c r="T23" i="172"/>
  <c r="P23" i="172"/>
  <c r="U23" i="172"/>
  <c r="Q23" i="172"/>
  <c r="V23" i="172"/>
  <c r="S19" i="172"/>
  <c r="W19" i="172"/>
  <c r="O19" i="172"/>
  <c r="T19" i="172"/>
  <c r="P19" i="172"/>
  <c r="U19" i="172"/>
  <c r="Q19" i="172"/>
  <c r="V19" i="172"/>
  <c r="S10" i="256"/>
  <c r="Q20" i="256"/>
  <c r="Q21" i="256"/>
  <c r="Q22" i="256"/>
  <c r="Q23" i="256"/>
  <c r="Q24" i="256"/>
  <c r="Q25" i="256"/>
  <c r="U11" i="244" l="1"/>
  <c r="W11" i="244" s="1"/>
  <c r="F20" i="52"/>
  <c r="C21" i="156"/>
  <c r="F21" i="156" s="1"/>
  <c r="J47" i="236"/>
  <c r="I9" i="243"/>
  <c r="I9" i="270"/>
  <c r="B51" i="236"/>
  <c r="G21" i="156"/>
  <c r="U12" i="272"/>
  <c r="W12" i="272" s="1"/>
  <c r="F27" i="241"/>
  <c r="E23" i="52"/>
  <c r="E26" i="52"/>
  <c r="E30" i="52" s="1"/>
  <c r="I20" i="73"/>
  <c r="M20" i="73" s="1"/>
  <c r="C84" i="156"/>
  <c r="F19" i="52"/>
  <c r="G19" i="52" s="1"/>
  <c r="F33" i="52" s="1"/>
  <c r="F70" i="52" s="1"/>
  <c r="V15" i="272"/>
  <c r="U15" i="272"/>
  <c r="W15" i="272" s="1"/>
  <c r="V15" i="273"/>
  <c r="U15" i="273"/>
  <c r="W15" i="273" s="1"/>
  <c r="U17" i="272"/>
  <c r="W17" i="272" s="1"/>
  <c r="V17" i="272"/>
  <c r="V17" i="273"/>
  <c r="U17" i="273"/>
  <c r="W17" i="273" s="1"/>
  <c r="V13" i="244"/>
  <c r="X13" i="244" s="1"/>
  <c r="Y13" i="244" s="1"/>
  <c r="S15" i="249"/>
  <c r="Y15" i="249"/>
  <c r="S17" i="249"/>
  <c r="Y17" i="249"/>
  <c r="X14" i="244"/>
  <c r="Y14" i="244" s="1"/>
  <c r="X14" i="273"/>
  <c r="Y14" i="273" s="1"/>
  <c r="X11" i="244"/>
  <c r="Y11" i="244" s="1"/>
  <c r="U16" i="244"/>
  <c r="W16" i="244" s="1"/>
  <c r="V16" i="244"/>
  <c r="U18" i="244"/>
  <c r="W18" i="244" s="1"/>
  <c r="V18" i="244"/>
  <c r="U17" i="244"/>
  <c r="W17" i="244" s="1"/>
  <c r="V17" i="244"/>
  <c r="V15" i="244"/>
  <c r="U15" i="244"/>
  <c r="W15" i="244" s="1"/>
  <c r="X11" i="273"/>
  <c r="Y11" i="273" s="1"/>
  <c r="X16" i="273"/>
  <c r="Y16" i="273" s="1"/>
  <c r="X18" i="273"/>
  <c r="Y18" i="273" s="1"/>
  <c r="V16" i="12"/>
  <c r="U16" i="12"/>
  <c r="W16" i="12" s="1"/>
  <c r="U17" i="12"/>
  <c r="W17" i="12" s="1"/>
  <c r="V17" i="12"/>
  <c r="U18" i="12"/>
  <c r="W18" i="12" s="1"/>
  <c r="V18" i="12"/>
  <c r="V15" i="12"/>
  <c r="U15" i="12"/>
  <c r="W15" i="12" s="1"/>
  <c r="V12" i="244"/>
  <c r="X12" i="244" s="1"/>
  <c r="X12" i="273"/>
  <c r="K24" i="273"/>
  <c r="K20" i="273"/>
  <c r="K23" i="273"/>
  <c r="K22" i="273"/>
  <c r="K25" i="273"/>
  <c r="T10" i="273"/>
  <c r="K21" i="273"/>
  <c r="AC10" i="273"/>
  <c r="X13" i="273"/>
  <c r="Y13" i="273" s="1"/>
  <c r="D27" i="272"/>
  <c r="I27" i="272" s="1"/>
  <c r="K27" i="272" s="1"/>
  <c r="D27" i="273"/>
  <c r="I27" i="273" s="1"/>
  <c r="K27" i="273" s="1"/>
  <c r="F26" i="52"/>
  <c r="K25" i="272"/>
  <c r="K21" i="272"/>
  <c r="K24" i="272"/>
  <c r="K20" i="272"/>
  <c r="K23" i="272"/>
  <c r="K22" i="272"/>
  <c r="AC10" i="272"/>
  <c r="O6" i="249"/>
  <c r="O27" i="249" s="1"/>
  <c r="O6" i="272"/>
  <c r="E41" i="64"/>
  <c r="F41" i="64" s="1"/>
  <c r="G41" i="64" s="1"/>
  <c r="H41" i="64" s="1"/>
  <c r="N9" i="64"/>
  <c r="M19" i="64" s="1"/>
  <c r="I61" i="73"/>
  <c r="I63" i="73"/>
  <c r="G20" i="52"/>
  <c r="G23" i="52" s="1"/>
  <c r="F27" i="52"/>
  <c r="H21" i="52"/>
  <c r="D35" i="52" s="1"/>
  <c r="G28" i="52"/>
  <c r="D83" i="52"/>
  <c r="D80" i="52"/>
  <c r="D84" i="52"/>
  <c r="D82" i="52"/>
  <c r="B3" i="242"/>
  <c r="E84" i="52"/>
  <c r="E83" i="52"/>
  <c r="D9" i="4"/>
  <c r="D17" i="271" s="1"/>
  <c r="D27" i="244"/>
  <c r="D27" i="249"/>
  <c r="I27" i="249" s="1"/>
  <c r="K27" i="249" s="1"/>
  <c r="E81" i="52"/>
  <c r="E82" i="52"/>
  <c r="G26" i="52"/>
  <c r="G33" i="52"/>
  <c r="G70" i="52" s="1"/>
  <c r="E33" i="52"/>
  <c r="D33" i="52"/>
  <c r="F8" i="11"/>
  <c r="F54" i="11" s="1"/>
  <c r="K188" i="73"/>
  <c r="J37" i="52"/>
  <c r="J74" i="52" s="1"/>
  <c r="V11" i="12"/>
  <c r="X11" i="12" s="1"/>
  <c r="Y11" i="12" s="1"/>
  <c r="F16" i="243"/>
  <c r="E76" i="241"/>
  <c r="J37" i="241"/>
  <c r="J74" i="241" s="1"/>
  <c r="D83" i="241"/>
  <c r="D81" i="241"/>
  <c r="D80" i="241"/>
  <c r="D84" i="241"/>
  <c r="F21" i="241"/>
  <c r="E28" i="241"/>
  <c r="E30" i="241" s="1"/>
  <c r="I20" i="241"/>
  <c r="F34" i="241" s="1"/>
  <c r="F71" i="241" s="1"/>
  <c r="H27" i="241"/>
  <c r="E23" i="241"/>
  <c r="F26" i="241"/>
  <c r="G19" i="241"/>
  <c r="G33" i="241" s="1"/>
  <c r="G70" i="241" s="1"/>
  <c r="V13" i="12"/>
  <c r="X13" i="12" s="1"/>
  <c r="Y13" i="12" s="1"/>
  <c r="I44" i="41"/>
  <c r="H25" i="39" s="1"/>
  <c r="I41" i="41"/>
  <c r="I46" i="41"/>
  <c r="I45" i="41"/>
  <c r="I43" i="41"/>
  <c r="I42" i="41"/>
  <c r="G143" i="126"/>
  <c r="E143" i="126"/>
  <c r="E142" i="126" s="1"/>
  <c r="F143" i="126"/>
  <c r="F142" i="126" s="1"/>
  <c r="E24" i="14"/>
  <c r="E27" i="14" s="1"/>
  <c r="E16" i="243" s="1"/>
  <c r="V42" i="41"/>
  <c r="V46" i="41"/>
  <c r="V41" i="41"/>
  <c r="V45" i="41"/>
  <c r="V43" i="41"/>
  <c r="V44" i="41"/>
  <c r="F10" i="39" s="1"/>
  <c r="F9" i="39" s="1"/>
  <c r="H9" i="39" s="1"/>
  <c r="J93" i="6"/>
  <c r="J94" i="6" s="1"/>
  <c r="K9" i="6"/>
  <c r="I78" i="52"/>
  <c r="I88" i="52"/>
  <c r="I102" i="52" s="1"/>
  <c r="I110" i="52" s="1"/>
  <c r="J15" i="52"/>
  <c r="I66" i="52"/>
  <c r="I50" i="52"/>
  <c r="D56" i="52"/>
  <c r="D61" i="52" s="1"/>
  <c r="V12" i="12"/>
  <c r="X12" i="12" s="1"/>
  <c r="Y12" i="12" s="1"/>
  <c r="U14" i="12"/>
  <c r="W14" i="12" s="1"/>
  <c r="X14" i="12" s="1"/>
  <c r="Y14" i="12" s="1"/>
  <c r="O23" i="12"/>
  <c r="O20" i="12"/>
  <c r="O24" i="12"/>
  <c r="O22" i="12"/>
  <c r="O21" i="12"/>
  <c r="O25" i="12"/>
  <c r="O19" i="6"/>
  <c r="O20" i="6" s="1"/>
  <c r="O30" i="6"/>
  <c r="O51" i="6"/>
  <c r="D96" i="6" s="1" a="1"/>
  <c r="K15" i="133"/>
  <c r="B15" i="133" s="1"/>
  <c r="G15" i="133" s="1"/>
  <c r="B3" i="66" s="1"/>
  <c r="J18" i="133"/>
  <c r="L65" i="133"/>
  <c r="B64" i="133"/>
  <c r="Z45" i="47"/>
  <c r="N13" i="48" s="1"/>
  <c r="Z46" i="47"/>
  <c r="N14" i="48" s="1"/>
  <c r="Z43" i="47"/>
  <c r="N11" i="48" s="1"/>
  <c r="Z47" i="47"/>
  <c r="N15" i="48" s="1"/>
  <c r="Z44" i="47"/>
  <c r="N12" i="48" s="1"/>
  <c r="Z48" i="47"/>
  <c r="N16" i="48" s="1"/>
  <c r="Y46" i="47"/>
  <c r="L14" i="48" s="1"/>
  <c r="Y43" i="47"/>
  <c r="L11" i="48" s="1"/>
  <c r="Y47" i="47"/>
  <c r="L15" i="48" s="1"/>
  <c r="Y44" i="47"/>
  <c r="L12" i="48" s="1"/>
  <c r="Y48" i="47"/>
  <c r="L16" i="48" s="1"/>
  <c r="Y45" i="47"/>
  <c r="L13" i="48" s="1"/>
  <c r="S43" i="47"/>
  <c r="S47" i="47"/>
  <c r="S44" i="47"/>
  <c r="S48" i="47"/>
  <c r="S45" i="47"/>
  <c r="S46" i="47"/>
  <c r="S12" i="172"/>
  <c r="W12" i="172"/>
  <c r="C44" i="172"/>
  <c r="C48" i="172"/>
  <c r="O12" i="172"/>
  <c r="T12" i="172"/>
  <c r="C45" i="172"/>
  <c r="P12" i="172"/>
  <c r="U12" i="172"/>
  <c r="C46" i="172"/>
  <c r="Q12" i="172"/>
  <c r="V12" i="172"/>
  <c r="C43" i="172"/>
  <c r="C47" i="172"/>
  <c r="N6" i="251"/>
  <c r="F52" i="126"/>
  <c r="F46" i="126"/>
  <c r="F51" i="126"/>
  <c r="F27" i="126"/>
  <c r="G27" i="126" s="1"/>
  <c r="F45" i="126"/>
  <c r="D56" i="241"/>
  <c r="D122" i="241" s="1"/>
  <c r="D120" i="241"/>
  <c r="M10" i="229"/>
  <c r="V10" i="12"/>
  <c r="U10" i="12"/>
  <c r="T20" i="12"/>
  <c r="T21" i="12"/>
  <c r="T22" i="12"/>
  <c r="T23" i="12"/>
  <c r="T24" i="12"/>
  <c r="T25" i="12"/>
  <c r="N41" i="250"/>
  <c r="N43" i="250"/>
  <c r="N42" i="250"/>
  <c r="N44" i="250"/>
  <c r="N45" i="250"/>
  <c r="N46" i="250"/>
  <c r="V45" i="47"/>
  <c r="D13" i="48" s="1"/>
  <c r="V46" i="47"/>
  <c r="D14" i="48" s="1"/>
  <c r="V43" i="47"/>
  <c r="D11" i="48" s="1"/>
  <c r="V47" i="47"/>
  <c r="D15" i="48" s="1"/>
  <c r="V44" i="47"/>
  <c r="D12" i="48" s="1"/>
  <c r="V48" i="47"/>
  <c r="D16" i="48" s="1"/>
  <c r="T46" i="47"/>
  <c r="H14" i="48" s="1"/>
  <c r="T43" i="47"/>
  <c r="H11" i="48" s="1"/>
  <c r="T47" i="47"/>
  <c r="H15" i="48" s="1"/>
  <c r="T44" i="47"/>
  <c r="H12" i="48" s="1"/>
  <c r="T48" i="47"/>
  <c r="H16" i="48" s="1"/>
  <c r="T45" i="47"/>
  <c r="H13" i="48" s="1"/>
  <c r="S14" i="249"/>
  <c r="S12" i="249"/>
  <c r="Q13" i="250"/>
  <c r="Q17" i="250"/>
  <c r="Q21" i="250"/>
  <c r="Q25" i="250"/>
  <c r="Q12" i="250"/>
  <c r="Q16" i="250"/>
  <c r="Q20" i="250"/>
  <c r="Q24" i="250"/>
  <c r="Q28" i="250"/>
  <c r="Q32" i="250"/>
  <c r="Q36" i="250"/>
  <c r="Q10" i="250"/>
  <c r="Q14" i="250"/>
  <c r="Q18" i="250"/>
  <c r="Q22" i="250"/>
  <c r="Q26" i="250"/>
  <c r="Q30" i="250"/>
  <c r="Q34" i="250"/>
  <c r="Q38" i="250"/>
  <c r="Q15" i="250"/>
  <c r="Q23" i="250"/>
  <c r="Q27" i="250"/>
  <c r="Q29" i="250"/>
  <c r="Q31" i="250"/>
  <c r="Q33" i="250"/>
  <c r="Q35" i="250"/>
  <c r="Q37" i="250"/>
  <c r="Q39" i="250"/>
  <c r="Q11" i="250"/>
  <c r="Q19" i="250"/>
  <c r="V10" i="244"/>
  <c r="U10" i="244"/>
  <c r="T24" i="244"/>
  <c r="T21" i="244"/>
  <c r="T23" i="244"/>
  <c r="T20" i="244"/>
  <c r="T22" i="244"/>
  <c r="T25" i="244"/>
  <c r="T18" i="256"/>
  <c r="W44" i="47"/>
  <c r="F12" i="48" s="1"/>
  <c r="W48" i="47"/>
  <c r="F16" i="48" s="1"/>
  <c r="W45" i="47"/>
  <c r="F13" i="48" s="1"/>
  <c r="W46" i="47"/>
  <c r="F14" i="48" s="1"/>
  <c r="W43" i="47"/>
  <c r="F11" i="48" s="1"/>
  <c r="W47" i="47"/>
  <c r="F15" i="48" s="1"/>
  <c r="S13" i="249"/>
  <c r="S10" i="249"/>
  <c r="Q20" i="249"/>
  <c r="Q21" i="249"/>
  <c r="Q22" i="249"/>
  <c r="Q23" i="249"/>
  <c r="Q24" i="249"/>
  <c r="Q25" i="249"/>
  <c r="S11" i="249"/>
  <c r="S20" i="256"/>
  <c r="S21" i="256"/>
  <c r="S22" i="256"/>
  <c r="S23" i="256"/>
  <c r="S24" i="256"/>
  <c r="S25" i="256"/>
  <c r="N28" i="6"/>
  <c r="B16" i="232"/>
  <c r="G63" i="133"/>
  <c r="X43" i="47"/>
  <c r="J11" i="48" s="1"/>
  <c r="X47" i="47"/>
  <c r="J15" i="48" s="1"/>
  <c r="X44" i="47"/>
  <c r="J12" i="48" s="1"/>
  <c r="X48" i="47"/>
  <c r="J16" i="48" s="1"/>
  <c r="X45" i="47"/>
  <c r="J13" i="48" s="1"/>
  <c r="X46" i="47"/>
  <c r="J14" i="48" s="1"/>
  <c r="R44" i="47"/>
  <c r="R48" i="47"/>
  <c r="R45" i="47"/>
  <c r="R46" i="47"/>
  <c r="R43" i="47"/>
  <c r="R47" i="47"/>
  <c r="D10" i="11"/>
  <c r="D54" i="11" s="1"/>
  <c r="D59" i="11" s="1"/>
  <c r="D61" i="11" s="1"/>
  <c r="D63" i="11" s="1"/>
  <c r="K67" i="133"/>
  <c r="O14" i="249"/>
  <c r="O12" i="249"/>
  <c r="C30" i="229"/>
  <c r="F29" i="229"/>
  <c r="J50" i="241"/>
  <c r="J66" i="241"/>
  <c r="J88" i="241"/>
  <c r="C15" i="156" l="1"/>
  <c r="K20" i="73"/>
  <c r="X17" i="273"/>
  <c r="X15" i="273"/>
  <c r="F23" i="52"/>
  <c r="C83" i="156"/>
  <c r="F84" i="156"/>
  <c r="G84" i="156"/>
  <c r="F30" i="52"/>
  <c r="O13" i="249"/>
  <c r="T13" i="249" s="1"/>
  <c r="O10" i="249"/>
  <c r="O29" i="249"/>
  <c r="O11" i="249"/>
  <c r="T11" i="249" s="1"/>
  <c r="O16" i="249"/>
  <c r="T16" i="249" s="1"/>
  <c r="V16" i="249" s="1"/>
  <c r="O15" i="249"/>
  <c r="O18" i="249"/>
  <c r="T18" i="249" s="1"/>
  <c r="U18" i="249" s="1"/>
  <c r="W18" i="249" s="1"/>
  <c r="O17" i="249"/>
  <c r="T17" i="249"/>
  <c r="T15" i="249"/>
  <c r="X15" i="12"/>
  <c r="X17" i="244"/>
  <c r="X16" i="244"/>
  <c r="Y16" i="244" s="1"/>
  <c r="X15" i="244"/>
  <c r="X18" i="12"/>
  <c r="Y18" i="12" s="1"/>
  <c r="X18" i="244"/>
  <c r="Y18" i="244" s="1"/>
  <c r="D28" i="229" a="1"/>
  <c r="O18" i="272"/>
  <c r="T18" i="272" s="1"/>
  <c r="O17" i="272"/>
  <c r="X17" i="272" s="1"/>
  <c r="O16" i="272"/>
  <c r="T16" i="272" s="1"/>
  <c r="O15" i="272"/>
  <c r="X15" i="272" s="1"/>
  <c r="X17" i="12"/>
  <c r="X16" i="12"/>
  <c r="Y16" i="12" s="1"/>
  <c r="U10" i="273"/>
  <c r="T20" i="273"/>
  <c r="T22" i="273"/>
  <c r="V10" i="273"/>
  <c r="T25" i="273"/>
  <c r="T21" i="273"/>
  <c r="T24" i="273"/>
  <c r="T23" i="273"/>
  <c r="H26" i="39"/>
  <c r="H29" i="39" s="1"/>
  <c r="H34" i="39" s="1"/>
  <c r="D10" i="39" s="1"/>
  <c r="H10" i="39" s="1"/>
  <c r="H12" i="39" s="1"/>
  <c r="H14" i="39" s="1"/>
  <c r="O27" i="272"/>
  <c r="O13" i="272"/>
  <c r="T13" i="272" s="1"/>
  <c r="O11" i="272"/>
  <c r="T11" i="272" s="1"/>
  <c r="O12" i="272"/>
  <c r="X12" i="272" s="1"/>
  <c r="O14" i="272"/>
  <c r="T14" i="272" s="1"/>
  <c r="O10" i="272"/>
  <c r="T10" i="272" s="1"/>
  <c r="U10" i="272" s="1"/>
  <c r="W10" i="272" s="1"/>
  <c r="O29" i="272"/>
  <c r="E32" i="243"/>
  <c r="E35" i="243" s="1"/>
  <c r="E36" i="243" s="1"/>
  <c r="E38" i="243" s="1"/>
  <c r="E22" i="243"/>
  <c r="E23" i="243"/>
  <c r="D41" i="52" a="1"/>
  <c r="D41" i="241" a="1"/>
  <c r="I65" i="73"/>
  <c r="E86" i="52"/>
  <c r="D86" i="52"/>
  <c r="I27" i="244"/>
  <c r="K27" i="244" s="1"/>
  <c r="H20" i="52"/>
  <c r="G27" i="52"/>
  <c r="G30" i="52" s="1"/>
  <c r="G35" i="52"/>
  <c r="G72" i="52" s="1"/>
  <c r="H35" i="52"/>
  <c r="H72" i="52" s="1"/>
  <c r="H28" i="52"/>
  <c r="F35" i="52"/>
  <c r="F72" i="52" s="1"/>
  <c r="E35" i="52"/>
  <c r="F32" i="243"/>
  <c r="F22" i="243"/>
  <c r="F23" i="243"/>
  <c r="E65" i="73"/>
  <c r="E67" i="73" s="1"/>
  <c r="O6" i="250"/>
  <c r="O12" i="250" s="1"/>
  <c r="D86" i="241"/>
  <c r="E84" i="241"/>
  <c r="E83" i="241"/>
  <c r="E81" i="241"/>
  <c r="E80" i="241"/>
  <c r="E82" i="241"/>
  <c r="H34" i="241"/>
  <c r="H71" i="241" s="1"/>
  <c r="F23" i="241"/>
  <c r="D33" i="241"/>
  <c r="E33" i="241"/>
  <c r="I34" i="241"/>
  <c r="I71" i="241" s="1"/>
  <c r="D34" i="241"/>
  <c r="F33" i="241"/>
  <c r="F70" i="241" s="1"/>
  <c r="E34" i="241"/>
  <c r="G34" i="241"/>
  <c r="G71" i="241" s="1"/>
  <c r="G26" i="241"/>
  <c r="I27" i="241"/>
  <c r="I30" i="241" s="1"/>
  <c r="I23" i="241"/>
  <c r="F28" i="241"/>
  <c r="F30" i="241" s="1"/>
  <c r="G21" i="241"/>
  <c r="G142" i="126"/>
  <c r="O6" i="256"/>
  <c r="K93" i="6"/>
  <c r="K94" i="6" s="1"/>
  <c r="L9" i="6"/>
  <c r="D61" i="241"/>
  <c r="J78" i="52"/>
  <c r="J50" i="52"/>
  <c r="J88" i="52"/>
  <c r="J66" i="52"/>
  <c r="D96" i="6"/>
  <c r="D97" i="6"/>
  <c r="D98" i="6"/>
  <c r="D99" i="6"/>
  <c r="D100" i="6"/>
  <c r="D101" i="6"/>
  <c r="D102" i="6"/>
  <c r="D103" i="6"/>
  <c r="D104" i="6"/>
  <c r="D105" i="6"/>
  <c r="D32" i="126"/>
  <c r="D33" i="126"/>
  <c r="F33" i="126" s="1"/>
  <c r="F57" i="126" s="1"/>
  <c r="L47" i="126" s="1"/>
  <c r="N6" i="257"/>
  <c r="D14" i="11"/>
  <c r="I6" i="275" s="1"/>
  <c r="D32" i="275" s="1"/>
  <c r="S20" i="249"/>
  <c r="S21" i="249"/>
  <c r="S22" i="249"/>
  <c r="S23" i="249"/>
  <c r="S24" i="249"/>
  <c r="S25" i="249"/>
  <c r="T10" i="249"/>
  <c r="V20" i="244"/>
  <c r="V21" i="244"/>
  <c r="V22" i="244"/>
  <c r="V23" i="244"/>
  <c r="V24" i="244"/>
  <c r="V25" i="244"/>
  <c r="S37" i="250"/>
  <c r="Y37" i="250"/>
  <c r="S29" i="250"/>
  <c r="Y29" i="250"/>
  <c r="S38" i="250"/>
  <c r="Y38" i="250"/>
  <c r="S22" i="250"/>
  <c r="Y22" i="250"/>
  <c r="S36" i="250"/>
  <c r="Y36" i="250"/>
  <c r="S20" i="250"/>
  <c r="S21" i="250"/>
  <c r="Y21" i="250"/>
  <c r="U20" i="12"/>
  <c r="U21" i="12"/>
  <c r="U22" i="12"/>
  <c r="U23" i="12"/>
  <c r="U24" i="12"/>
  <c r="U25" i="12"/>
  <c r="W10" i="12"/>
  <c r="X10" i="12" s="1"/>
  <c r="Q45" i="172"/>
  <c r="H21" i="48" s="1"/>
  <c r="Q46" i="172"/>
  <c r="H22" i="48" s="1"/>
  <c r="Q43" i="172"/>
  <c r="H19" i="48" s="1"/>
  <c r="Q47" i="172"/>
  <c r="H23" i="48" s="1"/>
  <c r="Q44" i="172"/>
  <c r="H20" i="48" s="1"/>
  <c r="Q48" i="172"/>
  <c r="H24" i="48" s="1"/>
  <c r="J19" i="133"/>
  <c r="K18" i="133"/>
  <c r="B18" i="133" s="1"/>
  <c r="G18" i="133" s="1"/>
  <c r="B3" i="274" s="1"/>
  <c r="O28" i="6"/>
  <c r="C31" i="229"/>
  <c r="F30" i="229"/>
  <c r="G30" i="229"/>
  <c r="E93" i="73"/>
  <c r="O16" i="250"/>
  <c r="S19" i="250"/>
  <c r="Y19" i="250"/>
  <c r="S35" i="250"/>
  <c r="Y35" i="250"/>
  <c r="S27" i="250"/>
  <c r="S34" i="250"/>
  <c r="S18" i="250"/>
  <c r="S32" i="250"/>
  <c r="S16" i="250"/>
  <c r="S17" i="250"/>
  <c r="V20" i="12"/>
  <c r="V21" i="12"/>
  <c r="V22" i="12"/>
  <c r="V23" i="12"/>
  <c r="V24" i="12"/>
  <c r="V25" i="12"/>
  <c r="L12" i="126"/>
  <c r="T43" i="172"/>
  <c r="F19" i="48" s="1"/>
  <c r="T47" i="172"/>
  <c r="F23" i="48" s="1"/>
  <c r="T44" i="172"/>
  <c r="F20" i="48" s="1"/>
  <c r="T48" i="172"/>
  <c r="F24" i="48" s="1"/>
  <c r="T45" i="172"/>
  <c r="F21" i="48" s="1"/>
  <c r="T46" i="172"/>
  <c r="F22" i="48" s="1"/>
  <c r="W44" i="172"/>
  <c r="N20" i="48" s="1"/>
  <c r="W48" i="172"/>
  <c r="N24" i="48" s="1"/>
  <c r="W45" i="172"/>
  <c r="N21" i="48" s="1"/>
  <c r="W46" i="172"/>
  <c r="N22" i="48" s="1"/>
  <c r="W43" i="172"/>
  <c r="N19" i="48" s="1"/>
  <c r="W47" i="172"/>
  <c r="N23" i="48" s="1"/>
  <c r="K68" i="133"/>
  <c r="S11" i="250"/>
  <c r="S33" i="250"/>
  <c r="S23" i="250"/>
  <c r="S30" i="250"/>
  <c r="S14" i="250"/>
  <c r="S28" i="250"/>
  <c r="Y28" i="250"/>
  <c r="S12" i="250"/>
  <c r="S13" i="250"/>
  <c r="D28" i="229"/>
  <c r="D29" i="229"/>
  <c r="D33" i="229"/>
  <c r="D37" i="229"/>
  <c r="D30" i="229"/>
  <c r="H30" i="229" s="1"/>
  <c r="D34" i="229"/>
  <c r="D31" i="229"/>
  <c r="D35" i="229"/>
  <c r="D32" i="229"/>
  <c r="D36" i="229"/>
  <c r="U46" i="172"/>
  <c r="J22" i="48" s="1"/>
  <c r="U43" i="172"/>
  <c r="J19" i="48" s="1"/>
  <c r="U47" i="172"/>
  <c r="J23" i="48" s="1"/>
  <c r="U44" i="172"/>
  <c r="J20" i="48" s="1"/>
  <c r="U48" i="172"/>
  <c r="J24" i="48" s="1"/>
  <c r="U45" i="172"/>
  <c r="J21" i="48" s="1"/>
  <c r="O43" i="172"/>
  <c r="O47" i="172"/>
  <c r="O44" i="172"/>
  <c r="O48" i="172"/>
  <c r="O45" i="172"/>
  <c r="O46" i="172"/>
  <c r="S44" i="172"/>
  <c r="D20" i="48" s="1"/>
  <c r="S48" i="172"/>
  <c r="D24" i="48" s="1"/>
  <c r="S45" i="172"/>
  <c r="D21" i="48" s="1"/>
  <c r="S46" i="172"/>
  <c r="D22" i="48" s="1"/>
  <c r="S43" i="172"/>
  <c r="D19" i="48" s="1"/>
  <c r="S47" i="172"/>
  <c r="D23" i="48" s="1"/>
  <c r="B17" i="232"/>
  <c r="G64" i="133"/>
  <c r="V18" i="256"/>
  <c r="U18" i="256"/>
  <c r="W18" i="256" s="1"/>
  <c r="W10" i="244"/>
  <c r="X10" i="244" s="1"/>
  <c r="Y10" i="244" s="1"/>
  <c r="U20" i="244"/>
  <c r="U22" i="244"/>
  <c r="U25" i="244"/>
  <c r="U24" i="244"/>
  <c r="U21" i="244"/>
  <c r="U23" i="244"/>
  <c r="S39" i="250"/>
  <c r="Y39" i="250"/>
  <c r="S31" i="250"/>
  <c r="S15" i="250"/>
  <c r="S26" i="250"/>
  <c r="S10" i="250"/>
  <c r="Q41" i="250"/>
  <c r="Q43" i="250"/>
  <c r="Q44" i="250"/>
  <c r="Q45" i="250"/>
  <c r="Q46" i="250"/>
  <c r="Q42" i="250"/>
  <c r="S24" i="250"/>
  <c r="Y24" i="250"/>
  <c r="S25" i="250"/>
  <c r="T12" i="249"/>
  <c r="T14" i="249"/>
  <c r="N10" i="229"/>
  <c r="N12" i="251"/>
  <c r="N16" i="251"/>
  <c r="N11" i="251"/>
  <c r="N15" i="251"/>
  <c r="N19" i="251"/>
  <c r="N10" i="251"/>
  <c r="N14" i="251"/>
  <c r="N18" i="251"/>
  <c r="Q6" i="251"/>
  <c r="N13" i="251"/>
  <c r="N17" i="251"/>
  <c r="N21" i="251"/>
  <c r="N25" i="251"/>
  <c r="N29" i="251"/>
  <c r="N33" i="251"/>
  <c r="N37" i="251"/>
  <c r="N20" i="251"/>
  <c r="N24" i="251"/>
  <c r="N28" i="251"/>
  <c r="N32" i="251"/>
  <c r="N36" i="251"/>
  <c r="N23" i="251"/>
  <c r="N27" i="251"/>
  <c r="N31" i="251"/>
  <c r="N35" i="251"/>
  <c r="N39" i="251"/>
  <c r="N22" i="251"/>
  <c r="N26" i="251"/>
  <c r="N30" i="251"/>
  <c r="N34" i="251"/>
  <c r="N38" i="251"/>
  <c r="N48" i="251"/>
  <c r="N50" i="251"/>
  <c r="V45" i="172"/>
  <c r="L21" i="48" s="1"/>
  <c r="V46" i="172"/>
  <c r="L22" i="48" s="1"/>
  <c r="V43" i="172"/>
  <c r="L19" i="48" s="1"/>
  <c r="V47" i="172"/>
  <c r="L23" i="48" s="1"/>
  <c r="V44" i="172"/>
  <c r="L20" i="48" s="1"/>
  <c r="V48" i="172"/>
  <c r="L24" i="48" s="1"/>
  <c r="P46" i="172"/>
  <c r="P43" i="172"/>
  <c r="P47" i="172"/>
  <c r="P44" i="172"/>
  <c r="P48" i="172"/>
  <c r="P45" i="172"/>
  <c r="L66" i="133"/>
  <c r="B65" i="133"/>
  <c r="O33" i="250" l="1"/>
  <c r="O22" i="249"/>
  <c r="V18" i="249"/>
  <c r="U16" i="249"/>
  <c r="W16" i="249" s="1"/>
  <c r="X16" i="249" s="1"/>
  <c r="Y16" i="249" s="1"/>
  <c r="F83" i="156"/>
  <c r="G83" i="156"/>
  <c r="D33" i="275"/>
  <c r="E33" i="275" s="1"/>
  <c r="D30" i="275"/>
  <c r="E30" i="275" s="1"/>
  <c r="D31" i="275"/>
  <c r="E31" i="275" s="1"/>
  <c r="O23" i="249"/>
  <c r="O25" i="249"/>
  <c r="O24" i="249"/>
  <c r="O20" i="249"/>
  <c r="O21" i="249"/>
  <c r="V15" i="249"/>
  <c r="U15" i="249"/>
  <c r="W15" i="249" s="1"/>
  <c r="V17" i="249"/>
  <c r="U17" i="249"/>
  <c r="W17" i="249" s="1"/>
  <c r="X18" i="249"/>
  <c r="Y18" i="249" s="1"/>
  <c r="E25" i="243"/>
  <c r="Y24" i="244"/>
  <c r="N17" i="257"/>
  <c r="N16" i="257"/>
  <c r="N18" i="257"/>
  <c r="N15" i="257"/>
  <c r="U16" i="272"/>
  <c r="W16" i="272" s="1"/>
  <c r="V16" i="272"/>
  <c r="U18" i="272"/>
  <c r="W18" i="272" s="1"/>
  <c r="V18" i="272"/>
  <c r="V10" i="272"/>
  <c r="X10" i="272" s="1"/>
  <c r="Y10" i="272" s="1"/>
  <c r="O38" i="250"/>
  <c r="O39" i="250"/>
  <c r="O34" i="250"/>
  <c r="O31" i="250"/>
  <c r="V14" i="272"/>
  <c r="U14" i="272"/>
  <c r="W14" i="272" s="1"/>
  <c r="U24" i="273"/>
  <c r="U21" i="273"/>
  <c r="U22" i="273"/>
  <c r="U23" i="273"/>
  <c r="U20" i="273"/>
  <c r="W10" i="273"/>
  <c r="X10" i="273" s="1"/>
  <c r="U25" i="273"/>
  <c r="O10" i="250"/>
  <c r="O24" i="250"/>
  <c r="V25" i="273"/>
  <c r="V21" i="273"/>
  <c r="V24" i="273"/>
  <c r="V20" i="273"/>
  <c r="V22" i="273"/>
  <c r="V23" i="273"/>
  <c r="O50" i="250"/>
  <c r="O30" i="250"/>
  <c r="O25" i="250"/>
  <c r="O23" i="250"/>
  <c r="O22" i="250"/>
  <c r="O26" i="250"/>
  <c r="O17" i="250"/>
  <c r="O15" i="250"/>
  <c r="O24" i="272"/>
  <c r="O25" i="272"/>
  <c r="O22" i="272"/>
  <c r="O20" i="272"/>
  <c r="O21" i="272"/>
  <c r="U11" i="272"/>
  <c r="V11" i="272"/>
  <c r="T21" i="272"/>
  <c r="T23" i="272"/>
  <c r="T20" i="272"/>
  <c r="T24" i="272"/>
  <c r="T22" i="272"/>
  <c r="T25" i="272"/>
  <c r="O23" i="272"/>
  <c r="U13" i="272"/>
  <c r="W13" i="272" s="1"/>
  <c r="V13" i="272"/>
  <c r="I41" i="241"/>
  <c r="I36" i="241" s="1"/>
  <c r="I73" i="241" s="1"/>
  <c r="D41" i="241"/>
  <c r="D36" i="241" s="1"/>
  <c r="D45" i="241" s="1"/>
  <c r="J41" i="241"/>
  <c r="J36" i="241" s="1"/>
  <c r="J73" i="241" s="1"/>
  <c r="E41" i="241"/>
  <c r="E36" i="241" s="1"/>
  <c r="E45" i="241" s="1"/>
  <c r="H41" i="241"/>
  <c r="H36" i="241" s="1"/>
  <c r="H73" i="241" s="1"/>
  <c r="G41" i="241"/>
  <c r="G36" i="241" s="1"/>
  <c r="G73" i="241" s="1"/>
  <c r="F41" i="241"/>
  <c r="F36" i="241" s="1"/>
  <c r="F73" i="241" s="1"/>
  <c r="I41" i="52"/>
  <c r="I36" i="52" s="1"/>
  <c r="H41" i="52"/>
  <c r="H36" i="52" s="1"/>
  <c r="G41" i="52"/>
  <c r="G36" i="52" s="1"/>
  <c r="D41" i="52"/>
  <c r="D36" i="52" s="1"/>
  <c r="D45" i="52" s="1"/>
  <c r="J41" i="52"/>
  <c r="E41" i="52"/>
  <c r="E36" i="52" s="1"/>
  <c r="E45" i="52" s="1"/>
  <c r="F41" i="52"/>
  <c r="F36" i="52" s="1"/>
  <c r="T27" i="272"/>
  <c r="H27" i="52"/>
  <c r="H30" i="52" s="1"/>
  <c r="I20" i="52"/>
  <c r="G34" i="52" s="1"/>
  <c r="G71" i="52" s="1"/>
  <c r="H23" i="52"/>
  <c r="E76" i="73"/>
  <c r="F35" i="243"/>
  <c r="F36" i="243" s="1"/>
  <c r="F38" i="243" s="1"/>
  <c r="F25" i="243"/>
  <c r="Y22" i="244"/>
  <c r="Y21" i="244"/>
  <c r="O48" i="250"/>
  <c r="O36" i="250"/>
  <c r="O28" i="250"/>
  <c r="O37" i="250"/>
  <c r="O21" i="250"/>
  <c r="O35" i="250"/>
  <c r="O19" i="250"/>
  <c r="O20" i="250"/>
  <c r="O14" i="250"/>
  <c r="O32" i="250"/>
  <c r="O18" i="250"/>
  <c r="O29" i="250"/>
  <c r="O13" i="250"/>
  <c r="O27" i="250"/>
  <c r="O11" i="250"/>
  <c r="Y25" i="244"/>
  <c r="Y23" i="244"/>
  <c r="AB22" i="244" s="1"/>
  <c r="Y20" i="244"/>
  <c r="E86" i="241"/>
  <c r="G23" i="241"/>
  <c r="G28" i="241"/>
  <c r="G30" i="241" s="1"/>
  <c r="H21" i="241"/>
  <c r="H35" i="241" s="1"/>
  <c r="H72" i="241" s="1"/>
  <c r="X22" i="244"/>
  <c r="X25" i="244"/>
  <c r="X23" i="244"/>
  <c r="X20" i="244"/>
  <c r="X24" i="244"/>
  <c r="X21" i="244"/>
  <c r="O15" i="256"/>
  <c r="T15" i="256" s="1"/>
  <c r="O14" i="256"/>
  <c r="T14" i="256" s="1"/>
  <c r="O12" i="256"/>
  <c r="T12" i="256" s="1"/>
  <c r="O18" i="256"/>
  <c r="O27" i="256"/>
  <c r="O13" i="256"/>
  <c r="O16" i="256"/>
  <c r="T16" i="256" s="1"/>
  <c r="O29" i="256"/>
  <c r="O17" i="256"/>
  <c r="T17" i="256" s="1"/>
  <c r="O11" i="256"/>
  <c r="T11" i="256" s="1"/>
  <c r="O10" i="256"/>
  <c r="M9" i="6"/>
  <c r="L93" i="6"/>
  <c r="L94" i="6" s="1"/>
  <c r="X18" i="256"/>
  <c r="Y18" i="256" s="1"/>
  <c r="B18" i="232"/>
  <c r="G65" i="133"/>
  <c r="L67" i="133"/>
  <c r="B66" i="133"/>
  <c r="W20" i="244"/>
  <c r="W21" i="244"/>
  <c r="W22" i="244"/>
  <c r="W23" i="244"/>
  <c r="W25" i="244"/>
  <c r="W24" i="244"/>
  <c r="I29" i="229"/>
  <c r="J29" i="229"/>
  <c r="M29" i="229"/>
  <c r="N29" i="229"/>
  <c r="H29" i="229"/>
  <c r="L29" i="229"/>
  <c r="K29" i="229"/>
  <c r="O29" i="229"/>
  <c r="G29" i="229"/>
  <c r="P29" i="229"/>
  <c r="X20" i="12"/>
  <c r="X21" i="12"/>
  <c r="X22" i="12"/>
  <c r="X23" i="12"/>
  <c r="X24" i="12"/>
  <c r="X25" i="12"/>
  <c r="Y10" i="12"/>
  <c r="O30" i="229"/>
  <c r="J30" i="229"/>
  <c r="I30" i="229"/>
  <c r="U13" i="249"/>
  <c r="W13" i="249" s="1"/>
  <c r="V13" i="249"/>
  <c r="I6" i="14"/>
  <c r="D30" i="11"/>
  <c r="D41" i="11" s="1"/>
  <c r="D19" i="11"/>
  <c r="D20" i="11" s="1"/>
  <c r="O10" i="229"/>
  <c r="U14" i="249"/>
  <c r="W14" i="249" s="1"/>
  <c r="V14" i="249"/>
  <c r="T24" i="250"/>
  <c r="S41" i="250"/>
  <c r="S42" i="250"/>
  <c r="S43" i="250"/>
  <c r="S44" i="250"/>
  <c r="S45" i="250"/>
  <c r="S46" i="250"/>
  <c r="T10" i="250"/>
  <c r="T15" i="250"/>
  <c r="T39" i="250"/>
  <c r="N28" i="229"/>
  <c r="K28" i="229"/>
  <c r="G28" i="229"/>
  <c r="J28" i="229"/>
  <c r="P28" i="229"/>
  <c r="I28" i="229"/>
  <c r="L28" i="229"/>
  <c r="O28" i="229"/>
  <c r="M28" i="229"/>
  <c r="H28" i="229"/>
  <c r="F28" i="229"/>
  <c r="T12" i="250"/>
  <c r="T14" i="250"/>
  <c r="X23" i="250"/>
  <c r="T23" i="250"/>
  <c r="T11" i="250"/>
  <c r="K69" i="133"/>
  <c r="K70" i="133" s="1"/>
  <c r="X16" i="250"/>
  <c r="T16" i="250"/>
  <c r="T18" i="250"/>
  <c r="T27" i="250"/>
  <c r="T19" i="250"/>
  <c r="X19" i="250"/>
  <c r="K30" i="229"/>
  <c r="P30" i="229"/>
  <c r="T21" i="250"/>
  <c r="T36" i="250"/>
  <c r="T38" i="250"/>
  <c r="T37" i="250"/>
  <c r="N11" i="257"/>
  <c r="N10" i="257"/>
  <c r="N14" i="257"/>
  <c r="N27" i="257"/>
  <c r="N29" i="257"/>
  <c r="Q6" i="257"/>
  <c r="N13" i="257"/>
  <c r="N12" i="257"/>
  <c r="N41" i="251"/>
  <c r="N42" i="251"/>
  <c r="N43" i="251"/>
  <c r="N44" i="251"/>
  <c r="N45" i="251"/>
  <c r="N46" i="251"/>
  <c r="V12" i="249"/>
  <c r="U12" i="249"/>
  <c r="W12" i="249" s="1"/>
  <c r="G31" i="229"/>
  <c r="K31" i="229"/>
  <c r="O31" i="229"/>
  <c r="H31" i="229"/>
  <c r="L31" i="229"/>
  <c r="P31" i="229"/>
  <c r="I31" i="229"/>
  <c r="M31" i="229"/>
  <c r="C32" i="229"/>
  <c r="F31" i="229"/>
  <c r="J31" i="229"/>
  <c r="N31" i="229"/>
  <c r="L30" i="229"/>
  <c r="U10" i="249"/>
  <c r="T20" i="249"/>
  <c r="T21" i="249"/>
  <c r="T22" i="249"/>
  <c r="T23" i="249"/>
  <c r="T24" i="249"/>
  <c r="T25" i="249"/>
  <c r="V10" i="249"/>
  <c r="Q10" i="251"/>
  <c r="Q14" i="251"/>
  <c r="Q18" i="251"/>
  <c r="Q13" i="251"/>
  <c r="Q17" i="251"/>
  <c r="Q12" i="251"/>
  <c r="Q16" i="251"/>
  <c r="Q20" i="251"/>
  <c r="Q11" i="251"/>
  <c r="Q15" i="251"/>
  <c r="Q19" i="251"/>
  <c r="Q23" i="251"/>
  <c r="Q27" i="251"/>
  <c r="Q31" i="251"/>
  <c r="Q35" i="251"/>
  <c r="Q39" i="251"/>
  <c r="Q22" i="251"/>
  <c r="Q26" i="251"/>
  <c r="Q30" i="251"/>
  <c r="Q34" i="251"/>
  <c r="Q38" i="251"/>
  <c r="Q25" i="251"/>
  <c r="Q29" i="251"/>
  <c r="Q33" i="251"/>
  <c r="Q37" i="251"/>
  <c r="Q21" i="251"/>
  <c r="Q24" i="251"/>
  <c r="Q28" i="251"/>
  <c r="Q32" i="251"/>
  <c r="Q36" i="251"/>
  <c r="T25" i="250"/>
  <c r="T26" i="250"/>
  <c r="T31" i="250"/>
  <c r="T13" i="250"/>
  <c r="T28" i="250"/>
  <c r="T30" i="250"/>
  <c r="T33" i="250"/>
  <c r="U11" i="249"/>
  <c r="W11" i="249" s="1"/>
  <c r="V11" i="249"/>
  <c r="T17" i="250"/>
  <c r="T32" i="250"/>
  <c r="T34" i="250"/>
  <c r="X34" i="250"/>
  <c r="X35" i="250"/>
  <c r="T35" i="250"/>
  <c r="N30" i="229"/>
  <c r="M30" i="229"/>
  <c r="J20" i="133"/>
  <c r="K19" i="133"/>
  <c r="B19" i="133" s="1"/>
  <c r="G19" i="133" s="1"/>
  <c r="W20" i="12"/>
  <c r="W21" i="12"/>
  <c r="W22" i="12"/>
  <c r="W23" i="12"/>
  <c r="W24" i="12"/>
  <c r="W25" i="12"/>
  <c r="T20" i="250"/>
  <c r="X20" i="250"/>
  <c r="T22" i="250"/>
  <c r="X22" i="250"/>
  <c r="T29" i="250"/>
  <c r="F32" i="126"/>
  <c r="D34" i="126"/>
  <c r="E32" i="275" l="1"/>
  <c r="E35" i="275" s="1"/>
  <c r="I39" i="241"/>
  <c r="I43" i="241" s="1"/>
  <c r="F73" i="52"/>
  <c r="F45" i="52"/>
  <c r="G73" i="52"/>
  <c r="G45" i="52"/>
  <c r="H73" i="52"/>
  <c r="H45" i="52"/>
  <c r="J36" i="52"/>
  <c r="I73" i="52"/>
  <c r="I45" i="52"/>
  <c r="E55" i="243"/>
  <c r="C68" i="156" s="1"/>
  <c r="D15" i="11"/>
  <c r="O6" i="257"/>
  <c r="X17" i="249"/>
  <c r="X15" i="249"/>
  <c r="E53" i="243"/>
  <c r="Q15" i="257"/>
  <c r="Q16" i="257"/>
  <c r="Q18" i="257"/>
  <c r="Q17" i="257"/>
  <c r="X25" i="273"/>
  <c r="X24" i="273"/>
  <c r="X20" i="273"/>
  <c r="X23" i="273"/>
  <c r="X22" i="273"/>
  <c r="X21" i="273"/>
  <c r="Y10" i="273"/>
  <c r="Y20" i="273" s="1"/>
  <c r="X14" i="272"/>
  <c r="Y14" i="272" s="1"/>
  <c r="X18" i="272"/>
  <c r="Y18" i="272" s="1"/>
  <c r="X16" i="272"/>
  <c r="Y16" i="272" s="1"/>
  <c r="X13" i="272"/>
  <c r="Y13" i="272" s="1"/>
  <c r="W21" i="273"/>
  <c r="W25" i="273"/>
  <c r="W22" i="273"/>
  <c r="W20" i="273"/>
  <c r="W23" i="273"/>
  <c r="W24" i="273"/>
  <c r="F55" i="243"/>
  <c r="F53" i="243"/>
  <c r="T27" i="273"/>
  <c r="V22" i="272"/>
  <c r="V20" i="272"/>
  <c r="V25" i="272"/>
  <c r="V23" i="272"/>
  <c r="V21" i="272"/>
  <c r="V24" i="272"/>
  <c r="W11" i="272"/>
  <c r="X11" i="272" s="1"/>
  <c r="U25" i="272"/>
  <c r="U20" i="272"/>
  <c r="U24" i="272"/>
  <c r="U22" i="272"/>
  <c r="U23" i="272"/>
  <c r="U21" i="272"/>
  <c r="F45" i="241"/>
  <c r="G45" i="241"/>
  <c r="H45" i="241"/>
  <c r="I76" i="241"/>
  <c r="I45" i="241"/>
  <c r="I47" i="241" s="1"/>
  <c r="J45" i="241"/>
  <c r="J39" i="241"/>
  <c r="J43" i="241" s="1"/>
  <c r="J76" i="241"/>
  <c r="J81" i="241" s="1"/>
  <c r="N16" i="245" s="1"/>
  <c r="U27" i="272"/>
  <c r="W27" i="272" s="1"/>
  <c r="V27" i="272"/>
  <c r="E34" i="52"/>
  <c r="E39" i="52" s="1"/>
  <c r="E43" i="52" s="1"/>
  <c r="E47" i="52" s="1"/>
  <c r="F34" i="52"/>
  <c r="F71" i="52" s="1"/>
  <c r="D34" i="52"/>
  <c r="D39" i="52" s="1"/>
  <c r="D43" i="52" s="1"/>
  <c r="D47" i="52" s="1"/>
  <c r="D100" i="52" s="1"/>
  <c r="X14" i="249"/>
  <c r="Y14" i="249" s="1"/>
  <c r="X13" i="249"/>
  <c r="Y13" i="249" s="1"/>
  <c r="X11" i="249"/>
  <c r="Y11" i="249" s="1"/>
  <c r="X12" i="249"/>
  <c r="O43" i="250"/>
  <c r="O41" i="250"/>
  <c r="O45" i="250"/>
  <c r="O44" i="250"/>
  <c r="O46" i="250"/>
  <c r="O42" i="250"/>
  <c r="H39" i="241"/>
  <c r="H43" i="241" s="1"/>
  <c r="F35" i="241"/>
  <c r="F72" i="241" s="1"/>
  <c r="E35" i="241"/>
  <c r="E39" i="241" s="1"/>
  <c r="E43" i="241" s="1"/>
  <c r="E47" i="241" s="1"/>
  <c r="G35" i="241"/>
  <c r="G72" i="241" s="1"/>
  <c r="D35" i="241"/>
  <c r="D39" i="241" s="1"/>
  <c r="D43" i="241" s="1"/>
  <c r="D47" i="241" s="1"/>
  <c r="H28" i="241"/>
  <c r="H30" i="241" s="1"/>
  <c r="H23" i="241"/>
  <c r="T13" i="256"/>
  <c r="T10" i="256"/>
  <c r="O21" i="256"/>
  <c r="O25" i="256"/>
  <c r="O22" i="256"/>
  <c r="O23" i="256"/>
  <c r="O20" i="256"/>
  <c r="O24" i="256"/>
  <c r="U14" i="256"/>
  <c r="W14" i="256" s="1"/>
  <c r="V14" i="256"/>
  <c r="U11" i="256"/>
  <c r="W11" i="256" s="1"/>
  <c r="V11" i="256"/>
  <c r="V15" i="256"/>
  <c r="U15" i="256"/>
  <c r="W15" i="256" s="1"/>
  <c r="U16" i="256"/>
  <c r="W16" i="256" s="1"/>
  <c r="V16" i="256"/>
  <c r="V17" i="256"/>
  <c r="U17" i="256"/>
  <c r="W17" i="256" s="1"/>
  <c r="V12" i="256"/>
  <c r="U12" i="256"/>
  <c r="W12" i="256" s="1"/>
  <c r="N9" i="6"/>
  <c r="M93" i="6"/>
  <c r="M94" i="6" s="1"/>
  <c r="Y12" i="249"/>
  <c r="V30" i="250"/>
  <c r="U30" i="250"/>
  <c r="W30" i="250" s="1"/>
  <c r="V13" i="250"/>
  <c r="U13" i="250"/>
  <c r="W13" i="250" s="1"/>
  <c r="V26" i="250"/>
  <c r="U26" i="250"/>
  <c r="W26" i="250" s="1"/>
  <c r="S28" i="251"/>
  <c r="Y28" i="251"/>
  <c r="S33" i="251"/>
  <c r="S34" i="251"/>
  <c r="S39" i="251"/>
  <c r="Y39" i="251"/>
  <c r="S23" i="251"/>
  <c r="S20" i="251"/>
  <c r="S13" i="251"/>
  <c r="Q13" i="257"/>
  <c r="Q12" i="257"/>
  <c r="Q11" i="257"/>
  <c r="Q10" i="257"/>
  <c r="Q14" i="257"/>
  <c r="U37" i="250"/>
  <c r="W37" i="250" s="1"/>
  <c r="V37" i="250"/>
  <c r="U16" i="250"/>
  <c r="W16" i="250" s="1"/>
  <c r="V16" i="250"/>
  <c r="Y16" i="250" s="1"/>
  <c r="V14" i="250"/>
  <c r="U14" i="250"/>
  <c r="W14" i="250" s="1"/>
  <c r="U39" i="250"/>
  <c r="W39" i="250" s="1"/>
  <c r="V39" i="250"/>
  <c r="D47" i="11"/>
  <c r="D48" i="11" s="1"/>
  <c r="D50" i="11" s="1"/>
  <c r="B19" i="232"/>
  <c r="G66" i="133"/>
  <c r="U29" i="250"/>
  <c r="W29" i="250" s="1"/>
  <c r="V29" i="250"/>
  <c r="F53" i="126"/>
  <c r="F48" i="126"/>
  <c r="F34" i="126"/>
  <c r="G34" i="126" s="1"/>
  <c r="F47" i="126"/>
  <c r="F54" i="126"/>
  <c r="U20" i="250"/>
  <c r="W20" i="250" s="1"/>
  <c r="V20" i="250"/>
  <c r="Y20" i="250" s="1"/>
  <c r="J21" i="133"/>
  <c r="J30" i="133" s="1"/>
  <c r="K20" i="133"/>
  <c r="B20" i="133" s="1"/>
  <c r="G20" i="133" s="1"/>
  <c r="B3" i="10" s="1"/>
  <c r="V34" i="250"/>
  <c r="Y34" i="250" s="1"/>
  <c r="U34" i="250"/>
  <c r="W34" i="250" s="1"/>
  <c r="V17" i="250"/>
  <c r="U17" i="250"/>
  <c r="W17" i="250" s="1"/>
  <c r="O6" i="251"/>
  <c r="U31" i="250"/>
  <c r="W31" i="250" s="1"/>
  <c r="V31" i="250"/>
  <c r="S24" i="251"/>
  <c r="Y24" i="251"/>
  <c r="S29" i="251"/>
  <c r="Y29" i="251"/>
  <c r="S30" i="251"/>
  <c r="S35" i="251"/>
  <c r="Y35" i="251"/>
  <c r="S19" i="251"/>
  <c r="Y19" i="251"/>
  <c r="S16" i="251"/>
  <c r="S18" i="251"/>
  <c r="V36" i="250"/>
  <c r="U36" i="250"/>
  <c r="W36" i="250" s="1"/>
  <c r="U27" i="250"/>
  <c r="W27" i="250" s="1"/>
  <c r="V27" i="250"/>
  <c r="U23" i="250"/>
  <c r="W23" i="250" s="1"/>
  <c r="V23" i="250"/>
  <c r="Y23" i="250" s="1"/>
  <c r="V10" i="250"/>
  <c r="T42" i="250"/>
  <c r="U10" i="250"/>
  <c r="T41" i="250"/>
  <c r="T43" i="250"/>
  <c r="T44" i="250"/>
  <c r="T45" i="250"/>
  <c r="T46" i="250"/>
  <c r="U24" i="250"/>
  <c r="W24" i="250" s="1"/>
  <c r="V24" i="250"/>
  <c r="P10" i="229"/>
  <c r="H18" i="229" s="1"/>
  <c r="L68" i="133"/>
  <c r="B67" i="133"/>
  <c r="B3" i="270" s="1"/>
  <c r="U35" i="250"/>
  <c r="W35" i="250" s="1"/>
  <c r="V35" i="250"/>
  <c r="V32" i="250"/>
  <c r="U32" i="250"/>
  <c r="W32" i="250" s="1"/>
  <c r="U33" i="250"/>
  <c r="W33" i="250" s="1"/>
  <c r="V33" i="250"/>
  <c r="V28" i="250"/>
  <c r="U28" i="250"/>
  <c r="W28" i="250" s="1"/>
  <c r="V25" i="250"/>
  <c r="U25" i="250"/>
  <c r="W25" i="250" s="1"/>
  <c r="S36" i="251"/>
  <c r="Y36" i="251"/>
  <c r="S21" i="251"/>
  <c r="Y21" i="251"/>
  <c r="S25" i="251"/>
  <c r="S26" i="251"/>
  <c r="S31" i="251"/>
  <c r="S15" i="251"/>
  <c r="S12" i="251"/>
  <c r="S14" i="251"/>
  <c r="U20" i="249"/>
  <c r="U21" i="249"/>
  <c r="U22" i="249"/>
  <c r="U23" i="249"/>
  <c r="U24" i="249"/>
  <c r="U25" i="249"/>
  <c r="W10" i="249"/>
  <c r="N20" i="257"/>
  <c r="N21" i="257"/>
  <c r="N22" i="257"/>
  <c r="N23" i="257"/>
  <c r="N24" i="257"/>
  <c r="N25" i="257"/>
  <c r="V18" i="250"/>
  <c r="U18" i="250"/>
  <c r="W18" i="250" s="1"/>
  <c r="U12" i="250"/>
  <c r="W12" i="250" s="1"/>
  <c r="V12" i="250"/>
  <c r="V22" i="250"/>
  <c r="U22" i="250"/>
  <c r="W22" i="250" s="1"/>
  <c r="S32" i="251"/>
  <c r="S37" i="251"/>
  <c r="Y37" i="251"/>
  <c r="S38" i="251"/>
  <c r="Y38" i="251"/>
  <c r="S22" i="251"/>
  <c r="Y22" i="251"/>
  <c r="S27" i="251"/>
  <c r="S11" i="251"/>
  <c r="S17" i="251"/>
  <c r="S10" i="251"/>
  <c r="Q41" i="251"/>
  <c r="Q42" i="251"/>
  <c r="Q43" i="251"/>
  <c r="Q44" i="251"/>
  <c r="Q45" i="251"/>
  <c r="Q46" i="251"/>
  <c r="V20" i="249"/>
  <c r="V21" i="249"/>
  <c r="V22" i="249"/>
  <c r="V23" i="249"/>
  <c r="V24" i="249"/>
  <c r="V25" i="249"/>
  <c r="F32" i="229"/>
  <c r="J32" i="229"/>
  <c r="N32" i="229"/>
  <c r="G32" i="229"/>
  <c r="K32" i="229"/>
  <c r="O32" i="229"/>
  <c r="H32" i="229"/>
  <c r="L32" i="229"/>
  <c r="P32" i="229"/>
  <c r="I32" i="229"/>
  <c r="M32" i="229"/>
  <c r="C33" i="229"/>
  <c r="V38" i="250"/>
  <c r="U38" i="250"/>
  <c r="W38" i="250" s="1"/>
  <c r="V21" i="250"/>
  <c r="U21" i="250"/>
  <c r="W21" i="250" s="1"/>
  <c r="U19" i="250"/>
  <c r="W19" i="250" s="1"/>
  <c r="V19" i="250"/>
  <c r="U11" i="250"/>
  <c r="W11" i="250" s="1"/>
  <c r="V11" i="250"/>
  <c r="U15" i="250"/>
  <c r="W15" i="250" s="1"/>
  <c r="V15" i="250"/>
  <c r="J28" i="48"/>
  <c r="J20" i="62" s="1"/>
  <c r="D62" i="6"/>
  <c r="I70" i="6"/>
  <c r="G69" i="6"/>
  <c r="F70" i="6"/>
  <c r="Y20" i="12"/>
  <c r="Y21" i="12"/>
  <c r="Y22" i="12"/>
  <c r="Y23" i="12"/>
  <c r="AB22" i="12" s="1"/>
  <c r="Y24" i="12"/>
  <c r="Y25" i="12"/>
  <c r="Y23" i="273" l="1"/>
  <c r="AB22" i="273" s="1"/>
  <c r="AB23" i="273" s="1"/>
  <c r="J73" i="52"/>
  <c r="J45" i="52"/>
  <c r="J39" i="52"/>
  <c r="J43" i="52" s="1"/>
  <c r="F68" i="156"/>
  <c r="G68" i="156"/>
  <c r="F13" i="236"/>
  <c r="C69" i="156"/>
  <c r="G69" i="156" s="1"/>
  <c r="E13" i="236"/>
  <c r="J80" i="241"/>
  <c r="N15" i="245" s="1"/>
  <c r="Y22" i="273"/>
  <c r="Y21" i="273"/>
  <c r="Y25" i="273"/>
  <c r="J47" i="241"/>
  <c r="S17" i="257"/>
  <c r="Y17" i="257"/>
  <c r="S18" i="257"/>
  <c r="S16" i="257"/>
  <c r="S15" i="257"/>
  <c r="Y15" i="257"/>
  <c r="Y24" i="273"/>
  <c r="I100" i="241"/>
  <c r="I105" i="241" s="1"/>
  <c r="U27" i="273"/>
  <c r="W27" i="273" s="1"/>
  <c r="V27" i="273"/>
  <c r="H47" i="241"/>
  <c r="H100" i="241" s="1"/>
  <c r="Y11" i="272"/>
  <c r="X24" i="272"/>
  <c r="X25" i="272"/>
  <c r="X21" i="272"/>
  <c r="X23" i="272"/>
  <c r="X20" i="272"/>
  <c r="X22" i="272"/>
  <c r="W25" i="272"/>
  <c r="W21" i="272"/>
  <c r="W23" i="272"/>
  <c r="W22" i="272"/>
  <c r="W20" i="272"/>
  <c r="W24" i="272"/>
  <c r="J83" i="241"/>
  <c r="N18" i="245" s="1"/>
  <c r="J82" i="241"/>
  <c r="N17" i="245" s="1"/>
  <c r="J84" i="241"/>
  <c r="N19" i="245" s="1"/>
  <c r="X27" i="272"/>
  <c r="D53" i="52"/>
  <c r="F39" i="52"/>
  <c r="F43" i="52" s="1"/>
  <c r="F47" i="52" s="1"/>
  <c r="E100" i="52" s="1"/>
  <c r="G39" i="52"/>
  <c r="G43" i="52" s="1"/>
  <c r="G47" i="52" s="1"/>
  <c r="H34" i="52"/>
  <c r="H71" i="52" s="1"/>
  <c r="I27" i="52"/>
  <c r="I30" i="52" s="1"/>
  <c r="I34" i="52"/>
  <c r="I71" i="52" s="1"/>
  <c r="I23" i="52"/>
  <c r="B3" i="271"/>
  <c r="B3" i="2"/>
  <c r="B3" i="173"/>
  <c r="B3" i="132"/>
  <c r="B61" i="126" s="1"/>
  <c r="B3" i="5"/>
  <c r="B3" i="245"/>
  <c r="I12" i="270" s="1"/>
  <c r="I27" i="270" s="1"/>
  <c r="I40" i="270" s="1"/>
  <c r="B3" i="229"/>
  <c r="B3" i="126"/>
  <c r="B3" i="6"/>
  <c r="X10" i="249"/>
  <c r="X23" i="249" s="1"/>
  <c r="F39" i="241"/>
  <c r="F43" i="241" s="1"/>
  <c r="F47" i="241" s="1"/>
  <c r="E100" i="241" s="1"/>
  <c r="I81" i="241"/>
  <c r="H76" i="241"/>
  <c r="G39" i="241"/>
  <c r="G43" i="241" s="1"/>
  <c r="G47" i="241" s="1"/>
  <c r="I80" i="241"/>
  <c r="I82" i="241"/>
  <c r="I83" i="241"/>
  <c r="I84" i="241"/>
  <c r="I104" i="241"/>
  <c r="D100" i="241"/>
  <c r="D53" i="241"/>
  <c r="X11" i="250"/>
  <c r="Y11" i="250" s="1"/>
  <c r="U13" i="256"/>
  <c r="W13" i="256" s="1"/>
  <c r="V13" i="256"/>
  <c r="X38" i="250"/>
  <c r="X24" i="250"/>
  <c r="X27" i="250"/>
  <c r="Y27" i="250" s="1"/>
  <c r="X21" i="250"/>
  <c r="X12" i="256"/>
  <c r="Y12" i="256" s="1"/>
  <c r="X15" i="256"/>
  <c r="Y15" i="256" s="1"/>
  <c r="X17" i="256"/>
  <c r="Y17" i="256" s="1"/>
  <c r="X14" i="256"/>
  <c r="Y14" i="256" s="1"/>
  <c r="N18" i="229"/>
  <c r="X16" i="256"/>
  <c r="Y16" i="256" s="1"/>
  <c r="X11" i="256"/>
  <c r="Y11" i="256" s="1"/>
  <c r="T21" i="256"/>
  <c r="T25" i="256"/>
  <c r="V10" i="256"/>
  <c r="T22" i="256"/>
  <c r="U10" i="256"/>
  <c r="T23" i="256"/>
  <c r="T20" i="256"/>
  <c r="T24" i="256"/>
  <c r="F18" i="229"/>
  <c r="K18" i="229"/>
  <c r="L18" i="229"/>
  <c r="O18" i="229"/>
  <c r="G18" i="229"/>
  <c r="O9" i="6"/>
  <c r="O93" i="6" s="1"/>
  <c r="N93" i="6"/>
  <c r="X18" i="250"/>
  <c r="Y18" i="250" s="1"/>
  <c r="X39" i="250"/>
  <c r="X37" i="250"/>
  <c r="X29" i="250"/>
  <c r="X30" i="250"/>
  <c r="Y30" i="250" s="1"/>
  <c r="X15" i="250"/>
  <c r="Y15" i="250" s="1"/>
  <c r="X12" i="250"/>
  <c r="Y12" i="250" s="1"/>
  <c r="X17" i="250"/>
  <c r="Y17" i="250" s="1"/>
  <c r="X13" i="250"/>
  <c r="Y13" i="250" s="1"/>
  <c r="X25" i="250"/>
  <c r="Y25" i="250" s="1"/>
  <c r="X31" i="250"/>
  <c r="Y31" i="250" s="1"/>
  <c r="X28" i="250"/>
  <c r="X32" i="250"/>
  <c r="Y32" i="250" s="1"/>
  <c r="X36" i="250"/>
  <c r="S41" i="251"/>
  <c r="S42" i="251"/>
  <c r="S43" i="251"/>
  <c r="S44" i="251"/>
  <c r="S45" i="251"/>
  <c r="S46" i="251"/>
  <c r="T22" i="251"/>
  <c r="X22" i="251"/>
  <c r="T37" i="251"/>
  <c r="X33" i="250"/>
  <c r="Y33" i="250" s="1"/>
  <c r="L69" i="133"/>
  <c r="B68" i="133"/>
  <c r="M18" i="229"/>
  <c r="I18" i="229"/>
  <c r="P18" i="229"/>
  <c r="J18" i="229"/>
  <c r="W10" i="250"/>
  <c r="X10" i="250" s="1"/>
  <c r="Y10" i="250" s="1"/>
  <c r="U41" i="250"/>
  <c r="U42" i="250"/>
  <c r="U43" i="250"/>
  <c r="U44" i="250"/>
  <c r="U45" i="250"/>
  <c r="U46" i="250"/>
  <c r="K21" i="133"/>
  <c r="B21" i="133" s="1"/>
  <c r="G21" i="133" s="1"/>
  <c r="B3" i="8" s="1"/>
  <c r="J24" i="133"/>
  <c r="L13" i="126"/>
  <c r="L14" i="126" s="1"/>
  <c r="L45" i="126"/>
  <c r="F58" i="126"/>
  <c r="S13" i="257"/>
  <c r="X20" i="251"/>
  <c r="T20" i="251"/>
  <c r="T39" i="251"/>
  <c r="X26" i="250"/>
  <c r="Y26" i="250" s="1"/>
  <c r="J27" i="62"/>
  <c r="J35" i="62"/>
  <c r="J31" i="62"/>
  <c r="J35" i="48"/>
  <c r="J43" i="48"/>
  <c r="J39" i="48"/>
  <c r="G62" i="6"/>
  <c r="K62" i="6"/>
  <c r="O62" i="6"/>
  <c r="F72" i="6" s="1"/>
  <c r="H62" i="6"/>
  <c r="L62" i="6"/>
  <c r="I62" i="6"/>
  <c r="M62" i="6"/>
  <c r="F62" i="6"/>
  <c r="J62" i="6"/>
  <c r="N62" i="6"/>
  <c r="W20" i="249"/>
  <c r="W21" i="249"/>
  <c r="W22" i="249"/>
  <c r="W23" i="249"/>
  <c r="W24" i="249"/>
  <c r="W25" i="249"/>
  <c r="T21" i="251"/>
  <c r="T18" i="251"/>
  <c r="T19" i="251"/>
  <c r="X19" i="251"/>
  <c r="T24" i="251"/>
  <c r="S14" i="257"/>
  <c r="S12" i="257"/>
  <c r="T38" i="251"/>
  <c r="V42" i="250"/>
  <c r="V44" i="250"/>
  <c r="V45" i="250"/>
  <c r="V46" i="250"/>
  <c r="V41" i="250"/>
  <c r="V43" i="250"/>
  <c r="O13" i="251"/>
  <c r="T13" i="251" s="1"/>
  <c r="O17" i="251"/>
  <c r="T17" i="251" s="1"/>
  <c r="O12" i="251"/>
  <c r="O16" i="251"/>
  <c r="O20" i="251"/>
  <c r="O11" i="251"/>
  <c r="T11" i="251" s="1"/>
  <c r="O15" i="251"/>
  <c r="T15" i="251" s="1"/>
  <c r="O19" i="251"/>
  <c r="O10" i="251"/>
  <c r="T10" i="251" s="1"/>
  <c r="O14" i="251"/>
  <c r="T14" i="251" s="1"/>
  <c r="O18" i="251"/>
  <c r="O22" i="251"/>
  <c r="O26" i="251"/>
  <c r="T26" i="251" s="1"/>
  <c r="O30" i="251"/>
  <c r="T30" i="251" s="1"/>
  <c r="O34" i="251"/>
  <c r="O38" i="251"/>
  <c r="O48" i="251"/>
  <c r="O50" i="251"/>
  <c r="O25" i="251"/>
  <c r="T25" i="251" s="1"/>
  <c r="O29" i="251"/>
  <c r="O33" i="251"/>
  <c r="T33" i="251" s="1"/>
  <c r="O37" i="251"/>
  <c r="O21" i="251"/>
  <c r="O24" i="251"/>
  <c r="O28" i="251"/>
  <c r="O32" i="251"/>
  <c r="T32" i="251" s="1"/>
  <c r="O36" i="251"/>
  <c r="O23" i="251"/>
  <c r="O27" i="251"/>
  <c r="T27" i="251" s="1"/>
  <c r="O31" i="251"/>
  <c r="T31" i="251" s="1"/>
  <c r="O35" i="251"/>
  <c r="O39" i="251"/>
  <c r="X14" i="250"/>
  <c r="S10" i="257"/>
  <c r="Q20" i="257"/>
  <c r="Q21" i="257"/>
  <c r="Q22" i="257"/>
  <c r="Q23" i="257"/>
  <c r="Q24" i="257"/>
  <c r="Q25" i="257"/>
  <c r="S11" i="257"/>
  <c r="T23" i="251"/>
  <c r="X23" i="251"/>
  <c r="T34" i="251"/>
  <c r="X34" i="251"/>
  <c r="T28" i="251"/>
  <c r="I33" i="229"/>
  <c r="M33" i="229"/>
  <c r="C34" i="229"/>
  <c r="F33" i="229"/>
  <c r="J33" i="229"/>
  <c r="N33" i="229"/>
  <c r="G33" i="229"/>
  <c r="K33" i="229"/>
  <c r="O33" i="229"/>
  <c r="H33" i="229"/>
  <c r="L33" i="229"/>
  <c r="P33" i="229"/>
  <c r="T12" i="251"/>
  <c r="T36" i="251"/>
  <c r="B20" i="232"/>
  <c r="G67" i="133"/>
  <c r="T16" i="251"/>
  <c r="X16" i="251"/>
  <c r="T35" i="251"/>
  <c r="X35" i="251"/>
  <c r="T29" i="251"/>
  <c r="R23" i="62"/>
  <c r="R24" i="62"/>
  <c r="R31" i="48"/>
  <c r="R32" i="48"/>
  <c r="J3" i="10"/>
  <c r="L46" i="126"/>
  <c r="J47" i="52" l="1"/>
  <c r="J76" i="52"/>
  <c r="J83" i="52" s="1"/>
  <c r="B69" i="133"/>
  <c r="G69" i="133" s="1"/>
  <c r="L70" i="133"/>
  <c r="B70" i="133" s="1"/>
  <c r="F100" i="52"/>
  <c r="I108" i="241"/>
  <c r="I106" i="241"/>
  <c r="I107" i="241"/>
  <c r="T15" i="257"/>
  <c r="T17" i="257"/>
  <c r="Y10" i="249"/>
  <c r="Y23" i="249" s="1"/>
  <c r="AB22" i="249" s="1"/>
  <c r="F100" i="241"/>
  <c r="G100" i="241"/>
  <c r="Y24" i="272"/>
  <c r="Y21" i="272"/>
  <c r="Y23" i="272"/>
  <c r="AB22" i="272" s="1"/>
  <c r="AB23" i="272" s="1"/>
  <c r="Y22" i="272"/>
  <c r="Y20" i="272"/>
  <c r="Y25" i="272"/>
  <c r="J86" i="241"/>
  <c r="H39" i="52"/>
  <c r="H43" i="52" s="1"/>
  <c r="H47" i="52" s="1"/>
  <c r="G100" i="52" s="1"/>
  <c r="F76" i="52"/>
  <c r="D108" i="52"/>
  <c r="D106" i="52"/>
  <c r="D105" i="52"/>
  <c r="D104" i="52"/>
  <c r="D107" i="52"/>
  <c r="E53" i="52"/>
  <c r="I39" i="52"/>
  <c r="I43" i="52" s="1"/>
  <c r="I47" i="52" s="1"/>
  <c r="G76" i="52"/>
  <c r="G81" i="52" s="1"/>
  <c r="D58" i="52"/>
  <c r="D59" i="52" s="1"/>
  <c r="D62" i="52" s="1"/>
  <c r="D64" i="52" s="1"/>
  <c r="E52" i="52"/>
  <c r="E55" i="52" s="1"/>
  <c r="X22" i="249"/>
  <c r="R35" i="62"/>
  <c r="R32" i="62"/>
  <c r="R44" i="48"/>
  <c r="R28" i="62"/>
  <c r="R36" i="48"/>
  <c r="R35" i="48"/>
  <c r="R31" i="62"/>
  <c r="J19" i="39"/>
  <c r="R36" i="62"/>
  <c r="R43" i="48"/>
  <c r="R40" i="48"/>
  <c r="R27" i="62"/>
  <c r="R39" i="48"/>
  <c r="X24" i="249"/>
  <c r="X20" i="249"/>
  <c r="X21" i="249"/>
  <c r="X25" i="249"/>
  <c r="E53" i="241"/>
  <c r="F52" i="241" s="1"/>
  <c r="F55" i="241" s="1"/>
  <c r="G76" i="241"/>
  <c r="H83" i="241"/>
  <c r="H80" i="241"/>
  <c r="H84" i="241"/>
  <c r="H81" i="241"/>
  <c r="F76" i="241"/>
  <c r="I86" i="241"/>
  <c r="H82" i="241"/>
  <c r="D58" i="241"/>
  <c r="D59" i="241" s="1"/>
  <c r="D62" i="241" s="1"/>
  <c r="D64" i="241" s="1"/>
  <c r="E52" i="241"/>
  <c r="E55" i="241" s="1"/>
  <c r="D104" i="241"/>
  <c r="D107" i="241"/>
  <c r="D108" i="241"/>
  <c r="D106" i="241"/>
  <c r="D105" i="241"/>
  <c r="E107" i="241"/>
  <c r="E105" i="241"/>
  <c r="E106" i="241"/>
  <c r="E104" i="241"/>
  <c r="E108" i="241"/>
  <c r="H107" i="241"/>
  <c r="H106" i="241"/>
  <c r="H105" i="241"/>
  <c r="H108" i="241"/>
  <c r="H104" i="241"/>
  <c r="X13" i="256"/>
  <c r="Y13" i="256" s="1"/>
  <c r="V20" i="256"/>
  <c r="V24" i="256"/>
  <c r="V21" i="256"/>
  <c r="V25" i="256"/>
  <c r="V22" i="256"/>
  <c r="V23" i="256"/>
  <c r="U21" i="256"/>
  <c r="U25" i="256"/>
  <c r="U23" i="256"/>
  <c r="U22" i="256"/>
  <c r="U24" i="256"/>
  <c r="W10" i="256"/>
  <c r="U20" i="256"/>
  <c r="N94" i="6"/>
  <c r="O94" i="6"/>
  <c r="B96" i="6" a="1"/>
  <c r="R18" i="229"/>
  <c r="U25" i="251"/>
  <c r="W25" i="251" s="1"/>
  <c r="V25" i="251"/>
  <c r="V14" i="251"/>
  <c r="U14" i="251"/>
  <c r="W14" i="251" s="1"/>
  <c r="U33" i="251"/>
  <c r="W33" i="251" s="1"/>
  <c r="V33" i="251"/>
  <c r="U26" i="251"/>
  <c r="W26" i="251" s="1"/>
  <c r="V26" i="251"/>
  <c r="U36" i="251"/>
  <c r="W36" i="251" s="1"/>
  <c r="V36" i="251"/>
  <c r="V35" i="251"/>
  <c r="U35" i="251"/>
  <c r="W35" i="251" s="1"/>
  <c r="V31" i="251"/>
  <c r="U31" i="251"/>
  <c r="W31" i="251" s="1"/>
  <c r="U34" i="251"/>
  <c r="W34" i="251" s="1"/>
  <c r="V34" i="251"/>
  <c r="U13" i="251"/>
  <c r="W13" i="251" s="1"/>
  <c r="V13" i="251"/>
  <c r="V27" i="251"/>
  <c r="U27" i="251"/>
  <c r="W27" i="251" s="1"/>
  <c r="T12" i="257"/>
  <c r="J23" i="62"/>
  <c r="J31" i="48"/>
  <c r="J40" i="48"/>
  <c r="L39" i="48"/>
  <c r="N39" i="48"/>
  <c r="J36" i="62"/>
  <c r="L35" i="62"/>
  <c r="N35" i="62"/>
  <c r="B21" i="232"/>
  <c r="G68" i="133"/>
  <c r="B3" i="185" s="1"/>
  <c r="U11" i="251"/>
  <c r="W11" i="251" s="1"/>
  <c r="V11" i="251"/>
  <c r="Y14" i="250"/>
  <c r="X44" i="250"/>
  <c r="X41" i="250"/>
  <c r="X45" i="250"/>
  <c r="X43" i="250"/>
  <c r="X46" i="250"/>
  <c r="X42" i="250"/>
  <c r="U32" i="251"/>
  <c r="W32" i="251" s="1"/>
  <c r="V32" i="251"/>
  <c r="U30" i="251"/>
  <c r="W30" i="251" s="1"/>
  <c r="V30" i="251"/>
  <c r="V18" i="251"/>
  <c r="U18" i="251"/>
  <c r="W18" i="251" s="1"/>
  <c r="U21" i="251"/>
  <c r="W21" i="251" s="1"/>
  <c r="V21" i="251"/>
  <c r="U15" i="251"/>
  <c r="W15" i="251" s="1"/>
  <c r="V15" i="251"/>
  <c r="J44" i="48"/>
  <c r="L43" i="48"/>
  <c r="N43" i="48"/>
  <c r="J28" i="62"/>
  <c r="L27" i="62"/>
  <c r="N27" i="62"/>
  <c r="K24" i="133"/>
  <c r="B24" i="133" s="1"/>
  <c r="G24" i="133" s="1"/>
  <c r="B3" i="39" s="1"/>
  <c r="J25" i="133"/>
  <c r="W41" i="250"/>
  <c r="W42" i="250"/>
  <c r="W43" i="250"/>
  <c r="W44" i="250"/>
  <c r="W45" i="250"/>
  <c r="W46" i="250"/>
  <c r="D55" i="11"/>
  <c r="U37" i="251"/>
  <c r="W37" i="251" s="1"/>
  <c r="V37" i="251"/>
  <c r="U29" i="251"/>
  <c r="W29" i="251" s="1"/>
  <c r="V29" i="251"/>
  <c r="U16" i="251"/>
  <c r="W16" i="251" s="1"/>
  <c r="V16" i="251"/>
  <c r="Y16" i="251" s="1"/>
  <c r="U12" i="251"/>
  <c r="W12" i="251" s="1"/>
  <c r="V12" i="251"/>
  <c r="H34" i="229"/>
  <c r="L34" i="229"/>
  <c r="P34" i="229"/>
  <c r="I34" i="229"/>
  <c r="M34" i="229"/>
  <c r="C35" i="229"/>
  <c r="F34" i="229"/>
  <c r="J34" i="229"/>
  <c r="N34" i="229"/>
  <c r="G34" i="229"/>
  <c r="K34" i="229"/>
  <c r="O34" i="229"/>
  <c r="U28" i="251"/>
  <c r="W28" i="251" s="1"/>
  <c r="V28" i="251"/>
  <c r="V23" i="251"/>
  <c r="Y23" i="251" s="1"/>
  <c r="U23" i="251"/>
  <c r="W23" i="251" s="1"/>
  <c r="S20" i="257"/>
  <c r="S21" i="257"/>
  <c r="S22" i="257"/>
  <c r="S23" i="257"/>
  <c r="S24" i="257"/>
  <c r="S25" i="257"/>
  <c r="U17" i="251"/>
  <c r="W17" i="251" s="1"/>
  <c r="V17" i="251"/>
  <c r="U24" i="251"/>
  <c r="W24" i="251" s="1"/>
  <c r="V24" i="251"/>
  <c r="J36" i="48"/>
  <c r="L35" i="48"/>
  <c r="N35" i="48"/>
  <c r="V39" i="251"/>
  <c r="U39" i="251"/>
  <c r="W39" i="251" s="1"/>
  <c r="R40" i="62"/>
  <c r="R51" i="48"/>
  <c r="R49" i="62"/>
  <c r="R50" i="48"/>
  <c r="F9" i="40"/>
  <c r="J3" i="8"/>
  <c r="Y34" i="251"/>
  <c r="O41" i="251"/>
  <c r="O42" i="251"/>
  <c r="O43" i="251"/>
  <c r="O44" i="251"/>
  <c r="O45" i="251"/>
  <c r="O46" i="251"/>
  <c r="U38" i="251"/>
  <c r="W38" i="251" s="1"/>
  <c r="V38" i="251"/>
  <c r="U19" i="251"/>
  <c r="W19" i="251" s="1"/>
  <c r="V19" i="251"/>
  <c r="J32" i="62"/>
  <c r="L31" i="62"/>
  <c r="N31" i="62"/>
  <c r="U20" i="251"/>
  <c r="W20" i="251" s="1"/>
  <c r="V20" i="251"/>
  <c r="Y20" i="251" s="1"/>
  <c r="L48" i="126"/>
  <c r="U22" i="251"/>
  <c r="W22" i="251" s="1"/>
  <c r="V22" i="251"/>
  <c r="V10" i="251"/>
  <c r="U10" i="251"/>
  <c r="T41" i="251"/>
  <c r="T42" i="251"/>
  <c r="T43" i="251"/>
  <c r="T44" i="251"/>
  <c r="T45" i="251"/>
  <c r="T46" i="251"/>
  <c r="I109" i="241" l="1"/>
  <c r="J82" i="52"/>
  <c r="J80" i="52"/>
  <c r="J81" i="52"/>
  <c r="J84" i="52"/>
  <c r="B3" i="273"/>
  <c r="B3" i="156"/>
  <c r="B23" i="232"/>
  <c r="G70" i="133"/>
  <c r="B22" i="232"/>
  <c r="H100" i="52"/>
  <c r="I100" i="52"/>
  <c r="F107" i="241"/>
  <c r="G106" i="241"/>
  <c r="G105" i="241"/>
  <c r="Y21" i="249"/>
  <c r="Y24" i="249"/>
  <c r="Y22" i="249"/>
  <c r="Y20" i="249"/>
  <c r="Y25" i="249"/>
  <c r="D117" i="241"/>
  <c r="D126" i="241" s="1"/>
  <c r="O18" i="257"/>
  <c r="T18" i="257" s="1"/>
  <c r="O17" i="257"/>
  <c r="O16" i="257"/>
  <c r="T16" i="257" s="1"/>
  <c r="O15" i="257"/>
  <c r="U17" i="257"/>
  <c r="W17" i="257" s="1"/>
  <c r="V17" i="257"/>
  <c r="V15" i="257"/>
  <c r="U15" i="257"/>
  <c r="W15" i="257" s="1"/>
  <c r="X27" i="273"/>
  <c r="D92" i="52"/>
  <c r="D94" i="52"/>
  <c r="D91" i="52"/>
  <c r="D93" i="52"/>
  <c r="D90" i="52"/>
  <c r="D92" i="241"/>
  <c r="D94" i="241"/>
  <c r="D91" i="241"/>
  <c r="D93" i="241"/>
  <c r="D90" i="241"/>
  <c r="E83" i="73"/>
  <c r="E141" i="73" s="1"/>
  <c r="D115" i="52"/>
  <c r="D116" i="52"/>
  <c r="D121" i="52" s="1"/>
  <c r="F108" i="241"/>
  <c r="F117" i="241" s="1"/>
  <c r="F126" i="241" s="1"/>
  <c r="E118" i="52"/>
  <c r="E56" i="52"/>
  <c r="E61" i="52" s="1"/>
  <c r="F52" i="52"/>
  <c r="F55" i="52" s="1"/>
  <c r="E58" i="52"/>
  <c r="E59" i="52" s="1"/>
  <c r="E62" i="52" s="1"/>
  <c r="D112" i="52"/>
  <c r="F84" i="52"/>
  <c r="F83" i="52"/>
  <c r="F108" i="52"/>
  <c r="F107" i="52"/>
  <c r="F104" i="52"/>
  <c r="F80" i="52"/>
  <c r="F106" i="52"/>
  <c r="F82" i="52"/>
  <c r="F53" i="52"/>
  <c r="G53" i="52" s="1"/>
  <c r="E107" i="52"/>
  <c r="E115" i="52" s="1"/>
  <c r="E106" i="52"/>
  <c r="E114" i="52" s="1"/>
  <c r="E108" i="52"/>
  <c r="E116" i="52" s="1"/>
  <c r="E121" i="52" s="1"/>
  <c r="E105" i="52"/>
  <c r="E113" i="52" s="1"/>
  <c r="E104" i="52"/>
  <c r="D113" i="52"/>
  <c r="F81" i="52"/>
  <c r="G105" i="52"/>
  <c r="G84" i="52"/>
  <c r="G83" i="52"/>
  <c r="G80" i="52"/>
  <c r="G82" i="52"/>
  <c r="I76" i="52"/>
  <c r="I81" i="52" s="1"/>
  <c r="D114" i="52"/>
  <c r="F105" i="52"/>
  <c r="H76" i="52"/>
  <c r="H81" i="52" s="1"/>
  <c r="F53" i="241"/>
  <c r="F58" i="241" s="1"/>
  <c r="F59" i="241" s="1"/>
  <c r="F104" i="241"/>
  <c r="F113" i="241" s="1"/>
  <c r="E58" i="241"/>
  <c r="E59" i="241" s="1"/>
  <c r="E62" i="241" s="1"/>
  <c r="F106" i="241"/>
  <c r="I115" i="241" s="1"/>
  <c r="F105" i="241"/>
  <c r="G107" i="241"/>
  <c r="G104" i="241"/>
  <c r="G108" i="241"/>
  <c r="F83" i="241"/>
  <c r="F84" i="241"/>
  <c r="F81" i="241"/>
  <c r="F80" i="241"/>
  <c r="H86" i="241"/>
  <c r="F82" i="241"/>
  <c r="G83" i="241"/>
  <c r="G84" i="241"/>
  <c r="G80" i="241"/>
  <c r="G81" i="241"/>
  <c r="G82" i="241"/>
  <c r="H109" i="241"/>
  <c r="E109" i="241"/>
  <c r="E117" i="241"/>
  <c r="E126" i="241" s="1"/>
  <c r="F116" i="241"/>
  <c r="E116" i="241"/>
  <c r="D116" i="241"/>
  <c r="F120" i="241"/>
  <c r="F56" i="241"/>
  <c r="F122" i="241" s="1"/>
  <c r="E115" i="241"/>
  <c r="D115" i="241"/>
  <c r="D113" i="241"/>
  <c r="D109" i="241"/>
  <c r="E113" i="241"/>
  <c r="E56" i="241"/>
  <c r="E122" i="241" s="1"/>
  <c r="D123" i="241" s="1"/>
  <c r="E120" i="241"/>
  <c r="H10" i="245" s="1"/>
  <c r="E114" i="241"/>
  <c r="D114" i="241"/>
  <c r="X11" i="251"/>
  <c r="Y11" i="251" s="1"/>
  <c r="X13" i="251"/>
  <c r="Y13" i="251" s="1"/>
  <c r="X27" i="251"/>
  <c r="Y27" i="251" s="1"/>
  <c r="X10" i="256"/>
  <c r="W21" i="256"/>
  <c r="W25" i="256"/>
  <c r="W22" i="256"/>
  <c r="W23" i="256"/>
  <c r="W20" i="256"/>
  <c r="W24" i="256"/>
  <c r="B98" i="6"/>
  <c r="B102" i="6"/>
  <c r="B96" i="6"/>
  <c r="B97" i="6"/>
  <c r="B101" i="6"/>
  <c r="B105" i="6"/>
  <c r="B99" i="6"/>
  <c r="B103" i="6"/>
  <c r="B100" i="6"/>
  <c r="B104" i="6"/>
  <c r="X18" i="251"/>
  <c r="Y18" i="251" s="1"/>
  <c r="X24" i="251"/>
  <c r="X36" i="251"/>
  <c r="X12" i="251"/>
  <c r="Y12" i="251" s="1"/>
  <c r="X29" i="251"/>
  <c r="X15" i="251"/>
  <c r="Y15" i="251" s="1"/>
  <c r="X32" i="251"/>
  <c r="Y32" i="251" s="1"/>
  <c r="X17" i="251"/>
  <c r="Y17" i="251" s="1"/>
  <c r="X30" i="251"/>
  <c r="Y30" i="251" s="1"/>
  <c r="X14" i="251"/>
  <c r="Y14" i="251" s="1"/>
  <c r="X37" i="251"/>
  <c r="X39" i="251"/>
  <c r="X25" i="251"/>
  <c r="Y25" i="251" s="1"/>
  <c r="N32" i="62"/>
  <c r="L32" i="62"/>
  <c r="X38" i="251"/>
  <c r="L36" i="48"/>
  <c r="N36" i="48"/>
  <c r="X28" i="251"/>
  <c r="G35" i="229"/>
  <c r="K35" i="229"/>
  <c r="O35" i="229"/>
  <c r="H35" i="229"/>
  <c r="L35" i="229"/>
  <c r="P35" i="229"/>
  <c r="I35" i="229"/>
  <c r="M35" i="229"/>
  <c r="C36" i="229"/>
  <c r="F35" i="229"/>
  <c r="J35" i="229"/>
  <c r="N35" i="229"/>
  <c r="N28" i="62"/>
  <c r="L28" i="62"/>
  <c r="X21" i="251"/>
  <c r="J24" i="62"/>
  <c r="N23" i="62"/>
  <c r="L23" i="62"/>
  <c r="X26" i="251"/>
  <c r="Y26" i="251" s="1"/>
  <c r="O12" i="257"/>
  <c r="O11" i="257"/>
  <c r="T11" i="257" s="1"/>
  <c r="V11" i="257" s="1"/>
  <c r="O10" i="257"/>
  <c r="T10" i="257" s="1"/>
  <c r="U10" i="257" s="1"/>
  <c r="O14" i="257"/>
  <c r="T14" i="257" s="1"/>
  <c r="O27" i="257"/>
  <c r="O29" i="257"/>
  <c r="O13" i="257"/>
  <c r="T13" i="257" s="1"/>
  <c r="U13" i="257" s="1"/>
  <c r="W13" i="257" s="1"/>
  <c r="K25" i="133"/>
  <c r="B25" i="133" s="1"/>
  <c r="G25" i="133" s="1"/>
  <c r="B3" i="41" s="1"/>
  <c r="J25" i="39" s="1"/>
  <c r="J26" i="133"/>
  <c r="U12" i="257"/>
  <c r="W12" i="257" s="1"/>
  <c r="V12" i="257"/>
  <c r="W10" i="251"/>
  <c r="X10" i="251" s="1"/>
  <c r="Y10" i="251" s="1"/>
  <c r="U41" i="251"/>
  <c r="U42" i="251"/>
  <c r="U43" i="251"/>
  <c r="U44" i="251"/>
  <c r="U45" i="251"/>
  <c r="U46" i="251"/>
  <c r="D21" i="11"/>
  <c r="D22" i="11"/>
  <c r="D31" i="11"/>
  <c r="Y43" i="250"/>
  <c r="Y44" i="250"/>
  <c r="AB43" i="250" s="1"/>
  <c r="AB45" i="250" s="1"/>
  <c r="Y41" i="250"/>
  <c r="Y45" i="250"/>
  <c r="Y42" i="250"/>
  <c r="Y46" i="250"/>
  <c r="L40" i="48"/>
  <c r="N40" i="48"/>
  <c r="X31" i="251"/>
  <c r="Y31" i="251" s="1"/>
  <c r="X33" i="251"/>
  <c r="Y33" i="251" s="1"/>
  <c r="V41" i="251"/>
  <c r="V42" i="251"/>
  <c r="V43" i="251"/>
  <c r="V44" i="251"/>
  <c r="V45" i="251"/>
  <c r="V46" i="251"/>
  <c r="L44" i="48"/>
  <c r="N44" i="48"/>
  <c r="N36" i="62"/>
  <c r="L36" i="62"/>
  <c r="J32" i="48"/>
  <c r="L31" i="48"/>
  <c r="N31" i="48"/>
  <c r="J86" i="52" l="1"/>
  <c r="G116" i="241"/>
  <c r="I114" i="241"/>
  <c r="G117" i="241"/>
  <c r="G126" i="241" s="1"/>
  <c r="X15" i="257"/>
  <c r="V10" i="257"/>
  <c r="U18" i="257"/>
  <c r="W18" i="257" s="1"/>
  <c r="V18" i="257"/>
  <c r="V16" i="257"/>
  <c r="U16" i="257"/>
  <c r="W16" i="257" s="1"/>
  <c r="X17" i="257"/>
  <c r="E86" i="73"/>
  <c r="E185" i="73" s="1"/>
  <c r="E202" i="73" s="1"/>
  <c r="I185" i="73" s="1"/>
  <c r="K185" i="73" s="1"/>
  <c r="E82" i="73"/>
  <c r="E177" i="73" s="1"/>
  <c r="E194" i="73" s="1"/>
  <c r="I177" i="73" s="1"/>
  <c r="K177" i="73" s="1"/>
  <c r="E84" i="73"/>
  <c r="E125" i="73" s="1"/>
  <c r="G108" i="52"/>
  <c r="G116" i="52" s="1"/>
  <c r="G121" i="52" s="1"/>
  <c r="E85" i="73"/>
  <c r="E184" i="73" s="1"/>
  <c r="E201" i="73" s="1"/>
  <c r="I184" i="73" s="1"/>
  <c r="K184" i="73" s="1"/>
  <c r="G106" i="52"/>
  <c r="G114" i="52" s="1"/>
  <c r="G107" i="52"/>
  <c r="G115" i="52" s="1"/>
  <c r="E64" i="52"/>
  <c r="G113" i="52"/>
  <c r="F114" i="241"/>
  <c r="G52" i="241"/>
  <c r="G55" i="241" s="1"/>
  <c r="G56" i="241" s="1"/>
  <c r="G122" i="241" s="1"/>
  <c r="I107" i="52"/>
  <c r="H105" i="52"/>
  <c r="H113" i="52" s="1"/>
  <c r="H108" i="52"/>
  <c r="D84" i="73"/>
  <c r="D125" i="73" s="1"/>
  <c r="D83" i="73"/>
  <c r="D86" i="73"/>
  <c r="D92" i="73" s="1"/>
  <c r="D95" i="73" s="1"/>
  <c r="D99" i="73" s="1"/>
  <c r="D103" i="73" s="1"/>
  <c r="E11" i="236" s="1"/>
  <c r="E14" i="236" s="1"/>
  <c r="E15" i="236" s="1"/>
  <c r="D82" i="73"/>
  <c r="D85" i="73"/>
  <c r="F115" i="52"/>
  <c r="H53" i="52"/>
  <c r="H52" i="52"/>
  <c r="H55" i="52" s="1"/>
  <c r="G58" i="52"/>
  <c r="G59" i="52" s="1"/>
  <c r="G62" i="52" s="1"/>
  <c r="G52" i="52"/>
  <c r="G55" i="52" s="1"/>
  <c r="F58" i="52"/>
  <c r="F59" i="52" s="1"/>
  <c r="I105" i="52"/>
  <c r="F113" i="52"/>
  <c r="G104" i="52"/>
  <c r="G112" i="52" s="1"/>
  <c r="D96" i="52"/>
  <c r="F116" i="52"/>
  <c r="F121" i="52" s="1"/>
  <c r="H84" i="52"/>
  <c r="H83" i="52"/>
  <c r="H82" i="52"/>
  <c r="H80" i="52"/>
  <c r="H106" i="52"/>
  <c r="H107" i="52"/>
  <c r="H104" i="52"/>
  <c r="F114" i="52"/>
  <c r="I84" i="52"/>
  <c r="I82" i="52"/>
  <c r="I83" i="52"/>
  <c r="I80" i="52"/>
  <c r="I104" i="52"/>
  <c r="I106" i="52"/>
  <c r="I108" i="52"/>
  <c r="G86" i="52"/>
  <c r="F112" i="52"/>
  <c r="F86" i="52"/>
  <c r="E112" i="52"/>
  <c r="F118" i="52"/>
  <c r="D119" i="52" s="1"/>
  <c r="F56" i="52"/>
  <c r="F61" i="52" s="1"/>
  <c r="E180" i="73"/>
  <c r="E197" i="73" s="1"/>
  <c r="I180" i="73" s="1"/>
  <c r="K180" i="73" s="1"/>
  <c r="E145" i="73"/>
  <c r="F30" i="236" s="1"/>
  <c r="E179" i="73"/>
  <c r="E196" i="73" s="1"/>
  <c r="I179" i="73" s="1"/>
  <c r="K179" i="73" s="1"/>
  <c r="E148" i="73"/>
  <c r="E152" i="73" s="1"/>
  <c r="F31" i="236" s="1"/>
  <c r="I116" i="241"/>
  <c r="G53" i="241"/>
  <c r="H52" i="241" s="1"/>
  <c r="H55" i="241" s="1"/>
  <c r="G113" i="241"/>
  <c r="G115" i="241"/>
  <c r="F115" i="241"/>
  <c r="H115" i="241"/>
  <c r="G114" i="241"/>
  <c r="H114" i="241"/>
  <c r="F109" i="241"/>
  <c r="I113" i="241"/>
  <c r="H113" i="241"/>
  <c r="V13" i="257"/>
  <c r="X13" i="257" s="1"/>
  <c r="Y13" i="257" s="1"/>
  <c r="H116" i="241"/>
  <c r="H18" i="245"/>
  <c r="H15" i="245"/>
  <c r="H17" i="245"/>
  <c r="H19" i="245"/>
  <c r="H16" i="245"/>
  <c r="U11" i="257"/>
  <c r="W11" i="257" s="1"/>
  <c r="X11" i="257" s="1"/>
  <c r="Y11" i="257" s="1"/>
  <c r="Y12" i="257"/>
  <c r="X12" i="257"/>
  <c r="H117" i="241"/>
  <c r="H126" i="241" s="1"/>
  <c r="I117" i="241"/>
  <c r="I126" i="241" s="1"/>
  <c r="G109" i="241"/>
  <c r="G86" i="241"/>
  <c r="F86" i="241"/>
  <c r="E118" i="241"/>
  <c r="D118" i="241"/>
  <c r="F62" i="241"/>
  <c r="E61" i="241"/>
  <c r="E64" i="241" s="1"/>
  <c r="E29" i="273" s="1"/>
  <c r="I10" i="245"/>
  <c r="F61" i="241"/>
  <c r="D96" i="241"/>
  <c r="Y10" i="256"/>
  <c r="X23" i="256"/>
  <c r="X25" i="256"/>
  <c r="X21" i="256"/>
  <c r="X24" i="256"/>
  <c r="X22" i="256"/>
  <c r="X20" i="256"/>
  <c r="H103" i="6"/>
  <c r="J103" i="6"/>
  <c r="L103" i="6"/>
  <c r="G103" i="6"/>
  <c r="K103" i="6"/>
  <c r="I103" i="6"/>
  <c r="F103" i="6"/>
  <c r="F97" i="6"/>
  <c r="F99" i="6"/>
  <c r="G99" i="6"/>
  <c r="H99" i="6"/>
  <c r="F96" i="6"/>
  <c r="M104" i="6"/>
  <c r="K104" i="6"/>
  <c r="H104" i="6"/>
  <c r="F104" i="6"/>
  <c r="L104" i="6"/>
  <c r="J104" i="6"/>
  <c r="I104" i="6"/>
  <c r="G104" i="6"/>
  <c r="M105" i="6"/>
  <c r="G105" i="6"/>
  <c r="H105" i="6"/>
  <c r="F105" i="6"/>
  <c r="K105" i="6"/>
  <c r="L105" i="6"/>
  <c r="J105" i="6"/>
  <c r="I105" i="6"/>
  <c r="N105" i="6"/>
  <c r="J102" i="6"/>
  <c r="K102" i="6"/>
  <c r="H102" i="6"/>
  <c r="G102" i="6"/>
  <c r="I102" i="6"/>
  <c r="F102" i="6"/>
  <c r="G100" i="6"/>
  <c r="H100" i="6"/>
  <c r="I100" i="6"/>
  <c r="F100" i="6"/>
  <c r="F101" i="6"/>
  <c r="J101" i="6"/>
  <c r="H101" i="6"/>
  <c r="G101" i="6"/>
  <c r="I101" i="6"/>
  <c r="G98" i="6"/>
  <c r="F98" i="6"/>
  <c r="D24" i="11"/>
  <c r="D65" i="11" s="1"/>
  <c r="Y44" i="251"/>
  <c r="AB43" i="251" s="1"/>
  <c r="AB45" i="251" s="1"/>
  <c r="T23" i="257"/>
  <c r="O20" i="257"/>
  <c r="O21" i="257"/>
  <c r="O22" i="257"/>
  <c r="O23" i="257"/>
  <c r="O24" i="257"/>
  <c r="O25" i="257"/>
  <c r="T25" i="257"/>
  <c r="T21" i="257"/>
  <c r="X44" i="251"/>
  <c r="X41" i="251"/>
  <c r="X45" i="251"/>
  <c r="X42" i="251"/>
  <c r="X46" i="251"/>
  <c r="X43" i="251"/>
  <c r="Y43" i="251"/>
  <c r="N32" i="48"/>
  <c r="N46" i="48" s="1"/>
  <c r="N48" i="48" s="1"/>
  <c r="L32" i="48"/>
  <c r="L46" i="48" s="1"/>
  <c r="L48" i="48" s="1"/>
  <c r="D34" i="11"/>
  <c r="D35" i="11" s="1"/>
  <c r="D37" i="11" s="1"/>
  <c r="T24" i="257"/>
  <c r="T20" i="257"/>
  <c r="Y46" i="251"/>
  <c r="Y42" i="251"/>
  <c r="W41" i="251"/>
  <c r="W42" i="251"/>
  <c r="W43" i="251"/>
  <c r="W44" i="251"/>
  <c r="W45" i="251"/>
  <c r="W46" i="251"/>
  <c r="K26" i="133"/>
  <c r="B26" i="133" s="1"/>
  <c r="G26" i="133" s="1"/>
  <c r="B3" i="40" s="1"/>
  <c r="B164" i="73" s="1"/>
  <c r="J27" i="133"/>
  <c r="W10" i="257"/>
  <c r="Y45" i="251"/>
  <c r="Y41" i="251"/>
  <c r="U14" i="257"/>
  <c r="W14" i="257" s="1"/>
  <c r="V14" i="257"/>
  <c r="T22" i="257"/>
  <c r="N24" i="62"/>
  <c r="N38" i="62" s="1"/>
  <c r="N42" i="62" s="1"/>
  <c r="N45" i="62" s="1"/>
  <c r="N47" i="62" s="1"/>
  <c r="N51" i="62" s="1"/>
  <c r="N53" i="62" s="1"/>
  <c r="L24" i="62"/>
  <c r="L38" i="62" s="1"/>
  <c r="L42" i="62" s="1"/>
  <c r="L45" i="62" s="1"/>
  <c r="L47" i="62" s="1"/>
  <c r="L51" i="62" s="1"/>
  <c r="L53" i="62" s="1"/>
  <c r="F36" i="229"/>
  <c r="J36" i="229"/>
  <c r="N36" i="229"/>
  <c r="G36" i="229"/>
  <c r="K36" i="229"/>
  <c r="O36" i="229"/>
  <c r="H36" i="229"/>
  <c r="L36" i="229"/>
  <c r="P36" i="229"/>
  <c r="I36" i="229"/>
  <c r="M36" i="229"/>
  <c r="C37" i="229"/>
  <c r="H29" i="273" l="1"/>
  <c r="D29" i="273"/>
  <c r="I29" i="273" s="1"/>
  <c r="K29" i="273" s="1"/>
  <c r="E169" i="73"/>
  <c r="E92" i="73"/>
  <c r="E95" i="73" s="1"/>
  <c r="E99" i="73" s="1"/>
  <c r="E103" i="73" s="1"/>
  <c r="I18" i="73" s="1"/>
  <c r="H114" i="52"/>
  <c r="H115" i="52"/>
  <c r="E176" i="73"/>
  <c r="E193" i="73" s="1"/>
  <c r="I176" i="73" s="1"/>
  <c r="K176" i="73" s="1"/>
  <c r="J31" i="133"/>
  <c r="K31" i="133" s="1"/>
  <c r="J38" i="133"/>
  <c r="K30" i="133"/>
  <c r="X10" i="257"/>
  <c r="Y10" i="257" s="1"/>
  <c r="H112" i="52"/>
  <c r="E182" i="73"/>
  <c r="E199" i="73" s="1"/>
  <c r="I17" i="73" s="1"/>
  <c r="X18" i="257"/>
  <c r="Y18" i="257" s="1"/>
  <c r="X16" i="257"/>
  <c r="Y16" i="257" s="1"/>
  <c r="F64" i="241"/>
  <c r="F93" i="241" s="1"/>
  <c r="E93" i="52"/>
  <c r="E90" i="52"/>
  <c r="E92" i="52"/>
  <c r="E94" i="52"/>
  <c r="E91" i="52"/>
  <c r="E29" i="257"/>
  <c r="E93" i="241"/>
  <c r="E90" i="241"/>
  <c r="E92" i="241"/>
  <c r="E94" i="241"/>
  <c r="E91" i="241"/>
  <c r="E109" i="73"/>
  <c r="E116" i="73" s="1"/>
  <c r="E120" i="73" s="1"/>
  <c r="E183" i="73"/>
  <c r="E200" i="73" s="1"/>
  <c r="I183" i="73" s="1"/>
  <c r="K183" i="73" s="1"/>
  <c r="E88" i="73"/>
  <c r="E89" i="73" s="1"/>
  <c r="H116" i="52"/>
  <c r="H121" i="52" s="1"/>
  <c r="F118" i="241"/>
  <c r="G120" i="241"/>
  <c r="J10" i="245" s="1"/>
  <c r="I115" i="52"/>
  <c r="D132" i="73"/>
  <c r="D136" i="73" s="1"/>
  <c r="E21" i="236" s="1"/>
  <c r="D129" i="73"/>
  <c r="E20" i="236" s="1"/>
  <c r="G58" i="241"/>
  <c r="G59" i="241" s="1"/>
  <c r="G62" i="241" s="1"/>
  <c r="I86" i="52"/>
  <c r="H86" i="52"/>
  <c r="D127" i="241"/>
  <c r="D10" i="248" s="1"/>
  <c r="D88" i="73"/>
  <c r="D89" i="73" s="1"/>
  <c r="D109" i="73"/>
  <c r="I116" i="52"/>
  <c r="I121" i="52" s="1"/>
  <c r="I113" i="52"/>
  <c r="D141" i="73"/>
  <c r="D145" i="73" s="1"/>
  <c r="E30" i="236" s="1"/>
  <c r="F32" i="236"/>
  <c r="F35" i="236" s="1"/>
  <c r="G118" i="52"/>
  <c r="G56" i="52"/>
  <c r="G61" i="52" s="1"/>
  <c r="G64" i="52" s="1"/>
  <c r="E132" i="73"/>
  <c r="E136" i="73" s="1"/>
  <c r="F21" i="236" s="1"/>
  <c r="E129" i="73"/>
  <c r="F20" i="236" s="1"/>
  <c r="I112" i="52"/>
  <c r="I114" i="52"/>
  <c r="H56" i="52"/>
  <c r="H61" i="52" s="1"/>
  <c r="H118" i="52"/>
  <c r="F62" i="52"/>
  <c r="F64" i="52" s="1"/>
  <c r="I53" i="52"/>
  <c r="H58" i="52"/>
  <c r="H59" i="52" s="1"/>
  <c r="I52" i="52"/>
  <c r="I55" i="52" s="1"/>
  <c r="G118" i="241"/>
  <c r="H53" i="241"/>
  <c r="H58" i="241" s="1"/>
  <c r="H59" i="241" s="1"/>
  <c r="H62" i="241" s="1"/>
  <c r="E29" i="12"/>
  <c r="E29" i="244"/>
  <c r="I19" i="245"/>
  <c r="I15" i="245"/>
  <c r="I16" i="245"/>
  <c r="I18" i="245"/>
  <c r="I17" i="245"/>
  <c r="H118" i="241"/>
  <c r="I118" i="241"/>
  <c r="G61" i="241"/>
  <c r="H56" i="241"/>
  <c r="H122" i="241" s="1"/>
  <c r="H120" i="241"/>
  <c r="J100" i="6"/>
  <c r="K100" i="6" s="1"/>
  <c r="H98" i="6"/>
  <c r="I98" i="6" s="1"/>
  <c r="J98" i="6" s="1"/>
  <c r="K98" i="6" s="1"/>
  <c r="G96" i="6"/>
  <c r="H96" i="6" s="1"/>
  <c r="I96" i="6" s="1"/>
  <c r="J96" i="6" s="1"/>
  <c r="M103" i="6"/>
  <c r="N103" i="6" s="1"/>
  <c r="O103" i="6" s="1"/>
  <c r="O105" i="6"/>
  <c r="Y21" i="256"/>
  <c r="Y20" i="256"/>
  <c r="Y22" i="256"/>
  <c r="Y23" i="256"/>
  <c r="AB22" i="256" s="1"/>
  <c r="AB24" i="256" s="1"/>
  <c r="Y25" i="256"/>
  <c r="Y24" i="256"/>
  <c r="N104" i="6"/>
  <c r="O104" i="6" s="1"/>
  <c r="X14" i="257"/>
  <c r="Y14" i="257" s="1"/>
  <c r="L102" i="6"/>
  <c r="M102" i="6" s="1"/>
  <c r="N102" i="6" s="1"/>
  <c r="O102" i="6" s="1"/>
  <c r="F107" i="6"/>
  <c r="F52" i="6" s="1"/>
  <c r="F33" i="6" s="1"/>
  <c r="F35" i="6" s="1"/>
  <c r="K101" i="6"/>
  <c r="I99" i="6"/>
  <c r="G97" i="6"/>
  <c r="L53" i="48"/>
  <c r="I37" i="229"/>
  <c r="M37" i="229"/>
  <c r="C38" i="229"/>
  <c r="F37" i="229"/>
  <c r="J37" i="229"/>
  <c r="N37" i="229"/>
  <c r="G37" i="229"/>
  <c r="K37" i="229"/>
  <c r="O37" i="229"/>
  <c r="H37" i="229"/>
  <c r="L37" i="229"/>
  <c r="P37" i="229"/>
  <c r="V24" i="257"/>
  <c r="V20" i="257"/>
  <c r="U25" i="257"/>
  <c r="U21" i="257"/>
  <c r="N53" i="48"/>
  <c r="U24" i="257"/>
  <c r="U20" i="257"/>
  <c r="V23" i="257"/>
  <c r="V22" i="257"/>
  <c r="U23" i="257"/>
  <c r="W20" i="257"/>
  <c r="W21" i="257"/>
  <c r="W22" i="257"/>
  <c r="W23" i="257"/>
  <c r="W24" i="257"/>
  <c r="W25" i="257"/>
  <c r="V25" i="257"/>
  <c r="V21" i="257"/>
  <c r="U22" i="257"/>
  <c r="K27" i="133"/>
  <c r="B27" i="133" s="1"/>
  <c r="G27" i="133" s="1"/>
  <c r="B3" i="38" s="1"/>
  <c r="F11" i="236" l="1"/>
  <c r="F14" i="236" s="1"/>
  <c r="F15" i="236" s="1"/>
  <c r="E171" i="73"/>
  <c r="H29" i="257"/>
  <c r="D29" i="257"/>
  <c r="I29" i="257" s="1"/>
  <c r="K29" i="257" s="1"/>
  <c r="H29" i="12"/>
  <c r="D29" i="12"/>
  <c r="I29" i="12" s="1"/>
  <c r="K29" i="12" s="1"/>
  <c r="AB25" i="12" s="1"/>
  <c r="H29" i="244"/>
  <c r="D29" i="244"/>
  <c r="I29" i="244" s="1"/>
  <c r="K29" i="244" s="1"/>
  <c r="T29" i="273"/>
  <c r="I182" i="73"/>
  <c r="K182" i="73" s="1"/>
  <c r="K187" i="73" s="1"/>
  <c r="D122" i="52"/>
  <c r="D14" i="248" s="1"/>
  <c r="E113" i="73"/>
  <c r="E29" i="272" s="1"/>
  <c r="I53" i="241"/>
  <c r="I58" i="241" s="1"/>
  <c r="I59" i="241" s="1"/>
  <c r="I62" i="241" s="1"/>
  <c r="J39" i="133"/>
  <c r="K39" i="133" s="1"/>
  <c r="K38" i="133"/>
  <c r="F91" i="241"/>
  <c r="F92" i="241"/>
  <c r="F90" i="241"/>
  <c r="F94" i="241"/>
  <c r="F94" i="52"/>
  <c r="F91" i="52"/>
  <c r="F93" i="52"/>
  <c r="F90" i="52"/>
  <c r="F92" i="52"/>
  <c r="G91" i="52"/>
  <c r="G93" i="52"/>
  <c r="G90" i="52"/>
  <c r="G94" i="52"/>
  <c r="G92" i="52"/>
  <c r="G89" i="73"/>
  <c r="D8" i="248" s="1"/>
  <c r="E22" i="236"/>
  <c r="E25" i="236" s="1"/>
  <c r="E96" i="52"/>
  <c r="G64" i="241"/>
  <c r="K10" i="245"/>
  <c r="K19" i="245" s="1"/>
  <c r="D148" i="73"/>
  <c r="D152" i="73" s="1"/>
  <c r="E31" i="236" s="1"/>
  <c r="E32" i="236" s="1"/>
  <c r="E35" i="236" s="1"/>
  <c r="D116" i="73"/>
  <c r="D120" i="73" s="1"/>
  <c r="D113" i="73"/>
  <c r="I52" i="241"/>
  <c r="I55" i="241" s="1"/>
  <c r="I56" i="241" s="1"/>
  <c r="I122" i="241" s="1"/>
  <c r="F22" i="236"/>
  <c r="F25" i="236" s="1"/>
  <c r="H62" i="52"/>
  <c r="H64" i="52" s="1"/>
  <c r="I56" i="52"/>
  <c r="I61" i="52" s="1"/>
  <c r="I118" i="52"/>
  <c r="J52" i="52"/>
  <c r="J55" i="52" s="1"/>
  <c r="J56" i="52" s="1"/>
  <c r="J61" i="52" s="1"/>
  <c r="J64" i="52" s="1"/>
  <c r="I58" i="52"/>
  <c r="I59" i="52" s="1"/>
  <c r="I62" i="52" s="1"/>
  <c r="J16" i="245"/>
  <c r="J17" i="245"/>
  <c r="J15" i="245"/>
  <c r="J18" i="245"/>
  <c r="J19" i="245"/>
  <c r="E96" i="241"/>
  <c r="H61" i="241"/>
  <c r="H64" i="241" s="1"/>
  <c r="L100" i="6"/>
  <c r="M100" i="6" s="1"/>
  <c r="N100" i="6" s="1"/>
  <c r="H97" i="6"/>
  <c r="H107" i="6" s="1"/>
  <c r="H52" i="6" s="1"/>
  <c r="H33" i="6" s="1"/>
  <c r="H35" i="6" s="1"/>
  <c r="J99" i="6"/>
  <c r="K96" i="6"/>
  <c r="G107" i="6"/>
  <c r="G52" i="6" s="1"/>
  <c r="G33" i="6" s="1"/>
  <c r="G35" i="6" s="1"/>
  <c r="L101" i="6"/>
  <c r="M101" i="6" s="1"/>
  <c r="F41" i="6"/>
  <c r="F40" i="6"/>
  <c r="F36" i="6"/>
  <c r="X25" i="257"/>
  <c r="Y23" i="257"/>
  <c r="AB22" i="257" s="1"/>
  <c r="Y20" i="257"/>
  <c r="Y24" i="257"/>
  <c r="Y21" i="257"/>
  <c r="Y25" i="257"/>
  <c r="Y22" i="257"/>
  <c r="B30" i="133"/>
  <c r="G30" i="133" s="1"/>
  <c r="B3" i="48" s="1"/>
  <c r="X21" i="257"/>
  <c r="L98" i="6"/>
  <c r="X23" i="257"/>
  <c r="X24" i="257"/>
  <c r="I38" i="229"/>
  <c r="I40" i="229" s="1"/>
  <c r="I42" i="229" s="1"/>
  <c r="M38" i="229"/>
  <c r="M40" i="229" s="1"/>
  <c r="M42" i="229" s="1"/>
  <c r="F38" i="229"/>
  <c r="F40" i="229" s="1"/>
  <c r="F42" i="229" s="1"/>
  <c r="J38" i="229"/>
  <c r="J40" i="229" s="1"/>
  <c r="J42" i="229" s="1"/>
  <c r="N38" i="229"/>
  <c r="N40" i="229" s="1"/>
  <c r="N42" i="229" s="1"/>
  <c r="G38" i="229"/>
  <c r="G40" i="229" s="1"/>
  <c r="G42" i="229" s="1"/>
  <c r="K38" i="229"/>
  <c r="K40" i="229" s="1"/>
  <c r="K42" i="229" s="1"/>
  <c r="O38" i="229"/>
  <c r="O40" i="229" s="1"/>
  <c r="O42" i="229" s="1"/>
  <c r="H38" i="229"/>
  <c r="H40" i="229" s="1"/>
  <c r="H42" i="229" s="1"/>
  <c r="L38" i="229"/>
  <c r="L40" i="229" s="1"/>
  <c r="L42" i="229" s="1"/>
  <c r="P38" i="229"/>
  <c r="P40" i="229" s="1"/>
  <c r="X22" i="257"/>
  <c r="X20" i="257"/>
  <c r="E29" i="249" l="1"/>
  <c r="H29" i="249"/>
  <c r="D29" i="249"/>
  <c r="I29" i="249" s="1"/>
  <c r="K29" i="249" s="1"/>
  <c r="H29" i="272"/>
  <c r="D29" i="272"/>
  <c r="I29" i="272" s="1"/>
  <c r="K29" i="272" s="1"/>
  <c r="AB25" i="272" s="1"/>
  <c r="V29" i="273"/>
  <c r="U29" i="273"/>
  <c r="W29" i="273" s="1"/>
  <c r="J52" i="241"/>
  <c r="J55" i="241" s="1"/>
  <c r="J56" i="241" s="1"/>
  <c r="J94" i="52"/>
  <c r="J90" i="52"/>
  <c r="J91" i="52"/>
  <c r="J92" i="52"/>
  <c r="J93" i="52"/>
  <c r="H92" i="52"/>
  <c r="H94" i="52"/>
  <c r="H93" i="52"/>
  <c r="H91" i="52"/>
  <c r="H90" i="52"/>
  <c r="G90" i="241"/>
  <c r="G94" i="241"/>
  <c r="G91" i="241"/>
  <c r="G93" i="241"/>
  <c r="G92" i="241"/>
  <c r="H90" i="241"/>
  <c r="H92" i="241"/>
  <c r="H94" i="241"/>
  <c r="H91" i="241"/>
  <c r="H93" i="241"/>
  <c r="K17" i="245"/>
  <c r="K18" i="245"/>
  <c r="K15" i="245"/>
  <c r="K16" i="245"/>
  <c r="I120" i="241"/>
  <c r="L10" i="245" s="1"/>
  <c r="L19" i="245" s="1"/>
  <c r="I64" i="52"/>
  <c r="F96" i="52"/>
  <c r="G96" i="52"/>
  <c r="F96" i="241"/>
  <c r="I61" i="241"/>
  <c r="I64" i="241" s="1"/>
  <c r="F45" i="6"/>
  <c r="F47" i="6" s="1"/>
  <c r="F49" i="6" s="1"/>
  <c r="F55" i="6" s="1"/>
  <c r="F59" i="6" s="1"/>
  <c r="F64" i="6" s="1"/>
  <c r="N101" i="6"/>
  <c r="O101" i="6" s="1"/>
  <c r="K99" i="6"/>
  <c r="I97" i="6"/>
  <c r="F43" i="6"/>
  <c r="G39" i="6" s="1"/>
  <c r="G36" i="6"/>
  <c r="G41" i="6"/>
  <c r="G40" i="6"/>
  <c r="L96" i="6"/>
  <c r="O100" i="6"/>
  <c r="H40" i="6"/>
  <c r="H36" i="6"/>
  <c r="H41" i="6"/>
  <c r="J32" i="133"/>
  <c r="B31" i="133"/>
  <c r="G31" i="133" s="1"/>
  <c r="B3" i="47" s="1"/>
  <c r="M98" i="6"/>
  <c r="T29" i="272" l="1"/>
  <c r="X29" i="273"/>
  <c r="Y29" i="273" s="1"/>
  <c r="AB21" i="273" s="1"/>
  <c r="AB24" i="273" s="1"/>
  <c r="AB26" i="273" s="1"/>
  <c r="K190" i="73"/>
  <c r="K189" i="73"/>
  <c r="I93" i="52"/>
  <c r="L93" i="52" s="1"/>
  <c r="D12" i="66" s="1"/>
  <c r="H12" i="66" s="1"/>
  <c r="I90" i="52"/>
  <c r="I91" i="52"/>
  <c r="L91" i="52" s="1"/>
  <c r="D10" i="66" s="1"/>
  <c r="H10" i="66" s="1"/>
  <c r="I94" i="52"/>
  <c r="L94" i="52" s="1"/>
  <c r="D13" i="66" s="1"/>
  <c r="H13" i="66" s="1"/>
  <c r="L13" i="66" s="1"/>
  <c r="O12" i="66" s="1"/>
  <c r="I92" i="52"/>
  <c r="L92" i="52" s="1"/>
  <c r="D11" i="66" s="1"/>
  <c r="H11" i="66" s="1"/>
  <c r="I91" i="241"/>
  <c r="I90" i="241"/>
  <c r="I92" i="241"/>
  <c r="I94" i="241"/>
  <c r="I93" i="241"/>
  <c r="G96" i="241"/>
  <c r="H96" i="52"/>
  <c r="L16" i="245"/>
  <c r="L15" i="245"/>
  <c r="L18" i="245"/>
  <c r="L17" i="245"/>
  <c r="J96" i="52"/>
  <c r="H96" i="241"/>
  <c r="M10" i="245"/>
  <c r="J61" i="241"/>
  <c r="J64" i="241" s="1"/>
  <c r="G45" i="6"/>
  <c r="G47" i="6" s="1"/>
  <c r="G49" i="6" s="1"/>
  <c r="G55" i="6" s="1"/>
  <c r="G59" i="6" s="1"/>
  <c r="G64" i="6" s="1"/>
  <c r="G43" i="6"/>
  <c r="H39" i="6" s="1"/>
  <c r="H43" i="6" s="1"/>
  <c r="I39" i="6" s="1"/>
  <c r="H45" i="6"/>
  <c r="H47" i="6" s="1"/>
  <c r="H49" i="6" s="1"/>
  <c r="H55" i="6" s="1"/>
  <c r="H59" i="6" s="1"/>
  <c r="H64" i="6" s="1"/>
  <c r="M96" i="6"/>
  <c r="N96" i="6" s="1"/>
  <c r="O96" i="6" s="1"/>
  <c r="I107" i="6"/>
  <c r="I52" i="6" s="1"/>
  <c r="I33" i="6" s="1"/>
  <c r="I35" i="6" s="1"/>
  <c r="J97" i="6"/>
  <c r="J107" i="6" s="1"/>
  <c r="J52" i="6" s="1"/>
  <c r="J33" i="6" s="1"/>
  <c r="J35" i="6" s="1"/>
  <c r="L99" i="6"/>
  <c r="M99" i="6" s="1"/>
  <c r="N99" i="6" s="1"/>
  <c r="O99" i="6" s="1"/>
  <c r="T27" i="249"/>
  <c r="T27" i="257"/>
  <c r="K48" i="250"/>
  <c r="T48" i="250" s="1"/>
  <c r="K27" i="256"/>
  <c r="T27" i="256" s="1"/>
  <c r="K48" i="251"/>
  <c r="T48" i="251" s="1"/>
  <c r="P20" i="4"/>
  <c r="N98" i="6"/>
  <c r="J33" i="133"/>
  <c r="K32" i="133"/>
  <c r="B32" i="133" s="1"/>
  <c r="G32" i="133" s="1"/>
  <c r="B3" i="172" s="1"/>
  <c r="V29" i="272" l="1"/>
  <c r="U29" i="272"/>
  <c r="W29" i="272" s="1"/>
  <c r="X29" i="272" s="1"/>
  <c r="Y29" i="272" s="1"/>
  <c r="AB21" i="272" s="1"/>
  <c r="AB24" i="272" s="1"/>
  <c r="AB26" i="272" s="1"/>
  <c r="J91" i="241"/>
  <c r="L91" i="241" s="1"/>
  <c r="J93" i="241"/>
  <c r="L93" i="241" s="1"/>
  <c r="J90" i="241"/>
  <c r="J92" i="241"/>
  <c r="L92" i="241" s="1"/>
  <c r="J94" i="241"/>
  <c r="L94" i="241" s="1"/>
  <c r="K17" i="73"/>
  <c r="P5" i="66"/>
  <c r="P6" i="66" s="1"/>
  <c r="F9" i="271"/>
  <c r="M9" i="271" s="1"/>
  <c r="D33" i="248" s="1"/>
  <c r="K18" i="73"/>
  <c r="I96" i="52"/>
  <c r="L90" i="52"/>
  <c r="M19" i="245"/>
  <c r="E19" i="245" s="1"/>
  <c r="M15" i="245"/>
  <c r="M16" i="245"/>
  <c r="E16" i="245" s="1"/>
  <c r="M18" i="245"/>
  <c r="E18" i="245" s="1"/>
  <c r="M17" i="245"/>
  <c r="E17" i="245" s="1"/>
  <c r="I96" i="241"/>
  <c r="P10" i="245"/>
  <c r="J36" i="6"/>
  <c r="J40" i="6"/>
  <c r="I40" i="6"/>
  <c r="I41" i="6" s="1"/>
  <c r="I36" i="6"/>
  <c r="K97" i="6"/>
  <c r="K50" i="251"/>
  <c r="K29" i="256"/>
  <c r="K50" i="250"/>
  <c r="T27" i="12"/>
  <c r="U27" i="12" s="1"/>
  <c r="W27" i="12" s="1"/>
  <c r="T27" i="244"/>
  <c r="V27" i="244" s="1"/>
  <c r="U27" i="249"/>
  <c r="W27" i="249" s="1"/>
  <c r="V27" i="249"/>
  <c r="T29" i="244"/>
  <c r="T29" i="12"/>
  <c r="V48" i="251"/>
  <c r="U48" i="251"/>
  <c r="W48" i="251" s="1"/>
  <c r="U27" i="256"/>
  <c r="W27" i="256" s="1"/>
  <c r="V27" i="256"/>
  <c r="U48" i="250"/>
  <c r="W48" i="250" s="1"/>
  <c r="V48" i="250"/>
  <c r="U27" i="257"/>
  <c r="W27" i="257" s="1"/>
  <c r="V27" i="257"/>
  <c r="J34" i="133"/>
  <c r="K33" i="133"/>
  <c r="B33" i="133" s="1"/>
  <c r="G33" i="133" s="1"/>
  <c r="B3" i="53" s="1"/>
  <c r="O98" i="6"/>
  <c r="F19" i="271" l="1"/>
  <c r="C24" i="156" s="1"/>
  <c r="F11" i="271"/>
  <c r="Q6" i="66"/>
  <c r="D18" i="248" s="1"/>
  <c r="D9" i="66"/>
  <c r="L96" i="52"/>
  <c r="N96" i="52" s="1"/>
  <c r="D12" i="248" s="1"/>
  <c r="E15" i="245"/>
  <c r="E20" i="245" s="1"/>
  <c r="H23" i="245"/>
  <c r="D13" i="242"/>
  <c r="H13" i="242" s="1"/>
  <c r="D11" i="236" s="1"/>
  <c r="D19" i="245"/>
  <c r="D16" i="245"/>
  <c r="D10" i="242"/>
  <c r="H10" i="242" s="1"/>
  <c r="D35" i="236" s="1"/>
  <c r="C45" i="236" s="1"/>
  <c r="J45" i="236" s="1"/>
  <c r="D18" i="245"/>
  <c r="D12" i="242"/>
  <c r="H12" i="242" s="1"/>
  <c r="J96" i="241"/>
  <c r="L90" i="241"/>
  <c r="D11" i="242"/>
  <c r="H11" i="242" s="1"/>
  <c r="D17" i="245"/>
  <c r="AB46" i="251"/>
  <c r="I50" i="251"/>
  <c r="AB46" i="250"/>
  <c r="I50" i="250"/>
  <c r="AB25" i="249"/>
  <c r="AB25" i="256"/>
  <c r="I29" i="256"/>
  <c r="AB25" i="257"/>
  <c r="I45" i="6"/>
  <c r="I47" i="6" s="1"/>
  <c r="I49" i="6" s="1"/>
  <c r="I55" i="6" s="1"/>
  <c r="I59" i="6" s="1"/>
  <c r="I64" i="6" s="1"/>
  <c r="I43" i="6"/>
  <c r="J39" i="6" s="1"/>
  <c r="J41" i="6" s="1"/>
  <c r="J43" i="6" s="1"/>
  <c r="K39" i="6" s="1"/>
  <c r="K107" i="6"/>
  <c r="K52" i="6" s="1"/>
  <c r="K33" i="6" s="1"/>
  <c r="K35" i="6" s="1"/>
  <c r="L97" i="6"/>
  <c r="T29" i="249"/>
  <c r="V29" i="249" s="1"/>
  <c r="T50" i="250"/>
  <c r="U50" i="250" s="1"/>
  <c r="W50" i="250" s="1"/>
  <c r="T50" i="251"/>
  <c r="U50" i="251" s="1"/>
  <c r="W50" i="251" s="1"/>
  <c r="T29" i="256"/>
  <c r="V29" i="256" s="1"/>
  <c r="T29" i="257"/>
  <c r="V29" i="257" s="1"/>
  <c r="U27" i="244"/>
  <c r="W27" i="244" s="1"/>
  <c r="X27" i="244" s="1"/>
  <c r="Y27" i="244" s="1"/>
  <c r="V27" i="12"/>
  <c r="X27" i="12" s="1"/>
  <c r="Y27" i="12" s="1"/>
  <c r="C38" i="156" s="1"/>
  <c r="X27" i="249"/>
  <c r="Y27" i="249" s="1"/>
  <c r="AB20" i="249" s="1"/>
  <c r="AB23" i="249" s="1"/>
  <c r="X27" i="256"/>
  <c r="Y27" i="256" s="1"/>
  <c r="AB20" i="256" s="1"/>
  <c r="AB23" i="256" s="1"/>
  <c r="X48" i="250"/>
  <c r="Y48" i="250" s="1"/>
  <c r="AB41" i="250" s="1"/>
  <c r="AB44" i="250" s="1"/>
  <c r="U29" i="12"/>
  <c r="W29" i="12" s="1"/>
  <c r="V29" i="12"/>
  <c r="K34" i="133"/>
  <c r="B34" i="133" s="1"/>
  <c r="G34" i="133" s="1"/>
  <c r="B3" i="15" s="1"/>
  <c r="X27" i="257"/>
  <c r="Y27" i="257" s="1"/>
  <c r="AB20" i="257" s="1"/>
  <c r="AB23" i="257" s="1"/>
  <c r="X48" i="251"/>
  <c r="Y48" i="251" s="1"/>
  <c r="AB41" i="251" s="1"/>
  <c r="AB44" i="251" s="1"/>
  <c r="U29" i="244"/>
  <c r="W29" i="244" s="1"/>
  <c r="V29" i="244"/>
  <c r="J19" i="271" l="1"/>
  <c r="H19" i="271"/>
  <c r="AB20" i="244"/>
  <c r="AB23" i="244" s="1"/>
  <c r="C45" i="156"/>
  <c r="F24" i="156"/>
  <c r="G24" i="156"/>
  <c r="C25" i="156"/>
  <c r="G25" i="156" s="1"/>
  <c r="M18" i="73"/>
  <c r="D15" i="66"/>
  <c r="D21" i="66" s="1"/>
  <c r="D16" i="248" s="1"/>
  <c r="H9" i="66"/>
  <c r="D25" i="236"/>
  <c r="C43" i="236" s="1"/>
  <c r="M17" i="73"/>
  <c r="L96" i="241"/>
  <c r="N96" i="241" s="1"/>
  <c r="D15" i="245"/>
  <c r="D9" i="242"/>
  <c r="U29" i="249"/>
  <c r="W29" i="249" s="1"/>
  <c r="X29" i="249" s="1"/>
  <c r="Y29" i="249" s="1"/>
  <c r="AB21" i="249" s="1"/>
  <c r="AB24" i="249" s="1"/>
  <c r="AB26" i="249" s="1"/>
  <c r="D30" i="248" s="1"/>
  <c r="J45" i="6"/>
  <c r="J47" i="6" s="1"/>
  <c r="J49" i="6" s="1"/>
  <c r="J55" i="6" s="1"/>
  <c r="J59" i="6" s="1"/>
  <c r="J64" i="6" s="1"/>
  <c r="K36" i="6"/>
  <c r="K40" i="6"/>
  <c r="K41" i="6" s="1"/>
  <c r="K45" i="6" s="1"/>
  <c r="K47" i="6" s="1"/>
  <c r="K49" i="6" s="1"/>
  <c r="K55" i="6" s="1"/>
  <c r="K59" i="6" s="1"/>
  <c r="K64" i="6" s="1"/>
  <c r="M97" i="6"/>
  <c r="L107" i="6"/>
  <c r="L52" i="6" s="1"/>
  <c r="L33" i="6" s="1"/>
  <c r="L35" i="6" s="1"/>
  <c r="V50" i="251"/>
  <c r="X50" i="251" s="1"/>
  <c r="V50" i="250"/>
  <c r="X50" i="250" s="1"/>
  <c r="U29" i="256"/>
  <c r="W29" i="256" s="1"/>
  <c r="X29" i="256" s="1"/>
  <c r="U29" i="257"/>
  <c r="W29" i="257" s="1"/>
  <c r="X29" i="257" s="1"/>
  <c r="Y29" i="257" s="1"/>
  <c r="AB21" i="257" s="1"/>
  <c r="AB24" i="257" s="1"/>
  <c r="AB26" i="257" s="1"/>
  <c r="D26" i="248" s="1"/>
  <c r="AB47" i="251"/>
  <c r="AB47" i="250"/>
  <c r="AB26" i="256"/>
  <c r="AB20" i="12"/>
  <c r="AB23" i="12" s="1"/>
  <c r="X29" i="12"/>
  <c r="Y29" i="12" s="1"/>
  <c r="AB21" i="12" s="1"/>
  <c r="AB24" i="12" s="1"/>
  <c r="F38" i="156"/>
  <c r="G38" i="156"/>
  <c r="X29" i="244"/>
  <c r="Y29" i="244" s="1"/>
  <c r="AB21" i="244" s="1"/>
  <c r="AB24" i="244" s="1"/>
  <c r="B3" i="62"/>
  <c r="AB26" i="244" l="1"/>
  <c r="D28" i="248" s="1"/>
  <c r="J53" i="236"/>
  <c r="J54" i="236" s="1"/>
  <c r="D35" i="248" s="1"/>
  <c r="J43" i="236"/>
  <c r="F45" i="156"/>
  <c r="G45" i="156"/>
  <c r="D15" i="242"/>
  <c r="D19" i="242" s="1"/>
  <c r="H9" i="242"/>
  <c r="D20" i="245"/>
  <c r="K43" i="6"/>
  <c r="L39" i="6" s="1"/>
  <c r="L40" i="6"/>
  <c r="L36" i="6"/>
  <c r="M107" i="6"/>
  <c r="M52" i="6" s="1"/>
  <c r="M33" i="6" s="1"/>
  <c r="M35" i="6" s="1"/>
  <c r="N97" i="6"/>
  <c r="AB26" i="12"/>
  <c r="D24" i="248" s="1"/>
  <c r="B3" i="57"/>
  <c r="B45" i="189" s="1"/>
  <c r="J36" i="133"/>
  <c r="F17" i="245" l="1"/>
  <c r="G17" i="245" s="1"/>
  <c r="F15" i="245"/>
  <c r="F20" i="245"/>
  <c r="F16" i="245"/>
  <c r="G16" i="245" s="1"/>
  <c r="F18" i="245"/>
  <c r="G18" i="245" s="1"/>
  <c r="F19" i="245"/>
  <c r="L41" i="6"/>
  <c r="L45" i="6" s="1"/>
  <c r="L47" i="6" s="1"/>
  <c r="L49" i="6" s="1"/>
  <c r="L55" i="6" s="1"/>
  <c r="L59" i="6" s="1"/>
  <c r="L64" i="6" s="1"/>
  <c r="O97" i="6"/>
  <c r="O107" i="6" s="1"/>
  <c r="O52" i="6" s="1"/>
  <c r="O33" i="6" s="1"/>
  <c r="O35" i="6" s="1"/>
  <c r="N107" i="6"/>
  <c r="N52" i="6" s="1"/>
  <c r="N33" i="6" s="1"/>
  <c r="N35" i="6" s="1"/>
  <c r="M40" i="6"/>
  <c r="M36" i="6"/>
  <c r="K36" i="133"/>
  <c r="B36" i="133" s="1"/>
  <c r="G36" i="133" s="1"/>
  <c r="B3" i="59" s="1"/>
  <c r="D12" i="270" l="1" a="1"/>
  <c r="E12" i="270" s="1"/>
  <c r="G33" i="243"/>
  <c r="G35" i="243" s="1"/>
  <c r="G36" i="243" s="1"/>
  <c r="G38" i="243" s="1"/>
  <c r="G12" i="270"/>
  <c r="G19" i="245"/>
  <c r="G15" i="245"/>
  <c r="L43" i="6"/>
  <c r="M39" i="6" s="1"/>
  <c r="M41" i="6" s="1"/>
  <c r="M45" i="6" s="1"/>
  <c r="M47" i="6" s="1"/>
  <c r="M49" i="6" s="1"/>
  <c r="M55" i="6" s="1"/>
  <c r="M59" i="6" s="1"/>
  <c r="M64" i="6" s="1"/>
  <c r="N40" i="6"/>
  <c r="N36" i="6"/>
  <c r="O36" i="6"/>
  <c r="O40" i="6"/>
  <c r="B38" i="133"/>
  <c r="G38" i="133" s="1"/>
  <c r="B3" i="63" s="1"/>
  <c r="C23" i="236" l="1"/>
  <c r="C33" i="236" s="1"/>
  <c r="F12" i="270"/>
  <c r="F40" i="270" s="1"/>
  <c r="F42" i="270" s="1"/>
  <c r="F43" i="270" s="1"/>
  <c r="F45" i="270" s="1"/>
  <c r="D12" i="270"/>
  <c r="D40" i="270" s="1"/>
  <c r="D42" i="270" s="1"/>
  <c r="D43" i="270" s="1"/>
  <c r="D45" i="270" s="1"/>
  <c r="G20" i="243"/>
  <c r="G21" i="243" s="1"/>
  <c r="G23" i="243" s="1"/>
  <c r="G46" i="243"/>
  <c r="G48" i="243" s="1"/>
  <c r="G49" i="243" s="1"/>
  <c r="G51" i="243" s="1"/>
  <c r="G27" i="270"/>
  <c r="G29" i="270" s="1"/>
  <c r="G30" i="270" s="1"/>
  <c r="G32" i="270" s="1"/>
  <c r="G40" i="270"/>
  <c r="G42" i="270" s="1"/>
  <c r="G43" i="270" s="1"/>
  <c r="G45" i="270" s="1"/>
  <c r="G14" i="270"/>
  <c r="G15" i="270" s="1"/>
  <c r="E14" i="270"/>
  <c r="E15" i="270" s="1"/>
  <c r="E40" i="270"/>
  <c r="E42" i="270" s="1"/>
  <c r="E43" i="270" s="1"/>
  <c r="E45" i="270" s="1"/>
  <c r="E27" i="270"/>
  <c r="E29" i="270" s="1"/>
  <c r="E30" i="270" s="1"/>
  <c r="E32" i="270" s="1"/>
  <c r="G20" i="245"/>
  <c r="G23" i="245" s="1"/>
  <c r="P4" i="245" s="1"/>
  <c r="D37" i="248" s="1"/>
  <c r="M43" i="6"/>
  <c r="N39" i="6" s="1"/>
  <c r="N41" i="6" s="1"/>
  <c r="F15" i="40"/>
  <c r="B39" i="133"/>
  <c r="G39" i="133" s="1"/>
  <c r="B3" i="64" s="1"/>
  <c r="J42" i="133"/>
  <c r="D27" i="270" l="1"/>
  <c r="D29" i="270" s="1"/>
  <c r="D30" i="270" s="1"/>
  <c r="D32" i="270" s="1"/>
  <c r="D14" i="270"/>
  <c r="D15" i="270" s="1"/>
  <c r="D17" i="270" s="1"/>
  <c r="F14" i="270"/>
  <c r="F15" i="270" s="1"/>
  <c r="F16" i="270" s="1"/>
  <c r="F27" i="270"/>
  <c r="F29" i="270" s="1"/>
  <c r="F30" i="270" s="1"/>
  <c r="F32" i="270" s="1"/>
  <c r="G22" i="243"/>
  <c r="G25" i="243" s="1"/>
  <c r="G16" i="270"/>
  <c r="G17" i="270"/>
  <c r="E17" i="270"/>
  <c r="E16" i="270"/>
  <c r="N45" i="6"/>
  <c r="N47" i="6" s="1"/>
  <c r="N49" i="6" s="1"/>
  <c r="N55" i="6" s="1"/>
  <c r="N59" i="6" s="1"/>
  <c r="N64" i="6" s="1"/>
  <c r="N43" i="6"/>
  <c r="O39" i="6" s="1"/>
  <c r="O41" i="6" s="1"/>
  <c r="O45" i="6" s="1"/>
  <c r="O47" i="6" s="1"/>
  <c r="O49" i="6" s="1"/>
  <c r="O55" i="6" s="1"/>
  <c r="O59" i="6" s="1"/>
  <c r="F67" i="6" s="1"/>
  <c r="F71" i="6" s="1"/>
  <c r="F73" i="6" s="1"/>
  <c r="F77" i="6" s="1"/>
  <c r="K42" i="133"/>
  <c r="B42" i="133" s="1"/>
  <c r="G42" i="133" s="1"/>
  <c r="J43" i="133"/>
  <c r="AF37" i="213"/>
  <c r="I31" i="213"/>
  <c r="AF27" i="213"/>
  <c r="BN51" i="213"/>
  <c r="BF53" i="213"/>
  <c r="U22" i="214"/>
  <c r="Y15" i="214"/>
  <c r="BC47" i="213"/>
  <c r="D37" i="213"/>
  <c r="BE20" i="213"/>
  <c r="P24" i="214"/>
  <c r="U21" i="214"/>
  <c r="I26" i="214"/>
  <c r="AF23" i="214"/>
  <c r="N31" i="213"/>
  <c r="BN30" i="213"/>
  <c r="BD31" i="213"/>
  <c r="T32" i="213"/>
  <c r="AA47" i="213"/>
  <c r="BB17" i="213"/>
  <c r="W30" i="213"/>
  <c r="AR28" i="213"/>
  <c r="L17" i="214"/>
  <c r="BL29" i="213"/>
  <c r="AI22" i="213"/>
  <c r="AX34" i="213"/>
  <c r="BH29" i="213"/>
  <c r="BJ34" i="213"/>
  <c r="AZ50" i="213"/>
  <c r="R15" i="213"/>
  <c r="BP53" i="213"/>
  <c r="AL31" i="213"/>
  <c r="BE24" i="213"/>
  <c r="AR21" i="213"/>
  <c r="BB31" i="213"/>
  <c r="Y40" i="213"/>
  <c r="BA24" i="213"/>
  <c r="AL42" i="213"/>
  <c r="AA22" i="213"/>
  <c r="A53" i="213"/>
  <c r="BL47" i="213"/>
  <c r="V28" i="213"/>
  <c r="BF39" i="213"/>
  <c r="AL35" i="213"/>
  <c r="AH29" i="213"/>
  <c r="AP44" i="213"/>
  <c r="AA25" i="213"/>
  <c r="T21" i="213"/>
  <c r="E12" i="214"/>
  <c r="AS18" i="213"/>
  <c r="N16" i="214"/>
  <c r="T38" i="213"/>
  <c r="D41" i="213"/>
  <c r="BP22" i="213"/>
  <c r="AX18" i="213"/>
  <c r="Z24" i="214"/>
  <c r="W28" i="213"/>
  <c r="U41" i="213"/>
  <c r="D47" i="213"/>
  <c r="K38" i="213"/>
  <c r="AJ15" i="213"/>
  <c r="G21" i="213"/>
  <c r="D51" i="213"/>
  <c r="AV44" i="213"/>
  <c r="AV15" i="213"/>
  <c r="AX50" i="213"/>
  <c r="N39" i="213"/>
  <c r="K48" i="213"/>
  <c r="AG48" i="213"/>
  <c r="AG37" i="213"/>
  <c r="AP27" i="213"/>
  <c r="AP24" i="213"/>
  <c r="BC27" i="213"/>
  <c r="Z29" i="214"/>
  <c r="Q34" i="213"/>
  <c r="AJ26" i="213"/>
  <c r="P29" i="213"/>
  <c r="C46" i="213"/>
  <c r="A16" i="213"/>
  <c r="BP32" i="213"/>
  <c r="V11" i="214"/>
  <c r="T40" i="213"/>
  <c r="AS31" i="213"/>
  <c r="BQ23" i="213"/>
  <c r="AB30" i="213"/>
  <c r="BJ22" i="213"/>
  <c r="Y50" i="213"/>
  <c r="F45" i="213"/>
  <c r="BB16" i="213"/>
  <c r="BM52" i="213"/>
  <c r="Q35" i="213"/>
  <c r="AK36" i="213"/>
  <c r="X53" i="213"/>
  <c r="R46" i="213"/>
  <c r="AD46" i="213"/>
  <c r="J39" i="213"/>
  <c r="AG11" i="214"/>
  <c r="BO33" i="213"/>
  <c r="N28" i="214"/>
  <c r="D49" i="213"/>
  <c r="G46" i="213"/>
  <c r="BQ19" i="213"/>
  <c r="D25" i="214"/>
  <c r="AP39" i="213"/>
  <c r="M19" i="213"/>
  <c r="B29" i="214"/>
  <c r="AF15" i="213"/>
  <c r="D25" i="213"/>
  <c r="AX40" i="213"/>
  <c r="E40" i="213"/>
  <c r="B14" i="214"/>
  <c r="F24" i="214"/>
  <c r="B22" i="214"/>
  <c r="Z38" i="213"/>
  <c r="BC40" i="213"/>
  <c r="BE51" i="213"/>
  <c r="K27" i="213"/>
  <c r="BN19" i="213"/>
  <c r="AW37" i="213"/>
  <c r="AR18" i="213"/>
  <c r="T48" i="213"/>
  <c r="M18" i="213"/>
  <c r="H51" i="213"/>
  <c r="AH44" i="213"/>
  <c r="F22" i="214"/>
  <c r="M32" i="213"/>
  <c r="R49" i="213"/>
  <c r="AC52" i="213"/>
  <c r="D31" i="213"/>
  <c r="AU28" i="213"/>
  <c r="J38" i="213"/>
  <c r="BM44" i="213"/>
  <c r="BB20" i="213"/>
  <c r="X20" i="214"/>
  <c r="W21" i="213"/>
  <c r="Y42" i="213"/>
  <c r="AR48" i="213"/>
  <c r="I16" i="214"/>
  <c r="BA18" i="213"/>
  <c r="AN25" i="213"/>
  <c r="V19" i="214"/>
  <c r="BP30" i="213"/>
  <c r="AP33" i="213"/>
  <c r="BA16" i="213"/>
  <c r="AR17" i="213"/>
  <c r="AD49" i="213"/>
  <c r="AE40" i="213"/>
  <c r="AV26" i="213"/>
  <c r="BQ42" i="213"/>
  <c r="Q16" i="213"/>
  <c r="BP16" i="213"/>
  <c r="AL53" i="213"/>
  <c r="R42" i="213"/>
  <c r="M40" i="213"/>
  <c r="C16" i="214"/>
  <c r="F23" i="213"/>
  <c r="BJ15" i="213"/>
  <c r="AY39" i="213"/>
  <c r="AO29" i="213"/>
  <c r="T24" i="213"/>
  <c r="BD18" i="213"/>
  <c r="F17" i="213"/>
  <c r="AM41" i="213"/>
  <c r="B27" i="214"/>
  <c r="AK46" i="213"/>
  <c r="BN38" i="213"/>
  <c r="A40" i="213"/>
  <c r="V44" i="213"/>
  <c r="S33" i="213"/>
  <c r="BO46" i="213"/>
  <c r="Z19" i="213"/>
  <c r="AJ16" i="213"/>
  <c r="C27" i="214"/>
  <c r="AF40" i="213"/>
  <c r="C17" i="214"/>
  <c r="AX27" i="213"/>
  <c r="BL15" i="213"/>
  <c r="AW39" i="213"/>
  <c r="K28" i="213"/>
  <c r="C51" i="213"/>
  <c r="N29" i="214"/>
  <c r="Q31" i="213"/>
  <c r="H24" i="213"/>
  <c r="BK51" i="213"/>
  <c r="AU39" i="213"/>
  <c r="I46" i="213"/>
  <c r="AG33" i="213"/>
  <c r="S48" i="213"/>
  <c r="AX16" i="213"/>
  <c r="AV50" i="213"/>
  <c r="AZ15" i="213"/>
  <c r="E22" i="214"/>
  <c r="BM48" i="213"/>
  <c r="BM38" i="213"/>
  <c r="T39" i="213"/>
  <c r="BD15" i="213"/>
  <c r="D20" i="213"/>
  <c r="AX42" i="213"/>
  <c r="BM19" i="213"/>
  <c r="K53" i="213"/>
  <c r="V15" i="214"/>
  <c r="Z22" i="213"/>
  <c r="AQ37" i="213"/>
  <c r="C17" i="213"/>
  <c r="N16" i="213"/>
  <c r="B21" i="214"/>
  <c r="AI24" i="213"/>
  <c r="Y22" i="214"/>
  <c r="BD45" i="213"/>
  <c r="AV34" i="213"/>
  <c r="AO23" i="213"/>
  <c r="Q32" i="213"/>
  <c r="BH34" i="213"/>
  <c r="BO26" i="213"/>
  <c r="AC31" i="213"/>
  <c r="AA19" i="213"/>
  <c r="A31" i="213"/>
  <c r="AI44" i="213"/>
  <c r="AJ23" i="213"/>
  <c r="C29" i="214"/>
  <c r="AS37" i="213"/>
  <c r="D19" i="214"/>
  <c r="E21" i="213"/>
  <c r="BJ49" i="213"/>
  <c r="Q49" i="213"/>
  <c r="AL18" i="213"/>
  <c r="AS49" i="213"/>
  <c r="R33" i="213"/>
  <c r="BF50" i="213"/>
  <c r="AE19" i="213"/>
  <c r="BB41" i="213"/>
  <c r="BI30" i="213"/>
  <c r="AO46" i="213"/>
  <c r="W17" i="213"/>
  <c r="AD27" i="213"/>
  <c r="BB39" i="213"/>
  <c r="AP53" i="213"/>
  <c r="BH32" i="213"/>
  <c r="AG31" i="213"/>
  <c r="F20" i="214"/>
  <c r="BN22" i="213"/>
  <c r="AY34" i="213"/>
  <c r="AH35" i="213"/>
  <c r="AN37" i="213"/>
  <c r="J37" i="213"/>
  <c r="W37" i="213"/>
  <c r="AH18" i="213"/>
  <c r="BG23" i="213"/>
  <c r="L35" i="213"/>
  <c r="AN41" i="213"/>
  <c r="BC22" i="213"/>
  <c r="BD21" i="213"/>
  <c r="AP18" i="213"/>
  <c r="AB42" i="213"/>
  <c r="H34" i="213"/>
  <c r="X22" i="213"/>
  <c r="I13" i="214"/>
  <c r="BH36" i="213"/>
  <c r="AJ46" i="213"/>
  <c r="E19" i="213"/>
  <c r="Y20" i="214"/>
  <c r="AS40" i="213"/>
  <c r="I52" i="213"/>
  <c r="BP39" i="213"/>
  <c r="L26" i="213"/>
  <c r="O25" i="214"/>
  <c r="X13" i="214"/>
  <c r="AC30" i="213"/>
  <c r="BF36" i="213"/>
  <c r="BC16" i="213"/>
  <c r="AH39" i="213"/>
  <c r="AO26" i="213"/>
  <c r="BP47" i="213"/>
  <c r="BJ36" i="213"/>
  <c r="AO28" i="213"/>
  <c r="Y25" i="214"/>
  <c r="BG30" i="213"/>
  <c r="I28" i="214"/>
  <c r="AA21" i="213"/>
  <c r="BK31" i="213"/>
  <c r="AG34" i="213"/>
  <c r="AG19" i="213"/>
  <c r="BJ16" i="213"/>
  <c r="AW17" i="213"/>
  <c r="N27" i="214"/>
  <c r="BO35" i="213"/>
  <c r="J49" i="213"/>
  <c r="AC39" i="213"/>
  <c r="L23" i="214"/>
  <c r="AZ24" i="213"/>
  <c r="BH25" i="213"/>
  <c r="N17" i="214"/>
  <c r="BQ40" i="213"/>
  <c r="E14" i="214"/>
  <c r="BJ31" i="213"/>
  <c r="AJ14" i="214"/>
  <c r="AZ39" i="213"/>
  <c r="Z22" i="214"/>
  <c r="U18" i="213"/>
  <c r="Y11" i="214"/>
  <c r="AE26" i="213"/>
  <c r="AJ15" i="214"/>
  <c r="AU18" i="213"/>
  <c r="AG21" i="214"/>
  <c r="D27" i="214"/>
  <c r="AD47" i="213"/>
  <c r="N17" i="213"/>
  <c r="Y53" i="213"/>
  <c r="W46" i="213"/>
  <c r="O27" i="213"/>
  <c r="AX38" i="213"/>
  <c r="AL50" i="213"/>
  <c r="BC33" i="213"/>
  <c r="J20" i="213"/>
  <c r="AP48" i="213"/>
  <c r="M23" i="213"/>
  <c r="AN20" i="213"/>
  <c r="P13" i="214"/>
  <c r="BL51" i="213"/>
  <c r="AP36" i="213"/>
  <c r="BD44" i="213"/>
  <c r="U29" i="213"/>
  <c r="BQ44" i="213"/>
  <c r="N22" i="213"/>
  <c r="BO18" i="213"/>
  <c r="B16" i="214"/>
  <c r="N20" i="213"/>
  <c r="K49" i="213"/>
  <c r="AI49" i="213"/>
  <c r="P17" i="213"/>
  <c r="F23" i="214"/>
  <c r="Y15" i="213"/>
  <c r="AF32" i="213"/>
  <c r="F16" i="213"/>
  <c r="AM36" i="213"/>
  <c r="AO24" i="213"/>
  <c r="AS47" i="213"/>
  <c r="K21" i="213"/>
  <c r="AG51" i="213"/>
  <c r="H23" i="213"/>
  <c r="BJ32" i="213"/>
  <c r="AJ21" i="214"/>
  <c r="BD16" i="213"/>
  <c r="C47" i="213"/>
  <c r="BO45" i="213"/>
  <c r="U20" i="214"/>
  <c r="BP37" i="213"/>
  <c r="AA24" i="213"/>
  <c r="BJ46" i="213"/>
  <c r="AX47" i="213"/>
  <c r="BB37" i="213"/>
  <c r="J52" i="213"/>
  <c r="AQ39" i="213"/>
  <c r="AG20" i="213"/>
  <c r="I20" i="213"/>
  <c r="W19" i="213"/>
  <c r="AD50" i="213"/>
  <c r="Y46" i="213"/>
  <c r="BF51" i="213"/>
  <c r="BP25" i="213"/>
  <c r="P29" i="214"/>
  <c r="BQ37" i="213"/>
  <c r="L36" i="213"/>
  <c r="C15" i="213"/>
  <c r="Q29" i="213"/>
  <c r="Z25" i="214"/>
  <c r="G25" i="214"/>
  <c r="BK37" i="213"/>
  <c r="C20" i="214"/>
  <c r="D27" i="213"/>
  <c r="AQ38" i="213"/>
  <c r="AA40" i="213"/>
  <c r="AU22" i="213"/>
  <c r="M24" i="213"/>
  <c r="AR16" i="213"/>
  <c r="BA49" i="213"/>
  <c r="AU46" i="213"/>
  <c r="W22" i="213"/>
  <c r="U27" i="213"/>
  <c r="BI24" i="213"/>
  <c r="AM23" i="213"/>
  <c r="K33" i="213"/>
  <c r="U37" i="213"/>
  <c r="BD34" i="213"/>
  <c r="S19" i="213"/>
  <c r="A20" i="213"/>
  <c r="BO32" i="213"/>
  <c r="AK35" i="213"/>
  <c r="J40" i="213"/>
  <c r="AB24" i="213"/>
  <c r="AE21" i="213"/>
  <c r="BH30" i="213"/>
  <c r="BD51" i="213"/>
  <c r="O14" i="214"/>
  <c r="BG24" i="213"/>
  <c r="AN35" i="213"/>
  <c r="C18" i="214"/>
  <c r="A25" i="213"/>
  <c r="X29" i="214"/>
  <c r="AF48" i="213"/>
  <c r="AL25" i="213"/>
  <c r="BE50" i="213"/>
  <c r="AH20" i="213"/>
  <c r="AF50" i="213"/>
  <c r="Y23" i="214"/>
  <c r="AH53" i="213"/>
  <c r="AJ21" i="213"/>
  <c r="F19" i="213"/>
  <c r="BF19" i="213"/>
  <c r="AR26" i="213"/>
  <c r="BK44" i="213"/>
  <c r="Z35" i="213"/>
  <c r="U26" i="213"/>
  <c r="I19" i="214"/>
  <c r="Z51" i="213"/>
  <c r="AH19" i="213"/>
  <c r="AG21" i="213"/>
  <c r="Y21" i="213"/>
  <c r="Y32" i="213"/>
  <c r="BE25" i="213"/>
  <c r="AM45" i="213"/>
  <c r="I40" i="213"/>
  <c r="F11" i="214"/>
  <c r="U22" i="213"/>
  <c r="AI25" i="213"/>
  <c r="AY41" i="213"/>
  <c r="Y18" i="214"/>
  <c r="U27" i="214"/>
  <c r="L17" i="213"/>
  <c r="D18" i="214"/>
  <c r="O25" i="213"/>
  <c r="Y12" i="214"/>
  <c r="AA44" i="213"/>
  <c r="AG35" i="213"/>
  <c r="E52" i="213"/>
  <c r="U25" i="214"/>
  <c r="AF22" i="213"/>
  <c r="AD53" i="213"/>
  <c r="AQ27" i="213"/>
  <c r="AV51" i="213"/>
  <c r="Z32" i="213"/>
  <c r="AM39" i="213"/>
  <c r="BK22" i="213"/>
  <c r="BB33" i="213"/>
  <c r="E33" i="213"/>
  <c r="AW53" i="213"/>
  <c r="F24" i="213"/>
  <c r="X28" i="214"/>
  <c r="AY37" i="213"/>
  <c r="BE48" i="213"/>
  <c r="U45" i="213"/>
  <c r="BF42" i="213"/>
  <c r="BB44" i="213"/>
  <c r="BE16" i="213"/>
  <c r="AW25" i="213"/>
  <c r="R21" i="213"/>
  <c r="BH45" i="213"/>
  <c r="AZ17" i="213"/>
  <c r="N25" i="214"/>
  <c r="AL52" i="213"/>
  <c r="AB15" i="213"/>
  <c r="O21" i="214"/>
  <c r="X48" i="213"/>
  <c r="BP44" i="213"/>
  <c r="AG36" i="213"/>
  <c r="K16" i="213"/>
  <c r="AD16" i="213"/>
  <c r="BE35" i="213"/>
  <c r="AC22" i="213"/>
  <c r="AU48" i="213"/>
  <c r="AJ18" i="213"/>
  <c r="AY40" i="213"/>
  <c r="BD48" i="213"/>
  <c r="AO42" i="213"/>
  <c r="BE27" i="213"/>
  <c r="AQ24" i="213"/>
  <c r="BE32" i="213"/>
  <c r="AC46" i="213"/>
  <c r="AJ20" i="214"/>
  <c r="AN49" i="213"/>
  <c r="AV24" i="213"/>
  <c r="C52" i="213"/>
  <c r="Y30" i="213"/>
  <c r="AW51" i="213"/>
  <c r="BQ32" i="213"/>
  <c r="AG16" i="213"/>
  <c r="P19" i="214"/>
  <c r="AF11" i="214"/>
  <c r="BF29" i="213"/>
  <c r="BK29" i="213"/>
  <c r="E45" i="213"/>
  <c r="AP20" i="213"/>
  <c r="BI36" i="213"/>
  <c r="AM31" i="213"/>
  <c r="BK46" i="213"/>
  <c r="AZ40" i="213"/>
  <c r="P42" i="213"/>
  <c r="AT40" i="213"/>
  <c r="BH23" i="213"/>
  <c r="AQ26" i="213"/>
  <c r="R32" i="213"/>
  <c r="AF52" i="213"/>
  <c r="I27" i="214"/>
  <c r="BD33" i="213"/>
  <c r="A36" i="213"/>
  <c r="AJ19" i="213"/>
  <c r="AW40" i="213"/>
  <c r="BD30" i="213"/>
  <c r="AR32" i="213"/>
  <c r="AA39" i="213"/>
  <c r="AC32" i="213"/>
  <c r="AZ53" i="213"/>
  <c r="AQ21" i="213"/>
  <c r="AH38" i="213"/>
  <c r="AO41" i="213"/>
  <c r="AS35" i="213"/>
  <c r="AT15" i="213"/>
  <c r="R52" i="213"/>
  <c r="Z41" i="213"/>
  <c r="BG38" i="213"/>
  <c r="L26" i="214"/>
  <c r="Y41" i="213"/>
  <c r="AM34" i="213"/>
  <c r="Z25" i="213"/>
  <c r="E41" i="213"/>
  <c r="T35" i="213"/>
  <c r="H18" i="213"/>
  <c r="BN18" i="213"/>
  <c r="N24" i="213"/>
  <c r="AD52" i="213"/>
  <c r="AI18" i="213"/>
  <c r="BE22" i="213"/>
  <c r="H53" i="213"/>
  <c r="C24" i="213"/>
  <c r="AA37" i="213"/>
  <c r="W47" i="213"/>
  <c r="AJ47" i="213"/>
  <c r="BM35" i="213"/>
  <c r="AE52" i="213"/>
  <c r="AE22" i="213"/>
  <c r="AZ16" i="213"/>
  <c r="BH28" i="213"/>
  <c r="AH25" i="213"/>
  <c r="N33" i="213"/>
  <c r="A49" i="213"/>
  <c r="BN34" i="213"/>
  <c r="AQ53" i="213"/>
  <c r="AL44" i="213"/>
  <c r="BO41" i="213"/>
  <c r="BL25" i="213"/>
  <c r="G30" i="213"/>
  <c r="BL17" i="213"/>
  <c r="U33" i="213"/>
  <c r="O30" i="213"/>
  <c r="AL36" i="213"/>
  <c r="AE46" i="213"/>
  <c r="N37" i="213"/>
  <c r="AC20" i="213"/>
  <c r="L45" i="213"/>
  <c r="BB26" i="213"/>
  <c r="AV30" i="213"/>
  <c r="I36" i="213"/>
  <c r="F27" i="214"/>
  <c r="F48" i="213"/>
  <c r="D50" i="213"/>
  <c r="BD32" i="213"/>
  <c r="BN17" i="213"/>
  <c r="I11" i="214"/>
  <c r="I17" i="213"/>
  <c r="AN26" i="213"/>
  <c r="AO31" i="213"/>
  <c r="AK26" i="213"/>
  <c r="W24" i="213"/>
  <c r="A17" i="213"/>
  <c r="BK53" i="213"/>
  <c r="AM52" i="213"/>
  <c r="X15" i="214"/>
  <c r="I22" i="213"/>
  <c r="P38" i="213"/>
  <c r="AB52" i="213"/>
  <c r="AI27" i="213"/>
  <c r="BH53" i="213"/>
  <c r="AI34" i="213"/>
  <c r="BN45" i="213"/>
  <c r="N11" i="214"/>
  <c r="AC47" i="213"/>
  <c r="AQ41" i="213"/>
  <c r="F34" i="213"/>
  <c r="B28" i="214"/>
  <c r="H29" i="213"/>
  <c r="R26" i="213"/>
  <c r="BL35" i="213"/>
  <c r="U28" i="214"/>
  <c r="F20" i="213"/>
  <c r="BJ23" i="213"/>
  <c r="X16" i="214"/>
  <c r="AH36" i="213"/>
  <c r="AL46" i="213"/>
  <c r="O47" i="213"/>
  <c r="AD35" i="213"/>
  <c r="Q17" i="213"/>
  <c r="AF47" i="213"/>
  <c r="AT21" i="213"/>
  <c r="AD17" i="213"/>
  <c r="AP46" i="213"/>
  <c r="P23" i="214"/>
  <c r="BQ47" i="213"/>
  <c r="BQ39" i="213"/>
  <c r="BG29" i="213"/>
  <c r="G10" i="214"/>
  <c r="AF14" i="214"/>
  <c r="AA34" i="213"/>
  <c r="AF34" i="213"/>
  <c r="L47" i="213"/>
  <c r="BM26" i="213"/>
  <c r="AG25" i="214"/>
  <c r="C18" i="213"/>
  <c r="A27" i="213"/>
  <c r="AG40" i="213"/>
  <c r="BI53" i="213"/>
  <c r="AY19" i="213"/>
  <c r="AG27" i="214"/>
  <c r="X12" i="214"/>
  <c r="AE15" i="213"/>
  <c r="BD36" i="213"/>
  <c r="BK25" i="213"/>
  <c r="D24" i="213"/>
  <c r="AN15" i="213"/>
  <c r="AR41" i="213"/>
  <c r="AG18" i="213"/>
  <c r="V36" i="213"/>
  <c r="M30" i="213"/>
  <c r="AJ39" i="213"/>
  <c r="AM15" i="213"/>
  <c r="O33" i="213"/>
  <c r="AO38" i="213"/>
  <c r="L20" i="213"/>
  <c r="S44" i="213"/>
  <c r="P14" i="214"/>
  <c r="Y35" i="213"/>
  <c r="AP17" i="213"/>
  <c r="J35" i="213"/>
  <c r="AZ35" i="213"/>
  <c r="Y28" i="213"/>
  <c r="G17" i="214"/>
  <c r="BG42" i="213"/>
  <c r="AO30" i="213"/>
  <c r="A46" i="213"/>
  <c r="AP30" i="213"/>
  <c r="AU15" i="213"/>
  <c r="BG34" i="213"/>
  <c r="BE45" i="213"/>
  <c r="Z37" i="213"/>
  <c r="BQ24" i="213"/>
  <c r="BD19" i="213"/>
  <c r="BH51" i="213"/>
  <c r="O38" i="213"/>
  <c r="AR49" i="213"/>
  <c r="N15" i="213"/>
  <c r="BF41" i="213"/>
  <c r="AF29" i="213"/>
  <c r="AS33" i="213"/>
  <c r="T26" i="213"/>
  <c r="AB51" i="213"/>
  <c r="BM49" i="213"/>
  <c r="BA40" i="213"/>
  <c r="V17" i="213"/>
  <c r="BA22" i="213"/>
  <c r="BP38" i="213"/>
  <c r="E24" i="213"/>
  <c r="X31" i="213"/>
  <c r="AH30" i="213"/>
  <c r="AQ52" i="213"/>
  <c r="BA17" i="213"/>
  <c r="W45" i="213"/>
  <c r="Q26" i="213"/>
  <c r="X51" i="213"/>
  <c r="L40" i="213"/>
  <c r="AJ20" i="213"/>
  <c r="AL23" i="213"/>
  <c r="T47" i="213"/>
  <c r="BF22" i="213"/>
  <c r="BI28" i="213"/>
  <c r="S53" i="213"/>
  <c r="U46" i="213"/>
  <c r="M37" i="213"/>
  <c r="AF13" i="214"/>
  <c r="AG16" i="214"/>
  <c r="AM29" i="213"/>
  <c r="E21" i="214"/>
  <c r="U38" i="213"/>
  <c r="H17" i="213"/>
  <c r="AQ34" i="213"/>
  <c r="E17" i="213"/>
  <c r="BN39" i="213"/>
  <c r="AC17" i="213"/>
  <c r="Z23" i="213"/>
  <c r="AL19" i="213"/>
  <c r="U49" i="213"/>
  <c r="G34" i="213"/>
  <c r="N32" i="213"/>
  <c r="AA52" i="213"/>
  <c r="L38" i="213"/>
  <c r="T49" i="213"/>
  <c r="AC23" i="213"/>
  <c r="X37" i="213"/>
  <c r="AK29" i="213"/>
  <c r="X28" i="213"/>
  <c r="I20" i="214"/>
  <c r="D15" i="213"/>
  <c r="M33" i="213"/>
  <c r="AJ29" i="213"/>
  <c r="I50" i="213"/>
  <c r="L13" i="214"/>
  <c r="BC30" i="213"/>
  <c r="F32" i="213"/>
  <c r="BK39" i="213"/>
  <c r="AJ30" i="213"/>
  <c r="W51" i="213"/>
  <c r="BJ27" i="213"/>
  <c r="C20" i="213"/>
  <c r="AY31" i="213"/>
  <c r="K45" i="213"/>
  <c r="Q52" i="213"/>
  <c r="Y28" i="214"/>
  <c r="J34" i="213"/>
  <c r="U34" i="213"/>
  <c r="BK35" i="213"/>
  <c r="O46" i="213"/>
  <c r="AR38" i="213"/>
  <c r="BC15" i="213"/>
  <c r="I29" i="213"/>
  <c r="AM53" i="213"/>
  <c r="BL52" i="213"/>
  <c r="S40" i="213"/>
  <c r="O16" i="213"/>
  <c r="D22" i="214"/>
  <c r="AL51" i="213"/>
  <c r="N23" i="213"/>
  <c r="G42" i="213"/>
  <c r="T45" i="213"/>
  <c r="AI38" i="213"/>
  <c r="X19" i="214"/>
  <c r="Z49" i="213"/>
  <c r="AT27" i="213"/>
  <c r="V47" i="213"/>
  <c r="AH23" i="213"/>
  <c r="O32" i="213"/>
  <c r="AY45" i="213"/>
  <c r="BP31" i="213"/>
  <c r="BP19" i="213"/>
  <c r="BO27" i="213"/>
  <c r="AZ37" i="213"/>
  <c r="M53" i="213"/>
  <c r="AU42" i="213"/>
  <c r="I32" i="213"/>
  <c r="AE29" i="213"/>
  <c r="V40" i="213"/>
  <c r="BQ41" i="213"/>
  <c r="BO36" i="213"/>
  <c r="BQ33" i="213"/>
  <c r="AF28" i="213"/>
  <c r="L22" i="214"/>
  <c r="Y19" i="214"/>
  <c r="P23" i="213"/>
  <c r="AI26" i="213"/>
  <c r="O10" i="214"/>
  <c r="BI48" i="213"/>
  <c r="AU24" i="213"/>
  <c r="BB22" i="213"/>
  <c r="AD41" i="213"/>
  <c r="AY26" i="213"/>
  <c r="Q20" i="213"/>
  <c r="AR52" i="213"/>
  <c r="V29" i="213"/>
  <c r="BD27" i="213"/>
  <c r="AT29" i="213"/>
  <c r="BM41" i="213"/>
  <c r="AA48" i="213"/>
  <c r="F38" i="213"/>
  <c r="U35" i="213"/>
  <c r="S35" i="213"/>
  <c r="BF15" i="213"/>
  <c r="BA26" i="213"/>
  <c r="AW28" i="213"/>
  <c r="AF27" i="214"/>
  <c r="G22" i="214"/>
  <c r="AE28" i="213"/>
  <c r="L16" i="213"/>
  <c r="T34" i="213"/>
  <c r="AU27" i="213"/>
  <c r="O49" i="213"/>
  <c r="G18" i="214"/>
  <c r="C16" i="213"/>
  <c r="AL41" i="213"/>
  <c r="U26" i="214"/>
  <c r="Q51" i="213"/>
  <c r="Y49" i="213"/>
  <c r="AV23" i="213"/>
  <c r="S49" i="213"/>
  <c r="BN40" i="213"/>
  <c r="AZ42" i="213"/>
  <c r="AX20" i="213"/>
  <c r="G19" i="214"/>
  <c r="AO21" i="213"/>
  <c r="BL22" i="213"/>
  <c r="W29" i="213"/>
  <c r="M20" i="213"/>
  <c r="AW52" i="213"/>
  <c r="I38" i="213"/>
  <c r="AT36" i="213"/>
  <c r="K32" i="213"/>
  <c r="G16" i="214"/>
  <c r="BP45" i="213"/>
  <c r="BG37" i="213"/>
  <c r="BM46" i="213"/>
  <c r="C32" i="213"/>
  <c r="BC38" i="213"/>
  <c r="AG49" i="213"/>
  <c r="Y17" i="213"/>
  <c r="BQ51" i="213"/>
  <c r="S20" i="213"/>
  <c r="AO49" i="213"/>
  <c r="E18" i="214"/>
  <c r="BH49" i="213"/>
  <c r="AW16" i="213"/>
  <c r="S21" i="213"/>
  <c r="P34" i="213"/>
  <c r="AG53" i="213"/>
  <c r="AG46" i="213"/>
  <c r="R22" i="213"/>
  <c r="BH24" i="213"/>
  <c r="AD33" i="213"/>
  <c r="A24" i="213"/>
  <c r="S30" i="213"/>
  <c r="L12" i="214"/>
  <c r="BK40" i="213"/>
  <c r="AS17" i="213"/>
  <c r="C11" i="214"/>
  <c r="T18" i="213"/>
  <c r="X21" i="214"/>
  <c r="BF18" i="213"/>
  <c r="L53" i="213"/>
  <c r="BM22" i="213"/>
  <c r="BE26" i="213"/>
  <c r="BC37" i="213"/>
  <c r="I19" i="213"/>
  <c r="AZ31" i="213"/>
  <c r="I22" i="214"/>
  <c r="S17" i="213"/>
  <c r="AT30" i="213"/>
  <c r="AN34" i="213"/>
  <c r="AP40" i="213"/>
  <c r="AC28" i="213"/>
  <c r="AI53" i="213"/>
  <c r="AU32" i="213"/>
  <c r="AB29" i="213"/>
  <c r="AJ23" i="214"/>
  <c r="AM50" i="213"/>
  <c r="BA52" i="213"/>
  <c r="BK21" i="213"/>
  <c r="BN49" i="213"/>
  <c r="AJ36" i="213"/>
  <c r="AP22" i="213"/>
  <c r="AT17" i="213"/>
  <c r="AM47" i="213"/>
  <c r="BM32" i="213"/>
  <c r="BQ50" i="213"/>
  <c r="X23" i="213"/>
  <c r="Q27" i="213"/>
  <c r="M50" i="213"/>
  <c r="P48" i="213"/>
  <c r="K42" i="213"/>
  <c r="E15" i="214"/>
  <c r="BH50" i="213"/>
  <c r="AJ34" i="213"/>
  <c r="BA48" i="213"/>
  <c r="M25" i="213"/>
  <c r="AA50" i="213"/>
  <c r="AR53" i="213"/>
  <c r="P26" i="214"/>
  <c r="AY35" i="213"/>
  <c r="U23" i="214"/>
  <c r="P16" i="214"/>
  <c r="T51" i="213"/>
  <c r="S47" i="213"/>
  <c r="N34" i="213"/>
  <c r="AX35" i="213"/>
  <c r="BI52" i="213"/>
  <c r="AJ41" i="213"/>
  <c r="X24" i="214"/>
  <c r="V32" i="213"/>
  <c r="X11" i="214"/>
  <c r="BM21" i="213"/>
  <c r="BC44" i="213"/>
  <c r="F22" i="213"/>
  <c r="R29" i="213"/>
  <c r="AW49" i="213"/>
  <c r="C15" i="214"/>
  <c r="W20" i="213"/>
  <c r="BD17" i="213"/>
  <c r="BC34" i="213"/>
  <c r="BB36" i="213"/>
  <c r="P30" i="213"/>
  <c r="AJ22" i="214"/>
  <c r="AC53" i="213"/>
  <c r="AT38" i="213"/>
  <c r="O27" i="214"/>
  <c r="F14" i="214"/>
  <c r="AP38" i="213"/>
  <c r="N18" i="214"/>
  <c r="M46" i="213"/>
  <c r="AS39" i="213"/>
  <c r="AJ17" i="214"/>
  <c r="X24" i="213"/>
  <c r="AF20" i="213"/>
  <c r="U21" i="213"/>
  <c r="Y36" i="213"/>
  <c r="V37" i="213"/>
  <c r="I49" i="213"/>
  <c r="AF35" i="213"/>
  <c r="BQ15" i="213"/>
  <c r="F49" i="213"/>
  <c r="I17" i="214"/>
  <c r="AB21" i="213"/>
  <c r="AZ30" i="213"/>
  <c r="U19" i="214"/>
  <c r="BO16" i="213"/>
  <c r="L27" i="214"/>
  <c r="Q42" i="213"/>
  <c r="D29" i="214"/>
  <c r="BO31" i="213"/>
  <c r="AJ22" i="213"/>
  <c r="M16" i="213"/>
  <c r="BF45" i="213"/>
  <c r="BE31" i="213"/>
  <c r="V16" i="214"/>
  <c r="AG30" i="213"/>
  <c r="AC48" i="213"/>
  <c r="S16" i="213"/>
  <c r="AY42" i="213"/>
  <c r="V49" i="213"/>
  <c r="BJ44" i="213"/>
  <c r="S24" i="213"/>
  <c r="AM27" i="213"/>
  <c r="Y29" i="213"/>
  <c r="P20" i="213"/>
  <c r="X46" i="213"/>
  <c r="AQ32" i="213"/>
  <c r="U13" i="214"/>
  <c r="AN17" i="213"/>
  <c r="O22" i="213"/>
  <c r="G12" i="214"/>
  <c r="AM33" i="213"/>
  <c r="B26" i="214"/>
  <c r="J42" i="213"/>
  <c r="V28" i="214"/>
  <c r="AP15" i="213"/>
  <c r="I44" i="213"/>
  <c r="AG14" i="214"/>
  <c r="AD37" i="213"/>
  <c r="AM28" i="213"/>
  <c r="Z15" i="213"/>
  <c r="BQ35" i="213"/>
  <c r="BP34" i="213"/>
  <c r="BL49" i="213"/>
  <c r="BB24" i="213"/>
  <c r="O29" i="213"/>
  <c r="AF12" i="214"/>
  <c r="B15" i="214"/>
  <c r="AU16" i="213"/>
  <c r="AP52" i="213"/>
  <c r="G40" i="213"/>
  <c r="AV20" i="213"/>
  <c r="O36" i="213"/>
  <c r="R47" i="213"/>
  <c r="BC36" i="213"/>
  <c r="AL39" i="213"/>
  <c r="AQ45" i="213"/>
  <c r="P11" i="214"/>
  <c r="AN32" i="213"/>
  <c r="AE53" i="213"/>
  <c r="AW26" i="213"/>
  <c r="Z52" i="213"/>
  <c r="V24" i="214"/>
  <c r="AP29" i="213"/>
  <c r="W44" i="213"/>
  <c r="AX23" i="213"/>
  <c r="Z21" i="213"/>
  <c r="BP17" i="213"/>
  <c r="AO33" i="213"/>
  <c r="BQ49" i="213"/>
  <c r="U15" i="213"/>
  <c r="O20" i="214"/>
  <c r="AI39" i="213"/>
  <c r="M34" i="213"/>
  <c r="F18" i="213"/>
  <c r="BJ53" i="213"/>
  <c r="R45" i="213"/>
  <c r="D36" i="213"/>
  <c r="AS41" i="213"/>
  <c r="L10" i="214"/>
  <c r="AO35" i="213"/>
  <c r="Y37" i="213"/>
  <c r="AG52" i="213"/>
  <c r="BH31" i="213"/>
  <c r="C42" i="213"/>
  <c r="M17" i="213"/>
  <c r="C49" i="213"/>
  <c r="BJ42" i="213"/>
  <c r="AS51" i="213"/>
  <c r="AB39" i="213"/>
  <c r="P44" i="213"/>
  <c r="J51" i="213"/>
  <c r="AM17" i="213"/>
  <c r="AY47" i="213"/>
  <c r="U44" i="213"/>
  <c r="AK30" i="213"/>
  <c r="F28" i="214"/>
  <c r="AS25" i="213"/>
  <c r="E13" i="214"/>
  <c r="AL33" i="213"/>
  <c r="K19" i="213"/>
  <c r="AX51" i="213"/>
  <c r="BG47" i="213"/>
  <c r="BB50" i="213"/>
  <c r="V30" i="213"/>
  <c r="BN23" i="213"/>
  <c r="O31" i="213"/>
  <c r="I15" i="214"/>
  <c r="AA42" i="213"/>
  <c r="AT33" i="213"/>
  <c r="K24" i="213"/>
  <c r="H40" i="213"/>
  <c r="BE18" i="213"/>
  <c r="P17" i="214"/>
  <c r="F28" i="213"/>
  <c r="AN24" i="213"/>
  <c r="BD50" i="213"/>
  <c r="AN40" i="213"/>
  <c r="BF17" i="213"/>
  <c r="R36" i="213"/>
  <c r="AZ33" i="213"/>
  <c r="L49" i="213"/>
  <c r="M45" i="213"/>
  <c r="Y45" i="213"/>
  <c r="O12" i="214"/>
  <c r="E18" i="213"/>
  <c r="T52" i="213"/>
  <c r="BD26" i="213"/>
  <c r="BJ50" i="213"/>
  <c r="BK45" i="213"/>
  <c r="H38" i="213"/>
  <c r="BM31" i="213"/>
  <c r="AL27" i="213"/>
  <c r="AB23" i="213"/>
  <c r="AS29" i="213"/>
  <c r="E28" i="213"/>
  <c r="AV16" i="213"/>
  <c r="BM20" i="213"/>
  <c r="K51" i="213"/>
  <c r="AV35" i="213"/>
  <c r="BB49" i="213"/>
  <c r="AT18" i="213"/>
  <c r="AQ33" i="213"/>
  <c r="BM23" i="213"/>
  <c r="BI19" i="213"/>
  <c r="L34" i="213"/>
  <c r="AV53" i="213"/>
  <c r="BQ28" i="213"/>
  <c r="V29" i="214"/>
  <c r="AY48" i="213"/>
  <c r="BH40" i="213"/>
  <c r="AQ22" i="213"/>
  <c r="AR36" i="213"/>
  <c r="AB46" i="213"/>
  <c r="AY51" i="213"/>
  <c r="Y26" i="214"/>
  <c r="BI27" i="213"/>
  <c r="AD34" i="213"/>
  <c r="G52" i="213"/>
  <c r="E32" i="213"/>
  <c r="T27" i="213"/>
  <c r="AZ21" i="213"/>
  <c r="H47" i="213"/>
  <c r="AK20" i="213"/>
  <c r="Q46" i="213"/>
  <c r="BB34" i="213"/>
  <c r="BI21" i="213"/>
  <c r="BL26" i="213"/>
  <c r="BP49" i="213"/>
  <c r="BN36" i="213"/>
  <c r="T53" i="213"/>
  <c r="AD19" i="213"/>
  <c r="C24" i="214"/>
  <c r="BI20" i="213"/>
  <c r="P46" i="213"/>
  <c r="AN28" i="213"/>
  <c r="BP26" i="213"/>
  <c r="K46" i="213"/>
  <c r="AI28" i="213"/>
  <c r="L33" i="213"/>
  <c r="AE47" i="213"/>
  <c r="AO16" i="213"/>
  <c r="BI18" i="213"/>
  <c r="AS20" i="213"/>
  <c r="Z26" i="213"/>
  <c r="AJ37" i="213"/>
  <c r="AV42" i="213"/>
  <c r="BL39" i="213"/>
  <c r="BE36" i="213"/>
  <c r="C41" i="213"/>
  <c r="BI38" i="213"/>
  <c r="BN53" i="213"/>
  <c r="AS19" i="213"/>
  <c r="P27" i="214"/>
  <c r="S29" i="213"/>
  <c r="AY53" i="213"/>
  <c r="L42" i="213"/>
  <c r="AR45" i="213"/>
  <c r="L15" i="214"/>
  <c r="AM49" i="213"/>
  <c r="Y18" i="213"/>
  <c r="BN35" i="213"/>
  <c r="BE19" i="213"/>
  <c r="AS28" i="213"/>
  <c r="BM36" i="213"/>
  <c r="X18" i="213"/>
  <c r="BM51" i="213"/>
  <c r="AL20" i="213"/>
  <c r="AR23" i="213"/>
  <c r="BJ35" i="213"/>
  <c r="O19" i="213"/>
  <c r="AR34" i="213"/>
  <c r="AJ31" i="213"/>
  <c r="AJ28" i="213"/>
  <c r="O28" i="213"/>
  <c r="N18" i="213"/>
  <c r="Y44" i="213"/>
  <c r="R48" i="213"/>
  <c r="AH28" i="213"/>
  <c r="N26" i="214"/>
  <c r="AR24" i="213"/>
  <c r="BI34" i="213"/>
  <c r="L18" i="213"/>
  <c r="AP21" i="213"/>
  <c r="BA44" i="213"/>
  <c r="N20" i="214"/>
  <c r="AD38" i="213"/>
  <c r="V23" i="214"/>
  <c r="BP41" i="213"/>
  <c r="X45" i="213"/>
  <c r="B19" i="214"/>
  <c r="AE24" i="213"/>
  <c r="E49" i="213"/>
  <c r="AE38" i="213"/>
  <c r="BC17" i="213"/>
  <c r="BA37" i="213"/>
  <c r="D24" i="214"/>
  <c r="S51" i="213"/>
  <c r="BE33" i="213"/>
  <c r="AE39" i="213"/>
  <c r="BP18" i="213"/>
  <c r="AF16" i="214"/>
  <c r="K44" i="213"/>
  <c r="AU51" i="213"/>
  <c r="AQ44" i="213"/>
  <c r="P28" i="214"/>
  <c r="BG40" i="213"/>
  <c r="AQ29" i="213"/>
  <c r="L52" i="213"/>
  <c r="X17" i="213"/>
  <c r="AR46" i="213"/>
  <c r="BE41" i="213"/>
  <c r="BH26" i="213"/>
  <c r="AE17" i="213"/>
  <c r="BA41" i="213"/>
  <c r="AE25" i="213"/>
  <c r="AJ17" i="213"/>
  <c r="AV39" i="213"/>
  <c r="T50" i="213"/>
  <c r="BQ31" i="213"/>
  <c r="AW31" i="213"/>
  <c r="K29" i="213"/>
  <c r="O41" i="213"/>
  <c r="AG27" i="213"/>
  <c r="AR40" i="213"/>
  <c r="AJ10" i="214"/>
  <c r="R16" i="213"/>
  <c r="H46" i="213"/>
  <c r="AJ38" i="213"/>
  <c r="AL30" i="213"/>
  <c r="BG32" i="213"/>
  <c r="BO19" i="213"/>
  <c r="Z30" i="213"/>
  <c r="AJ52" i="213"/>
  <c r="W18" i="213"/>
  <c r="Z24" i="213"/>
  <c r="N52" i="213"/>
  <c r="U51" i="213"/>
  <c r="O24" i="213"/>
  <c r="AI21" i="213"/>
  <c r="N41" i="213"/>
  <c r="AM20" i="213"/>
  <c r="D38" i="213"/>
  <c r="X49" i="213"/>
  <c r="K22" i="213"/>
  <c r="AH34" i="213"/>
  <c r="G28" i="214"/>
  <c r="X19" i="213"/>
  <c r="K30" i="213"/>
  <c r="F27" i="213"/>
  <c r="N30" i="213"/>
  <c r="AX24" i="213"/>
  <c r="O17" i="214"/>
  <c r="AC21" i="213"/>
  <c r="B17" i="214"/>
  <c r="BP15" i="213"/>
  <c r="AG12" i="214"/>
  <c r="BP23" i="213"/>
  <c r="AH42" i="213"/>
  <c r="BQ20" i="213"/>
  <c r="AW46" i="213"/>
  <c r="L24" i="213"/>
  <c r="Y24" i="214"/>
  <c r="C19" i="214"/>
  <c r="Z47" i="213"/>
  <c r="G49" i="213"/>
  <c r="BL37" i="213"/>
  <c r="BN32" i="213"/>
  <c r="AO20" i="213"/>
  <c r="AG41" i="213"/>
  <c r="A29" i="213"/>
  <c r="E16" i="213"/>
  <c r="AR27" i="213"/>
  <c r="Y34" i="213"/>
  <c r="AF25" i="214"/>
  <c r="AG44" i="213"/>
  <c r="AV32" i="213"/>
  <c r="R35" i="213"/>
  <c r="V20" i="213"/>
  <c r="BO23" i="213"/>
  <c r="G36" i="213"/>
  <c r="BQ29" i="213"/>
  <c r="BO28" i="213"/>
  <c r="Y16" i="213"/>
  <c r="A44" i="213"/>
  <c r="E47" i="213"/>
  <c r="L24" i="214"/>
  <c r="AF39" i="213"/>
  <c r="J27" i="213"/>
  <c r="G19" i="213"/>
  <c r="AU52" i="213"/>
  <c r="AJ24" i="213"/>
  <c r="BA36" i="213"/>
  <c r="S39" i="213"/>
  <c r="BA30" i="213"/>
  <c r="K37" i="213"/>
  <c r="BJ25" i="213"/>
  <c r="V42" i="213"/>
  <c r="BD39" i="213"/>
  <c r="BL40" i="213"/>
  <c r="I18" i="213"/>
  <c r="F15" i="213"/>
  <c r="BH47" i="213"/>
  <c r="AC24" i="213"/>
  <c r="U24" i="214"/>
  <c r="BF20" i="213"/>
  <c r="BE47" i="213"/>
  <c r="AV52" i="213"/>
  <c r="AF16" i="213"/>
  <c r="AN33" i="213"/>
  <c r="AK44" i="213"/>
  <c r="E15" i="213"/>
  <c r="AC44" i="213"/>
  <c r="AQ15" i="213"/>
  <c r="H50" i="213"/>
  <c r="BA20" i="213"/>
  <c r="D48" i="213"/>
  <c r="AU26" i="213"/>
  <c r="W36" i="213"/>
  <c r="T25" i="213"/>
  <c r="C39" i="213"/>
  <c r="AK39" i="213"/>
  <c r="AT20" i="213"/>
  <c r="AW30" i="213"/>
  <c r="BF49" i="213"/>
  <c r="N45" i="213"/>
  <c r="U36" i="213"/>
  <c r="J31" i="213"/>
  <c r="BO21" i="213"/>
  <c r="BP46" i="213"/>
  <c r="U23" i="213"/>
  <c r="BB38" i="213"/>
  <c r="BL34" i="213"/>
  <c r="P22" i="213"/>
  <c r="B18" i="214"/>
  <c r="BG19" i="213"/>
  <c r="T22" i="213"/>
  <c r="D19" i="213"/>
  <c r="D20" i="214"/>
  <c r="AW29" i="213"/>
  <c r="AS32" i="213"/>
  <c r="BB40" i="213"/>
  <c r="U32" i="213"/>
  <c r="A32" i="213"/>
  <c r="AZ22" i="213"/>
  <c r="AJ13" i="214"/>
  <c r="M28" i="213"/>
  <c r="BI35" i="213"/>
  <c r="AX44" i="213"/>
  <c r="AC49" i="213"/>
  <c r="BN15" i="213"/>
  <c r="E19" i="214"/>
  <c r="N27" i="213"/>
  <c r="D46" i="213"/>
  <c r="F44" i="213"/>
  <c r="C44" i="213"/>
  <c r="BA31" i="213"/>
  <c r="AM26" i="213"/>
  <c r="O18" i="214"/>
  <c r="Y25" i="213"/>
  <c r="I25" i="214"/>
  <c r="S42" i="213"/>
  <c r="BF44" i="213"/>
  <c r="AG22" i="214"/>
  <c r="AD23" i="213"/>
  <c r="AN27" i="213"/>
  <c r="BK20" i="213"/>
  <c r="BC19" i="213"/>
  <c r="G23" i="214"/>
  <c r="BM39" i="213"/>
  <c r="A50" i="213"/>
  <c r="AB26" i="213"/>
  <c r="AE34" i="213"/>
  <c r="AE16" i="213"/>
  <c r="AX52" i="213"/>
  <c r="BO48" i="213"/>
  <c r="E50" i="213"/>
  <c r="AG26" i="213"/>
  <c r="AP16" i="213"/>
  <c r="AY22" i="213"/>
  <c r="E20" i="214"/>
  <c r="K17" i="213"/>
  <c r="H44" i="213"/>
  <c r="X41" i="213"/>
  <c r="BE52" i="213"/>
  <c r="I53" i="213"/>
  <c r="Z31" i="213"/>
  <c r="AW15" i="213"/>
  <c r="AZ29" i="213"/>
  <c r="BF47" i="213"/>
  <c r="AK40" i="213"/>
  <c r="BP28" i="213"/>
  <c r="BE23" i="213"/>
  <c r="P10" i="214"/>
  <c r="V26" i="213"/>
  <c r="AL21" i="213"/>
  <c r="V51" i="213"/>
  <c r="Z16" i="214"/>
  <c r="BI41" i="213"/>
  <c r="AT23" i="213"/>
  <c r="X15" i="213"/>
  <c r="Q25" i="213"/>
  <c r="BF40" i="213"/>
  <c r="AK48" i="213"/>
  <c r="Y17" i="214"/>
  <c r="BH17" i="213"/>
  <c r="BB42" i="213"/>
  <c r="H21" i="213"/>
  <c r="F37" i="213"/>
  <c r="BO51" i="213"/>
  <c r="S31" i="213"/>
  <c r="H20" i="213"/>
  <c r="BI44" i="213"/>
  <c r="AV38" i="213"/>
  <c r="AD21" i="213"/>
  <c r="W39" i="213"/>
  <c r="Q40" i="213"/>
  <c r="AR33" i="213"/>
  <c r="BQ26" i="213"/>
  <c r="AP51" i="213"/>
  <c r="AA32" i="213"/>
  <c r="AR35" i="213"/>
  <c r="BO15" i="213"/>
  <c r="BG20" i="213"/>
  <c r="AD22" i="213"/>
  <c r="J48" i="213"/>
  <c r="H32" i="213"/>
  <c r="R27" i="213"/>
  <c r="E20" i="213"/>
  <c r="BN16" i="213"/>
  <c r="Q39" i="213"/>
  <c r="G48" i="213"/>
  <c r="BH37" i="213"/>
  <c r="AZ32" i="213"/>
  <c r="AW44" i="213"/>
  <c r="AJ19" i="214"/>
  <c r="AK16" i="213"/>
  <c r="AR31" i="213"/>
  <c r="AH49" i="213"/>
  <c r="X20" i="213"/>
  <c r="V41" i="213"/>
  <c r="O11" i="214"/>
  <c r="AK52" i="213"/>
  <c r="AX33" i="213"/>
  <c r="BM37" i="213"/>
  <c r="V52" i="213"/>
  <c r="BE40" i="213"/>
  <c r="AU53" i="213"/>
  <c r="C36" i="213"/>
  <c r="Z13" i="214"/>
  <c r="AK18" i="213"/>
  <c r="M44" i="213"/>
  <c r="AD36" i="213"/>
  <c r="AS36" i="213"/>
  <c r="Y10" i="214"/>
  <c r="F16" i="214"/>
  <c r="V16" i="213"/>
  <c r="BM45" i="213"/>
  <c r="BL23" i="213"/>
  <c r="AD15" i="213"/>
  <c r="BE21" i="213"/>
  <c r="AB18" i="213"/>
  <c r="BK28" i="213"/>
  <c r="AH26" i="213"/>
  <c r="N28" i="213"/>
  <c r="AZ26" i="213"/>
  <c r="AD48" i="213"/>
  <c r="AW32" i="213"/>
  <c r="G37" i="213"/>
  <c r="P19" i="213"/>
  <c r="V46" i="213"/>
  <c r="P16" i="213"/>
  <c r="BD20" i="213"/>
  <c r="X38" i="213"/>
  <c r="AO45" i="213"/>
  <c r="BF38" i="213"/>
  <c r="BN26" i="213"/>
  <c r="AT19" i="213"/>
  <c r="AY18" i="213"/>
  <c r="G15" i="214"/>
  <c r="BI15" i="213"/>
  <c r="AX30" i="213"/>
  <c r="A19" i="213"/>
  <c r="AB48" i="213"/>
  <c r="BJ51" i="213"/>
  <c r="BM16" i="213"/>
  <c r="R34" i="213"/>
  <c r="AQ17" i="213"/>
  <c r="BD23" i="213"/>
  <c r="Y47" i="213"/>
  <c r="R30" i="213"/>
  <c r="Y27" i="213"/>
  <c r="Y48" i="213"/>
  <c r="G31" i="213"/>
  <c r="I45" i="213"/>
  <c r="AD25" i="213"/>
  <c r="BC29" i="213"/>
  <c r="E31" i="213"/>
  <c r="AF19" i="214"/>
  <c r="AV46" i="213"/>
  <c r="AF38" i="213"/>
  <c r="Q48" i="213"/>
  <c r="BO53" i="213"/>
  <c r="N26" i="213"/>
  <c r="I21" i="214"/>
  <c r="BJ30" i="213"/>
  <c r="BF52" i="213"/>
  <c r="BI40" i="213"/>
  <c r="F25" i="214"/>
  <c r="E17" i="214"/>
  <c r="BI16" i="213"/>
  <c r="AS38" i="213"/>
  <c r="AW22" i="213"/>
  <c r="BE49" i="213"/>
  <c r="AY25" i="213"/>
  <c r="AB25" i="213"/>
  <c r="E26" i="213"/>
  <c r="AM44" i="213"/>
  <c r="BH48" i="213"/>
  <c r="AG26" i="214"/>
  <c r="AD42" i="213"/>
  <c r="BI29" i="213"/>
  <c r="D10" i="214"/>
  <c r="E29" i="213"/>
  <c r="AL37" i="213"/>
  <c r="BP42" i="213"/>
  <c r="BK18" i="213"/>
  <c r="AD30" i="213"/>
  <c r="BI51" i="213"/>
  <c r="A15" i="213"/>
  <c r="AU31" i="213"/>
  <c r="G51" i="213"/>
  <c r="H48" i="213"/>
  <c r="AK27" i="213"/>
  <c r="E23" i="213"/>
  <c r="BA47" i="213"/>
  <c r="BE17" i="213"/>
  <c r="E27" i="213"/>
  <c r="K47" i="213"/>
  <c r="AM35" i="213"/>
  <c r="BP51" i="213"/>
  <c r="AN45" i="213"/>
  <c r="L29" i="214"/>
  <c r="AE51" i="213"/>
  <c r="D15" i="214"/>
  <c r="AN50" i="213"/>
  <c r="BJ26" i="213"/>
  <c r="AQ23" i="213"/>
  <c r="G47" i="213"/>
  <c r="AF41" i="213"/>
  <c r="S36" i="213"/>
  <c r="W42" i="213"/>
  <c r="AM37" i="213"/>
  <c r="AC33" i="213"/>
  <c r="E36" i="213"/>
  <c r="X14" i="214"/>
  <c r="BK26" i="213"/>
  <c r="AR44" i="213"/>
  <c r="AP50" i="213"/>
  <c r="S37" i="213"/>
  <c r="Q36" i="213"/>
  <c r="A47" i="213"/>
  <c r="BM53" i="213"/>
  <c r="L50" i="213"/>
  <c r="S45" i="213"/>
  <c r="V45" i="213"/>
  <c r="BC32" i="213"/>
  <c r="BK36" i="213"/>
  <c r="H37" i="213"/>
  <c r="E51" i="213"/>
  <c r="BO22" i="213"/>
  <c r="L19" i="213"/>
  <c r="BO25" i="213"/>
  <c r="AG13" i="214"/>
  <c r="AO40" i="213"/>
  <c r="BB30" i="213"/>
  <c r="J30" i="213"/>
  <c r="AQ51" i="213"/>
  <c r="H15" i="213"/>
  <c r="BG16" i="213"/>
  <c r="AX37" i="213"/>
  <c r="I39" i="213"/>
  <c r="AI50" i="213"/>
  <c r="U48" i="213"/>
  <c r="V20" i="214"/>
  <c r="BK24" i="213"/>
  <c r="BN21" i="213"/>
  <c r="AZ38" i="213"/>
  <c r="O24" i="214"/>
  <c r="D52" i="213"/>
  <c r="A33" i="213"/>
  <c r="AG18" i="214"/>
  <c r="S28" i="213"/>
  <c r="AR22" i="213"/>
  <c r="BM18" i="213"/>
  <c r="BD40" i="213"/>
  <c r="G21" i="214"/>
  <c r="AJ24" i="214"/>
  <c r="Q19" i="213"/>
  <c r="BH19" i="213"/>
  <c r="Z42" i="213"/>
  <c r="AA28" i="213"/>
  <c r="K41" i="213"/>
  <c r="AD20" i="213"/>
  <c r="BQ16" i="213"/>
  <c r="AK17" i="213"/>
  <c r="U42" i="213"/>
  <c r="BE39" i="213"/>
  <c r="AO36" i="213"/>
  <c r="M39" i="213"/>
  <c r="R20" i="213"/>
  <c r="AQ49" i="213"/>
  <c r="BC48" i="213"/>
  <c r="J36" i="213"/>
  <c r="B24" i="214"/>
  <c r="U10" i="214"/>
  <c r="AY36" i="213"/>
  <c r="AO48" i="213"/>
  <c r="AA49" i="213"/>
  <c r="AF18" i="213"/>
  <c r="AJ48" i="213"/>
  <c r="O19" i="214"/>
  <c r="BB21" i="213"/>
  <c r="Q24" i="213"/>
  <c r="A52" i="213"/>
  <c r="AK53" i="213"/>
  <c r="T36" i="213"/>
  <c r="Z33" i="213"/>
  <c r="Q53" i="213"/>
  <c r="Q18" i="213"/>
  <c r="BH27" i="213"/>
  <c r="J15" i="213"/>
  <c r="AJ11" i="214"/>
  <c r="AL45" i="213"/>
  <c r="G39" i="213"/>
  <c r="E44" i="213"/>
  <c r="BC53" i="213"/>
  <c r="AW20" i="213"/>
  <c r="F21" i="213"/>
  <c r="BD28" i="213"/>
  <c r="AI48" i="213"/>
  <c r="BF21" i="213"/>
  <c r="AK23" i="213"/>
  <c r="D11" i="214"/>
  <c r="BJ18" i="213"/>
  <c r="AR29" i="213"/>
  <c r="AG25" i="213"/>
  <c r="AJ45" i="213"/>
  <c r="AN47" i="213"/>
  <c r="AB44" i="213"/>
  <c r="BQ27" i="213"/>
  <c r="X22" i="214"/>
  <c r="BD49" i="213"/>
  <c r="J17" i="213"/>
  <c r="O51" i="213"/>
  <c r="AP35" i="213"/>
  <c r="Y31" i="213"/>
  <c r="BF48" i="213"/>
  <c r="AP32" i="213"/>
  <c r="V22" i="213"/>
  <c r="V26" i="214"/>
  <c r="AI20" i="213"/>
  <c r="AR37" i="213"/>
  <c r="A18" i="213"/>
  <c r="M27" i="213"/>
  <c r="BN25" i="213"/>
  <c r="X26" i="213"/>
  <c r="X34" i="213"/>
  <c r="T44" i="213"/>
  <c r="BA32" i="213"/>
  <c r="P31" i="213"/>
  <c r="AO17" i="213"/>
  <c r="N36" i="213"/>
  <c r="AV36" i="213"/>
  <c r="BG45" i="213"/>
  <c r="D42" i="213"/>
  <c r="N19" i="214"/>
  <c r="AV27" i="213"/>
  <c r="E30" i="213"/>
  <c r="G32" i="213"/>
  <c r="G13" i="214"/>
  <c r="AE45" i="213"/>
  <c r="N35" i="213"/>
  <c r="W35" i="213"/>
  <c r="S18" i="213"/>
  <c r="AN23" i="213"/>
  <c r="Z17" i="214"/>
  <c r="F39" i="213"/>
  <c r="BG17" i="213"/>
  <c r="AO37" i="213"/>
  <c r="AJ44" i="213"/>
  <c r="W53" i="213"/>
  <c r="AX46" i="213"/>
  <c r="P15" i="214"/>
  <c r="Z29" i="213"/>
  <c r="J28" i="213"/>
  <c r="L11" i="214"/>
  <c r="AJ32" i="213"/>
  <c r="BL50" i="213"/>
  <c r="A41" i="213"/>
  <c r="D45" i="213"/>
  <c r="AT25" i="213"/>
  <c r="B20" i="214"/>
  <c r="AL28" i="213"/>
  <c r="I51" i="213"/>
  <c r="AX21" i="213"/>
  <c r="Z39" i="213"/>
  <c r="BJ21" i="213"/>
  <c r="AN36" i="213"/>
  <c r="AH47" i="213"/>
  <c r="AO50" i="213"/>
  <c r="G17" i="213"/>
  <c r="M49" i="213"/>
  <c r="AM19" i="213"/>
  <c r="AB31" i="213"/>
  <c r="Z36" i="213"/>
  <c r="O28" i="214"/>
  <c r="AR15" i="213"/>
  <c r="AA17" i="213"/>
  <c r="L14" i="214"/>
  <c r="V24" i="213"/>
  <c r="AO15" i="213"/>
  <c r="AU41" i="213"/>
  <c r="AB35" i="213"/>
  <c r="BC31" i="213"/>
  <c r="BK48" i="213"/>
  <c r="AC36" i="213"/>
  <c r="A35" i="213"/>
  <c r="AN16" i="213"/>
  <c r="AP19" i="213"/>
  <c r="N23" i="214"/>
  <c r="BC21" i="213"/>
  <c r="X42" i="213"/>
  <c r="C21" i="214"/>
  <c r="B12" i="214"/>
  <c r="Q23" i="213"/>
  <c r="X39" i="213"/>
  <c r="U25" i="213"/>
  <c r="Y26" i="213"/>
  <c r="BD38" i="213"/>
  <c r="BC26" i="213"/>
  <c r="Z27" i="213"/>
  <c r="X27" i="214"/>
  <c r="BH18" i="213"/>
  <c r="AP47" i="213"/>
  <c r="AY49" i="213"/>
  <c r="BL48" i="213"/>
  <c r="BO38" i="213"/>
  <c r="AB37" i="213"/>
  <c r="E11" i="214"/>
  <c r="BH46" i="213"/>
  <c r="X21" i="213"/>
  <c r="AB40" i="213"/>
  <c r="R53" i="213"/>
  <c r="O48" i="213"/>
  <c r="AN42" i="213"/>
  <c r="V48" i="213"/>
  <c r="BD41" i="213"/>
  <c r="P49" i="213"/>
  <c r="S41" i="213"/>
  <c r="J32" i="213"/>
  <c r="AB22" i="213"/>
  <c r="AG15" i="214"/>
  <c r="F15" i="214"/>
  <c r="AQ19" i="213"/>
  <c r="AW35" i="213"/>
  <c r="P22" i="214"/>
  <c r="Y38" i="213"/>
  <c r="AK38" i="213"/>
  <c r="BG18" i="213"/>
  <c r="BL28" i="213"/>
  <c r="BC39" i="213"/>
  <c r="AL49" i="213"/>
  <c r="AB17" i="213"/>
  <c r="AE35" i="213"/>
  <c r="A39" i="213"/>
  <c r="BG41" i="213"/>
  <c r="AX36" i="213"/>
  <c r="AZ48" i="213"/>
  <c r="AL48" i="213"/>
  <c r="AU49" i="213"/>
  <c r="AU37" i="213"/>
  <c r="P26" i="213"/>
  <c r="P32" i="213"/>
  <c r="BE30" i="213"/>
  <c r="AF33" i="213"/>
  <c r="Y19" i="213"/>
  <c r="AA23" i="213"/>
  <c r="BD53" i="213"/>
  <c r="AK19" i="213"/>
  <c r="C13" i="214"/>
  <c r="AW18" i="213"/>
  <c r="AJ27" i="213"/>
  <c r="BL45" i="213"/>
  <c r="L27" i="213"/>
  <c r="V25" i="213"/>
  <c r="BA53" i="213"/>
  <c r="AR25" i="213"/>
  <c r="AS44" i="213"/>
  <c r="D16" i="213"/>
  <c r="BH33" i="213"/>
  <c r="Z19" i="214"/>
  <c r="BB23" i="213"/>
  <c r="AV28" i="213"/>
  <c r="E37" i="213"/>
  <c r="BP36" i="213"/>
  <c r="O50" i="213"/>
  <c r="G24" i="214"/>
  <c r="G41" i="213"/>
  <c r="BO39" i="213"/>
  <c r="BF25" i="213"/>
  <c r="BP21" i="213"/>
  <c r="AZ46" i="213"/>
  <c r="C27" i="213"/>
  <c r="AC51" i="213"/>
  <c r="O44" i="213"/>
  <c r="AJ12" i="214"/>
  <c r="L22" i="213"/>
  <c r="AK21" i="213"/>
  <c r="AH37" i="213"/>
  <c r="AF26" i="213"/>
  <c r="AQ40" i="213"/>
  <c r="W40" i="213"/>
  <c r="BD22" i="213"/>
  <c r="H39" i="213"/>
  <c r="M47" i="213"/>
  <c r="AN30" i="213"/>
  <c r="X23" i="214"/>
  <c r="BC46" i="213"/>
  <c r="W26" i="213"/>
  <c r="AP25" i="213"/>
  <c r="O15" i="214"/>
  <c r="BC20" i="213"/>
  <c r="BP27" i="213"/>
  <c r="BH22" i="213"/>
  <c r="BO47" i="213"/>
  <c r="AG28" i="213"/>
  <c r="AG38" i="213"/>
  <c r="AJ25" i="213"/>
  <c r="BC24" i="213"/>
  <c r="U16" i="213"/>
  <c r="BN47" i="213"/>
  <c r="Z46" i="213"/>
  <c r="C10" i="214"/>
  <c r="I37" i="213"/>
  <c r="AQ50" i="213"/>
  <c r="O13" i="214"/>
  <c r="AU25" i="213"/>
  <c r="AZ45" i="213"/>
  <c r="K25" i="213"/>
  <c r="U30" i="213"/>
  <c r="A30" i="213"/>
  <c r="AU21" i="213"/>
  <c r="BB35" i="213"/>
  <c r="AD28" i="213"/>
  <c r="BP33" i="213"/>
  <c r="AY27" i="213"/>
  <c r="BO24" i="213"/>
  <c r="AG24" i="213"/>
  <c r="Q30" i="213"/>
  <c r="E24" i="214"/>
  <c r="F50" i="213"/>
  <c r="BE34" i="213"/>
  <c r="BQ38" i="213"/>
  <c r="AO27" i="213"/>
  <c r="A48" i="213"/>
  <c r="BL36" i="213"/>
  <c r="N12" i="214"/>
  <c r="AV19" i="213"/>
  <c r="AS15" i="213"/>
  <c r="AI47" i="213"/>
  <c r="O53" i="213"/>
  <c r="AS30" i="213"/>
  <c r="AB19" i="213"/>
  <c r="AS22" i="213"/>
  <c r="T28" i="213"/>
  <c r="BG44" i="213"/>
  <c r="AR39" i="213"/>
  <c r="BG52" i="213"/>
  <c r="AF36" i="213"/>
  <c r="AX26" i="213"/>
  <c r="AW36" i="213"/>
  <c r="BC49" i="213"/>
  <c r="N25" i="213"/>
  <c r="AL32" i="213"/>
  <c r="AE20" i="213"/>
  <c r="AJ16" i="214"/>
  <c r="T42" i="213"/>
  <c r="BJ48" i="213"/>
  <c r="AY29" i="213"/>
  <c r="AZ49" i="213"/>
  <c r="Z21" i="214"/>
  <c r="G16" i="213"/>
  <c r="Z48" i="213"/>
  <c r="N21" i="213"/>
  <c r="BJ19" i="213"/>
  <c r="BQ30" i="213"/>
  <c r="N50" i="213"/>
  <c r="BF31" i="213"/>
  <c r="AF21" i="214"/>
  <c r="P21" i="214"/>
  <c r="AF10" i="214"/>
  <c r="F47" i="213"/>
  <c r="AA16" i="213"/>
  <c r="B10" i="214"/>
  <c r="Z40" i="213"/>
  <c r="M48" i="213"/>
  <c r="AY23" i="213"/>
  <c r="D28" i="213"/>
  <c r="BK17" i="213"/>
  <c r="AV40" i="213"/>
  <c r="BI37" i="213"/>
  <c r="BF30" i="213"/>
  <c r="K35" i="213"/>
  <c r="O22" i="214"/>
  <c r="R40" i="213"/>
  <c r="AV49" i="213"/>
  <c r="AQ47" i="213"/>
  <c r="BQ22" i="213"/>
  <c r="L25" i="213"/>
  <c r="AO44" i="213"/>
  <c r="Z10" i="214"/>
  <c r="AL26" i="213"/>
  <c r="O16" i="214"/>
  <c r="BM40" i="213"/>
  <c r="L20" i="214"/>
  <c r="AF26" i="214"/>
  <c r="AJ42" i="213"/>
  <c r="I14" i="214"/>
  <c r="AP41" i="213"/>
  <c r="P15" i="213"/>
  <c r="AB53" i="213"/>
  <c r="AV22" i="213"/>
  <c r="O21" i="213"/>
  <c r="BO30" i="213"/>
  <c r="BF33" i="213"/>
  <c r="BD29" i="213"/>
  <c r="AG19" i="214"/>
  <c r="AA51" i="213"/>
  <c r="AO47" i="213"/>
  <c r="AO34" i="213"/>
  <c r="V17" i="214"/>
  <c r="Y22" i="213"/>
  <c r="AW33" i="213"/>
  <c r="K20" i="213"/>
  <c r="BJ52" i="213"/>
  <c r="G29" i="213"/>
  <c r="AC45" i="213"/>
  <c r="E25" i="213"/>
  <c r="X30" i="213"/>
  <c r="AE37" i="213"/>
  <c r="D21" i="214"/>
  <c r="M42" i="213"/>
  <c r="BO37" i="213"/>
  <c r="X18" i="214"/>
  <c r="BF35" i="213"/>
  <c r="AG23" i="214"/>
  <c r="AE18" i="213"/>
  <c r="F51" i="213"/>
  <c r="AB47" i="213"/>
  <c r="AI15" i="213"/>
  <c r="C38" i="213"/>
  <c r="N13" i="214"/>
  <c r="M31" i="213"/>
  <c r="C28" i="213"/>
  <c r="Z20" i="213"/>
  <c r="AJ49" i="213"/>
  <c r="AZ41" i="213"/>
  <c r="L23" i="213"/>
  <c r="BF27" i="213"/>
  <c r="D30" i="213"/>
  <c r="F17" i="214"/>
  <c r="AR30" i="213"/>
  <c r="AK15" i="213"/>
  <c r="BG46" i="213"/>
  <c r="X10" i="214"/>
  <c r="AD26" i="213"/>
  <c r="AF17" i="214"/>
  <c r="AU17" i="213"/>
  <c r="C31" i="213"/>
  <c r="R44" i="213"/>
  <c r="BC18" i="213"/>
  <c r="X44" i="213"/>
  <c r="AS46" i="213"/>
  <c r="BL38" i="213"/>
  <c r="AF46" i="213"/>
  <c r="BN27" i="213"/>
  <c r="AE23" i="213"/>
  <c r="R18" i="213"/>
  <c r="G18" i="213"/>
  <c r="J44" i="213"/>
  <c r="BB47" i="213"/>
  <c r="S50" i="213"/>
  <c r="AT34" i="213"/>
  <c r="AK45" i="213"/>
  <c r="BQ21" i="213"/>
  <c r="AB45" i="213"/>
  <c r="L32" i="213"/>
  <c r="X25" i="213"/>
  <c r="AT22" i="213"/>
  <c r="BI32" i="213"/>
  <c r="BI22" i="213"/>
  <c r="M21" i="213"/>
  <c r="W33" i="213"/>
  <c r="BN50" i="213"/>
  <c r="AG50" i="213"/>
  <c r="BG26" i="213"/>
  <c r="AM38" i="213"/>
  <c r="AE33" i="213"/>
  <c r="AC34" i="213"/>
  <c r="AF19" i="213"/>
  <c r="O45" i="213"/>
  <c r="AE48" i="213"/>
  <c r="BJ39" i="213"/>
  <c r="Z34" i="213"/>
  <c r="U18" i="214"/>
  <c r="A21" i="213"/>
  <c r="BA21" i="213"/>
  <c r="H16" i="213"/>
  <c r="U11" i="214"/>
  <c r="AI33" i="213"/>
  <c r="BG31" i="213"/>
  <c r="AK49" i="213"/>
  <c r="AO39" i="213"/>
  <c r="AS24" i="213"/>
  <c r="AD44" i="213"/>
  <c r="BG39" i="213"/>
  <c r="N38" i="213"/>
  <c r="Q37" i="213"/>
  <c r="Q38" i="213"/>
  <c r="V39" i="213"/>
  <c r="BF28" i="213"/>
  <c r="D17" i="213"/>
  <c r="AX22" i="213"/>
  <c r="S22" i="213"/>
  <c r="BK42" i="213"/>
  <c r="BB15" i="213"/>
  <c r="BL31" i="213"/>
  <c r="AW50" i="213"/>
  <c r="AF23" i="213"/>
  <c r="AW42" i="213"/>
  <c r="AH16" i="213"/>
  <c r="T15" i="213"/>
  <c r="L18" i="214"/>
  <c r="R25" i="213"/>
  <c r="E34" i="213"/>
  <c r="R38" i="213"/>
  <c r="X25" i="214"/>
  <c r="U28" i="213"/>
  <c r="Q45" i="213"/>
  <c r="BA28" i="213"/>
  <c r="AE30" i="213"/>
  <c r="U20" i="213"/>
  <c r="H49" i="213"/>
  <c r="BO20" i="213"/>
  <c r="AE41" i="213"/>
  <c r="V23" i="213"/>
  <c r="AP23" i="213"/>
  <c r="BA45" i="213"/>
  <c r="P50" i="213"/>
  <c r="M38" i="213"/>
  <c r="N49" i="213"/>
  <c r="BB52" i="213"/>
  <c r="AD45" i="213"/>
  <c r="BL27" i="213"/>
  <c r="AF53" i="213"/>
  <c r="Z20" i="214"/>
  <c r="BK30" i="213"/>
  <c r="G28" i="213"/>
  <c r="C53" i="213"/>
  <c r="F19" i="214"/>
  <c r="H35" i="213"/>
  <c r="BG33" i="213"/>
  <c r="BK41" i="213"/>
  <c r="BC25" i="213"/>
  <c r="BH16" i="213"/>
  <c r="AU38" i="213"/>
  <c r="AX15" i="213"/>
  <c r="BJ17" i="213"/>
  <c r="BI50" i="213"/>
  <c r="BK16" i="213"/>
  <c r="AN52" i="213"/>
  <c r="W31" i="213"/>
  <c r="AI16" i="213"/>
  <c r="AO32" i="213"/>
  <c r="BJ41" i="213"/>
  <c r="AX29" i="213"/>
  <c r="I23" i="214"/>
  <c r="Z18" i="213"/>
  <c r="H33" i="213"/>
  <c r="AQ48" i="213"/>
  <c r="AW45" i="213"/>
  <c r="AW34" i="213"/>
  <c r="C50" i="213"/>
  <c r="BP29" i="213"/>
  <c r="AO25" i="213"/>
  <c r="D32" i="213"/>
  <c r="AP26" i="213"/>
  <c r="BI23" i="213"/>
  <c r="BJ47" i="213"/>
  <c r="BE38" i="213"/>
  <c r="AQ42" i="213"/>
  <c r="N47" i="213"/>
  <c r="AG23" i="213"/>
  <c r="AC42" i="213"/>
  <c r="AK28" i="213"/>
  <c r="AL17" i="213"/>
  <c r="AW21" i="213"/>
  <c r="AG10" i="214"/>
  <c r="AN38" i="213"/>
  <c r="Y52" i="213"/>
  <c r="AX39" i="213"/>
  <c r="T31" i="213"/>
  <c r="P24" i="213"/>
  <c r="BA34" i="213"/>
  <c r="AE49" i="213"/>
  <c r="AY38" i="213"/>
  <c r="C22" i="214"/>
  <c r="M15" i="213"/>
  <c r="P18" i="213"/>
  <c r="F35" i="213"/>
  <c r="BL41" i="213"/>
  <c r="AT41" i="213"/>
  <c r="AU45" i="213"/>
  <c r="AG29" i="213"/>
  <c r="Y14" i="214"/>
  <c r="W50" i="213"/>
  <c r="S34" i="213"/>
  <c r="L39" i="213"/>
  <c r="BA46" i="213"/>
  <c r="AC38" i="213"/>
  <c r="BM24" i="213"/>
  <c r="A28" i="213"/>
  <c r="X47" i="213"/>
  <c r="AT31" i="213"/>
  <c r="H41" i="213"/>
  <c r="AY32" i="213"/>
  <c r="BB25" i="213"/>
  <c r="J23" i="213"/>
  <c r="BK52" i="213"/>
  <c r="AN19" i="213"/>
  <c r="N42" i="213"/>
  <c r="L19" i="214"/>
  <c r="AX17" i="213"/>
  <c r="AJ35" i="213"/>
  <c r="AB33" i="213"/>
  <c r="AD29" i="213"/>
  <c r="AM25" i="213"/>
  <c r="BG15" i="213"/>
  <c r="BF37" i="213"/>
  <c r="BC45" i="213"/>
  <c r="AH22" i="213"/>
  <c r="AC35" i="213"/>
  <c r="AA35" i="213"/>
  <c r="BA35" i="213"/>
  <c r="AK34" i="213"/>
  <c r="AW24" i="213"/>
  <c r="AH46" i="213"/>
  <c r="BH15" i="213"/>
  <c r="AY46" i="213"/>
  <c r="J45" i="213"/>
  <c r="I18" i="214"/>
  <c r="Q50" i="213"/>
  <c r="G20" i="213"/>
  <c r="AK51" i="213"/>
  <c r="BE44" i="213"/>
  <c r="Z44" i="213"/>
  <c r="AP28" i="213"/>
  <c r="AX32" i="213"/>
  <c r="R23" i="213"/>
  <c r="F26" i="214"/>
  <c r="I27" i="213"/>
  <c r="AY52" i="213"/>
  <c r="Y13" i="214"/>
  <c r="BM30" i="213"/>
  <c r="T20" i="213"/>
  <c r="P51" i="213"/>
  <c r="AA46" i="213"/>
  <c r="Q41" i="213"/>
  <c r="C23" i="214"/>
  <c r="O29" i="214"/>
  <c r="AJ53" i="213"/>
  <c r="Y29" i="214"/>
  <c r="H36" i="213"/>
  <c r="AU33" i="213"/>
  <c r="AI46" i="213"/>
  <c r="AK24" i="213"/>
  <c r="AM51" i="213"/>
  <c r="AH40" i="213"/>
  <c r="F53" i="213"/>
  <c r="C25" i="214"/>
  <c r="AG20" i="214"/>
  <c r="O26" i="214"/>
  <c r="AZ34" i="213"/>
  <c r="AI41" i="213"/>
  <c r="I24" i="214"/>
  <c r="AJ51" i="213"/>
  <c r="AW41" i="213"/>
  <c r="BM33" i="213"/>
  <c r="H19" i="213"/>
  <c r="H28" i="213"/>
  <c r="Z23" i="214"/>
  <c r="AC50" i="213"/>
  <c r="N40" i="213"/>
  <c r="BM25" i="213"/>
  <c r="Y23" i="213"/>
  <c r="F41" i="213"/>
  <c r="BG25" i="213"/>
  <c r="AM16" i="213"/>
  <c r="AU50" i="213"/>
  <c r="AG39" i="213"/>
  <c r="U47" i="213"/>
  <c r="L28" i="214"/>
  <c r="P25" i="213"/>
  <c r="C35" i="213"/>
  <c r="V15" i="213"/>
  <c r="T19" i="213"/>
  <c r="B23" i="214"/>
  <c r="F13" i="214"/>
  <c r="AT16" i="213"/>
  <c r="F29" i="213"/>
  <c r="AN44" i="213"/>
  <c r="BH42" i="213"/>
  <c r="AM18" i="213"/>
  <c r="W25" i="213"/>
  <c r="D28" i="214"/>
  <c r="V21" i="213"/>
  <c r="C23" i="213"/>
  <c r="C28" i="214"/>
  <c r="D33" i="213"/>
  <c r="F12" i="214"/>
  <c r="BK47" i="213"/>
  <c r="AB20" i="213"/>
  <c r="BA25" i="213"/>
  <c r="BP52" i="213"/>
  <c r="P52" i="213"/>
  <c r="I33" i="213"/>
  <c r="L29" i="213"/>
  <c r="Y33" i="213"/>
  <c r="C29" i="213"/>
  <c r="AC25" i="213"/>
  <c r="I15" i="213"/>
  <c r="I16" i="213"/>
  <c r="BG50" i="213"/>
  <c r="AY50" i="213"/>
  <c r="W38" i="213"/>
  <c r="D26" i="214"/>
  <c r="AB16" i="213"/>
  <c r="V22" i="214"/>
  <c r="U19" i="213"/>
  <c r="C34" i="213"/>
  <c r="Z53" i="213"/>
  <c r="AD32" i="213"/>
  <c r="T16" i="213"/>
  <c r="K18" i="213"/>
  <c r="AO22" i="213"/>
  <c r="AG42" i="213"/>
  <c r="C21" i="213"/>
  <c r="AI51" i="213"/>
  <c r="X29" i="213"/>
  <c r="K36" i="213"/>
  <c r="BB27" i="213"/>
  <c r="BL42" i="213"/>
  <c r="BQ53" i="213"/>
  <c r="F21" i="214"/>
  <c r="BQ46" i="213"/>
  <c r="AU44" i="213"/>
  <c r="AY24" i="213"/>
  <c r="AU34" i="213"/>
  <c r="BG53" i="213"/>
  <c r="E38" i="213"/>
  <c r="AV31" i="213"/>
  <c r="AD18" i="213"/>
  <c r="D35" i="213"/>
  <c r="AL16" i="213"/>
  <c r="AL29" i="213"/>
  <c r="J53" i="213"/>
  <c r="U17" i="213"/>
  <c r="J46" i="213"/>
  <c r="AX28" i="213"/>
  <c r="BD42" i="213"/>
  <c r="R51" i="213"/>
  <c r="U29" i="214"/>
  <c r="V38" i="213"/>
  <c r="BM17" i="213"/>
  <c r="AJ50" i="213"/>
  <c r="AB41" i="213"/>
  <c r="BO50" i="213"/>
  <c r="G15" i="213"/>
  <c r="M36" i="213"/>
  <c r="E46" i="213"/>
  <c r="AB34" i="213"/>
  <c r="BG22" i="213"/>
  <c r="BJ40" i="213"/>
  <c r="N21" i="214"/>
  <c r="AG22" i="213"/>
  <c r="AY20" i="213"/>
  <c r="I47" i="213"/>
  <c r="E29" i="214"/>
  <c r="N46" i="213"/>
  <c r="X17" i="214"/>
  <c r="AF24" i="214"/>
  <c r="R41" i="213"/>
  <c r="H25" i="213"/>
  <c r="AW19" i="213"/>
  <c r="S32" i="213"/>
  <c r="X16" i="213"/>
  <c r="W23" i="213"/>
  <c r="AU20" i="213"/>
  <c r="J24" i="213"/>
  <c r="BP24" i="213"/>
  <c r="P21" i="213"/>
  <c r="BL20" i="213"/>
  <c r="BK38" i="213"/>
  <c r="AY44" i="213"/>
  <c r="AQ46" i="213"/>
  <c r="AF15" i="214"/>
  <c r="AC16" i="213"/>
  <c r="M35" i="213"/>
  <c r="BQ45" i="213"/>
  <c r="AO52" i="213"/>
  <c r="AJ33" i="213"/>
  <c r="BC23" i="213"/>
  <c r="E25" i="214"/>
  <c r="BJ38" i="213"/>
  <c r="D39" i="213"/>
  <c r="BO29" i="213"/>
  <c r="BQ36" i="213"/>
  <c r="AZ25" i="213"/>
  <c r="N19" i="213"/>
  <c r="AF42" i="213"/>
  <c r="F10" i="214"/>
  <c r="AY17" i="213"/>
  <c r="AG28" i="214"/>
  <c r="C37" i="213"/>
  <c r="K52" i="213"/>
  <c r="H31" i="213"/>
  <c r="S38" i="213"/>
  <c r="Z28" i="213"/>
  <c r="F29" i="214"/>
  <c r="AS50" i="213"/>
  <c r="BH52" i="213"/>
  <c r="P47" i="213"/>
  <c r="B25" i="214"/>
  <c r="AW47" i="213"/>
  <c r="E10" i="214"/>
  <c r="AS42" i="213"/>
  <c r="D29" i="213"/>
  <c r="BO40" i="213"/>
  <c r="BA42" i="213"/>
  <c r="V18" i="214"/>
  <c r="W52" i="213"/>
  <c r="O52" i="213"/>
  <c r="BF32" i="213"/>
  <c r="J41" i="213"/>
  <c r="C26" i="214"/>
  <c r="AS21" i="213"/>
  <c r="BL24" i="213"/>
  <c r="AW38" i="213"/>
  <c r="AC41" i="213"/>
  <c r="AF44" i="213"/>
  <c r="BF34" i="213"/>
  <c r="AF51" i="213"/>
  <c r="BC35" i="213"/>
  <c r="AU29" i="213"/>
  <c r="BN48" i="213"/>
  <c r="L46" i="213"/>
  <c r="AY15" i="213"/>
  <c r="C48" i="213"/>
  <c r="BC42" i="213"/>
  <c r="AN21" i="213"/>
  <c r="AF22" i="214"/>
  <c r="AP37" i="213"/>
  <c r="AY28" i="213"/>
  <c r="Q47" i="213"/>
  <c r="AD39" i="213"/>
  <c r="AM42" i="213"/>
  <c r="AK37" i="213"/>
  <c r="AS23" i="213"/>
  <c r="BK50" i="213"/>
  <c r="AX25" i="213"/>
  <c r="AM40" i="213"/>
  <c r="AJ18" i="214"/>
  <c r="Q33" i="213"/>
  <c r="AX48" i="213"/>
  <c r="AH51" i="213"/>
  <c r="BK19" i="213"/>
  <c r="O18" i="213"/>
  <c r="Q22" i="213"/>
  <c r="BJ33" i="213"/>
  <c r="BN33" i="213"/>
  <c r="AK33" i="213"/>
  <c r="G38" i="213"/>
  <c r="AN22" i="213"/>
  <c r="AI31" i="213"/>
  <c r="I28" i="213"/>
  <c r="AN53" i="213"/>
  <c r="AV45" i="213"/>
  <c r="BO42" i="213"/>
  <c r="BD35" i="213"/>
  <c r="BM50" i="213"/>
  <c r="F25" i="213"/>
  <c r="BJ20" i="213"/>
  <c r="AN18" i="213"/>
  <c r="BJ37" i="213"/>
  <c r="AT37" i="213"/>
  <c r="AR47" i="213"/>
  <c r="BG49" i="213"/>
  <c r="J25" i="213"/>
  <c r="V33" i="213"/>
  <c r="AZ47" i="213"/>
  <c r="T30" i="213"/>
  <c r="AH33" i="213"/>
  <c r="AH15" i="213"/>
  <c r="V19" i="213"/>
  <c r="R17" i="213"/>
  <c r="AV33" i="213"/>
  <c r="F42" i="213"/>
  <c r="X35" i="213"/>
  <c r="J19" i="213"/>
  <c r="G22" i="213"/>
  <c r="U50" i="213"/>
  <c r="Q28" i="213"/>
  <c r="F36" i="213"/>
  <c r="L31" i="213"/>
  <c r="AI37" i="213"/>
  <c r="BN46" i="213"/>
  <c r="AB36" i="213"/>
  <c r="R50" i="213"/>
  <c r="AB49" i="213"/>
  <c r="BI49" i="213"/>
  <c r="AE50" i="213"/>
  <c r="V14" i="214"/>
  <c r="AC37" i="213"/>
  <c r="AI19" i="213"/>
  <c r="P45" i="213"/>
  <c r="AP45" i="213"/>
  <c r="BB28" i="213"/>
  <c r="S15" i="213"/>
  <c r="BF26" i="213"/>
  <c r="AV29" i="213"/>
  <c r="P33" i="213"/>
  <c r="J21" i="213"/>
  <c r="BH39" i="213"/>
  <c r="BG51" i="213"/>
  <c r="N51" i="213"/>
  <c r="N53" i="213"/>
  <c r="I25" i="213"/>
  <c r="AM22" i="213"/>
  <c r="AM30" i="213"/>
  <c r="BB48" i="213"/>
  <c r="BC41" i="213"/>
  <c r="H52" i="213"/>
  <c r="V53" i="213"/>
  <c r="J29" i="213"/>
  <c r="BN31" i="213"/>
  <c r="BH41" i="213"/>
  <c r="AF29" i="214"/>
  <c r="AA26" i="213"/>
  <c r="BE29" i="213"/>
  <c r="BA50" i="213"/>
  <c r="AM48" i="213"/>
  <c r="AI35" i="213"/>
  <c r="AB38" i="213"/>
  <c r="AI45" i="213"/>
  <c r="P39" i="213"/>
  <c r="BD24" i="213"/>
  <c r="BQ52" i="213"/>
  <c r="P18" i="214"/>
  <c r="AQ25" i="213"/>
  <c r="Y51" i="213"/>
  <c r="AN46" i="213"/>
  <c r="S27" i="213"/>
  <c r="Z16" i="213"/>
  <c r="BH21" i="213"/>
  <c r="BE42" i="213"/>
  <c r="D13" i="214"/>
  <c r="W15" i="213"/>
  <c r="T29" i="213"/>
  <c r="AL38" i="213"/>
  <c r="U17" i="214"/>
  <c r="Z50" i="213"/>
  <c r="AY30" i="213"/>
  <c r="BE28" i="213"/>
  <c r="O23" i="213"/>
  <c r="U14" i="214"/>
  <c r="AQ35" i="213"/>
  <c r="R31" i="213"/>
  <c r="AJ29" i="214"/>
  <c r="Z17" i="213"/>
  <c r="BN37" i="213"/>
  <c r="AG45" i="213"/>
  <c r="Z18" i="214"/>
  <c r="AR50" i="213"/>
  <c r="BA15" i="213"/>
  <c r="O39" i="213"/>
  <c r="W49" i="213"/>
  <c r="AB32" i="213"/>
  <c r="K15" i="213"/>
  <c r="A23" i="213"/>
  <c r="BN52" i="213"/>
  <c r="D23" i="213"/>
  <c r="BG21" i="213"/>
  <c r="BF24" i="213"/>
  <c r="L51" i="213"/>
  <c r="G20" i="214"/>
  <c r="L28" i="213"/>
  <c r="AC19" i="213"/>
  <c r="BL33" i="213"/>
  <c r="H26" i="213"/>
  <c r="N10" i="214"/>
  <c r="G50" i="213"/>
  <c r="D23" i="214"/>
  <c r="AZ23" i="213"/>
  <c r="AV25" i="213"/>
  <c r="AG17" i="213"/>
  <c r="A51" i="213"/>
  <c r="P53" i="213"/>
  <c r="AS52" i="213"/>
  <c r="B13" i="214"/>
  <c r="F52" i="213"/>
  <c r="BM15" i="213"/>
  <c r="AN29" i="213"/>
  <c r="BF16" i="213"/>
  <c r="AG15" i="213"/>
  <c r="L21" i="213"/>
  <c r="AI40" i="213"/>
  <c r="AF31" i="213"/>
  <c r="Y20" i="213"/>
  <c r="AF20" i="214"/>
  <c r="H42" i="213"/>
  <c r="M51" i="213"/>
  <c r="AZ28" i="213"/>
  <c r="AN39" i="213"/>
  <c r="C40" i="213"/>
  <c r="AV41" i="213"/>
  <c r="AQ31" i="213"/>
  <c r="AI42" i="213"/>
  <c r="AL15" i="213"/>
  <c r="AQ30" i="213"/>
  <c r="BI47" i="213"/>
  <c r="P28" i="213"/>
  <c r="Z27" i="214"/>
  <c r="O26" i="213"/>
  <c r="BP35" i="213"/>
  <c r="L41" i="213"/>
  <c r="BI26" i="213"/>
  <c r="C45" i="213"/>
  <c r="AV17" i="213"/>
  <c r="AT39" i="213"/>
  <c r="BM27" i="213"/>
  <c r="BA23" i="213"/>
  <c r="D14" i="214"/>
  <c r="AP34" i="213"/>
  <c r="AU35" i="213"/>
  <c r="Q21" i="213"/>
  <c r="Q15" i="213"/>
  <c r="O37" i="213"/>
  <c r="AF17" i="213"/>
  <c r="J47" i="213"/>
  <c r="E39" i="213"/>
  <c r="BA19" i="213"/>
  <c r="G26" i="213"/>
  <c r="AX53" i="213"/>
  <c r="K34" i="213"/>
  <c r="AK41" i="213"/>
  <c r="N15" i="214"/>
  <c r="AW23" i="213"/>
  <c r="P25" i="214"/>
  <c r="AA36" i="213"/>
  <c r="AX45" i="213"/>
  <c r="AV47" i="213"/>
  <c r="D21" i="213"/>
  <c r="C12" i="214"/>
  <c r="AZ51" i="213"/>
  <c r="K39" i="213"/>
  <c r="BG28" i="213"/>
  <c r="AF24" i="213"/>
  <c r="AA29" i="213"/>
  <c r="BQ48" i="213"/>
  <c r="AA20" i="213"/>
  <c r="U24" i="213"/>
  <c r="BP50" i="213"/>
  <c r="U16" i="214"/>
  <c r="Y16" i="214"/>
  <c r="E48" i="213"/>
  <c r="AH31" i="213"/>
  <c r="A42" i="213"/>
  <c r="AP42" i="213"/>
  <c r="AZ44" i="213"/>
  <c r="BK33" i="213"/>
  <c r="AH17" i="213"/>
  <c r="AJ28" i="214"/>
  <c r="L25" i="214"/>
  <c r="D34" i="213"/>
  <c r="C26" i="213"/>
  <c r="BO49" i="213"/>
  <c r="AG29" i="214"/>
  <c r="A37" i="213"/>
  <c r="W48" i="213"/>
  <c r="AK31" i="213"/>
  <c r="U31" i="213"/>
  <c r="BC52" i="213"/>
  <c r="H30" i="213"/>
  <c r="I26" i="213"/>
  <c r="L15" i="213"/>
  <c r="L16" i="214"/>
  <c r="AZ36" i="213"/>
  <c r="O34" i="213"/>
  <c r="A38" i="213"/>
  <c r="BI39" i="213"/>
  <c r="O23" i="214"/>
  <c r="AA27" i="213"/>
  <c r="AU23" i="213"/>
  <c r="E23" i="214"/>
  <c r="AU36" i="213"/>
  <c r="W41" i="213"/>
  <c r="BE53" i="213"/>
  <c r="AZ19" i="213"/>
  <c r="AL40" i="213"/>
  <c r="AD24" i="213"/>
  <c r="AO51" i="213"/>
  <c r="BN28" i="213"/>
  <c r="AU30" i="213"/>
  <c r="G45" i="213"/>
  <c r="AA38" i="213"/>
  <c r="BD46" i="213"/>
  <c r="BB45" i="213"/>
  <c r="X36" i="213"/>
  <c r="BQ34" i="213"/>
  <c r="AH24" i="213"/>
  <c r="AA33" i="213"/>
  <c r="D40" i="213"/>
  <c r="C25" i="213"/>
  <c r="Z26" i="214"/>
  <c r="E16" i="214"/>
  <c r="BD52" i="213"/>
  <c r="I21" i="213"/>
  <c r="G14" i="214"/>
  <c r="V18" i="213"/>
  <c r="X27" i="213"/>
  <c r="BN20" i="213"/>
  <c r="AF21" i="213"/>
  <c r="AG47" i="213"/>
  <c r="AH52" i="213"/>
  <c r="E26" i="214"/>
  <c r="AH41" i="213"/>
  <c r="AF28" i="214"/>
  <c r="C14" i="214"/>
  <c r="AH32" i="213"/>
  <c r="D44" i="213"/>
  <c r="AD51" i="213"/>
  <c r="F40" i="213"/>
  <c r="BH20" i="213"/>
  <c r="AV48" i="213"/>
  <c r="AZ27" i="213"/>
  <c r="H27" i="213"/>
  <c r="E22" i="213"/>
  <c r="C30" i="213"/>
  <c r="BJ29" i="213"/>
  <c r="K31" i="213"/>
  <c r="AK50" i="213"/>
  <c r="BQ25" i="213"/>
  <c r="BH35" i="213"/>
  <c r="AQ28" i="213"/>
  <c r="E35" i="213"/>
  <c r="K23" i="213"/>
  <c r="BJ45" i="213"/>
  <c r="BE46" i="213"/>
  <c r="F18" i="214"/>
  <c r="AA41" i="213"/>
  <c r="L44" i="213"/>
  <c r="AA18" i="213"/>
  <c r="AN51" i="213"/>
  <c r="P37" i="213"/>
  <c r="AL47" i="213"/>
  <c r="I48" i="213"/>
  <c r="AQ18" i="213"/>
  <c r="D12" i="214"/>
  <c r="AA31" i="213"/>
  <c r="AJ25" i="214"/>
  <c r="G44" i="213"/>
  <c r="V12" i="214"/>
  <c r="X33" i="213"/>
  <c r="AF45" i="213"/>
  <c r="AZ20" i="213"/>
  <c r="AF49" i="213"/>
  <c r="N22" i="214"/>
  <c r="K40" i="213"/>
  <c r="AW48" i="213"/>
  <c r="AO18" i="213"/>
  <c r="AI30" i="213"/>
  <c r="T37" i="213"/>
  <c r="G29" i="214"/>
  <c r="AX19" i="213"/>
  <c r="AG24" i="214"/>
  <c r="AH45" i="213"/>
  <c r="BL46" i="213"/>
  <c r="AK22" i="213"/>
  <c r="V21" i="214"/>
  <c r="AE31" i="213"/>
  <c r="BA38" i="213"/>
  <c r="F30" i="213"/>
  <c r="O15" i="213"/>
  <c r="AK47" i="213"/>
  <c r="O20" i="213"/>
  <c r="BN41" i="213"/>
  <c r="BK15" i="213"/>
  <c r="AP31" i="213"/>
  <c r="AU40" i="213"/>
  <c r="AS26" i="213"/>
  <c r="BL44" i="213"/>
  <c r="AA53" i="213"/>
  <c r="AE27" i="213"/>
  <c r="AH50" i="213"/>
  <c r="AA30" i="213"/>
  <c r="BA29" i="213"/>
  <c r="AO53" i="213"/>
  <c r="AF30" i="213"/>
  <c r="F46" i="213"/>
  <c r="O17" i="213"/>
  <c r="BN24" i="213"/>
  <c r="D17" i="214"/>
  <c r="C33" i="213"/>
  <c r="AV18" i="213"/>
  <c r="AM32" i="213"/>
  <c r="BK49" i="213"/>
  <c r="BA51" i="213"/>
  <c r="AJ40" i="213"/>
  <c r="AT26" i="213"/>
  <c r="X40" i="213"/>
  <c r="E27" i="214"/>
  <c r="M22" i="213"/>
  <c r="Z14" i="214"/>
  <c r="BP40" i="213"/>
  <c r="AJ27" i="214"/>
  <c r="BL32" i="213"/>
  <c r="BI45" i="213"/>
  <c r="BI33" i="213"/>
  <c r="BG36" i="213"/>
  <c r="AN31" i="213"/>
  <c r="N48" i="213"/>
  <c r="S25" i="213"/>
  <c r="BH38" i="213"/>
  <c r="P35" i="213"/>
  <c r="AI36" i="213"/>
  <c r="W16" i="213"/>
  <c r="AX49" i="213"/>
  <c r="BN42" i="213"/>
  <c r="AI29" i="213"/>
  <c r="B11" i="214"/>
  <c r="A34" i="213"/>
  <c r="AS53" i="213"/>
  <c r="H45" i="213"/>
  <c r="V31" i="213"/>
  <c r="BB51" i="213"/>
  <c r="AZ18" i="213"/>
  <c r="C19" i="213"/>
  <c r="T17" i="213"/>
  <c r="X26" i="214"/>
  <c r="G25" i="213"/>
  <c r="T41" i="213"/>
  <c r="AS16" i="213"/>
  <c r="AS45" i="213"/>
  <c r="AB50" i="213"/>
  <c r="I10" i="214"/>
  <c r="U39" i="213"/>
  <c r="N29" i="213"/>
  <c r="AM24" i="213"/>
  <c r="AR42" i="213"/>
  <c r="S26" i="213"/>
  <c r="BK23" i="213"/>
  <c r="AF18" i="214"/>
  <c r="I12" i="214"/>
  <c r="BA27" i="213"/>
  <c r="V27" i="214"/>
  <c r="H22" i="213"/>
  <c r="AY21" i="213"/>
  <c r="AM46" i="213"/>
  <c r="F33" i="213"/>
  <c r="P41" i="213"/>
  <c r="BM28" i="213"/>
  <c r="BE37" i="213"/>
  <c r="AT35" i="213"/>
  <c r="G27" i="213"/>
  <c r="G35" i="213"/>
  <c r="BM29" i="213"/>
  <c r="AT32" i="213"/>
  <c r="J16" i="213"/>
  <c r="BI17" i="213"/>
  <c r="A22" i="213"/>
  <c r="BB29" i="213"/>
  <c r="AU47" i="213"/>
  <c r="AX31" i="213"/>
  <c r="V13" i="214"/>
  <c r="BG48" i="213"/>
  <c r="AD40" i="213"/>
  <c r="AC15" i="213"/>
  <c r="I41" i="213"/>
  <c r="AI23" i="213"/>
  <c r="BI31" i="213"/>
  <c r="AD31" i="213"/>
  <c r="P20" i="214"/>
  <c r="BL18" i="213"/>
  <c r="A45" i="213"/>
  <c r="BD37" i="213"/>
  <c r="A26" i="213"/>
  <c r="AE44" i="213"/>
  <c r="BI46" i="213"/>
  <c r="AH27" i="213"/>
  <c r="AC40" i="213"/>
  <c r="AC26" i="213"/>
  <c r="K50" i="213"/>
  <c r="G53" i="213"/>
  <c r="AT28" i="213"/>
  <c r="V50" i="213"/>
  <c r="AE42" i="213"/>
  <c r="D16" i="214"/>
  <c r="K26" i="213"/>
  <c r="U15" i="214"/>
  <c r="AJ26" i="214"/>
  <c r="Y39" i="213"/>
  <c r="R28" i="213"/>
  <c r="Y21" i="214"/>
  <c r="AN48" i="213"/>
  <c r="AL22" i="213"/>
  <c r="BE15" i="213"/>
  <c r="BP48" i="213"/>
  <c r="BO17" i="213"/>
  <c r="Y27" i="214"/>
  <c r="BP20" i="213"/>
  <c r="S52" i="213"/>
  <c r="V10" i="214"/>
  <c r="G27" i="214"/>
  <c r="AB27" i="213"/>
  <c r="BL16" i="213"/>
  <c r="BB32" i="213"/>
  <c r="X52" i="213"/>
  <c r="P36" i="213"/>
  <c r="J50" i="213"/>
  <c r="D18" i="213"/>
  <c r="P12" i="214"/>
  <c r="M29" i="213"/>
  <c r="BN29" i="213"/>
  <c r="Z11" i="214"/>
  <c r="T23" i="213"/>
  <c r="AK32" i="213"/>
  <c r="BO34" i="213"/>
  <c r="BQ17" i="213"/>
  <c r="E28" i="214"/>
  <c r="T46" i="213"/>
  <c r="O42" i="213"/>
  <c r="BF46" i="213"/>
  <c r="E42" i="213"/>
  <c r="D53" i="213"/>
  <c r="AO19" i="213"/>
  <c r="BL21" i="213"/>
  <c r="P40" i="213"/>
  <c r="N44" i="213"/>
  <c r="BI25" i="213"/>
  <c r="O40" i="213"/>
  <c r="BO52" i="213"/>
  <c r="R39" i="213"/>
  <c r="D22" i="213"/>
  <c r="G11" i="214"/>
  <c r="J18" i="213"/>
  <c r="AH48" i="213"/>
  <c r="L30" i="213"/>
  <c r="AE36" i="213"/>
  <c r="U12" i="214"/>
  <c r="AV37" i="213"/>
  <c r="AI32" i="213"/>
  <c r="AW27" i="213"/>
  <c r="BK27" i="213"/>
  <c r="Q44" i="213"/>
  <c r="BC50" i="213"/>
  <c r="AS27" i="213"/>
  <c r="BB46" i="213"/>
  <c r="AC18" i="213"/>
  <c r="I35" i="213"/>
  <c r="U52" i="213"/>
  <c r="S23" i="213"/>
  <c r="BF23" i="213"/>
  <c r="AR19" i="213"/>
  <c r="AC29" i="213"/>
  <c r="BM47" i="213"/>
  <c r="AL34" i="213"/>
  <c r="G33" i="213"/>
  <c r="G26" i="214"/>
  <c r="AA45" i="213"/>
  <c r="AR51" i="213"/>
  <c r="L21" i="214"/>
  <c r="Z12" i="214"/>
  <c r="BN44" i="213"/>
  <c r="AG32" i="213"/>
  <c r="C22" i="213"/>
  <c r="BC51" i="213"/>
  <c r="AM21" i="213"/>
  <c r="BI42" i="213"/>
  <c r="BG27" i="213"/>
  <c r="J26" i="213"/>
  <c r="X50" i="213"/>
  <c r="W32" i="213"/>
  <c r="I23" i="213"/>
  <c r="BO44" i="213"/>
  <c r="AX41" i="213"/>
  <c r="T33" i="213"/>
  <c r="D26" i="213"/>
  <c r="R37" i="213"/>
  <c r="BK34" i="213"/>
  <c r="AZ52" i="213"/>
  <c r="W27" i="213"/>
  <c r="I30" i="213"/>
  <c r="BJ24" i="213"/>
  <c r="AL24" i="213"/>
  <c r="V34" i="213"/>
  <c r="BL19" i="213"/>
  <c r="AB28" i="213"/>
  <c r="AT24" i="213"/>
  <c r="F31" i="213"/>
  <c r="X32" i="213"/>
  <c r="AQ36" i="213"/>
  <c r="AS34" i="213"/>
  <c r="U53" i="213"/>
  <c r="M41" i="213"/>
  <c r="AA15" i="213"/>
  <c r="BQ18" i="213"/>
  <c r="AI52" i="213"/>
  <c r="V27" i="213"/>
  <c r="J33" i="213"/>
  <c r="Z15" i="214"/>
  <c r="BC28" i="213"/>
  <c r="AV21" i="213"/>
  <c r="L37" i="213"/>
  <c r="BK32" i="213"/>
  <c r="L48" i="213"/>
  <c r="P27" i="213"/>
  <c r="BA39" i="213"/>
  <c r="I42" i="213"/>
  <c r="AQ20" i="213"/>
  <c r="J22" i="213"/>
  <c r="S46" i="213"/>
  <c r="AQ16" i="213"/>
  <c r="F26" i="213"/>
  <c r="R24" i="213"/>
  <c r="BB19" i="213"/>
  <c r="W34" i="213"/>
  <c r="Y24" i="213"/>
  <c r="M52" i="213"/>
  <c r="AG17" i="214"/>
  <c r="BD47" i="213"/>
  <c r="BB18" i="213"/>
  <c r="AP49" i="213"/>
  <c r="M26" i="213"/>
  <c r="O35" i="213"/>
  <c r="BG35" i="213"/>
  <c r="AK25" i="213"/>
  <c r="AI17" i="213"/>
  <c r="BA33" i="213"/>
  <c r="BB53" i="213"/>
  <c r="BM34" i="213"/>
  <c r="AY33" i="213"/>
  <c r="BH44" i="213"/>
  <c r="BM42" i="213"/>
  <c r="AT42" i="213"/>
  <c r="I34" i="213"/>
  <c r="U40" i="213"/>
  <c r="AR20" i="213"/>
  <c r="AY16" i="213"/>
  <c r="AU19" i="213"/>
  <c r="R19" i="213"/>
  <c r="N14" i="214"/>
  <c r="Z28" i="214"/>
  <c r="G24" i="213"/>
  <c r="AF25" i="213"/>
  <c r="BD25" i="213"/>
  <c r="AE32" i="213"/>
  <c r="V35" i="213"/>
  <c r="I29" i="214"/>
  <c r="N24" i="214"/>
  <c r="AH21" i="213"/>
  <c r="AK42" i="213"/>
  <c r="G23" i="213"/>
  <c r="AC27" i="213"/>
  <c r="BL53" i="213"/>
  <c r="AS48" i="213"/>
  <c r="BJ28" i="213"/>
  <c r="V25" i="214"/>
  <c r="I24" i="213"/>
  <c r="BL30" i="213"/>
  <c r="E53" i="213"/>
  <c r="Z45" i="213"/>
  <c r="T29" i="214" l="1"/>
  <c r="AD29" i="214"/>
  <c r="AB29" i="214"/>
  <c r="R29" i="214"/>
  <c r="S29" i="214"/>
  <c r="AC29" i="214"/>
  <c r="V49" i="214"/>
  <c r="V48" i="214"/>
  <c r="V51" i="214"/>
  <c r="V47" i="214"/>
  <c r="V52" i="214"/>
  <c r="V50" i="214"/>
  <c r="T12" i="214"/>
  <c r="AC12" i="214"/>
  <c r="R12" i="214"/>
  <c r="S12" i="214"/>
  <c r="AD12" i="214"/>
  <c r="AB12" i="214"/>
  <c r="AP3" i="57"/>
  <c r="AR3" i="57" s="1"/>
  <c r="N4" i="4" s="1"/>
  <c r="R10" i="214"/>
  <c r="I47" i="214"/>
  <c r="AC10" i="214"/>
  <c r="T10" i="214"/>
  <c r="I48" i="214"/>
  <c r="S10" i="214"/>
  <c r="AB10" i="214"/>
  <c r="I52" i="214"/>
  <c r="I49" i="214"/>
  <c r="I51" i="214"/>
  <c r="I50" i="214"/>
  <c r="AD10" i="214"/>
  <c r="N52" i="214"/>
  <c r="N47" i="214"/>
  <c r="AP4" i="57"/>
  <c r="AR4" i="57" s="1"/>
  <c r="N5" i="4" s="1"/>
  <c r="N49" i="214"/>
  <c r="N50" i="214"/>
  <c r="N51" i="214"/>
  <c r="N48" i="214"/>
  <c r="S24" i="214"/>
  <c r="AD24" i="214"/>
  <c r="T24" i="214"/>
  <c r="AC24" i="214"/>
  <c r="R24" i="214"/>
  <c r="AB24" i="214"/>
  <c r="S18" i="214"/>
  <c r="AB18" i="214"/>
  <c r="T18" i="214"/>
  <c r="R18" i="214"/>
  <c r="AD18" i="214"/>
  <c r="AC18" i="214"/>
  <c r="AG48" i="214"/>
  <c r="AG50" i="214"/>
  <c r="AG51" i="214"/>
  <c r="AG47" i="214"/>
  <c r="AG52" i="214"/>
  <c r="AG49" i="214"/>
  <c r="AD23" i="214"/>
  <c r="AC23" i="214"/>
  <c r="T23" i="214"/>
  <c r="AB23" i="214"/>
  <c r="S23" i="214"/>
  <c r="R23" i="214"/>
  <c r="X50" i="214"/>
  <c r="X49" i="214"/>
  <c r="X47" i="214"/>
  <c r="X51" i="214"/>
  <c r="X48" i="214"/>
  <c r="X52" i="214"/>
  <c r="T14" i="214"/>
  <c r="AC14" i="214"/>
  <c r="S14" i="214"/>
  <c r="AD14" i="214"/>
  <c r="R14" i="214"/>
  <c r="AB14" i="214"/>
  <c r="Z50" i="214"/>
  <c r="Z49" i="214"/>
  <c r="Z47" i="214"/>
  <c r="Z52" i="214"/>
  <c r="Z51" i="214"/>
  <c r="Z48" i="214"/>
  <c r="AF50" i="214"/>
  <c r="AF51" i="214"/>
  <c r="AF49" i="214"/>
  <c r="AF52" i="214"/>
  <c r="AF48" i="214"/>
  <c r="AF47" i="214"/>
  <c r="U47" i="214"/>
  <c r="U51" i="214"/>
  <c r="U49" i="214"/>
  <c r="U48" i="214"/>
  <c r="U50" i="214"/>
  <c r="U52" i="214"/>
  <c r="AB21" i="214"/>
  <c r="AD21" i="214"/>
  <c r="S21" i="214"/>
  <c r="T21" i="214"/>
  <c r="R21" i="214"/>
  <c r="AC21" i="214"/>
  <c r="Y49" i="214"/>
  <c r="Y50" i="214"/>
  <c r="Y47" i="214"/>
  <c r="Y48" i="214"/>
  <c r="Y51" i="214"/>
  <c r="Y52" i="214"/>
  <c r="P49" i="214"/>
  <c r="P50" i="214"/>
  <c r="P47" i="214"/>
  <c r="P51" i="214"/>
  <c r="P48" i="214"/>
  <c r="P52" i="214"/>
  <c r="AC25" i="214"/>
  <c r="AD25" i="214"/>
  <c r="T25" i="214"/>
  <c r="R25" i="214"/>
  <c r="S25" i="214"/>
  <c r="AB25" i="214"/>
  <c r="AB15" i="214"/>
  <c r="AC15" i="214"/>
  <c r="AD15" i="214"/>
  <c r="S15" i="214"/>
  <c r="T15" i="214"/>
  <c r="R15" i="214"/>
  <c r="R17" i="214"/>
  <c r="AB17" i="214"/>
  <c r="AC17" i="214"/>
  <c r="AD17" i="214"/>
  <c r="T17" i="214"/>
  <c r="S17" i="214"/>
  <c r="AC22" i="214"/>
  <c r="S22" i="214"/>
  <c r="AB22" i="214"/>
  <c r="AD22" i="214"/>
  <c r="T22" i="214"/>
  <c r="R22" i="214"/>
  <c r="O50" i="214"/>
  <c r="O48" i="214"/>
  <c r="O49" i="214"/>
  <c r="O51" i="214"/>
  <c r="O52" i="214"/>
  <c r="O47" i="214"/>
  <c r="AP5" i="57"/>
  <c r="AR5" i="57" s="1"/>
  <c r="N6" i="4" s="1"/>
  <c r="R20" i="214"/>
  <c r="T20" i="214"/>
  <c r="AB20" i="214"/>
  <c r="AD20" i="214"/>
  <c r="AC20" i="214"/>
  <c r="S20" i="214"/>
  <c r="AD11" i="214"/>
  <c r="S11" i="214"/>
  <c r="AB11" i="214"/>
  <c r="R11" i="214"/>
  <c r="T11" i="214"/>
  <c r="AC11" i="214"/>
  <c r="AB27" i="214"/>
  <c r="R27" i="214"/>
  <c r="T27" i="214"/>
  <c r="AD27" i="214"/>
  <c r="S27" i="214"/>
  <c r="AC27" i="214"/>
  <c r="AC19" i="214"/>
  <c r="AB19" i="214"/>
  <c r="R19" i="214"/>
  <c r="T19" i="214"/>
  <c r="AD19" i="214"/>
  <c r="S19" i="214"/>
  <c r="S28" i="214"/>
  <c r="AC28" i="214"/>
  <c r="T28" i="214"/>
  <c r="AB28" i="214"/>
  <c r="R28" i="214"/>
  <c r="AD28" i="214"/>
  <c r="AB13" i="214"/>
  <c r="R13" i="214"/>
  <c r="AC13" i="214"/>
  <c r="S13" i="214"/>
  <c r="T13" i="214"/>
  <c r="AD13" i="214"/>
  <c r="AB16" i="214"/>
  <c r="AC16" i="214"/>
  <c r="S16" i="214"/>
  <c r="R16" i="214"/>
  <c r="AD16" i="214"/>
  <c r="T16" i="214"/>
  <c r="R26" i="214"/>
  <c r="AD26" i="214"/>
  <c r="T26" i="214"/>
  <c r="AB26" i="214"/>
  <c r="AC26" i="214"/>
  <c r="S26" i="214"/>
  <c r="G55" i="243"/>
  <c r="G53" i="243"/>
  <c r="D16" i="270"/>
  <c r="D19" i="270" s="1"/>
  <c r="D47" i="270" s="1"/>
  <c r="B3" i="11"/>
  <c r="B18" i="66" s="1"/>
  <c r="B3" i="243"/>
  <c r="F17" i="270"/>
  <c r="F19" i="270" s="1"/>
  <c r="F47" i="270" s="1"/>
  <c r="E19" i="270"/>
  <c r="E47" i="270" s="1"/>
  <c r="G19" i="270"/>
  <c r="G47" i="270" s="1"/>
  <c r="O64" i="6"/>
  <c r="F76" i="6" s="1"/>
  <c r="F79" i="6" s="1"/>
  <c r="J67" i="6" s="1"/>
  <c r="O43" i="6"/>
  <c r="J44" i="133"/>
  <c r="K43" i="133"/>
  <c r="B43" i="133" s="1"/>
  <c r="G43" i="133" s="1"/>
  <c r="BR38" i="213"/>
  <c r="BR18" i="213"/>
  <c r="BR26" i="213"/>
  <c r="BR16" i="213"/>
  <c r="BR34" i="213"/>
  <c r="BR21" i="213"/>
  <c r="BR28" i="213"/>
  <c r="BR37" i="213"/>
  <c r="BR53" i="213"/>
  <c r="BR19" i="213"/>
  <c r="BR48" i="213"/>
  <c r="BR40" i="213"/>
  <c r="BR27" i="213"/>
  <c r="BR20" i="213"/>
  <c r="BR52" i="213"/>
  <c r="BR17" i="213"/>
  <c r="BR49" i="213"/>
  <c r="BR44" i="213"/>
  <c r="BR22" i="213"/>
  <c r="BR30" i="213"/>
  <c r="BR36" i="213"/>
  <c r="BR25" i="213"/>
  <c r="BR24" i="213"/>
  <c r="BR42" i="213"/>
  <c r="BR32" i="213"/>
  <c r="BR33" i="213"/>
  <c r="BR41" i="213"/>
  <c r="BR45" i="213"/>
  <c r="BR23" i="213"/>
  <c r="BR46" i="213"/>
  <c r="BR31" i="213"/>
  <c r="BR35" i="213"/>
  <c r="BR15" i="213"/>
  <c r="BR47" i="213"/>
  <c r="BR50" i="213"/>
  <c r="BR39" i="213"/>
  <c r="BR51" i="213"/>
  <c r="BR29" i="213"/>
  <c r="T52" i="214" l="1"/>
  <c r="R49" i="214"/>
  <c r="AB47" i="214"/>
  <c r="T47" i="214"/>
  <c r="R48" i="214"/>
  <c r="AC51" i="214"/>
  <c r="AD47" i="214"/>
  <c r="AC50" i="214"/>
  <c r="T50" i="214"/>
  <c r="AC52" i="214"/>
  <c r="S51" i="214"/>
  <c r="T51" i="214"/>
  <c r="T49" i="214"/>
  <c r="AB50" i="214"/>
  <c r="AC49" i="214"/>
  <c r="S47" i="214"/>
  <c r="R51" i="214"/>
  <c r="R52" i="214"/>
  <c r="R47" i="214"/>
  <c r="S52" i="214"/>
  <c r="S49" i="214"/>
  <c r="AB48" i="214"/>
  <c r="S48" i="214"/>
  <c r="AD49" i="214"/>
  <c r="AD48" i="214"/>
  <c r="AD52" i="214"/>
  <c r="O3" i="4"/>
  <c r="D39" i="248" s="1"/>
  <c r="T48" i="214"/>
  <c r="AD51" i="214"/>
  <c r="AC47" i="214"/>
  <c r="AC48" i="214"/>
  <c r="AB51" i="214"/>
  <c r="R50" i="214"/>
  <c r="AB52" i="214"/>
  <c r="AD50" i="214"/>
  <c r="AB49" i="214"/>
  <c r="S50" i="214"/>
  <c r="D13" i="236"/>
  <c r="D14" i="236" s="1"/>
  <c r="D15" i="236" s="1"/>
  <c r="C41" i="236" s="1"/>
  <c r="J41" i="236" s="1"/>
  <c r="C70" i="156"/>
  <c r="G70" i="156" s="1"/>
  <c r="B3" i="12"/>
  <c r="B3" i="272"/>
  <c r="J45" i="133"/>
  <c r="K44" i="133"/>
  <c r="B44" i="133" s="1"/>
  <c r="G44" i="133" s="1"/>
  <c r="Q77" i="6"/>
  <c r="Q76" i="6"/>
  <c r="E11" i="52" l="1"/>
  <c r="F9" i="4"/>
  <c r="F17" i="271" s="1"/>
  <c r="B3" i="257"/>
  <c r="B3" i="244"/>
  <c r="E11" i="241" s="1"/>
  <c r="Q79" i="6"/>
  <c r="J46" i="133"/>
  <c r="K45" i="133"/>
  <c r="B45" i="133" s="1"/>
  <c r="G45" i="133" s="1"/>
  <c r="B3" i="256" s="1"/>
  <c r="J17" i="271" l="1"/>
  <c r="H17" i="271"/>
  <c r="F11" i="4"/>
  <c r="J47" i="133"/>
  <c r="K46" i="133"/>
  <c r="B46" i="133" s="1"/>
  <c r="G46" i="133" s="1"/>
  <c r="C19" i="156" l="1"/>
  <c r="M11" i="4"/>
  <c r="I9" i="1" s="1"/>
  <c r="B3" i="249"/>
  <c r="I18" i="243" s="1"/>
  <c r="I33" i="243" s="1"/>
  <c r="I46" i="243" s="1"/>
  <c r="B3" i="275"/>
  <c r="J48" i="133"/>
  <c r="K47" i="133"/>
  <c r="B47" i="133" s="1"/>
  <c r="G47" i="133" s="1"/>
  <c r="B3" i="250" s="1"/>
  <c r="E12" i="52" l="1"/>
  <c r="F15" i="11"/>
  <c r="G19" i="156"/>
  <c r="F19" i="156"/>
  <c r="C20" i="156"/>
  <c r="G20" i="156" s="1"/>
  <c r="J49" i="133"/>
  <c r="K48" i="133"/>
  <c r="B48" i="133" s="1"/>
  <c r="G48" i="133" s="1"/>
  <c r="B3" i="251" s="1"/>
  <c r="J50" i="133" l="1"/>
  <c r="K49" i="133"/>
  <c r="B49" i="133" s="1"/>
  <c r="G49" i="133" s="1"/>
  <c r="B3" i="13" s="1"/>
  <c r="B71" i="11" s="1"/>
  <c r="J51" i="133" l="1"/>
  <c r="K50" i="133"/>
  <c r="B50" i="133" s="1"/>
  <c r="G50" i="133" s="1"/>
  <c r="B3" i="14" s="1"/>
  <c r="I10" i="270" s="1"/>
  <c r="I26" i="270" s="1"/>
  <c r="E12" i="241" l="1"/>
  <c r="J52" i="133"/>
  <c r="K51" i="133"/>
  <c r="B51" i="133" s="1"/>
  <c r="G51" i="133" s="1"/>
  <c r="B3" i="217" s="1"/>
  <c r="I16" i="243"/>
  <c r="I32" i="243" s="1"/>
  <c r="J30" i="39"/>
  <c r="K52" i="133" l="1"/>
  <c r="B52" i="133" s="1"/>
  <c r="G52" i="133" s="1"/>
  <c r="B3" i="235" s="1"/>
  <c r="J53" i="133"/>
  <c r="K53" i="133" s="1"/>
  <c r="B53" i="133" s="1"/>
  <c r="G53" i="133" s="1"/>
  <c r="B3" i="189" s="1"/>
  <c r="B56" i="62" s="1"/>
  <c r="F31" i="11"/>
  <c r="F55" i="11"/>
  <c r="B3" i="234"/>
  <c r="B3" i="233"/>
  <c r="P169" i="233" l="1" a="1"/>
  <c r="P169" i="233" s="1"/>
  <c r="P166" i="233" a="1"/>
  <c r="P166" i="233" s="1"/>
  <c r="P171" i="233" a="1"/>
  <c r="P171" i="233" s="1"/>
  <c r="P168" i="233" a="1"/>
  <c r="P168" i="233" s="1"/>
  <c r="P170" i="233" a="1"/>
  <c r="P170" i="233" s="1"/>
  <c r="P167" i="233" a="1"/>
  <c r="P167" i="233" s="1"/>
  <c r="G15" i="156" l="1"/>
  <c r="F15" i="156"/>
  <c r="C12" i="156"/>
  <c r="F12" i="156" s="1"/>
  <c r="G12" i="15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C8" authorId="0" shapeId="0" xr:uid="{00000000-0006-0000-0100-000001000000}">
      <text>
        <r>
          <rPr>
            <b/>
            <sz val="9"/>
            <color indexed="81"/>
            <rFont val="Tahoma"/>
            <family val="2"/>
          </rPr>
          <t>Knowcraft Common:</t>
        </r>
        <r>
          <rPr>
            <sz val="9"/>
            <color indexed="81"/>
            <rFont val="Tahoma"/>
            <family val="2"/>
          </rPr>
          <t xml:space="preserve">
Please add reference to ASC 718 in case of FV.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Harpreet Singh</author>
    <author>Knowcraft Common</author>
  </authors>
  <commentList>
    <comment ref="L39" authorId="0" shapeId="0" xr:uid="{00000000-0006-0000-0A00-000001000000}">
      <text>
        <r>
          <rPr>
            <sz val="9"/>
            <color indexed="81"/>
            <rFont val="Tahoma"/>
            <family val="2"/>
          </rPr>
          <t>Check formulae</t>
        </r>
      </text>
    </comment>
    <comment ref="D119" authorId="1" shapeId="0" xr:uid="{00000000-0006-0000-0A00-00000200000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I9" authorId="0" shapeId="0" xr:uid="{00000000-0006-0000-1B00-000001000000}">
      <text>
        <r>
          <rPr>
            <b/>
            <sz val="9"/>
            <color indexed="81"/>
            <rFont val="Tahoma"/>
            <family val="2"/>
          </rPr>
          <t>Windows User:</t>
        </r>
        <r>
          <rPr>
            <sz val="9"/>
            <color indexed="81"/>
            <rFont val="Tahoma"/>
            <family val="2"/>
          </rPr>
          <t xml:space="preserve">
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Harpreet Singh</author>
    <author>Knowcraft Common</author>
  </authors>
  <commentList>
    <comment ref="L39" authorId="0" shapeId="0" xr:uid="{00000000-0006-0000-2200-000001000000}">
      <text>
        <r>
          <rPr>
            <sz val="9"/>
            <color indexed="81"/>
            <rFont val="Tahoma"/>
            <family val="2"/>
          </rPr>
          <t>Check formulae</t>
        </r>
      </text>
    </comment>
    <comment ref="D123" authorId="1" shapeId="0" xr:uid="{00000000-0006-0000-2200-00000200000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I9" authorId="0" shapeId="0" xr:uid="{00000000-0006-0000-2900-000001000000}">
      <text>
        <r>
          <rPr>
            <b/>
            <sz val="9"/>
            <color indexed="81"/>
            <rFont val="Tahoma"/>
            <family val="2"/>
          </rPr>
          <t>Windows User:</t>
        </r>
        <r>
          <rPr>
            <sz val="9"/>
            <color indexed="81"/>
            <rFont val="Tahoma"/>
            <family val="2"/>
          </rPr>
          <t xml:space="preserve">
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Knowcraft Common</author>
    <author>Harshit Ajmera</author>
  </authors>
  <commentList>
    <comment ref="B9" authorId="0" shapeId="0" xr:uid="{00000000-0006-0000-2A00-000001000000}">
      <text>
        <r>
          <rPr>
            <b/>
            <sz val="9"/>
            <color indexed="81"/>
            <rFont val="Tahoma"/>
            <family val="2"/>
          </rPr>
          <t>Knowcraft Common:</t>
        </r>
        <r>
          <rPr>
            <sz val="9"/>
            <color indexed="81"/>
            <rFont val="Tahoma"/>
            <family val="2"/>
          </rPr>
          <t xml:space="preserve">
Group debt and update footnote numbering if applicable.</t>
        </r>
      </text>
    </comment>
    <comment ref="B17" authorId="1" shapeId="0" xr:uid="{00000000-0006-0000-2A00-000002000000}">
      <text>
        <r>
          <rPr>
            <b/>
            <sz val="9"/>
            <color indexed="81"/>
            <rFont val="Tahoma"/>
            <family val="2"/>
          </rPr>
          <t>Harshit Ajmera:</t>
        </r>
        <r>
          <rPr>
            <sz val="9"/>
            <color indexed="81"/>
            <rFont val="Tahoma"/>
            <family val="2"/>
          </rPr>
          <t xml:space="preserve">
Remove Warrants from label, if applicable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B153" authorId="0" shapeId="0" xr:uid="{00000000-0006-0000-2D00-000001000000}">
      <text>
        <r>
          <rPr>
            <b/>
            <sz val="9"/>
            <color indexed="81"/>
            <rFont val="Tahoma"/>
            <family val="2"/>
          </rPr>
          <t>KC:</t>
        </r>
        <r>
          <rPr>
            <sz val="9"/>
            <color indexed="81"/>
            <rFont val="Tahoma"/>
            <family val="2"/>
          </rPr>
          <t xml:space="preserve">
Company has become Private as of 02/28/17 (Closed Date)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Ronald Vigliotta</author>
  </authors>
  <commentList>
    <comment ref="F56" authorId="0" shapeId="0" xr:uid="{00000000-0006-0000-3500-000001000000}">
      <text>
        <r>
          <rPr>
            <b/>
            <sz val="9"/>
            <color indexed="81"/>
            <rFont val="Tahoma"/>
            <family val="2"/>
          </rPr>
          <t>Ronald Vigliotta:</t>
        </r>
        <r>
          <rPr>
            <sz val="9"/>
            <color indexed="81"/>
            <rFont val="Tahoma"/>
            <family val="2"/>
          </rPr>
          <t xml:space="preserve">
Didn't accept Grant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AF7" authorId="0" shapeId="0" xr:uid="{00000000-0006-0000-3800-000001000000}">
      <text>
        <r>
          <rPr>
            <b/>
            <sz val="9"/>
            <color indexed="81"/>
            <rFont val="Tahoma"/>
            <family val="2"/>
          </rPr>
          <t>KC:</t>
        </r>
        <r>
          <rPr>
            <sz val="9"/>
            <color indexed="81"/>
            <rFont val="Tahoma"/>
            <family val="2"/>
          </rPr>
          <t xml:space="preserve">
Add Phase of lead drug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Harpreet Singh</author>
  </authors>
  <commentList>
    <comment ref="T13" authorId="0" shapeId="0" xr:uid="{00000000-0006-0000-3900-000001000000}">
      <text>
        <r>
          <rPr>
            <b/>
            <sz val="9"/>
            <color indexed="81"/>
            <rFont val="Tahoma"/>
            <family val="2"/>
          </rPr>
          <t xml:space="preserve">Estimates
</t>
        </r>
      </text>
    </comment>
    <comment ref="U13" authorId="0" shapeId="0" xr:uid="{00000000-0006-0000-3900-000002000000}">
      <text>
        <r>
          <rPr>
            <b/>
            <sz val="9"/>
            <color indexed="81"/>
            <rFont val="Tahoma"/>
            <family val="2"/>
          </rPr>
          <t xml:space="preserve">Estimates
</t>
        </r>
      </text>
    </comment>
    <comment ref="AC13" authorId="0" shapeId="0" xr:uid="{00000000-0006-0000-3900-000003000000}">
      <text>
        <r>
          <rPr>
            <b/>
            <sz val="9"/>
            <color indexed="81"/>
            <rFont val="Tahoma"/>
            <family val="2"/>
          </rPr>
          <t xml:space="preserve">Estimates
</t>
        </r>
      </text>
    </comment>
    <comment ref="AD13" authorId="0" shapeId="0" xr:uid="{00000000-0006-0000-3900-000004000000}">
      <text>
        <r>
          <rPr>
            <b/>
            <sz val="9"/>
            <color indexed="81"/>
            <rFont val="Tahoma"/>
            <family val="2"/>
          </rPr>
          <t xml:space="preserve">Estimates
</t>
        </r>
      </text>
    </comment>
    <comment ref="AE13" authorId="0" shapeId="0" xr:uid="{00000000-0006-0000-3900-000005000000}">
      <text>
        <r>
          <rPr>
            <b/>
            <sz val="9"/>
            <color indexed="81"/>
            <rFont val="Tahoma"/>
            <family val="2"/>
          </rPr>
          <t xml:space="preserve">Estimates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Dhara Shah</author>
    <author>Valuation Common</author>
    <author>Windows User</author>
  </authors>
  <commentList>
    <comment ref="AA8" authorId="0" shapeId="0" xr:uid="{00000000-0006-0000-3D00-000001000000}">
      <text>
        <r>
          <rPr>
            <b/>
            <sz val="9"/>
            <color indexed="81"/>
            <rFont val="Tahoma"/>
            <family val="2"/>
          </rPr>
          <t>Dhara Shah:</t>
        </r>
        <r>
          <rPr>
            <sz val="9"/>
            <color indexed="81"/>
            <rFont val="Tahoma"/>
            <family val="2"/>
          </rPr>
          <t xml:space="preserve">
Do not delete. This is an array formula, so please adjust (Ctrl+Shift+Enter) if range changes</t>
        </r>
      </text>
    </comment>
    <comment ref="D10" authorId="1" shapeId="0" xr:uid="{00000000-0006-0000-3D00-000002000000}">
      <text>
        <r>
          <rPr>
            <b/>
            <sz val="9"/>
            <color indexed="81"/>
            <rFont val="Tahoma"/>
            <family val="2"/>
          </rPr>
          <t>Valuation Common:</t>
        </r>
        <r>
          <rPr>
            <sz val="9"/>
            <color indexed="81"/>
            <rFont val="Tahoma"/>
            <family val="2"/>
          </rPr>
          <t xml:space="preserve">
Update if selected levered beta is not available or applicable</t>
        </r>
      </text>
    </comment>
    <comment ref="E58" authorId="2" shapeId="0" xr:uid="{00000000-0006-0000-3D00-000003000000}">
      <text>
        <r>
          <rPr>
            <b/>
            <sz val="9"/>
            <color indexed="81"/>
            <rFont val="Tahoma"/>
            <family val="2"/>
          </rPr>
          <t>Windows User:</t>
        </r>
        <r>
          <rPr>
            <sz val="9"/>
            <color indexed="81"/>
            <rFont val="Tahoma"/>
            <family val="2"/>
          </rPr>
          <t xml:space="preserve">
MSCI emerging markets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J27" authorId="0" shapeId="0" xr:uid="{00000000-0006-0000-4200-000001000000}">
      <text>
        <r>
          <rPr>
            <b/>
            <sz val="9"/>
            <color indexed="81"/>
            <rFont val="Tahoma"/>
            <family val="2"/>
          </rPr>
          <t>Knowcraft Common:</t>
        </r>
        <r>
          <rPr>
            <sz val="9"/>
            <color indexed="81"/>
            <rFont val="Tahoma"/>
            <family val="2"/>
          </rPr>
          <t xml:space="preserve">
Add footnote for discounting convention if applicable.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Nishma Shah</author>
  </authors>
  <commentList>
    <comment ref="H66" authorId="0" shapeId="0" xr:uid="{00000000-0006-0000-4400-000001000000}">
      <text>
        <r>
          <rPr>
            <b/>
            <sz val="9"/>
            <color indexed="81"/>
            <rFont val="Tahoma"/>
            <family val="2"/>
          </rPr>
          <t>Windows User:</t>
        </r>
        <r>
          <rPr>
            <sz val="9"/>
            <color indexed="81"/>
            <rFont val="Tahoma"/>
            <family val="2"/>
          </rPr>
          <t xml:space="preserve">
</t>
        </r>
      </text>
    </comment>
    <comment ref="H67" authorId="0" shapeId="0" xr:uid="{00000000-0006-0000-4400-000002000000}">
      <text>
        <r>
          <rPr>
            <b/>
            <sz val="9"/>
            <color indexed="81"/>
            <rFont val="Tahoma"/>
            <family val="2"/>
          </rPr>
          <t>Windows User:</t>
        </r>
        <r>
          <rPr>
            <sz val="9"/>
            <color indexed="81"/>
            <rFont val="Tahoma"/>
            <family val="2"/>
          </rPr>
          <t xml:space="preserve">
</t>
        </r>
      </text>
    </comment>
    <comment ref="J67" authorId="0" shapeId="0" xr:uid="{00000000-0006-0000-4400-000003000000}">
      <text>
        <r>
          <rPr>
            <b/>
            <sz val="9"/>
            <color indexed="81"/>
            <rFont val="Tahoma"/>
            <family val="2"/>
          </rPr>
          <t>Windows User:</t>
        </r>
        <r>
          <rPr>
            <sz val="9"/>
            <color indexed="81"/>
            <rFont val="Tahoma"/>
            <family val="2"/>
          </rPr>
          <t xml:space="preserve">
</t>
        </r>
      </text>
    </comment>
    <comment ref="Q67" authorId="1" shapeId="0" xr:uid="{00000000-0006-0000-4400-000004000000}">
      <text>
        <r>
          <rPr>
            <b/>
            <sz val="9"/>
            <color indexed="81"/>
            <rFont val="Tahoma"/>
            <family val="2"/>
          </rPr>
          <t>Nishma Shah:</t>
        </r>
        <r>
          <rPr>
            <sz val="9"/>
            <color indexed="81"/>
            <rFont val="Tahoma"/>
            <family val="2"/>
          </rPr>
          <t xml:space="preserve">
check</t>
        </r>
      </text>
    </comment>
    <comment ref="G68" authorId="0" shapeId="0" xr:uid="{00000000-0006-0000-4400-000005000000}">
      <text>
        <r>
          <rPr>
            <b/>
            <sz val="9"/>
            <color indexed="81"/>
            <rFont val="Tahoma"/>
            <family val="2"/>
          </rPr>
          <t>Windows User:</t>
        </r>
        <r>
          <rPr>
            <sz val="9"/>
            <color indexed="81"/>
            <rFont val="Tahoma"/>
            <family val="2"/>
          </rPr>
          <t xml:space="preserve">
check</t>
        </r>
      </text>
    </comment>
    <comment ref="G69" authorId="0" shapeId="0" xr:uid="{00000000-0006-0000-4400-000006000000}">
      <text>
        <r>
          <rPr>
            <b/>
            <sz val="9"/>
            <color indexed="81"/>
            <rFont val="Tahoma"/>
            <family val="2"/>
          </rPr>
          <t>Windows User:</t>
        </r>
        <r>
          <rPr>
            <sz val="9"/>
            <color indexed="81"/>
            <rFont val="Tahoma"/>
            <family val="2"/>
          </rPr>
          <t xml:space="preserve">
check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Priyadarshini Pant</author>
  </authors>
  <commentList>
    <comment ref="B42" authorId="0" shapeId="0" xr:uid="{00000000-0006-0000-4600-000001000000}">
      <text>
        <r>
          <rPr>
            <b/>
            <sz val="9"/>
            <color indexed="81"/>
            <rFont val="Tahoma"/>
            <family val="2"/>
          </rPr>
          <t>Priyadarshini Pant:</t>
        </r>
        <r>
          <rPr>
            <sz val="9"/>
            <color indexed="81"/>
            <rFont val="Tahoma"/>
            <family val="2"/>
          </rPr>
          <t xml:space="preserve">
Make sure to update this whenever WACC CAPM is used.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Priyadarshini Pant</author>
    <author>Knowcraft Common</author>
    <author>Harsh Mansatta</author>
  </authors>
  <commentList>
    <comment ref="B4" authorId="0" shapeId="0" xr:uid="{00000000-0006-0000-4B00-000001000000}">
      <text>
        <r>
          <rPr>
            <b/>
            <sz val="9"/>
            <color indexed="81"/>
            <rFont val="Tahoma"/>
            <family val="2"/>
          </rPr>
          <t>Priyadarshini Pant:</t>
        </r>
        <r>
          <rPr>
            <sz val="9"/>
            <color indexed="81"/>
            <rFont val="Tahoma"/>
            <family val="2"/>
          </rPr>
          <t xml:space="preserve">
Update this sheet, and the Exhibit name based on the project.</t>
        </r>
      </text>
    </comment>
    <comment ref="F6" authorId="1" shapeId="0" xr:uid="{00000000-0006-0000-4B00-000002000000}">
      <text>
        <r>
          <rPr>
            <b/>
            <sz val="9"/>
            <color indexed="81"/>
            <rFont val="Tahoma"/>
            <family val="2"/>
          </rPr>
          <t>Knowcraft Common:</t>
        </r>
        <r>
          <rPr>
            <sz val="9"/>
            <color indexed="81"/>
            <rFont val="Tahoma"/>
            <family val="2"/>
          </rPr>
          <t xml:space="preserve">
</t>
        </r>
      </text>
    </comment>
    <comment ref="J6" authorId="1" shapeId="0" xr:uid="{00000000-0006-0000-4B00-000003000000}">
      <text>
        <r>
          <rPr>
            <b/>
            <sz val="9"/>
            <color indexed="81"/>
            <rFont val="Tahoma"/>
            <family val="2"/>
          </rPr>
          <t>Knowcraft Common:</t>
        </r>
        <r>
          <rPr>
            <sz val="9"/>
            <color indexed="81"/>
            <rFont val="Tahoma"/>
            <family val="2"/>
          </rPr>
          <t xml:space="preserve">
</t>
        </r>
      </text>
    </comment>
    <comment ref="G117" authorId="2" shapeId="0" xr:uid="{00000000-0006-0000-4B00-000004000000}">
      <text>
        <r>
          <rPr>
            <b/>
            <sz val="9"/>
            <color indexed="81"/>
            <rFont val="Tahoma"/>
            <family val="2"/>
          </rPr>
          <t>Harsh Mansatta:</t>
        </r>
        <r>
          <rPr>
            <sz val="9"/>
            <color indexed="81"/>
            <rFont val="Tahoma"/>
            <family val="2"/>
          </rPr>
          <t xml:space="preserve">
Marketed in Japan
http://www.servier.com/content/taiho-pharmaceutical-co-ltd-and-servier-enter-license-agreement-development-and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AI9" authorId="0" shapeId="0" xr:uid="{00000000-0006-0000-4C00-000001000000}">
      <text>
        <r>
          <rPr>
            <b/>
            <sz val="9"/>
            <color indexed="81"/>
            <rFont val="Tahoma"/>
            <family val="2"/>
          </rPr>
          <t>=CIQ($C13, "IQ_TOTAL_REV", IQ_LTM, $E$13, $AH$2, $AH$1, $AH$3, $AH$4)*1000</t>
        </r>
      </text>
    </comment>
    <comment ref="AJ9" authorId="0" shapeId="0" xr:uid="{00000000-0006-0000-4C00-000002000000}">
      <text>
        <r>
          <rPr>
            <b/>
            <sz val="9"/>
            <color indexed="81"/>
            <rFont val="Tahoma"/>
            <family val="2"/>
          </rPr>
          <t>=CIQ($C13, "IQ_EBITDA", IQ_LTM, $E$13, $AH$2, $AH$1, $AH$3, $AH$4)*1000</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X8" authorId="0" shapeId="0" xr:uid="{00000000-0006-0000-4D00-000001000000}">
      <text>
        <r>
          <rPr>
            <b/>
            <sz val="9"/>
            <color indexed="81"/>
            <rFont val="Tahoma"/>
            <family val="2"/>
          </rPr>
          <t>=CIQ(C11, "IQ_CASH_EQUIV", , F11, , , "USD")*1000</t>
        </r>
      </text>
    </comment>
    <comment ref="AA8" authorId="0" shapeId="0" xr:uid="{00000000-0006-0000-4D00-000002000000}">
      <text>
        <r>
          <rPr>
            <b/>
            <sz val="9"/>
            <color indexed="81"/>
            <rFont val="Tahoma"/>
            <family val="2"/>
          </rPr>
          <t>=CIQ($C11, "IQ_TOTAL_REV", IQ_LTM, $F11, $X$2, $X$1, $X$3, $X$4)*1000</t>
        </r>
      </text>
    </comment>
    <comment ref="AB8" authorId="0" shapeId="0" xr:uid="{00000000-0006-0000-4D00-000003000000}">
      <text>
        <r>
          <rPr>
            <b/>
            <sz val="9"/>
            <color indexed="81"/>
            <rFont val="Tahoma"/>
            <family val="2"/>
          </rPr>
          <t>=CIQ($C12, "IQ_EBITDA", IQ_LTM, $F12, $X$2, $X$1, $X$3, $X$4)*1000</t>
        </r>
      </text>
    </comment>
    <comment ref="Y9" authorId="0" shapeId="0" xr:uid="{00000000-0006-0000-4D00-000004000000}">
      <text>
        <r>
          <rPr>
            <b/>
            <sz val="9"/>
            <color indexed="81"/>
            <rFont val="Tahoma"/>
            <family val="2"/>
          </rPr>
          <t>=CIQ(C11, "IQ_TOTAL_DEBT", , F11, , , "USD")*1000</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33" authorId="0" shapeId="0" xr:uid="{00000000-0006-0000-5200-000001000000}">
      <text>
        <r>
          <rPr>
            <b/>
            <sz val="9"/>
            <color indexed="81"/>
            <rFont val="Tahoma"/>
            <family val="2"/>
          </rPr>
          <t>Knowcraft Common:</t>
        </r>
        <r>
          <rPr>
            <sz val="9"/>
            <color indexed="81"/>
            <rFont val="Tahoma"/>
            <family val="2"/>
          </rPr>
          <t xml:space="preserve">
Update based on points mentioned below
</t>
        </r>
      </text>
    </comment>
    <comment ref="A34" authorId="0" shapeId="0" xr:uid="{00000000-0006-0000-52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53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53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54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5400-000002000000}">
      <text>
        <r>
          <rPr>
            <b/>
            <sz val="9"/>
            <color indexed="81"/>
            <rFont val="Tahoma"/>
            <family val="2"/>
          </rPr>
          <t>Knowcraft Common:</t>
        </r>
        <r>
          <rPr>
            <sz val="9"/>
            <color indexed="81"/>
            <rFont val="Tahoma"/>
            <family val="2"/>
          </rPr>
          <t xml:space="preserve">
Update based on points mentioned below
</t>
        </r>
      </text>
    </comment>
  </commentList>
</comments>
</file>

<file path=xl/sharedStrings.xml><?xml version="1.0" encoding="utf-8"?>
<sst xmlns="http://schemas.openxmlformats.org/spreadsheetml/2006/main" count="10486" uniqueCount="3845">
  <si>
    <t>(in thousands of USD)</t>
  </si>
  <si>
    <t>Discount for Lack of Voting Rights</t>
  </si>
  <si>
    <t>Studies</t>
  </si>
  <si>
    <t>Pub. Date</t>
  </si>
  <si>
    <t>Time Period</t>
  </si>
  <si>
    <t>Companies</t>
  </si>
  <si>
    <t>Indicated Discount*</t>
  </si>
  <si>
    <t>Masulis, Wang, Xie</t>
  </si>
  <si>
    <t>1995-2003</t>
  </si>
  <si>
    <t>Houlihan, Lokey, Howard &amp; Zukin</t>
  </si>
  <si>
    <t>Cox &amp; Roden</t>
  </si>
  <si>
    <t>1984-1999</t>
  </si>
  <si>
    <t>Ettelson Study</t>
  </si>
  <si>
    <t>n/a</t>
  </si>
  <si>
    <t>1993-1998</t>
  </si>
  <si>
    <t>Smith/Amoako-Adu Study</t>
  </si>
  <si>
    <t>1988-1992</t>
  </si>
  <si>
    <t>Zingales</t>
  </si>
  <si>
    <t>1984-1990</t>
  </si>
  <si>
    <t>O'Shea &amp; Siwicki</t>
  </si>
  <si>
    <t>1988-1990</t>
  </si>
  <si>
    <t>SEC Study</t>
  </si>
  <si>
    <t>2.0%-8.0%</t>
  </si>
  <si>
    <t>Lease, McConnell &amp; Mickkelson</t>
  </si>
  <si>
    <t>1940-1978</t>
  </si>
  <si>
    <t>Mean (Excl. SEC Study)</t>
  </si>
  <si>
    <t>Median (Excl. SEC Study)</t>
  </si>
  <si>
    <t>Mean (Excl. SEC Study + Cox &amp; Roden)</t>
  </si>
  <si>
    <t>Median (Excl. SEC Study + Cox &amp; Roden)</t>
  </si>
  <si>
    <t>Court Cases</t>
  </si>
  <si>
    <t>Discount Allowed*</t>
  </si>
  <si>
    <t>Estate of Simplot v. Commissioner</t>
  </si>
  <si>
    <t>Barnes v. Commissioner</t>
  </si>
  <si>
    <t>Kosman v. Commissioner</t>
  </si>
  <si>
    <t>Estate of Newhouse v. Commissioner</t>
  </si>
  <si>
    <t>Estate of Joyce C. Hall v. Commissioner</t>
  </si>
  <si>
    <t>Estate of Clara S. Roeder Winkler v. Commissioner</t>
  </si>
  <si>
    <t>The Northern Trust Company v. Commissioner</t>
  </si>
  <si>
    <t>Ahmanson Foundation v. United States</t>
  </si>
  <si>
    <t>Wallace v. United States</t>
  </si>
  <si>
    <t>Estate of Alvin Thalheimer v. Commissioner (1977)</t>
  </si>
  <si>
    <t>Estate of Alvin Thalheimer v. Commissioner (1974)</t>
  </si>
  <si>
    <t>Jacod S. Kamborian v. Commissioner</t>
  </si>
  <si>
    <t>Mean</t>
  </si>
  <si>
    <t>Median</t>
  </si>
  <si>
    <t>Source: Stout Risius Ross: Price Differentials Between Voting and Nonvoting Stock</t>
  </si>
  <si>
    <t xml:space="preserve">*To the extent the outcome of the study was an indicated premium, the premium was converted to </t>
  </si>
  <si>
    <t>an implied discount (premium / (1+premium)).</t>
  </si>
  <si>
    <t>Price Differentials Between Voting &amp; Nonvoting Stock</t>
  </si>
  <si>
    <t>Study</t>
  </si>
  <si>
    <t>Discount</t>
  </si>
  <si>
    <t>Pre-1990</t>
  </si>
  <si>
    <t>Post-1990</t>
  </si>
  <si>
    <t>SEC overall average</t>
  </si>
  <si>
    <t>FMV Opinions, Inc.</t>
  </si>
  <si>
    <t>Gelman</t>
  </si>
  <si>
    <t>Management Planning, Inc.</t>
  </si>
  <si>
    <t>Trout</t>
  </si>
  <si>
    <t>Bajaj, et al.</t>
  </si>
  <si>
    <t>Moroney</t>
  </si>
  <si>
    <t>Johnson</t>
  </si>
  <si>
    <t>Maher</t>
  </si>
  <si>
    <t>Columbia Financial Advisors</t>
  </si>
  <si>
    <t>Standard Research Consultants</t>
  </si>
  <si>
    <t>Silber</t>
  </si>
  <si>
    <t>Willamette Management Associates</t>
  </si>
  <si>
    <t>Pre-1990 mean discount</t>
  </si>
  <si>
    <t>Post-1990 mean discount</t>
  </si>
  <si>
    <t>Summary Of Restricted Stock Studies</t>
  </si>
  <si>
    <t>Beta</t>
  </si>
  <si>
    <t>Reference</t>
  </si>
  <si>
    <t>Duration (Years)</t>
  </si>
  <si>
    <t>Risk-Free Rate</t>
  </si>
  <si>
    <t>Dividend Yield</t>
  </si>
  <si>
    <t>Volatility</t>
  </si>
  <si>
    <t>(sigma^2)*T</t>
  </si>
  <si>
    <t>v</t>
  </si>
  <si>
    <t>A</t>
  </si>
  <si>
    <t>B</t>
  </si>
  <si>
    <t>Calculated DLOM</t>
  </si>
  <si>
    <t>Protective Put (European)</t>
  </si>
  <si>
    <t>Starting Price</t>
  </si>
  <si>
    <t>Strike Price</t>
  </si>
  <si>
    <t>Years to Maturity</t>
  </si>
  <si>
    <t>D1</t>
  </si>
  <si>
    <t>D2</t>
  </si>
  <si>
    <t>Footnotes:</t>
  </si>
  <si>
    <t>Val Date</t>
  </si>
  <si>
    <t>(in millions of USD)</t>
  </si>
  <si>
    <t>Conversion</t>
  </si>
  <si>
    <t>H</t>
  </si>
  <si>
    <t>Capitalization</t>
  </si>
  <si>
    <t>Asset Volatility Key Terms</t>
  </si>
  <si>
    <t>Asset Volatility Calculations</t>
  </si>
  <si>
    <t>Market Cap</t>
  </si>
  <si>
    <t>Debt</t>
  </si>
  <si>
    <t>Pref.</t>
  </si>
  <si>
    <t>Min. Int.</t>
  </si>
  <si>
    <t>Total Debt, Pref., MI</t>
  </si>
  <si>
    <t>MVIC</t>
  </si>
  <si>
    <t>Cash &amp; Equiv.</t>
  </si>
  <si>
    <t>Ent. Value</t>
  </si>
  <si>
    <t>Term</t>
  </si>
  <si>
    <t>Equity Vol.</t>
  </si>
  <si>
    <t>Variance</t>
  </si>
  <si>
    <t>N(D1)</t>
  </si>
  <si>
    <t>N(D2)</t>
  </si>
  <si>
    <t>Call Value</t>
  </si>
  <si>
    <t>Ticker</t>
  </si>
  <si>
    <t>EV</t>
  </si>
  <si>
    <t>Check</t>
  </si>
  <si>
    <t>High</t>
  </si>
  <si>
    <t>Low</t>
  </si>
  <si>
    <t xml:space="preserve">Mean </t>
  </si>
  <si>
    <t>1st Quartile</t>
  </si>
  <si>
    <t>3rd Quartile</t>
  </si>
  <si>
    <t>Source: Capital IQ</t>
  </si>
  <si>
    <t>Equity Volatility</t>
  </si>
  <si>
    <t>Years Lookback</t>
  </si>
  <si>
    <t>CIQ Formula</t>
  </si>
  <si>
    <t>IQ_PRICE_VOL_HIST_3MTH</t>
  </si>
  <si>
    <t>IQ_PRICE_VOL_HIST_6MTH</t>
  </si>
  <si>
    <t>IQ_PRICE_VOL_HIST_YR</t>
  </si>
  <si>
    <t>IQ_PRICE_VOL_HIST_2YR</t>
  </si>
  <si>
    <t>IQ_PRICE_VOL_HIST_5YR</t>
  </si>
  <si>
    <t>Risk-Free Rates</t>
  </si>
  <si>
    <t>Term (Years)</t>
  </si>
  <si>
    <t>Description</t>
  </si>
  <si>
    <t>Cap IQ</t>
  </si>
  <si>
    <t>Min</t>
  </si>
  <si>
    <t>Max</t>
  </si>
  <si>
    <t>IQ36183813</t>
  </si>
  <si>
    <t>IQ36183816</t>
  </si>
  <si>
    <t>IQ36183819</t>
  </si>
  <si>
    <t>IQ36183822</t>
  </si>
  <si>
    <t>IQ36183825</t>
  </si>
  <si>
    <t>IQ36183828</t>
  </si>
  <si>
    <t>IQ36183831</t>
  </si>
  <si>
    <t>IQ36183834</t>
  </si>
  <si>
    <t>IQ36183837</t>
  </si>
  <si>
    <t>IQ36183840</t>
  </si>
  <si>
    <t>IQ36183843</t>
  </si>
  <si>
    <t>Term Same As Risk-Free Rate Duration</t>
  </si>
  <si>
    <t>Interpolated Risk-Free Rate</t>
  </si>
  <si>
    <t>(in thousands of USD, except price per share)</t>
  </si>
  <si>
    <t>Valuation Summary</t>
  </si>
  <si>
    <t>Discounted Cash Flow</t>
  </si>
  <si>
    <t>Enterprise Value</t>
  </si>
  <si>
    <t>Less: Total Debt</t>
  </si>
  <si>
    <t>Equity Value</t>
  </si>
  <si>
    <t>Allocation of Value</t>
  </si>
  <si>
    <t>Common Stock</t>
  </si>
  <si>
    <t>Approach</t>
  </si>
  <si>
    <t>Option Pricing Method</t>
  </si>
  <si>
    <t>PWERM</t>
  </si>
  <si>
    <t>Primary</t>
  </si>
  <si>
    <t xml:space="preserve">Concluded Price Per Share (Non-Marketable, Minority) </t>
  </si>
  <si>
    <t>Allocation Methodology</t>
  </si>
  <si>
    <t>Historical Income Statement</t>
  </si>
  <si>
    <t>Historical Balance Sheet</t>
  </si>
  <si>
    <t>12 Months Ending December 31,</t>
  </si>
  <si>
    <t>Projected</t>
  </si>
  <si>
    <t>Revenue</t>
  </si>
  <si>
    <t>Total</t>
  </si>
  <si>
    <t>% Change</t>
  </si>
  <si>
    <t>Less: COGS</t>
  </si>
  <si>
    <t>Gross Profit</t>
  </si>
  <si>
    <t>% Margin</t>
  </si>
  <si>
    <t>Operating Expenses</t>
  </si>
  <si>
    <t>General &amp; Administrative</t>
  </si>
  <si>
    <t>Sales &amp; Marketing</t>
  </si>
  <si>
    <t>Research &amp; Development</t>
  </si>
  <si>
    <t>Depreciation &amp; Amortization</t>
  </si>
  <si>
    <t>Other Expenses</t>
  </si>
  <si>
    <t>Less: Depreciation &amp; Amortization</t>
  </si>
  <si>
    <t>EBITDA</t>
  </si>
  <si>
    <t>EBIT</t>
  </si>
  <si>
    <t>Net Operating Losses</t>
  </si>
  <si>
    <t>Beginning Balance</t>
  </si>
  <si>
    <t>Add: NOLs</t>
  </si>
  <si>
    <t>Less: NOL Usage</t>
  </si>
  <si>
    <t>Ending Balance</t>
  </si>
  <si>
    <t>Taxable Cash Flow</t>
  </si>
  <si>
    <t>Calculated Taxes</t>
  </si>
  <si>
    <t>Debt-Free After-Tax Cash Flow</t>
  </si>
  <si>
    <t>Less: Capital Expenditures</t>
  </si>
  <si>
    <t>Add: Depreciation &amp; Amortization</t>
  </si>
  <si>
    <t>Net Debt-Free Cash Flow</t>
  </si>
  <si>
    <t>Discount Period</t>
  </si>
  <si>
    <t>Discount Factor</t>
  </si>
  <si>
    <t>Partial Period</t>
  </si>
  <si>
    <t>Adjusted Net Debt-Free Cash Flow</t>
  </si>
  <si>
    <t>Present Value</t>
  </si>
  <si>
    <t>Discount Rate</t>
  </si>
  <si>
    <t>Terminal Value Calculation</t>
  </si>
  <si>
    <t>Terminal Growth Rate</t>
  </si>
  <si>
    <t>Terminal Net Debt-Free Cash Flow</t>
  </si>
  <si>
    <t>Implied Terminal Multiple</t>
  </si>
  <si>
    <t>Terminal Value</t>
  </si>
  <si>
    <t>Terminal Discount Rate</t>
  </si>
  <si>
    <t>Present Value Factor</t>
  </si>
  <si>
    <t>Present Value of Terminal Value</t>
  </si>
  <si>
    <t>Discrete Period Value</t>
  </si>
  <si>
    <t>Summary of Present Values</t>
  </si>
  <si>
    <t>Less: Change in Working Capital</t>
  </si>
  <si>
    <t>Range of Valuation Indications</t>
  </si>
  <si>
    <t>Sensitivity Analysis:</t>
  </si>
  <si>
    <t>Time in Period</t>
  </si>
  <si>
    <t>1 Year</t>
  </si>
  <si>
    <t>Cost of Sales (Goods Sold)</t>
  </si>
  <si>
    <t>Operating Income</t>
  </si>
  <si>
    <t>Interest Income/Expense, Net</t>
  </si>
  <si>
    <t>Other Income/Expense, Net</t>
  </si>
  <si>
    <t>Nonrecurring Loss</t>
  </si>
  <si>
    <t>Pre-Tax Income (Loss)</t>
  </si>
  <si>
    <t>Income Taxes</t>
  </si>
  <si>
    <t>Net Income (Loss)</t>
  </si>
  <si>
    <t>Other Items:</t>
  </si>
  <si>
    <t>Capital Expenditures</t>
  </si>
  <si>
    <t>As of</t>
  </si>
  <si>
    <t>Assets</t>
  </si>
  <si>
    <t>Current Assets</t>
  </si>
  <si>
    <t>Cash &amp; Equivalents</t>
  </si>
  <si>
    <t>Accounts Receivable</t>
  </si>
  <si>
    <t>Inventory</t>
  </si>
  <si>
    <t>Prepaid Expenses</t>
  </si>
  <si>
    <t>Other Current Assets</t>
  </si>
  <si>
    <t>Net Fixed Assets</t>
  </si>
  <si>
    <t>Other Assets</t>
  </si>
  <si>
    <t>Total Current Assets</t>
  </si>
  <si>
    <t>Total Assets</t>
  </si>
  <si>
    <t>Liabilities &amp; Shareholders' Equity</t>
  </si>
  <si>
    <t>Current Liabilities</t>
  </si>
  <si>
    <t>Accounts Payable</t>
  </si>
  <si>
    <t>Current Maturities</t>
  </si>
  <si>
    <t>Accrued Expenses</t>
  </si>
  <si>
    <t>Other Current Liabilities</t>
  </si>
  <si>
    <t>Total Current Liabilities</t>
  </si>
  <si>
    <t>Long-Term Debt, Net of Current Portion</t>
  </si>
  <si>
    <t>Deferred Liabilities</t>
  </si>
  <si>
    <t>Other Long-Term Liabilities</t>
  </si>
  <si>
    <t>Total Liabilities</t>
  </si>
  <si>
    <t>Goodwill</t>
  </si>
  <si>
    <t>Deferred Financing Cost</t>
  </si>
  <si>
    <t>Short-Term Investments</t>
  </si>
  <si>
    <t>Long-Term Investments</t>
  </si>
  <si>
    <t>Common</t>
  </si>
  <si>
    <t xml:space="preserve">Preferred </t>
  </si>
  <si>
    <t>Additional Paid In Capital</t>
  </si>
  <si>
    <t>Retained Earnings</t>
  </si>
  <si>
    <t>Treasury Stock</t>
  </si>
  <si>
    <t>Shareholders' Equity</t>
  </si>
  <si>
    <t>Total Liabilities &amp; Shareholders' Equity</t>
  </si>
  <si>
    <t>Total Shareholders' Equity</t>
  </si>
  <si>
    <t>CHECK</t>
  </si>
  <si>
    <t>Summary</t>
  </si>
  <si>
    <t>Excess Cash</t>
  </si>
  <si>
    <t>Less: Required Cash</t>
  </si>
  <si>
    <t>Total Cash &amp; Cash Equivalents</t>
  </si>
  <si>
    <t>Total Debt</t>
  </si>
  <si>
    <t>(2)</t>
  </si>
  <si>
    <t>(1)</t>
  </si>
  <si>
    <t>50% to 70%</t>
  </si>
  <si>
    <t>50% to 100%</t>
  </si>
  <si>
    <t>40% to 60%</t>
  </si>
  <si>
    <t>35% to 50%</t>
  </si>
  <si>
    <t>30% to 50%</t>
  </si>
  <si>
    <t>30% to 40%</t>
  </si>
  <si>
    <t>25% to 35%</t>
  </si>
  <si>
    <t>20% to 35%</t>
  </si>
  <si>
    <t>20% to 30%</t>
  </si>
  <si>
    <t xml:space="preserve">Stage of Development </t>
  </si>
  <si>
    <t>Start Up (5)</t>
  </si>
  <si>
    <t>Early Development (6)</t>
  </si>
  <si>
    <t>Expansion (7)</t>
  </si>
  <si>
    <t>Bridge/IPO (8)</t>
  </si>
  <si>
    <t>Equity</t>
  </si>
  <si>
    <t>Cost of Capital</t>
  </si>
  <si>
    <t>Weighting</t>
  </si>
  <si>
    <t>Weighted Cost</t>
  </si>
  <si>
    <t>Cost of Debt</t>
  </si>
  <si>
    <t>Capital Structure Components</t>
  </si>
  <si>
    <t>Tax Rate</t>
  </si>
  <si>
    <t>Post-Tax Cost Of Debt</t>
  </si>
  <si>
    <t>Cost of Equity</t>
  </si>
  <si>
    <t>Unlevered Beta</t>
  </si>
  <si>
    <t>Re-Levered Beta</t>
  </si>
  <si>
    <t>Market Risk Premium</t>
  </si>
  <si>
    <t>&lt;A&gt;</t>
  </si>
  <si>
    <t>&lt;B&gt;</t>
  </si>
  <si>
    <t>&lt;A&gt;*&lt;B&gt;</t>
  </si>
  <si>
    <t>Equity Risk Premium</t>
  </si>
  <si>
    <t>Size Premium</t>
  </si>
  <si>
    <t>Unsystematic Risk Premium</t>
  </si>
  <si>
    <t>Calculated Cost of Equity</t>
  </si>
  <si>
    <t>Calculated</t>
  </si>
  <si>
    <t>Applied</t>
  </si>
  <si>
    <t>Moody's BAA Rate</t>
  </si>
  <si>
    <t>LINK UP</t>
  </si>
  <si>
    <t>(3)</t>
  </si>
  <si>
    <t>(4)</t>
  </si>
  <si>
    <t>(5)</t>
  </si>
  <si>
    <t>Index</t>
  </si>
  <si>
    <t>Frequency</t>
  </si>
  <si>
    <t>M</t>
  </si>
  <si>
    <t>W</t>
  </si>
  <si>
    <t>^SPX</t>
  </si>
  <si>
    <t>^FTSE</t>
  </si>
  <si>
    <t>^XTO</t>
  </si>
  <si>
    <t>Beta Lookback (Years)</t>
  </si>
  <si>
    <t>Levered Beta</t>
  </si>
  <si>
    <t>Start Date</t>
  </si>
  <si>
    <t>D/MVIC</t>
  </si>
  <si>
    <t>E/MVIC</t>
  </si>
  <si>
    <t>Beta Calculation</t>
  </si>
  <si>
    <t>Shares</t>
  </si>
  <si>
    <t>Price</t>
  </si>
  <si>
    <t>Value</t>
  </si>
  <si>
    <t>Rate</t>
  </si>
  <si>
    <t>Capital Structure Component</t>
  </si>
  <si>
    <t>Preferred (Debt-Like)</t>
  </si>
  <si>
    <t>Preferred (Equity-Like)</t>
  </si>
  <si>
    <t>Applied WACC - Enterprise Level (Portfolio Basis)</t>
  </si>
  <si>
    <t>Weighted Average Cost of Capital - CAPM-Based</t>
  </si>
  <si>
    <t>(6)</t>
  </si>
  <si>
    <t>(7)</t>
  </si>
  <si>
    <t>(8)</t>
  </si>
  <si>
    <t>(9)</t>
  </si>
  <si>
    <t>Concl.</t>
  </si>
  <si>
    <t>LTM-1</t>
  </si>
  <si>
    <t>LTM</t>
  </si>
  <si>
    <t>Calendar Year</t>
  </si>
  <si>
    <t>Multiples</t>
  </si>
  <si>
    <t>NCY</t>
  </si>
  <si>
    <t>NCY+1</t>
  </si>
  <si>
    <t>NCY+2</t>
  </si>
  <si>
    <t>Resulting Indication</t>
  </si>
  <si>
    <t>Performance Metric</t>
  </si>
  <si>
    <t>Selected Enterprise Value Range, on a Minority Interest Basis</t>
  </si>
  <si>
    <t>Implied Equity Value</t>
  </si>
  <si>
    <t>Add: Total Debt</t>
  </si>
  <si>
    <t>Calculated Enterprise Value</t>
  </si>
  <si>
    <t>Less: Future Financing</t>
  </si>
  <si>
    <t>Concluded Enterprise Value (Rounded)</t>
  </si>
  <si>
    <t>Market Approach - GCM Summary</t>
  </si>
  <si>
    <t>Gross</t>
  </si>
  <si>
    <t>Net Income</t>
  </si>
  <si>
    <t>Margins</t>
  </si>
  <si>
    <t>IQ_GROSS_MARGIN</t>
  </si>
  <si>
    <t>IQ_EBITDA_MARGIN</t>
  </si>
  <si>
    <t>IQ_EBIT_MARGIN</t>
  </si>
  <si>
    <t>IQ_NI_MARGIN</t>
  </si>
  <si>
    <t>CapIQ Formulas</t>
  </si>
  <si>
    <t>LTM-2</t>
  </si>
  <si>
    <t>Capex as % of Revenue</t>
  </si>
  <si>
    <t>Close Date</t>
  </si>
  <si>
    <t>Target</t>
  </si>
  <si>
    <t>% Sought</t>
  </si>
  <si>
    <t>CIQ ID</t>
  </si>
  <si>
    <t>Stake</t>
  </si>
  <si>
    <t>LTM Multiple</t>
  </si>
  <si>
    <t>LTM Performance</t>
  </si>
  <si>
    <t>NTM Performance</t>
  </si>
  <si>
    <t>NTM Multiple</t>
  </si>
  <si>
    <t>1 Week</t>
  </si>
  <si>
    <t>1 Month</t>
  </si>
  <si>
    <t>Premium</t>
  </si>
  <si>
    <t>Market Approach - GTM Summary</t>
  </si>
  <si>
    <t>Selected Enterprise Value Range, on a Controlling Interest Basis</t>
  </si>
  <si>
    <t>Warrants</t>
  </si>
  <si>
    <t xml:space="preserve">Options Outstanding </t>
  </si>
  <si>
    <t>Option Pool Remaining</t>
  </si>
  <si>
    <t>Grand Total</t>
  </si>
  <si>
    <t>Conversion Ratio</t>
  </si>
  <si>
    <t>Common Stock Equivalents (CSEs)</t>
  </si>
  <si>
    <t>Redemption</t>
  </si>
  <si>
    <t xml:space="preserve">Dividend Rate </t>
  </si>
  <si>
    <t>Participating Preferred</t>
  </si>
  <si>
    <t>Anti-Dilution</t>
  </si>
  <si>
    <t>No</t>
  </si>
  <si>
    <t>Wtd. Avg.</t>
  </si>
  <si>
    <t>Date Raised</t>
  </si>
  <si>
    <t>Participation Cap Multiple</t>
  </si>
  <si>
    <t>Accrued Dividend as of Valuation Date</t>
  </si>
  <si>
    <t>DLOM</t>
  </si>
  <si>
    <t>Allocable Value</t>
  </si>
  <si>
    <t>Time to Liquidity (Years)</t>
  </si>
  <si>
    <t>Option Pricing Model Assumptions</t>
  </si>
  <si>
    <t>Breakpoint Calculations</t>
  </si>
  <si>
    <t>Liquidation Preference Seniority</t>
  </si>
  <si>
    <t>Liq. Pref</t>
  </si>
  <si>
    <t>Liquidation Preference</t>
  </si>
  <si>
    <t>Shares Outstanding</t>
  </si>
  <si>
    <t>Strike/Stock Price</t>
  </si>
  <si>
    <t>Less: Exercise Proceeds</t>
  </si>
  <si>
    <t>Calculated Breakpoint</t>
  </si>
  <si>
    <t>Allocation</t>
  </si>
  <si>
    <t>Tranche Calculation</t>
  </si>
  <si>
    <t>Range (Low)</t>
  </si>
  <si>
    <t>Range (High)</t>
  </si>
  <si>
    <t>Black Scholes Call (Low)</t>
  </si>
  <si>
    <t>Black Scholes Call (High)</t>
  </si>
  <si>
    <t>Tranche Value</t>
  </si>
  <si>
    <t>D1 Low</t>
  </si>
  <si>
    <t>D1 High</t>
  </si>
  <si>
    <t>D2 Low</t>
  </si>
  <si>
    <t>D2 High</t>
  </si>
  <si>
    <t>Tranche Allocation</t>
  </si>
  <si>
    <t>Value Conclusion</t>
  </si>
  <si>
    <t>Value/Share</t>
  </si>
  <si>
    <t>Conclusion</t>
  </si>
  <si>
    <t>Option Pricing Method - Implied Value Per Share</t>
  </si>
  <si>
    <t>Valuation Date</t>
  </si>
  <si>
    <t>Implied Exit Date</t>
  </si>
  <si>
    <t>Time to Exit (Years)</t>
  </si>
  <si>
    <t>Exit Value</t>
  </si>
  <si>
    <t>Exit Date</t>
  </si>
  <si>
    <t>Exit Metric</t>
  </si>
  <si>
    <t>Exit Metric Value</t>
  </si>
  <si>
    <t>Exit Multiple</t>
  </si>
  <si>
    <t>Future Financing</t>
  </si>
  <si>
    <t>Amount Raised</t>
  </si>
  <si>
    <t>Expected Date of Raise</t>
  </si>
  <si>
    <t>Required Rate of Return</t>
  </si>
  <si>
    <t>[Round 3]</t>
  </si>
  <si>
    <t>Waterfall</t>
  </si>
  <si>
    <t>Value Allocable to Existing Investors</t>
  </si>
  <si>
    <t>Liquidation Preferences</t>
  </si>
  <si>
    <t>Remainder</t>
  </si>
  <si>
    <t>Shares (As Converted)</t>
  </si>
  <si>
    <t>Present Value Determination - Common</t>
  </si>
  <si>
    <t>Future Value Allocable</t>
  </si>
  <si>
    <t>Future Price Per Share</t>
  </si>
  <si>
    <t>Present Value Per Share</t>
  </si>
  <si>
    <t>Present Value Determination - Preferred</t>
  </si>
  <si>
    <t>Remaining Allocable Value</t>
  </si>
  <si>
    <t>Exercise Proceeds</t>
  </si>
  <si>
    <t>Total Debt-Like Component</t>
  </si>
  <si>
    <t>Future Allocable Value</t>
  </si>
  <si>
    <t>Total Equity-Like Component</t>
  </si>
  <si>
    <t>Debt-Like Component</t>
  </si>
  <si>
    <t>Equity-Like Component</t>
  </si>
  <si>
    <t>Original Issue Price</t>
  </si>
  <si>
    <t>Template Date</t>
  </si>
  <si>
    <t>Template Inputs</t>
  </si>
  <si>
    <t>Industry - Primary</t>
  </si>
  <si>
    <t>Industry - Niche</t>
  </si>
  <si>
    <t>Project ID</t>
  </si>
  <si>
    <t>Client name</t>
  </si>
  <si>
    <t>Valuation date</t>
  </si>
  <si>
    <t>Engagement lead</t>
  </si>
  <si>
    <t>Engagement analyst</t>
  </si>
  <si>
    <t>Effective tax rate</t>
  </si>
  <si>
    <t>Sr. No.</t>
  </si>
  <si>
    <t>CIQ Ticker</t>
  </si>
  <si>
    <t>Summary Valuation Results</t>
  </si>
  <si>
    <t xml:space="preserve">for </t>
  </si>
  <si>
    <t>Privileged and Confidential</t>
  </si>
  <si>
    <t xml:space="preserve">Forecasting | Modeling | Valuation | Market Assessment
</t>
  </si>
  <si>
    <t>Date Prepared:</t>
  </si>
  <si>
    <t>Scope of valuation</t>
  </si>
  <si>
    <t>Company Name</t>
  </si>
  <si>
    <t>Filing</t>
  </si>
  <si>
    <t>Currency</t>
  </si>
  <si>
    <t>F</t>
  </si>
  <si>
    <t>USD</t>
  </si>
  <si>
    <t>Revenue Analysis</t>
  </si>
  <si>
    <t>EBITDA Analysis</t>
  </si>
  <si>
    <t>Discount Rates</t>
  </si>
  <si>
    <t>Capitalization Summary</t>
  </si>
  <si>
    <t>Asian Put</t>
  </si>
  <si>
    <t>Appendices</t>
  </si>
  <si>
    <t>v2T</t>
  </si>
  <si>
    <t>vT</t>
  </si>
  <si>
    <t>Finnerty</t>
  </si>
  <si>
    <t>Concluded DLOM</t>
  </si>
  <si>
    <t>Type of Client</t>
  </si>
  <si>
    <t>Values</t>
  </si>
  <si>
    <t>Total Trans. Value</t>
  </si>
  <si>
    <t>Price/Book Value</t>
  </si>
  <si>
    <t>Price/Net Income</t>
  </si>
  <si>
    <t>Target Segment</t>
  </si>
  <si>
    <t>Summary of Restricted Stock Studies</t>
  </si>
  <si>
    <t>Interpolation - OPM</t>
  </si>
  <si>
    <t>DLOM Term (Years)</t>
  </si>
  <si>
    <t>OPM Term (Years)</t>
  </si>
  <si>
    <t>Angel</t>
  </si>
  <si>
    <t>Common A</t>
  </si>
  <si>
    <t>Common B</t>
  </si>
  <si>
    <t>Common Warrants</t>
  </si>
  <si>
    <t xml:space="preserve">Common Options </t>
  </si>
  <si>
    <t>Series 1</t>
  </si>
  <si>
    <t>Series 2</t>
  </si>
  <si>
    <t>Series 3</t>
  </si>
  <si>
    <t>Series 4</t>
  </si>
  <si>
    <t>Series A</t>
  </si>
  <si>
    <t>Series A-1</t>
  </si>
  <si>
    <t>Series A-2</t>
  </si>
  <si>
    <t>Series A-3</t>
  </si>
  <si>
    <t>Series A-4</t>
  </si>
  <si>
    <t>Series A-5</t>
  </si>
  <si>
    <t>Series B</t>
  </si>
  <si>
    <t>Series B-1</t>
  </si>
  <si>
    <t>Series B-2</t>
  </si>
  <si>
    <t>Series B-3</t>
  </si>
  <si>
    <t>Series C</t>
  </si>
  <si>
    <t>Series C-1</t>
  </si>
  <si>
    <t>Series C-2</t>
  </si>
  <si>
    <t>Series C-3</t>
  </si>
  <si>
    <t>Series D</t>
  </si>
  <si>
    <t>Series E</t>
  </si>
  <si>
    <t>Series F</t>
  </si>
  <si>
    <t>Series FF</t>
  </si>
  <si>
    <t>Series G</t>
  </si>
  <si>
    <t>Series D-1</t>
  </si>
  <si>
    <t>Series D-2</t>
  </si>
  <si>
    <t>Series F-1</t>
  </si>
  <si>
    <t>Share Class</t>
  </si>
  <si>
    <t>Estimated</t>
  </si>
  <si>
    <t>Series D-3</t>
  </si>
  <si>
    <t>Series E-1</t>
  </si>
  <si>
    <t>Series E-2</t>
  </si>
  <si>
    <t>Series E-3</t>
  </si>
  <si>
    <t>Series F-2</t>
  </si>
  <si>
    <t>Series F-3</t>
  </si>
  <si>
    <t>Input #1</t>
  </si>
  <si>
    <t>Input #2</t>
  </si>
  <si>
    <t>Input #3</t>
  </si>
  <si>
    <t>Input #4</t>
  </si>
  <si>
    <t>Type</t>
  </si>
  <si>
    <t>Select Type</t>
  </si>
  <si>
    <t>Expected Options Grant</t>
  </si>
  <si>
    <t>Yes</t>
  </si>
  <si>
    <t>Duration as of Valuation Date</t>
  </si>
  <si>
    <t>Dividend Inclusion</t>
  </si>
  <si>
    <t>Dividend Declaration</t>
  </si>
  <si>
    <t>Cumulative</t>
  </si>
  <si>
    <t>Non-Cumulative</t>
  </si>
  <si>
    <t>Not Declared</t>
  </si>
  <si>
    <t>Simple</t>
  </si>
  <si>
    <t>Compounding</t>
  </si>
  <si>
    <t>Total Investment</t>
  </si>
  <si>
    <t>Duration as of OPM Exit</t>
  </si>
  <si>
    <t>Accrued Dividend at OPM Exit</t>
  </si>
  <si>
    <t>Total Liquidation Preference</t>
  </si>
  <si>
    <t>Liquidation Preference Per Share</t>
  </si>
  <si>
    <t>Options/Warrants</t>
  </si>
  <si>
    <t>Shares Outstanding / Converted to Common Stock</t>
  </si>
  <si>
    <t>YTD</t>
  </si>
  <si>
    <t>Last Financial Year Ending</t>
  </si>
  <si>
    <t>Historical Income Statement - Common Size</t>
  </si>
  <si>
    <t>Descending Order Only</t>
  </si>
  <si>
    <t>Price / Earnings Analysis</t>
  </si>
  <si>
    <t>Pending points:</t>
  </si>
  <si>
    <t>Probability of exit</t>
  </si>
  <si>
    <t>POTs</t>
  </si>
  <si>
    <t>Capped participation</t>
  </si>
  <si>
    <t>Formatting</t>
  </si>
  <si>
    <t>Guideline</t>
  </si>
  <si>
    <t>Per share price</t>
  </si>
  <si>
    <t>Currency format
Two decimal precision
If it is $0.00, then change to three decimal precision</t>
  </si>
  <si>
    <t>Discount rate</t>
  </si>
  <si>
    <t>Discount factor</t>
  </si>
  <si>
    <t>Any number or dollar value</t>
  </si>
  <si>
    <t>Blue color font</t>
  </si>
  <si>
    <t>Hardcoded value/number (not applicable for text)</t>
  </si>
  <si>
    <t>Other points</t>
  </si>
  <si>
    <t>Do not use any name managers</t>
  </si>
  <si>
    <t>GCM</t>
  </si>
  <si>
    <t>Add multiple summary sheet</t>
  </si>
  <si>
    <t>Add discounting factor</t>
  </si>
  <si>
    <t>OPM</t>
  </si>
  <si>
    <t>Common breakpoint functionality</t>
  </si>
  <si>
    <t>GTM</t>
  </si>
  <si>
    <t>Per share value for each class</t>
  </si>
  <si>
    <t>Hybrid</t>
  </si>
  <si>
    <t>NEW to add</t>
  </si>
  <si>
    <t>Test volatility</t>
  </si>
  <si>
    <t>&lt;&lt;--- Don’t Change</t>
  </si>
  <si>
    <t>Indication #1 HIF-2α</t>
  </si>
  <si>
    <t>Management's Estimate for Exit</t>
  </si>
  <si>
    <t>M&amp;A Probability Split</t>
  </si>
  <si>
    <t>Date of Completion</t>
  </si>
  <si>
    <t>Total Check</t>
  </si>
  <si>
    <t>Phase wise exit %</t>
  </si>
  <si>
    <t>Phase Ia</t>
  </si>
  <si>
    <t>Phase Ib</t>
  </si>
  <si>
    <t>Phase II</t>
  </si>
  <si>
    <t>Scenarios</t>
  </si>
  <si>
    <t>Standalone Probability</t>
  </si>
  <si>
    <t>Cumulative Probability</t>
  </si>
  <si>
    <t>Probability to Exit</t>
  </si>
  <si>
    <t>Wtd. Avg. Probability</t>
  </si>
  <si>
    <t>Probability of Next Trial</t>
  </si>
  <si>
    <t>Success</t>
  </si>
  <si>
    <t>Failure</t>
  </si>
  <si>
    <t>Probability Split</t>
  </si>
  <si>
    <t>IPO (Phase Ib and II)</t>
  </si>
  <si>
    <t>M&amp;A (Phase Ia and Ib)</t>
  </si>
  <si>
    <t>M&amp;A (Phase II)</t>
  </si>
  <si>
    <t>Summary of Probability at Each Development Phase</t>
  </si>
  <si>
    <t>Exit Scenario</t>
  </si>
  <si>
    <t>Phase</t>
  </si>
  <si>
    <t>Date</t>
  </si>
  <si>
    <t>Exit Value Type</t>
  </si>
  <si>
    <t>Probability</t>
  </si>
  <si>
    <t>IPO - Early</t>
  </si>
  <si>
    <t>IPO - Late</t>
  </si>
  <si>
    <t>Dissolution</t>
  </si>
  <si>
    <t>NA</t>
  </si>
  <si>
    <t>Phase I</t>
  </si>
  <si>
    <t>Phase III</t>
  </si>
  <si>
    <t>NDA/BLA Phase</t>
  </si>
  <si>
    <t>Total P1-Market</t>
  </si>
  <si>
    <t>P1-Market</t>
  </si>
  <si>
    <t>Tufts' 10 Lead Indications</t>
  </si>
  <si>
    <t>BMT All Indications</t>
  </si>
  <si>
    <t>Total PI-Market</t>
  </si>
  <si>
    <t>Done</t>
  </si>
  <si>
    <t>Capped Value</t>
  </si>
  <si>
    <t>INPUT -&gt;&gt;</t>
  </si>
  <si>
    <t>Total Value Allocable By Class</t>
  </si>
  <si>
    <t>Per Share Value Allocable By Class</t>
  </si>
  <si>
    <t>Price / Net Book Value Analysis</t>
  </si>
  <si>
    <t>Earnings</t>
  </si>
  <si>
    <t>Total Equity</t>
  </si>
  <si>
    <t>Type of Multiples</t>
  </si>
  <si>
    <t>Period</t>
  </si>
  <si>
    <t>added more functionality such that n/a appears after last breakpoint. Need to test on live project</t>
  </si>
  <si>
    <t>Statistical Metrics</t>
  </si>
  <si>
    <t>Plus: Cash &amp; Equivalents</t>
  </si>
  <si>
    <t>Implied Equity Value, on a Controlling Interest Basis</t>
  </si>
  <si>
    <t>Selected Control Premium</t>
  </si>
  <si>
    <t>Discount for Lack of Control</t>
  </si>
  <si>
    <t>Implied Equity Value, on a Minority Basis</t>
  </si>
  <si>
    <t>Control Premium Summary</t>
  </si>
  <si>
    <t>Mergerstat data</t>
  </si>
  <si>
    <t>Please confirm if this needs to be added</t>
  </si>
  <si>
    <t>Outline</t>
  </si>
  <si>
    <t>Exhibit Number</t>
  </si>
  <si>
    <t>PWERM - Exit Probabilities</t>
  </si>
  <si>
    <t>PWERM - Probability of Technical Success</t>
  </si>
  <si>
    <t>Option Pricing Method - Breakpoints &amp; Allocation</t>
  </si>
  <si>
    <t>Notes &amp; Assumptions</t>
  </si>
  <si>
    <t>Section</t>
  </si>
  <si>
    <t>Importance</t>
  </si>
  <si>
    <t>Questions</t>
  </si>
  <si>
    <t>Response</t>
  </si>
  <si>
    <t>Notes/Assumptions</t>
  </si>
  <si>
    <t>Questions/Clarifications/Open Items</t>
  </si>
  <si>
    <t>Source</t>
  </si>
  <si>
    <t>Status</t>
  </si>
  <si>
    <t>Difference</t>
  </si>
  <si>
    <t>Difference %</t>
  </si>
  <si>
    <t>File Name</t>
  </si>
  <si>
    <t>CompanyABC VD 12.31.12 Draft Exhibits_v1</t>
  </si>
  <si>
    <t>Part I</t>
  </si>
  <si>
    <t>DLOM Type</t>
  </si>
  <si>
    <t>Part II</t>
  </si>
  <si>
    <t>Asset Volatility</t>
  </si>
  <si>
    <t>Equity Volatility Selection Type</t>
  </si>
  <si>
    <t>OPM Backsolve</t>
  </si>
  <si>
    <t>Cash and Equivalents</t>
  </si>
  <si>
    <t>Total Invested Capital</t>
  </si>
  <si>
    <t>Workpapers</t>
  </si>
  <si>
    <t>Automated TOC with Workpapers</t>
  </si>
  <si>
    <t>Automated PDF with or w/o Workpapers</t>
  </si>
  <si>
    <t>Mehul</t>
  </si>
  <si>
    <t>Graphs from VRC report page 13</t>
  </si>
  <si>
    <t>Sensitivity in OPM</t>
  </si>
  <si>
    <t>Cap Table - Pie of Pie Chart</t>
  </si>
  <si>
    <t>not created graph for R&amp;D Exp</t>
  </si>
  <si>
    <t xml:space="preserve">Created Pie of Pie chart (added some dummy data using RANDBETWEEN formula) </t>
  </si>
  <si>
    <t>Graph - Price (High/Low) in Equity Vol tab</t>
  </si>
  <si>
    <t>Series Seed</t>
  </si>
  <si>
    <t>Company ABC, Inc.</t>
  </si>
  <si>
    <t>DO NOT DELETE</t>
  </si>
  <si>
    <t>Event Date</t>
  </si>
  <si>
    <t>Amount</t>
  </si>
  <si>
    <t>Return</t>
  </si>
  <si>
    <t>One decimal precision
If it is 0.0%, then change to two decimal precision</t>
  </si>
  <si>
    <t>One decimal precision
If it is 0.00, then change to three decimal precision</t>
  </si>
  <si>
    <t>One decimal precision, if it is 0.0, then change to two decimal precision. Don’t put $ sign</t>
  </si>
  <si>
    <t>Label Format #1</t>
  </si>
  <si>
    <t>Label Format #2</t>
  </si>
  <si>
    <t>Label Format #3</t>
  </si>
  <si>
    <t>(in thousands of USD and shares, except price per share)</t>
  </si>
  <si>
    <t>(in millions of USD, except price per share)</t>
  </si>
  <si>
    <t>Label Format #4</t>
  </si>
  <si>
    <t>Label Format #5</t>
  </si>
  <si>
    <t>The expected rate of return is based on SVB debt rates for venture debt, as well as our observations of subordinated (or mezzanine) debt rates.</t>
  </si>
  <si>
    <t>&lt;- input final value of common stock</t>
  </si>
  <si>
    <t>Exhibit Labeling</t>
  </si>
  <si>
    <t xml:space="preserve">Rate of Return By Stage of Development </t>
  </si>
  <si>
    <t xml:space="preserve">Capitalization Table </t>
  </si>
  <si>
    <t xml:space="preserve">Economic Rights Summary </t>
  </si>
  <si>
    <t>Comparative Sheet</t>
  </si>
  <si>
    <t>Strike price</t>
  </si>
  <si>
    <t>Capex</t>
  </si>
  <si>
    <t>Net Working Capital</t>
  </si>
  <si>
    <t>Stock Price</t>
  </si>
  <si>
    <t>Stock price</t>
  </si>
  <si>
    <t>Prior valuation date</t>
  </si>
  <si>
    <t>Descending EV order for comps</t>
  </si>
  <si>
    <t>Update this (lead drug/product)</t>
  </si>
  <si>
    <t>Update</t>
  </si>
  <si>
    <t>Check the stub-period change in NWC calc</t>
  </si>
  <si>
    <t>For the Period Ending December 31,</t>
  </si>
  <si>
    <t>As of December 31,</t>
  </si>
  <si>
    <t>Historical Balance Sheet - Common Size</t>
  </si>
  <si>
    <t>Multiples' Summary</t>
  </si>
  <si>
    <t>Financial Performance (Actual &amp; Estimates)</t>
  </si>
  <si>
    <t>Actual</t>
  </si>
  <si>
    <t>Financial Performance (Actual)</t>
  </si>
  <si>
    <t>Control Premium</t>
  </si>
  <si>
    <t>Overall</t>
  </si>
  <si>
    <t>Average</t>
  </si>
  <si>
    <t>Business Services</t>
  </si>
  <si>
    <t>Third Quarter 2015</t>
  </si>
  <si>
    <t>Factors Affecting Minority Discounts/Control Premiums</t>
  </si>
  <si>
    <t>Moderate</t>
  </si>
  <si>
    <t>Neutral</t>
  </si>
  <si>
    <t>Higher</t>
  </si>
  <si>
    <t>Scarcity</t>
  </si>
  <si>
    <t>Small</t>
  </si>
  <si>
    <t>Lower</t>
  </si>
  <si>
    <t>Selected Control Premium (Preferred)</t>
  </si>
  <si>
    <t>Selected Control Premium (Common)</t>
  </si>
  <si>
    <t>Implied discount for lack of control ("DLOC") - Preferred</t>
  </si>
  <si>
    <t>(1) Source: Control Premium Study, third quarter, 2015, Mergerstat.</t>
  </si>
  <si>
    <t>Update based on subject industry</t>
  </si>
  <si>
    <t>Latest Twelve Months</t>
  </si>
  <si>
    <t>Market Trends since Previous Valuation</t>
  </si>
  <si>
    <t>Guideline Public Companies</t>
  </si>
  <si>
    <t>Previous Valuation</t>
  </si>
  <si>
    <t>Current Valuation</t>
  </si>
  <si>
    <t xml:space="preserve">Applied Multiples </t>
  </si>
  <si>
    <t>Type of LTM Multiples</t>
  </si>
  <si>
    <t>Guideline Public Companies' Revenue Multiples</t>
  </si>
  <si>
    <t>Guideline Public Companies' EBITDA Multiples</t>
  </si>
  <si>
    <t>Guideline Public Companies' Price Multiples</t>
  </si>
  <si>
    <t>Guideline Public Companies' Margins &amp; Cash Flow Metrics</t>
  </si>
  <si>
    <t>Guideline Public Companies' Descriptions</t>
  </si>
  <si>
    <t>Guideline Transactions' Multiples Analysis</t>
  </si>
  <si>
    <t>Guideline Transactions' Target Descriptions</t>
  </si>
  <si>
    <t>Target Companies</t>
  </si>
  <si>
    <t>Total Revenue</t>
  </si>
  <si>
    <t>Total Enterprise Value</t>
  </si>
  <si>
    <t>VD</t>
  </si>
  <si>
    <t>LAST FYE-1</t>
  </si>
  <si>
    <t>LAST FYE</t>
  </si>
  <si>
    <t>CY+1</t>
  </si>
  <si>
    <t>CY+2</t>
  </si>
  <si>
    <t>CY+3</t>
  </si>
  <si>
    <t>Previous Valuation VD</t>
  </si>
  <si>
    <t>CIQ_ID</t>
  </si>
  <si>
    <t>NAME</t>
  </si>
  <si>
    <t>EXCHANGE</t>
  </si>
  <si>
    <t>FY_END</t>
  </si>
  <si>
    <t>FIRST_PRICE_DATE</t>
  </si>
  <si>
    <t>EBITDA_LTM</t>
  </si>
  <si>
    <t>BETA_5YR</t>
  </si>
  <si>
    <t>BETA_2YR</t>
  </si>
  <si>
    <t>BETA_1YR</t>
  </si>
  <si>
    <t>EFF_TAX</t>
  </si>
  <si>
    <t>CAGR_REV_2YR</t>
  </si>
  <si>
    <t>CAGR_REV_3YR</t>
  </si>
  <si>
    <t>CAGR_REV_5YR</t>
  </si>
  <si>
    <t>CAGR_EBITDA_2YR</t>
  </si>
  <si>
    <t>CAGR_EBITDA_3YR</t>
  </si>
  <si>
    <t>CAGR_EBITDA_5YR</t>
  </si>
  <si>
    <t>Dep &amp; Amort % Rev</t>
  </si>
  <si>
    <t>Term (years)</t>
  </si>
  <si>
    <t>Risk Free Rate</t>
  </si>
  <si>
    <t>BAA Rate</t>
  </si>
  <si>
    <t>IQ2668642</t>
  </si>
  <si>
    <t>Prime Rate</t>
  </si>
  <si>
    <t>%USPMRT</t>
  </si>
  <si>
    <t>CY2016</t>
  </si>
  <si>
    <t>CY2017</t>
  </si>
  <si>
    <t>CY2018</t>
  </si>
  <si>
    <t>Comparable Public Companies (Primary)</t>
  </si>
  <si>
    <t>Year 1</t>
  </si>
  <si>
    <t>Year 2</t>
  </si>
  <si>
    <t>Year 3</t>
  </si>
  <si>
    <t>Year 4</t>
  </si>
  <si>
    <t>Year 5</t>
  </si>
  <si>
    <t>NM</t>
  </si>
  <si>
    <t>NasdaqGS</t>
  </si>
  <si>
    <t>(Invalid Identifier)</t>
  </si>
  <si>
    <t>Comparable Public Companies (Secondary)</t>
  </si>
  <si>
    <t>(Invalid Transaction Id)</t>
  </si>
  <si>
    <t>United States Treasury Constant Maturity - 1 Month</t>
  </si>
  <si>
    <t>United States Treasury Constant Maturity - 3 Month</t>
  </si>
  <si>
    <t>United States Treasury Constant Maturity - 6 Month</t>
  </si>
  <si>
    <t>United States Treasury Constant Maturity - 1 Year</t>
  </si>
  <si>
    <t>United States Treasury Constant Maturity - 2 Year</t>
  </si>
  <si>
    <t>United States Treasury Constant Maturity - 3 Year</t>
  </si>
  <si>
    <t>United States Treasury Constant Maturity - 5 Year</t>
  </si>
  <si>
    <t>United States Treasury Constant Maturity - 7 Year</t>
  </si>
  <si>
    <t>United States Treasury Constant Maturity - 10 Year</t>
  </si>
  <si>
    <t>United States Treasury Constant Maturity - 20 Year</t>
  </si>
  <si>
    <t>United States Treasury Constant Maturity - 30 Year</t>
  </si>
  <si>
    <t>Rev_LTM-2</t>
  </si>
  <si>
    <t>Rev_LTM-1</t>
  </si>
  <si>
    <t>Rev_LTM</t>
  </si>
  <si>
    <t>EBITDA_LTM-2</t>
  </si>
  <si>
    <t>EBITDA_LTM-1</t>
  </si>
  <si>
    <t>EBITDA_2014</t>
  </si>
  <si>
    <t>EBITDA_2015</t>
  </si>
  <si>
    <t>EBITDA_2016</t>
  </si>
  <si>
    <t>EBITDA_2017</t>
  </si>
  <si>
    <t>EBITDA_2018</t>
  </si>
  <si>
    <t>Exhibit F.2</t>
  </si>
  <si>
    <t>Majority</t>
  </si>
  <si>
    <t>Gross Margin</t>
  </si>
  <si>
    <t>NWC</t>
  </si>
  <si>
    <t>NasdaqCM</t>
  </si>
  <si>
    <t>Biotechnology</t>
  </si>
  <si>
    <t>Start date</t>
  </si>
  <si>
    <t>bluebird bio, Inc.</t>
  </si>
  <si>
    <t>Voyager Therapeutics, Inc.</t>
  </si>
  <si>
    <t>BioMarin Pharmaceutical Inc.</t>
  </si>
  <si>
    <t>Change in Working Capital</t>
  </si>
  <si>
    <t>Cash</t>
  </si>
  <si>
    <t>Non Cash Working Capital</t>
  </si>
  <si>
    <t>Change</t>
  </si>
  <si>
    <t>1-Largest</t>
  </si>
  <si>
    <t>premium</t>
  </si>
  <si>
    <t>Mid-cap, 3-5</t>
  </si>
  <si>
    <t>Low-cap, 6-8</t>
  </si>
  <si>
    <t>Micro-cap, 9-10</t>
  </si>
  <si>
    <t>Breakdown of Deciles 1-10</t>
  </si>
  <si>
    <t>10-Smallest</t>
  </si>
  <si>
    <t>Breakdown of the 10th Decile</t>
  </si>
  <si>
    <t>10a</t>
  </si>
  <si>
    <t>10b-Smallest</t>
  </si>
  <si>
    <t>Long-horizon expected equity risk premium (supply-side) : historical equity risk premium
minus price-to-earnings ratio calculated using three-year average earnings</t>
  </si>
  <si>
    <t>Teaching Note 9-288-006 (Boston: Harvard Business School Publishing, 1989).</t>
  </si>
  <si>
    <t>School Publishing, 1998).</t>
  </si>
  <si>
    <t>to be used substantially for product development, prototype testing, and test marketing.</t>
  </si>
  <si>
    <t>and for which further technical risk is deemed minimal, although commercial risk may be significant.</t>
  </si>
  <si>
    <t>testing, as well as bridge financing in anticipation of a later IPO.</t>
  </si>
  <si>
    <t>Version</t>
  </si>
  <si>
    <t>LFR</t>
  </si>
  <si>
    <t>CY+4</t>
  </si>
  <si>
    <t>CY2019</t>
  </si>
  <si>
    <t>Latest filing date</t>
  </si>
  <si>
    <t>REV_CY2016</t>
  </si>
  <si>
    <t>REV_CY2017</t>
  </si>
  <si>
    <t>REV_CY2018</t>
  </si>
  <si>
    <t>REV_CY2019</t>
  </si>
  <si>
    <t xml:space="preserve"> NWC as % of Revenue</t>
  </si>
  <si>
    <t>Stockprice_EQ_PVD</t>
  </si>
  <si>
    <t>Marketcap_EQ_PVD</t>
  </si>
  <si>
    <t>Debt_EQ_PVD</t>
  </si>
  <si>
    <t>PFD_EQ_PVD</t>
  </si>
  <si>
    <t>MIN_INT_PVD</t>
  </si>
  <si>
    <t>Cash_EQ_PVD</t>
  </si>
  <si>
    <t>Probability of IPO Upon Exit</t>
  </si>
  <si>
    <t>DLOM (1)</t>
  </si>
  <si>
    <t>Guideline Public Companies.</t>
  </si>
  <si>
    <t>Acquirer</t>
  </si>
  <si>
    <t xml:space="preserve"> Year - 2016</t>
  </si>
  <si>
    <t>EBITDA Margin</t>
  </si>
  <si>
    <t>EBIT Margin</t>
  </si>
  <si>
    <t>Net Income Margin</t>
  </si>
  <si>
    <t>Business Description</t>
  </si>
  <si>
    <t>Beta Look back year</t>
  </si>
  <si>
    <t>Moody's Bond Yield Avg - BAA Rated Corporates</t>
  </si>
  <si>
    <t>CIQ numbers</t>
  </si>
  <si>
    <t>Unlinked numbers</t>
  </si>
  <si>
    <t>CIQ Check</t>
  </si>
  <si>
    <t>M&amp;A</t>
  </si>
  <si>
    <t>Rate reflects a back solve in order to achieve approximately 15%-20% venture capital portfolio returns (across the total preferred investment). Such expected VC Portfolio Returns are generally consistent with observations of historical venture capital returns.</t>
  </si>
  <si>
    <t>Options (Treasury Method)</t>
  </si>
  <si>
    <t>Value to Options</t>
  </si>
  <si>
    <t>Prob. Wtd. Present Value</t>
  </si>
  <si>
    <t>Treasury Method - Options</t>
  </si>
  <si>
    <t>Line Items</t>
  </si>
  <si>
    <t>Count</t>
  </si>
  <si>
    <t>(3) Based on the data from the above two sources, we concluded on a control premium towards the low end of the range exhibited by the comparable transactions and the industry to account for the small size of the subject company. Further, RNA selected 25.0% control premium for common and 18.0% for preferred since the lower proportion of common equity in relation to preferred stock decreases the control of common stockholders, common stock warrants higher discount compared to preferred.</t>
  </si>
  <si>
    <t>Source: "Valuation in Life Sciences", Bogdan and Villiger.</t>
  </si>
  <si>
    <t>BMT Lead Indications</t>
  </si>
  <si>
    <t>Lead Optimization</t>
  </si>
  <si>
    <t>Preclinical</t>
  </si>
  <si>
    <t>Oncology</t>
  </si>
  <si>
    <t>Total PI-Approval</t>
  </si>
  <si>
    <t>HIV/AIDS</t>
  </si>
  <si>
    <t>Total PII-Market</t>
  </si>
  <si>
    <t>Infectious Disease</t>
  </si>
  <si>
    <t>Source: Biotechnology Industry Organization - February 15, 2011.</t>
  </si>
  <si>
    <t>Source: "Cancer Drug Approval Timelines", Epiphany Partners, Inc., based on a study by Johnson JCO, May 10, 2010, Page 3.</t>
  </si>
  <si>
    <t>Source: "Clinical Development Success Rates 2006-2015", Biotechnology Innovation Organization, Biomedtracker and Amplion, Page 9.</t>
  </si>
  <si>
    <t>Source: "Biotechnology Valuation-An Introductory Guide" Karl D. Keegan, Page 67.</t>
  </si>
  <si>
    <t>Source: "Metrics on Technical Risks, Clinical Development Times and Approval Times for Cancer Drugs", dated February 11, 2013, Page 7.</t>
  </si>
  <si>
    <t>Source: "Economics of New Oncology Drug Development" Joseph A. DiMasi and Henry G. Grabowski, dated January 10, 2007, Page 5.</t>
  </si>
  <si>
    <t>Source: "Clinical development success rates for investigational drugs" Hay et al., January 2014, Page 7.</t>
  </si>
  <si>
    <t>Source: "Tomorrow’s path to improved early-phase oncology drug development" Quintiles, Page 5.</t>
  </si>
  <si>
    <t>(10)</t>
  </si>
  <si>
    <t>Source: "Cancer Drug Approval Timelines", Epiphany Partners, Inc., based on a study by Deloitte Recap LLC, 2010, Page 5.</t>
  </si>
  <si>
    <t>NasdaqGS:ONCE</t>
  </si>
  <si>
    <t>IQ249341857</t>
  </si>
  <si>
    <t>Spark Therapeutics, Inc.</t>
  </si>
  <si>
    <t>Spark Therapeutics, Inc. focuses on the development of gene therapy products for patients suffering from debilitating genetic diseases. The company develops SPK-RPE65, which is in Phase III clinical trial for the treatment of genetic blinding conditions called inherited retinal diseases caused by non sex-linked, autosomal recessive, or mutations in the RPE65 gene; and SPK-CHM that is in Phase I/II clinical trial for the treatment of choroideremia. It is also developing SPK-FIX program for hemophilia B; SPK-FVIII program to treat hemophilia A; SPK-TPP1 program for the treatment of a form of Batten disease; RhoNova for the treatment of rhodopsin-linked autosomal dominant retinitis pigmentosa; and SPK-LHON for treating Leber hereditary optic neuropathy, as well as preclinical programs in development for the treatment of Huntington's disease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</si>
  <si>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NasdaqGM:CRSP</t>
  </si>
  <si>
    <t>IQ262549448</t>
  </si>
  <si>
    <t>CRISPR Therapeutics AG</t>
  </si>
  <si>
    <t>CRISPR Therapeutics AG focuses on the development of transformative gene-based medicines for serious diseases using its proprietary CRISPR/Cas9 gene-editing platform. The CRISPR/Cas9 technology allows for changes to genomic DNA. The company has strategic collaborations with Bayer AG and Vertex Pharmaceuticals to develop CRISPR-based therapeutics in other diseases. It operates in Switzerland, the United States, and the United Kingdom. CRISPR Therapeutics AG is headquartered in Basel, Switzerland.</t>
  </si>
  <si>
    <t>NasdaqGM:WVE</t>
  </si>
  <si>
    <t>IQ256557334</t>
  </si>
  <si>
    <t>WAVE Life Sciences Ltd.</t>
  </si>
  <si>
    <t>WAVE Life Sciences Ltd., a preclinical biopharmaceutical company, designs, develops, and commercializes nucleic acid therapeutic candidates. The company is developing nucleic acid therapeutics that target genetic defects to either reduce the expression of disease-promoting proteins or transform the production of dysfunctional mutant proteins into the production of functional proteins. Its advanced therapeutic programs are in Huntington’s disease, Duchenne muscular dystrophy (DMD), and inflammatory bowel disease (IBD). In Huntington’s disease, it has programs targeting HTT SNP-1 and HTT SNP-2; in DMD, targeting Exon 51; and in IBD, targeting SMAD7. The company also has product candidates in its programs targeting HTT SNP-1 and Exon 51. In addition, it has late-stage discovery programs in epidermolysis bullosa simplex, targeting KRT14 SNP-1 and KRT14 SNP-2, as well as in DMD, focuses on an additional DMD target, AcRIIb. The company has a research, license, and option agreement with Pfizer Inc. for the discovery, development, and commercialization of stereopure oligonucleotide therapeutics. WAVE Life Sciences Ltd. was founded in 2012 and is based in Cambridge, Massachusetts.</t>
  </si>
  <si>
    <t>NasdaqGS:RGNX</t>
  </si>
  <si>
    <t>IQ130641748</t>
  </si>
  <si>
    <t>Regenxbio Inc.</t>
  </si>
  <si>
    <t>REGENXBIO Inc., a biotechnology company, focuses on the development, commercialization, and licensing of recombinant adeno-associated virus (AAV) gene therapy. The company’s development programs include RGX-501, a product candidate for the treatment of homozygous familial hypercholesterolemia, which uses the AAV8 vector to deliver the human low-density lipoprotein receptor gene to liver cells; and RGX-111, a product candidate for the treatment of Mucopolysaccharidosis Type I, which uses the AAV9 vector to deliver the human a-l-iduronidase gene to the central nervous system (CNS). Its programs also include RGX-121, a product candidate for the treatment of Mucopolysaccharidosis Type II that uses the AAV9 vector to deliver the human iduronate-2-sulfatase gene to the CNS; RGX-314, a product candidate for the treatment of wet age-related macular degeneration; and RGX-321, a product candidate for the treatment of X-linked retinitis pigmentosa. The company was formerly known as REGENX Biosciences, LLC and changed its name to REGENXBIO Inc. in September 2014. REGENXBIO Inc. was founded in 2008 and is headquartered in Rockville, Maryland.</t>
  </si>
  <si>
    <t>NasdaqGS:EDIT</t>
  </si>
  <si>
    <t>IQ252050056</t>
  </si>
  <si>
    <t>Editas Medicine, Inc.</t>
  </si>
  <si>
    <t>Editas Medicine, Inc. operates as a genome editing company. It focuses on treating patients with genetically defined diseases by correcting their disease causing genes. It is developing a proprietary genome editing platform based on CRISPR/Cas9 technology to target genetically defined diseases with an initial focus on debilitating illnesses where there are no approved treatments. Editas Medicine, Inc. has a collaboration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headquartered in Cambridge, Massachusetts.</t>
  </si>
  <si>
    <t>NasdaqGS:NK</t>
  </si>
  <si>
    <t>IQ262241549</t>
  </si>
  <si>
    <t>NantKwest, Inc.</t>
  </si>
  <si>
    <t>NantKwest, Inc., a biotechnology company, engages in developing immunotherapeutic agents for various clinical conditions in the United States. The company’s product candidates include activated natural killer candidates for the treatment of virally-induced cancers, such as human papilloma virus induced cervical, and head and neck cancers; ebola; and serious viral, fungal, and bacterial infections, as well as that is in Phase II clinical trials for the treatment of polyoma virus induced merkel cell carcinoma. It is also developing high-affinity natural killer product candidates primarily for the treatment of solid tumors, breast cancer, multiple myeloma, lymphoma, and colorectal cancer; and target activated natural killer product candidates for the treatment of breast cancer, non-hodgkin lymphoma, and myelodysplastic syndrome. The company has a co-development agreement with Altor BioScience Corporation to collaborate on the development of therapeutic applications combining Altor’s proprietary IL-15 superagonist (ALT-803) and its single-chain T cell receptor/IL-2 fusion protein products with the company’s proprietary NK cell therapy platforms for oncology indications. The company was formerly known as Conkwest, Inc. and changed its name to NantKwest, Inc. in July 2015. NantKwest, Inc. was founded in 2002 and is headquartered in San Diego, California.</t>
  </si>
  <si>
    <t>NasdaqGM:NTLA</t>
  </si>
  <si>
    <t>IQ277799796</t>
  </si>
  <si>
    <t>Intellia Therapeutics Inc.</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</si>
  <si>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and ex vivo applications of the technology in chimeric antigen receptor T cell and hematopoietic stem cell product candidates. It has a strategic collaboration and license agreement with Novartis focused on the development of new ex vivo CRISPR/Cas9-based therapies. Intellia Therapeutics Inc. was formerly known as AZRN, Inc. and changed its name to Intellia Therapeutics Inc. in July 2014. The company was founded in 2014 and is headquartered in Cambridge, Massachusetts.</t>
  </si>
  <si>
    <t>ENXTPA:SIGHT</t>
  </si>
  <si>
    <t>IQ235063288</t>
  </si>
  <si>
    <t>ENXTPA</t>
  </si>
  <si>
    <t>NasdaqGM:BOLD</t>
  </si>
  <si>
    <t>IQ243223852</t>
  </si>
  <si>
    <t>Audentes Therapeutics, Inc.</t>
  </si>
  <si>
    <t>Audentes Therapeutics, Inc., a biotechnology company, focuses on developing and commercializing gene therapy products for patients suffering from diseases caused by single gene defects in the United States. The company is developing four products, including AT132 for the treatment of X-linked myotubular myopathy; AT342 for the treatment of crigler-najjar syndrome type 1; AT307 for the treatment of the CASQ2 subtype of catecholaminergic polymorphic ventricular tachycardia; and AT982 for the treatment of pompe disease. Audentes Therapeutics, Inc. has a collaboration with the University of Pennsylvania to develop AT342, an AAV gene therapy for Crigler-Najjar Syndrome, an inherited, metabolic liver disease. The company was founded in 2012 and is based in San Francisco, California.</t>
  </si>
  <si>
    <t>NasdaqGS:SYRS</t>
  </si>
  <si>
    <t>IQ236291486</t>
  </si>
  <si>
    <t>Syros Pharmaceuticals, Inc.</t>
  </si>
  <si>
    <t>Syros Pharmaceuticals, Inc., a biopharmaceutical company, focuses on developing treatments for cancer and immune-mediated diseases, and building a pipeline of gene control medicines. It intends to begin a Phase II clinical trial for its lead product candidate, SY-1425 (tamibarotene); and to initiate a Phase I/II clinical trial for its SY-1365 candidate, initially for the treatment of acute leukemia. Syros Pharmaceuticals, Inc. The company was formerly known as LS22, Inc. Syros Pharmaceuticals, Inc. was founded in 2011 and is based in Cambridge, Massachusetts.</t>
  </si>
  <si>
    <t>NasdaqGM:IMDZ</t>
  </si>
  <si>
    <t>NasdaqCM:PZRX</t>
  </si>
  <si>
    <t>IQ41693120</t>
  </si>
  <si>
    <t>PhaseRx, Inc.</t>
  </si>
  <si>
    <t>PhaseRx, Inc., a biopharmaceutical company, engages in developing a portfolio of mRNA products to correct life-threatening inherited liver diseases in children. Its initial product development focus is on urea cycle disorders, a group of rare genetic diseases that generally present before the age of 12 and are characterized by the body's inability to remove ammonia from the blood. The company's i-ERT approach is enabled by its proprietary Hybrid mRNA Technology platform and is applicable to various inherited liver diseases. Its product pipeline includes PRX-OTC for Ornithine Transarbamylase deficiency; PRX-ASL for Argininosuccinate Lyase deficiency; and PRX-ASS1 for Argininosuccinatesynthetase 1 deficiency. The company was incorporated in 2006 and is headquartered in Seattle, Washington.</t>
  </si>
  <si>
    <t>RXi Pharmaceuticals Corporation</t>
  </si>
  <si>
    <t>ASX</t>
  </si>
  <si>
    <t>GenVec, Inc.</t>
  </si>
  <si>
    <t xml:space="preserve">Based on information published in the AICPA Practice Aid under Appendix B. </t>
  </si>
  <si>
    <t>James L. Plummer, QED Report on Venture Capital Financial Analysis (Palo Alto: QED Research, Inc., 1987).</t>
  </si>
  <si>
    <t xml:space="preserve">Daniel R. Scherlis and William A. Sahlman, “A Method for Valuing High-Risk, Long Term, Investments: The Venture Capital Method,” Harvard Business School </t>
  </si>
  <si>
    <t xml:space="preserve">William A. Sahlman, Howard H. Stevenson, Amar V. Bhide, et al., “Financing Entrepreneurial Ventures,” Business Fundamental Series (Boston: Harvard Business </t>
  </si>
  <si>
    <t xml:space="preserve">As described in the publications referenced herein, Start Up-stage investments typically are made in enterprises that are less than a year old. The venture funding is </t>
  </si>
  <si>
    <t xml:space="preserve">As described in the publications referenced herein, Early Development-stage investments are made in enterprises that have developed prototypes that appear viable </t>
  </si>
  <si>
    <t>As described in the publications referenced herein, enterprises in the Expansion stage usually have shipped some product to consumers (including beta versions).</t>
  </si>
  <si>
    <t xml:space="preserve">As described in the publications referenced herein, Bridge/IPO-stage financing covers such activities as pilot plant construction, production design, and production </t>
  </si>
  <si>
    <t>RNA selected a 2016 forward revenue multiple close to the median of the range exhibited by the Guideline Public Companies since</t>
  </si>
  <si>
    <t xml:space="preserve">RNA assigned equal weights to the LTM and 2016 forward revenue multiples because </t>
  </si>
  <si>
    <t>Outliers above</t>
  </si>
  <si>
    <t>Outliers below</t>
  </si>
  <si>
    <t>RNA selected 2016 forward revenue multiple close to the median of the range exhibited by the Guideline Transactions because</t>
  </si>
  <si>
    <t>Debt reflects senior debt based on the balance sheet as of the Valuation Date.</t>
  </si>
  <si>
    <t>Debt reflects senior debt based on the balance sheet as of the Valuation Date plus the value of liquidation preferences under the OPM for preferred stock.</t>
  </si>
  <si>
    <t>Difference (in Months)</t>
  </si>
  <si>
    <t>Includes consideration of net operating losses in determining taxable income based on information provided by Management.</t>
  </si>
  <si>
    <t>Intends to reflect an all-in corporate tax rate based on guidance provided by Management.</t>
  </si>
  <si>
    <t>Capital expenditures through the discrete period calculated based on the median of the range of Guideline Public Companies.</t>
  </si>
  <si>
    <t xml:space="preserve">Change in non-cash working capital ("NCWC") from 2016 through 2018 provided by Management, thereafter extended the change in NCWC estimates in line with the median of the </t>
  </si>
  <si>
    <t xml:space="preserve">The terminal value was calculated using a Gordon Growth Multiple: (1+g)/(k-g), where g = growth and k = discount rate. </t>
  </si>
  <si>
    <t>Capital structure weighting based on observations of the Guideline Public Companies, as well as company-specific considerations.</t>
  </si>
  <si>
    <t>Based on consideration of the average bond yield for the Moody's Baa Rated Index as of the Valuation Date, and company-specific considerations.</t>
  </si>
  <si>
    <t>Re-levered based on the capital structure weighting portrayed herein.</t>
  </si>
  <si>
    <t xml:space="preserve">Based on the </t>
  </si>
  <si>
    <t>Based on information provided by Management.</t>
  </si>
  <si>
    <t>Licensing Deals - Oncology Small Molecule and Bi-specific Antibodies</t>
  </si>
  <si>
    <t>Completed Date</t>
  </si>
  <si>
    <t>Deal Type</t>
  </si>
  <si>
    <t>Licensee</t>
  </si>
  <si>
    <t>Licensor</t>
  </si>
  <si>
    <t>Stage of Development</t>
  </si>
  <si>
    <t>Deal Value</t>
  </si>
  <si>
    <t>Upfront Payment</t>
  </si>
  <si>
    <t>Upfront as a % of Deal Value</t>
  </si>
  <si>
    <t>Discovery &amp; Preclinical</t>
  </si>
  <si>
    <t>In-licensed</t>
  </si>
  <si>
    <t>TRACON Pharmaceuticals, Inc.</t>
  </si>
  <si>
    <t>Johnson &amp; Johnson</t>
  </si>
  <si>
    <t>http://www.biocentury.com/companies/tracon_pharmaceuticals_inc</t>
  </si>
  <si>
    <t>https://globenewswire.com/news-release/2016/09/28/875255/0/en/TRACON-Pharmaceuticals-Announces-a-Strategic-Licensing-Collaboration-for-Two-Janssen-Oncology-Assets-and-a-5-Million-Equity-Investment-from-Johnson-Johnson-Innovation-JJDC-Inc.html</t>
  </si>
  <si>
    <t>Tarveda Therapeutics, Inc.</t>
  </si>
  <si>
    <t>Madrigal Pharmaceuticals, Inc.</t>
  </si>
  <si>
    <t>https://globenewswire.com/news-release/2016/09/19/872784/0/en/Madrigal-Pharmaceuticals-and-Tarveda-Therapeutics-Announce-Exclusive-License-Agreement-for-HSP90-Drug-Conjugate-Oncology-Platform.html</t>
  </si>
  <si>
    <t>Pfizer Inc.</t>
  </si>
  <si>
    <t>OncoImmune, Inc.</t>
  </si>
  <si>
    <t>http://www.businesswire.com/news/home/20160915005151/en/OncoImmune-Announces-Option-License-Agreement-Pfizer</t>
  </si>
  <si>
    <t>Les Laboratoires Servier</t>
  </si>
  <si>
    <t>Sorrento Therapeutics</t>
  </si>
  <si>
    <t>http://www.servier.com/content/sorrento-and-servier-enter-exclusive-worldwide-license-and-collaboration-agreement</t>
  </si>
  <si>
    <t>Syndax Pharmaceuticals</t>
  </si>
  <si>
    <t>UCB</t>
  </si>
  <si>
    <t>http://www.biocentury.com/companies/syndax_pharmaceuticals_inc</t>
  </si>
  <si>
    <t>Novartis</t>
  </si>
  <si>
    <t>Xencor, Inc.</t>
  </si>
  <si>
    <t>http://www.xencor.com/pipeline/xmab-14045/</t>
  </si>
  <si>
    <t>Aptose Biosciences Inc.</t>
  </si>
  <si>
    <t>CrystalGenomics, Inc.</t>
  </si>
  <si>
    <t>http://www.biocentury.com/companies/aptose_biosciences_inc</t>
  </si>
  <si>
    <t>ProNAi Therapeutics, Inc.</t>
  </si>
  <si>
    <t>Carna Biosciences, Inc.</t>
  </si>
  <si>
    <t>MacroGenics, Inc.</t>
  </si>
  <si>
    <t>http://ir.macrogenics.com/releasedetail.cfm?releaseid=971495</t>
  </si>
  <si>
    <t>AbbVie Inc.</t>
  </si>
  <si>
    <t>arGEN-X N.V.</t>
  </si>
  <si>
    <t>http://argen-x.com/en-GB/news-internal/argenx-and-abbvie-to-collaborate-on-argx-115-against-novel-immuno-oncology-target/109/</t>
  </si>
  <si>
    <t>Takeda</t>
  </si>
  <si>
    <t>Mersana Therapeutics</t>
  </si>
  <si>
    <t>Merck &amp; Co., Inc.</t>
  </si>
  <si>
    <t>Cancer Research Technology Limited</t>
  </si>
  <si>
    <t>Celgene Corporation</t>
  </si>
  <si>
    <t>Lycera Corp.</t>
  </si>
  <si>
    <t>Curis, Inc.</t>
  </si>
  <si>
    <t>Aurigene Discovery Technologies Limited</t>
  </si>
  <si>
    <t>Eli Lilly and Company</t>
  </si>
  <si>
    <t>Innovent Biologics</t>
  </si>
  <si>
    <t>https://investor.lilly.com/releasedetail.cfm?releaseid=936083</t>
  </si>
  <si>
    <t>Horizon Discovery Group Plc</t>
  </si>
  <si>
    <t>Servier Laboratories Limited</t>
  </si>
  <si>
    <t>Astellas Pharma Inc.</t>
  </si>
  <si>
    <t>Chromocell Corporation</t>
  </si>
  <si>
    <t>BIND Therapeutics, Inc.</t>
  </si>
  <si>
    <t>Amgen, Inc.</t>
  </si>
  <si>
    <t>EvaluatePharma</t>
  </si>
  <si>
    <t>AstraZeneca Plc</t>
  </si>
  <si>
    <t>Sosei</t>
  </si>
  <si>
    <t>http://www.biocentury.com/products/htl1071</t>
  </si>
  <si>
    <t>https://www.astrazeneca.com/media-centre/press-releases/2015/astrazeneca-heptares-therapeutics-immuno-oncology-treatments-06082015.html</t>
  </si>
  <si>
    <t>Sanofi S.A.</t>
  </si>
  <si>
    <t>Regeneron Pharmaceuticals, Inc.</t>
  </si>
  <si>
    <t>http://investor.regeneron.com/releasedetail.cfm?releaseid=924069</t>
  </si>
  <si>
    <t>Bayer HealthCare AG</t>
  </si>
  <si>
    <t>Sprint Bioscience AB</t>
  </si>
  <si>
    <t>Five Prime Therapeutics</t>
  </si>
  <si>
    <t>Inhibrx LLC</t>
  </si>
  <si>
    <t>http://www.fiercebiotech.com/partnering/five-prime-bets-up-to-452-5m-on-inhibrx-s-cancer-antibodies</t>
  </si>
  <si>
    <t>Tiziana Life Sciences Plc</t>
  </si>
  <si>
    <t>Cardiff University</t>
  </si>
  <si>
    <t>F. Hoffmann-La Roche Ltd.</t>
  </si>
  <si>
    <t>Curadev Pharma Private Limited</t>
  </si>
  <si>
    <t>Discovery</t>
  </si>
  <si>
    <t>Novartis AG</t>
  </si>
  <si>
    <t>Aduro Biotech Inc.</t>
  </si>
  <si>
    <t>http://www.biocentury.com/products/adu-s100</t>
  </si>
  <si>
    <t>Genmab A/S</t>
  </si>
  <si>
    <t>iDD Biotech</t>
  </si>
  <si>
    <t>http://www.fiercebiotech.com/financials/genmab-buys-idd-antibody-assets-drops-adc-co-development-rights</t>
  </si>
  <si>
    <t>MultiCell Immunotherapeutics, Inc.</t>
  </si>
  <si>
    <t>Calithera Biosciences, Inc.; High Point Pharmaceuticals, LLC</t>
  </si>
  <si>
    <t>vTv Therapeutics Inc</t>
  </si>
  <si>
    <t>OXIS International, Inc.</t>
  </si>
  <si>
    <t>ID4 Pharma, LLC</t>
  </si>
  <si>
    <t>iTeos Therapeutics SA</t>
  </si>
  <si>
    <t>Ignyta, Inc.</t>
  </si>
  <si>
    <t>Nerviano Medical Sciences S.r.l.</t>
  </si>
  <si>
    <t>TG Therapeutics, Inc.</t>
  </si>
  <si>
    <t>Ligand Pharmaceuticals, Inc.</t>
  </si>
  <si>
    <t>Cascadian Therapeutics Inc</t>
  </si>
  <si>
    <t>Sentinel Oncology Limited</t>
  </si>
  <si>
    <t>BeiGene(Beijing) Co.,Ltd; Merck Serono SA</t>
  </si>
  <si>
    <t>Merck Serono SA</t>
  </si>
  <si>
    <t>BeiGene(Beijing) Co.,Ltd</t>
  </si>
  <si>
    <t>Novo Nordisk A/S</t>
  </si>
  <si>
    <t>Pharmacyclics, Inc.</t>
  </si>
  <si>
    <t>Novogen</t>
  </si>
  <si>
    <t>F. Hoffmann-La Roche AG</t>
  </si>
  <si>
    <t>http://www.prnewswire.com/news-releases/novogen-licenses-phase-ii-ready-molecule-from-genentech-for-development-in-glioblastoma-300353888.html</t>
  </si>
  <si>
    <t>Hanmi Pharmaceutical</t>
  </si>
  <si>
    <t>http://www.fiercebiotech.com/biotech/genentech-south-korean-pharma-up-to-910m-raf-inhibitor-deal</t>
  </si>
  <si>
    <t>CANbridge Life Sciences</t>
  </si>
  <si>
    <t>AVEO Oncology</t>
  </si>
  <si>
    <t>https://www.firstwordpharma.com/node/1367347?tsid=17</t>
  </si>
  <si>
    <t>HUYA Bioscience International, LLC</t>
  </si>
  <si>
    <t>Eisai Co., Ltd.</t>
  </si>
  <si>
    <t>Knight Therapeutics Inc.</t>
  </si>
  <si>
    <t>Antibe Therapeutics, Inc.</t>
  </si>
  <si>
    <t>Palobiofarma, S.L.</t>
  </si>
  <si>
    <t>Incyte Corporation</t>
  </si>
  <si>
    <t>Jiangsu Hengrui Medicine</t>
  </si>
  <si>
    <t>http://www.businesswire.com/news/home/20150902005208/en/Incyte-Announces-Global-License-Agreement-Jiangsu-Hengrui</t>
  </si>
  <si>
    <t>Agios Pharmaceuticals, Inc.</t>
  </si>
  <si>
    <t>Array BioPharma Inc.</t>
  </si>
  <si>
    <t>Rhizen Pharmaceuticals S.A.</t>
  </si>
  <si>
    <t>Verastem, Inc.</t>
  </si>
  <si>
    <t>The Scripps Research Institute</t>
  </si>
  <si>
    <t>Genentech, Inc.</t>
  </si>
  <si>
    <t>Helsinn Group</t>
  </si>
  <si>
    <t>MEI Pharma</t>
  </si>
  <si>
    <t>https://www.helsinn.com/news-and-events/helsinn-group-and-mei-pharma-enter-strategic-agreement-for-the-development-of-pracinostat-for-the-treatment-myeloid-leukemia-and-other-diseases/</t>
  </si>
  <si>
    <t>SciClone Pharmaceuticals, Inc.</t>
  </si>
  <si>
    <t>Ability Pharmaceuticals, S.L.</t>
  </si>
  <si>
    <t>Dong-A ST Co., Ltd.</t>
  </si>
  <si>
    <t>Tobira Therapeutics, Inc.</t>
  </si>
  <si>
    <t>Novel Pain Therapeutics</t>
  </si>
  <si>
    <t>Immune Pharmaceuticals Inc.</t>
  </si>
  <si>
    <t>Boehringer Ingelheim GmbH</t>
  </si>
  <si>
    <t>Hanmi Pharmaceuticals, Co. Ltd.</t>
  </si>
  <si>
    <t>Pint Pharma GmbH</t>
  </si>
  <si>
    <t>Onxeo SA</t>
  </si>
  <si>
    <t>http://www.biocentury.com/companies/onxeo_sa</t>
  </si>
  <si>
    <t>Yissum Research Development Company of the Hebrew University of Jerusalem Ltd.</t>
  </si>
  <si>
    <t>A. Menarini Industrie Farmaceutiche Riunite Srl</t>
  </si>
  <si>
    <t>4SC AG</t>
  </si>
  <si>
    <t>RedHill Biopharma Ltd.</t>
  </si>
  <si>
    <t>Apogee Biotechnology Corporation</t>
  </si>
  <si>
    <t>Kura Oncology, Inc.</t>
  </si>
  <si>
    <t>http://www.kuraoncology.com/kuraoncology-announces-license-agreement-with-janssen-biotech-for-development-and-commercialization-of-tipifarnib-closes-58-4-million-private-placement-and-completes-merger/</t>
  </si>
  <si>
    <t>Spectrum Pharmaceuticals, Inc.</t>
  </si>
  <si>
    <t>Corvus Pharmaceuticals, Inc.</t>
  </si>
  <si>
    <t>Vernalis Plc</t>
  </si>
  <si>
    <t>Hapten Sciences, Inc.</t>
  </si>
  <si>
    <t>Kyowa Hakko Kirin Co., Ltd.</t>
  </si>
  <si>
    <t>Syndax Pharmaceuticals, Inc.</t>
  </si>
  <si>
    <t>Janssen Pharmaceutica N.V.</t>
  </si>
  <si>
    <t>Ophthotech Corp.</t>
  </si>
  <si>
    <t>AVEO Pharmaceuticals, Inc.</t>
  </si>
  <si>
    <t>Waterstone Pharmaceutical (HK) Limited</t>
  </si>
  <si>
    <t>Scynexis, Inc.</t>
  </si>
  <si>
    <t>Luye Pharma Group Ltd.</t>
  </si>
  <si>
    <t>Solasia Pharma K.K.</t>
  </si>
  <si>
    <t>ZIOPHARM Oncology, Inc.</t>
  </si>
  <si>
    <t>Wilex AG</t>
  </si>
  <si>
    <t>Link Health Group</t>
  </si>
  <si>
    <t>Hutchison China MediTech Limited</t>
  </si>
  <si>
    <t>Les Laboratoires Servier SAS</t>
  </si>
  <si>
    <t>EOS S.p.A. (Inactive)</t>
  </si>
  <si>
    <t>Daiichi Sankyo Europe GmbH</t>
  </si>
  <si>
    <t>Nektar Therapeutics</t>
  </si>
  <si>
    <t>Janssen Biotech, Inc.</t>
  </si>
  <si>
    <t>Tesaro, Inc.</t>
  </si>
  <si>
    <t>Ipsen S.A.</t>
  </si>
  <si>
    <t>Exelixis, Inc.</t>
  </si>
  <si>
    <t>http://www.fiercebiotech.com/partnering/ipsen-bets-up-to-855m-on-exelixis-once-failed-cancer-drug</t>
  </si>
  <si>
    <t>Sucampo Pharma, Ltd.</t>
  </si>
  <si>
    <t>Cancer Prevention Pharmaceuticals, Inc.</t>
  </si>
  <si>
    <t>EUSA Pharma (UK) Limited</t>
  </si>
  <si>
    <t>BioMarin Pharmaceutical</t>
  </si>
  <si>
    <t>http://www.pfizer.com/news/press-release/press-release-detail/pfizer_to_acquire_medivation</t>
  </si>
  <si>
    <t>Pharmstandard</t>
  </si>
  <si>
    <t>Cipher Pharmaceuticals Inc.</t>
  </si>
  <si>
    <t>Can-Fite BioPharma Ltd.</t>
  </si>
  <si>
    <t>Lexicon Pharmaceuticals, Inc.</t>
  </si>
  <si>
    <t>Sinopharm Holding A-Think Pharmaceutical Co., Ltd.</t>
  </si>
  <si>
    <t>Aeterna Zentaris Inc.</t>
  </si>
  <si>
    <t>Soligenix, Inc.</t>
  </si>
  <si>
    <t>New York University; Yeda Research and Development Company Ltd.</t>
  </si>
  <si>
    <t>Baxter International Inc.</t>
  </si>
  <si>
    <t>Merrimack Pharmaceuticals, Inc.</t>
  </si>
  <si>
    <t>PharmaEngine, Inc.</t>
  </si>
  <si>
    <t>Infinity Pharmaceuticals, Inc.</t>
  </si>
  <si>
    <t>Daiichi Sankyo Company, Limited</t>
  </si>
  <si>
    <t>Charleston Laboratories, Inc.</t>
  </si>
  <si>
    <t>Galena Biopharma, Inc.</t>
  </si>
  <si>
    <t>Monosol Rx, LLC</t>
  </si>
  <si>
    <t>Tillotts Pharma AG</t>
  </si>
  <si>
    <t>Baxalta Incorporated</t>
  </si>
  <si>
    <t>CTI BioPharma Corp.</t>
  </si>
  <si>
    <t>Mundipharma International Ltd</t>
  </si>
  <si>
    <t>Allos Therapeutics, Inc. (Inactive)</t>
  </si>
  <si>
    <t>NDA and Marketed</t>
  </si>
  <si>
    <t>Ariad Pharmaceuticals, Inc.</t>
  </si>
  <si>
    <t>Marketed</t>
  </si>
  <si>
    <t>http://www.businesswire.com/news/home/20160509005515/en/Incyte-ARIAD-Announce-Agreement-Incyte-Acquire-ARIAD%E2%80%99s</t>
  </si>
  <si>
    <t>Kyowa Kirin International Plc</t>
  </si>
  <si>
    <t>TRPHARM Ilac Sanayi Tic. A.S</t>
  </si>
  <si>
    <t>Taiho Pharmaceutical Co., Ltd.</t>
  </si>
  <si>
    <t>Harbin Gloria Pharmaceuticals Co., Ltd</t>
  </si>
  <si>
    <t>Sucampo Pharmaceuticals, Inc.</t>
  </si>
  <si>
    <t>http://www.fiercepharma.com/pharma-asia/sucampo-and-harbin-gloria-pharmaceuticals-enter-into-licensing-agreement-for-amitiza-r</t>
  </si>
  <si>
    <t>Teva Pharmaceutical Industries Ltd.</t>
  </si>
  <si>
    <t>Eagle Pharmaceuticals, Inc.</t>
  </si>
  <si>
    <t>NDA</t>
  </si>
  <si>
    <t>http://www.tevapharm.com/news/teva_and_eagle_pharmaceuticals_announce_teva_s_license_to_commercialize_eagle_s_bendamustine_rapid_infusion_product_02_15.aspx</t>
  </si>
  <si>
    <t>Takeda Pharmaceutical Company Limited</t>
  </si>
  <si>
    <t>Development Stage Not Available</t>
  </si>
  <si>
    <t>Jubilant Biosys Ltd.</t>
  </si>
  <si>
    <t>Harvard University</t>
  </si>
  <si>
    <t>F. Hoffmann-La Roche Ltd.; Hoffmann-La Roche Inc.</t>
  </si>
  <si>
    <t>Blueprint Medicines Corporation</t>
  </si>
  <si>
    <t>Arvinas, Inc.</t>
  </si>
  <si>
    <t>Chaperone Therapeutics, Inc.</t>
  </si>
  <si>
    <t>Senhwa Biosciences, Inc.</t>
  </si>
  <si>
    <t>Almac Discovery Limited</t>
  </si>
  <si>
    <t>Fortress Biotech, Inc.</t>
  </si>
  <si>
    <t>Suzhou Neupharma Co., Ltd.</t>
  </si>
  <si>
    <t>Clevexel Pharma SAS</t>
  </si>
  <si>
    <t>SATT South East</t>
  </si>
  <si>
    <t>Repligen Corporation</t>
  </si>
  <si>
    <t>Merck Serono GmbH</t>
  </si>
  <si>
    <t>Centro Nacional de Investigaciones Oncologicas</t>
  </si>
  <si>
    <t>Loxo Oncology, Inc.</t>
  </si>
  <si>
    <t>Ruthigen, Inc. (Inactive)</t>
  </si>
  <si>
    <t>Oculus Innovative Sciences, Inc.</t>
  </si>
  <si>
    <t>BioNTech AG</t>
  </si>
  <si>
    <t>4SC Discovery GmbH</t>
  </si>
  <si>
    <t>Initial Public Offerings Data</t>
  </si>
  <si>
    <t>IPO - METRICS (BIOPHARMA)</t>
  </si>
  <si>
    <t>Development</t>
  </si>
  <si>
    <t>IPO</t>
  </si>
  <si>
    <t>Offering Price at IPO</t>
  </si>
  <si>
    <t>Price Range</t>
  </si>
  <si>
    <t>Trading Price after 1 month of listing</t>
  </si>
  <si>
    <t>Shares Offered</t>
  </si>
  <si>
    <t>Shares After IPO</t>
  </si>
  <si>
    <t>Pre-IPO 
Equity Value</t>
  </si>
  <si>
    <t>Market Cap after 1 month of listing - Pre IPO shares</t>
  </si>
  <si>
    <t>First Sale Date</t>
  </si>
  <si>
    <t>30 days from first listing date</t>
  </si>
  <si>
    <t>Company ID</t>
  </si>
  <si>
    <t>Post IPO Value</t>
  </si>
  <si>
    <t>Public Companies</t>
  </si>
  <si>
    <t>Company Ticker</t>
  </si>
  <si>
    <t>ID</t>
  </si>
  <si>
    <t>Ra Pharmaceuticals, Inc.</t>
  </si>
  <si>
    <t>NasdaqGM:RARX</t>
  </si>
  <si>
    <t>IQTR403436222</t>
  </si>
  <si>
    <t>IQ58798789</t>
  </si>
  <si>
    <t>Ra Pharmaceuticals, Inc., a clinical-stage biopharmaceutical company, engages in the discovery and development of novel therapeutics for the treatment of diseases caused by excessive or uncontrolled activation of the complement system. Its peptide chemistry platform delivers enables the production of synthetic macrocyclic peptides that combine the diversity and specificity of antibodies with the pharmacological properties of small molecules. The company’s lead product candidate is RA101495, an injection into the tissue under the skin for the treatment of paroxysmal nocturnal hemoglobinuria (PNH). It also develops Factor D inhibition for age-related macular degeneration and geographic atrophy; Oral C5 inhibitor for refractory generalized myasthenia gravis, lupus nephritis, and central nervous system (CNS) diseases; C1s inhibition for autoimmune/CNS diseases. The company has multi-target collaboration and license agreement with Merck &amp; Co., Inc. Ra Pharmaceuticals, Inc. was founded in 2008 and is based in Cambridge, Massachusetts.</t>
  </si>
  <si>
    <t>IQTR383418153</t>
  </si>
  <si>
    <t>AzurRx BioPharma, Inc.</t>
  </si>
  <si>
    <t>NasdaqCM:AZRX</t>
  </si>
  <si>
    <t>IQTR374467498</t>
  </si>
  <si>
    <t>IQ261738327</t>
  </si>
  <si>
    <t>AzurRx BioPharma, Inc. engages in the research and development of non-systemic biologics for the treatment of patients with gastrointestinal disorders. Its product pipeline consists of two therapeutic proteins under development, including MS1819, an autologous yeast recombinant lipase for exocrine pancreatic insufficiency associated with chronic pancreatitis and cystic fibrosis; and AZX1101, a recombinant ß-lactamase combination of bacterial origin for the prevention of hospital-acquired infections, as well as antibiotic-associated diarrhea. The company was incorporated in 2014 and is based in Brooklyn, New York.</t>
  </si>
  <si>
    <t>Novan, Inc.</t>
  </si>
  <si>
    <t>NasdaqGM:NOVN</t>
  </si>
  <si>
    <t>IQTR381637523</t>
  </si>
  <si>
    <t>IQ115977469</t>
  </si>
  <si>
    <t>Novan, Inc., a clinical-stage drug development company, focuses on the development and commercialization of nitric oxide-based therapies in dermatology. Its lead product candidate is SB204, a cosmetically elegant topical gel that targets multiple mechanisms of action for the treatment of acne vulgaris. The company’s product candidates also include SB206, SB208, and SB414, which are targeted toward the treatment of either a specific microorganism or inflammatory components of disease pathology. Novan, Inc. was founded in 2006 and is headquartered in Durham, North Carolina.</t>
  </si>
  <si>
    <t>Protagonist Therapeutics, Inc.</t>
  </si>
  <si>
    <t>NasdaqGM:PTGX</t>
  </si>
  <si>
    <t>IQTR373820913</t>
  </si>
  <si>
    <t>IQ129263324</t>
  </si>
  <si>
    <t>Protagonist Therapeutics, Inc., a clinical-stage biopharmaceutical company, focuses on discovering and developing peptide-based new chemical entities to address significant unmet medical needs. Its product candidates include PTG-100, which has first-in-class potential as an oral, a4b7 integrin-specific antagonist peptide for the treatment of inflammatory bowel disease (IBD); PTG-200, a gastrointestinal-restricted peptide product candidate for the treatment of IBD; and PTG-300, an injectable hepcidin mimetic peptide for the treatment of iron overload disorders, such as transfusion-dependent b-Thalassemia, hereditary hemochromatosis, and sickle cell disease. The company was founded in 2006 and is headquartered in Milpitas, California.</t>
  </si>
  <si>
    <t>Gemphire Therapeutics Inc.</t>
  </si>
  <si>
    <t>NasdaqGM:GEMP</t>
  </si>
  <si>
    <t>IQTR331335499</t>
  </si>
  <si>
    <t>IQ290658496</t>
  </si>
  <si>
    <t>Gemphire Therapeutics Inc., a clinical-stage biopharmaceutical company, focuses on developing and commercializing therapies for the treatment of dyslipidemia cardiovascular disease. Its product candidate is gemcabene (CI-1027), an oral therapy for patients who are unable to achieve normal levels of LDL-C or triglycerides with currently approved therapies. The company was founded in 2008 and is headquartered in Northville, Michigan.</t>
  </si>
  <si>
    <t>Kadmon Holdings, LLC</t>
  </si>
  <si>
    <t>NYSE:KDMN</t>
  </si>
  <si>
    <t>IQTR377971681</t>
  </si>
  <si>
    <t>IQ114935891</t>
  </si>
  <si>
    <t>Kadmon Holdings, LLC, a biopharmaceutical company, discovers, develops, and commercializes small molecules and biologics to address unmet medical needs. The company markets and distributes a portfolio of branded generic ribavirin products for chronic hepatitis C virus infection; co-promotes a product for chronic weight management; distributes products for chorea, cytomegalovirus retinitis, and for the prevention of CMV disease. It is also developing product candidates in autoimmune and fibrotic diseases, oncology, and genetic diseases. The company is headquartered in New York, New York.</t>
  </si>
  <si>
    <t>IQTR321225694</t>
  </si>
  <si>
    <t>IQTR345618574</t>
  </si>
  <si>
    <t>Selecta Biosciences, Inc.</t>
  </si>
  <si>
    <t>NasdaqGM:SELB</t>
  </si>
  <si>
    <t>IQTR342393493</t>
  </si>
  <si>
    <t>IQ53339386</t>
  </si>
  <si>
    <t>Selecta Biosciences, Inc., a clinical-stage biotechnology company, develops targeted therapies that use immunomodulators encapsulated in nanoparticles to induce antigen-specific immune responses to prevent and treat disease. The company focus is on developing and commercializing differentiated therapies that are designed to modulate the immune system to effectively and safely treat rare diseases by mitigating the formation of anti-drug antibodies in response to life-sustaining biologic drugs. Its lead product candidate is SEL-212 for the treatment of refractory and chronic tophaceous gout. The company serves customers in the United States and internationally. Selecta Biosciences, Inc. was founded in 2007 and is headquartered in Watertown, Massachusetts.</t>
  </si>
  <si>
    <t>Moleculin Biotech, Inc.</t>
  </si>
  <si>
    <t>NasdaqCM:MBRX</t>
  </si>
  <si>
    <t>IQTR324310661</t>
  </si>
  <si>
    <t>IQ320105606</t>
  </si>
  <si>
    <t>Moleculin Biotech, Inc., a preclinical and clinical-stage pharmaceutical company, focuses on the development of anti-cancer drug candidates. Its lead drug candidate is liposomal Annamycin, an anthracycline intended for the treatment of relapsed or refractory acute myeloid leukemia. The company also develops other drugs, including WP1066 Portfolio, a portfolio of small molecules targeting the modulation of transcription factors involved in cancer; and WP1122 Portfolio, a suite of molecules targeting the metabolic processes involved in cancer and glioblastoma. Moleculin Biotech, Inc. was founded in 2015 and is headquartered in Houston, Texas.</t>
  </si>
  <si>
    <t>Reata Pharmaceuticals, Inc.</t>
  </si>
  <si>
    <t>NasdaqGM:RETA</t>
  </si>
  <si>
    <t>IQTR321226326</t>
  </si>
  <si>
    <t>IQ6966894</t>
  </si>
  <si>
    <t>Reata Pharmaceuticals, Inc., a clinical stage biopharmaceutical company, focuses on identifying, developing, and commercializing product candidates that modulate the activity of key regulatory proteins involved in the biology of mitochondrial function, oxidative stress, and inflammation to address the unmet medical needs of patients with various serious or life-threatening diseases. The company focuses on drugs with novel mechanisms of action that modulate regulatory proteins called transcription factors. Its lead product candidates include bardoxolone methyl and RTA 408, which are members of a class of small molecules called antioxidant inflammation modulators. It is involved in LARIAT, a Phase II study of bardoxolone methyl for the treatment of pulmonary arterial hypertension and pulmonary hypertension due to interstitial lung disease. RTA 408 is in Phase II clinical development for the treatment of multiple diseases, including Friedreich’s ataxia and mitochondrial myopathies. Reata Pharmaceuticals, Inc. was formerly known as Reata Discovery, Inc. and changed its name to Reata Pharmaceuticals, Inc. in May 2005. The company was founded in 2002 and is headquartered in Irving, Texas.</t>
  </si>
  <si>
    <t>Merus B.V.</t>
  </si>
  <si>
    <t>NasdaqGM:MRUS</t>
  </si>
  <si>
    <t>IQTR314642761</t>
  </si>
  <si>
    <t>IQ24929296</t>
  </si>
  <si>
    <t>Merus B.V., a clinical-stage immuno-oncology company, engages in developing bispecific antibody therapeutics. Its lead bispecific antibody candidate is MCLA-128, which is in Phase I/II clinical trials in Europe for the treatment of various solid tumors, including breast, colorectal, and ovarian cancers. The company also develops MCLA-117, a bispecific antibody candidate that is expected to commence a Phase I/II clinical trial for the treatment of patients with acute myeloid leukemia, as well as for the treatment of myelodysplastic syndrome in pre-clinical studies. Its pre-clinical bispecific antibody candidates include MCLA-134, MCLA-114, and MCLA-145, as well as other early research projects. The company has a strategic collaboration with Gustave Roussy to develop innovative bispecific antibodies for therapeutic immuno-oncology applications. Merus B.V. was founded in 2003 and is headquartered in Utrecht, the Netherlands.</t>
  </si>
  <si>
    <t>IQTR340252019</t>
  </si>
  <si>
    <t>Oncobiologics, Inc.</t>
  </si>
  <si>
    <t>NasdaqGM:ONS</t>
  </si>
  <si>
    <t>IQTR322256741</t>
  </si>
  <si>
    <t>IQ145859589</t>
  </si>
  <si>
    <t>Oncobiologics, Inc., a clinical-stage biopharmaceutical company, focuses on identifying, developing, manufacturing, and commercializing complex biosimilar therapeutics in the disease areas of immunology and oncology. It engages in developing ONS-3010, an adalimumab (Humira) biosimilar, which is in Phase 1 clinical trial. Humira is a subcutaneous injectable monoclonal antibody (mAb) that binds to tumor necrosis factor-alpha. The company also develops ONS-1045, a bevacizumab (Avastin) biosimilar that has completed a Phase 1 clinical trial. Avastin is a mAb administered by infusion that interferes with tumor growth by binding to vascular endothelial growth factor. In addition, it develops ONS-1050, a trastuzumab (Herceptin) biosimilar. Herceptin is a mAb administered by infusion that binds to human epidermal growth factor receptor 2. Further, the company develops ONS-4010, a biosimilar to denosumab (Prolia/Xgeva), has cell lines developed with clone selection completed. Oncobiologics, Inc. has collaboration and license agreements with Selexis SA; IPCA Laboratories Limited; Laboratories Liomont, S.A. de C.V.; and Zhejiang Huahai Pharmaceutical Co., Ltd. The company was founded in 2010 and is headquartered in Cranbury, New Jersey.</t>
  </si>
  <si>
    <t>IQTR330695573</t>
  </si>
  <si>
    <t>Spring Bank Pharmaceuticals, Inc.</t>
  </si>
  <si>
    <t>NasdaqCM:SBPH</t>
  </si>
  <si>
    <t>IQTR321347619</t>
  </si>
  <si>
    <t>IQ108747575</t>
  </si>
  <si>
    <t>Aeglea Biotherapeutics, Inc.</t>
  </si>
  <si>
    <t>NasdaqGM:AGLE</t>
  </si>
  <si>
    <t>IQTR304173186</t>
  </si>
  <si>
    <t>IQ253892234</t>
  </si>
  <si>
    <t>Aeglea Biotherapeutics, Inc., a biopharmaceutical company, engages in developing engineered human enzymes for the treatment of inborn errors of metabolism and cancer. It develops AERase/AEB1102, an amino acid for the degradation of arginine in the circulation, as well as for the treatment of hyperargininemia and cancer; and AECase/AEB3103, an engineered and PEGylated human cysteine/cystine degrading enzyme that increases oxidative stress through glutathione depletion for treatment of hematologic and solid malignancies. The company also engages in developing AEMase/AEB2109, an engineered human enzyme that degrades methionine for the treatment of solid tumors; and AEB4104, an engineered human enzyme that degrades homocysteine in the circulation for the treatment of inborn error of metabolism homocystinuria. It has a strategic partnership with KBI Biopharma. Aeglea Biotherapeutics, Inc. was formerly known as Aeglea BioTherapeutics Holdings, LLC. The company was founded in 2013 and is based in Austin, Texas.</t>
  </si>
  <si>
    <t>NasdaqGM:CRVS</t>
  </si>
  <si>
    <t>Phase I/Ib</t>
  </si>
  <si>
    <t>IQTR321229945</t>
  </si>
  <si>
    <t>IQ279359732</t>
  </si>
  <si>
    <t>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plan to initiate a Phase 1/1b clinical trial for adenosine, an immune checkpoint. The company also develops a product candidate, an anti-CD73 monoclonal antibody that inhibits the production of adenosine. Corvus Pharmaceuticals, Inc. was founded in 2014 and is based in Burlingame, California.</t>
  </si>
  <si>
    <t>NasdaqGS:SNDX</t>
  </si>
  <si>
    <t>IQTR321228672</t>
  </si>
  <si>
    <t>IQ27240138</t>
  </si>
  <si>
    <t>Syndax Pharmaceuticals, Inc., a late-stage biopharmaceutical company, focuses on the development and commercialization of therapeutics in oncology. The company’s lead product candidate is entinostat, an epigenetic therapy for treatment-resistant cancers, such as breast cancer and lung cancer, as well as other indications comprising solid tumors and hematological malignancies. Its Entinostat is an oral histone deacetylase inhibitor that targets cancer cell growth and resistance pathways that limit the effectiveness and durability of cancer therapies. The company has a collaborative research and development agreement with the National Cancer Institute; and Genentech. Syndax Pharmaceuticals, Inc. was founded in 2005 and is headquartered in Waltham, Massachusetts.</t>
  </si>
  <si>
    <t>AveXis, Inc.</t>
  </si>
  <si>
    <t>NasdaqGS:AVXS</t>
  </si>
  <si>
    <t>IQTR322268720</t>
  </si>
  <si>
    <t>IQ259659904</t>
  </si>
  <si>
    <t>AveXis, Inc., a clinical-stage gene therapy company, engages in developing and commercializing novel treatments for patients suffering from rare and life-threatening neurological genetic diseases. Its initial product candidate is AVXS-101, a gene therapy product candidate that is in a Phase I clinical trial for the treatment of spinal muscular atrophy Type 1. The company also intends to identify, acquire, develop, and commercialize gene therapy product candidates for the treatment of other rare and life-threatening neurological genetic diseases. It has strategic collaboration and license agreements with Nationwide Children's Hospital; The Research Institute at Nationwide Children's Hospital; REGENXBIO Inc.; and Asklepios Biopharmaceutical, Inc. The company was formerly known as BioLife Cell Bank, Inc. and changed its name to AveXis, Inc. in January 2014. AveXis, Inc. was founded in 2010 and is headquartered in Bannockburn, Illinois.</t>
  </si>
  <si>
    <t>Proteostasis Therapeutics, Inc.</t>
  </si>
  <si>
    <t>NasdaqGM:PTI</t>
  </si>
  <si>
    <t>IQTR320299118</t>
  </si>
  <si>
    <t>IQ46008307</t>
  </si>
  <si>
    <t>Proteostasis Therapeutics, Inc., a biopharmaceutical company, develops therapeutics to treat protein conformational diseases. Its lead product candidate is PTI-428, an orally bioavailable cystic fibrosis transmembrane conductance regulator modulator belonging to the amplifier class. The company is also developing PTI-NC-733, a novel combination therapy; and PTI-130 for the treatment of chronic obstructive pulmonary disease. It has strategic alliance with Biogen New Ventures Inc. to enhance the clearance of misfolded aggregation-prone proteins in neurodegenerative diseases, such as in Alzheimer’s and Parkinson’s disease; and Astellas Pharma Inc. to research, develop, and commercialize therapies targeting unfolded protein response. The company was formerly known as Proteoguard, Inc. and changed its name to Proteostasis Therapeutics, Inc. in September 2007. Proteostasis Therapeutics, Inc. was founded in 2006 and is based in Cambridge, Massachusetts.</t>
  </si>
  <si>
    <t>IQTR321228585</t>
  </si>
  <si>
    <t>Axsome Therapeutics, Inc.</t>
  </si>
  <si>
    <t>NasdaqCM:AXSM</t>
  </si>
  <si>
    <t>IQTR313935119</t>
  </si>
  <si>
    <t>IQ241907563</t>
  </si>
  <si>
    <t>Axsome Therapeutics, Inc., a clinical stage biopharmaceutical company, develops therapies for the management and treatment of central nervous system disorders. Its product candidates include AXS-02, which is in Phase III trial for the treatment of complex regional pain syndrome, knee osteoarthritis, and chronic low back pain; and AXS-05 that is in Phase III trial for the treatment of resistant depression and agitation in patients with Alzheimer's disease. The company is also developing AXS-06 for the treatment of chronic pain disorders. Axsome Therapeutics, Inc. was founded in 2012 and is based in New York, New York.</t>
  </si>
  <si>
    <t>NasdaqGS:VYGR</t>
  </si>
  <si>
    <t>IQTR313272598</t>
  </si>
  <si>
    <t>IQ256887902</t>
  </si>
  <si>
    <t>IQTR313273040</t>
  </si>
  <si>
    <t>MyoKardia, Inc.</t>
  </si>
  <si>
    <t>NasdaqGS:MYOK</t>
  </si>
  <si>
    <t>IQTR312333034</t>
  </si>
  <si>
    <t>IQ217502341</t>
  </si>
  <si>
    <t>MyoKardia, Inc., a clinical stage biopharmaceutical company, engages in discovering, developing, and commercializing therapies for the treatment of serious and neglected rare cardiovascular diseases. Its lead product candidate is MYK-461, a small molecule that is in three Phase I clinical trials designed to reduce excessive cardiac muscle contractility leading to hypertrophic cardiomyopathy (HCM). The company also develops DCM-1, a drug compound that treats heritable dilated cardiomyopathy (DCM) by restoring normal contractility in the diseased DCM heart. In addition, it develops HCM-2, a product candidate to reduce cardiac muscle contractility to normal levels in HCM patients; and LUS-1, a product candidate, which is intended to counteract a muscle disruption that results in impaired relaxation of the heart. The company has a strategic collaboration with Sanofi S.A. MyoKardia, Inc. was founded in 2012 and is headquartered in South San Francisco, California.</t>
  </si>
  <si>
    <t>Dimension Therapeutics, Inc.</t>
  </si>
  <si>
    <t>NasdaqGS:DMTX</t>
  </si>
  <si>
    <t>Phase I/II</t>
  </si>
  <si>
    <t>IQTR311391393</t>
  </si>
  <si>
    <t>IQ249256428</t>
  </si>
  <si>
    <t>Dimension Therapeutics, Inc., a gene therapy platform company, focuses on discovering and developing therapeutic products for people living with rare diseases associated with the liver and caused by genetic mutations. The company's pipeline of programs includes DTX101, a lead gene therapy product candidate designed to deliver Factor IX, gene expression in patients with hemophilia B; DTX201, a gene therapy program for the treatment of hemophilia A; DTX301, a gene therapy product candidate for the treatment of patients with ornithine transcarbamylase deficiency; and DTX401, a gene therapy program for the treatment of patients with glycogen storage disease type Ia, a disease that arises from a defect in glucose-6-phosphatase. Dimension Therapeutics, Inc. was founded in 2013 and is based Cambridge, Massachusetts.</t>
  </si>
  <si>
    <t>Cerecor Inc.</t>
  </si>
  <si>
    <t>NasdaqCM:CERC</t>
  </si>
  <si>
    <t>IQTR303906594</t>
  </si>
  <si>
    <t>IQ145313032</t>
  </si>
  <si>
    <t>Cerecor Inc., a clinical-stage biopharmaceutical company, develops drugs to treat patients with neurological and psychiatric disorders. It develops CERC-301 that is in Phase II development stage for the adjunctive treatment of patients with major depressive disorder (MDD); CERC-501, which is in Phase II development stage for the adjunctive treatment of MDD, as well as to treat substance use disorders; and CERC-406 that is in preclinical stage to treat residual cognitive impairment symptoms in patients with MDD. The company was formerly known as Ceregen Corporation and changed its name to Cerecor Inc. in March 2011. Cerecor Inc. was founded in 2011 and is headquartered in Baltimore, Maryland.</t>
  </si>
  <si>
    <t>CytomX Therapeutics, Inc.</t>
  </si>
  <si>
    <t>NasdaqGS:CTMX</t>
  </si>
  <si>
    <t>IQTR310274522</t>
  </si>
  <si>
    <t>IQ60504284</t>
  </si>
  <si>
    <t>CytomX Therapeutics, Inc. operates as an oncology-focused biopharmaceutical company in the United States. The company develops novel class of antibody therapeutics based on its Probody technology platform that address clinically-validated cancer targets in immuno-oncology, such as PD-L1, as well as novel targets, comprising CD-166. In addition, it has strategic collaborations with Bristol-Myers Squibb Company, Pfizer Inc., ImmunoGen, Inc., and The University of Texas M. D. Anderson Cancer Center to develop selected Probody therapeutics. The company was founded in 2008 and is headquartered in South San Francisco, California.</t>
  </si>
  <si>
    <t>Aclaris Therapeutics, Inc.</t>
  </si>
  <si>
    <t>NasdaqGS:ACRS</t>
  </si>
  <si>
    <t>IQTR309467401</t>
  </si>
  <si>
    <t>IQ216879819</t>
  </si>
  <si>
    <t>Aclaris Therapeutics, Inc., a clinical-stage specialty pharmaceutical company, focuses on identifying, developing, and commercializing topical drugs to address various needs in dermatology. Its lead drug candidate is A-101, a hydrogen peroxide topical solution that has completed three Phase II clinical trials for the treatment of seborrheic keratosis (SK), a common non-malignant skin tumor. The company is also developing A-101 as a prescription treatment for common warts; and A-102, a proprietary topical gel dosage form of hydrogen peroxide for the treatment of SK and common warts. Aclaris Therapeutics, Inc. was founded in 2012 and is headquartered in Malvern, Pennsylvania.</t>
  </si>
  <si>
    <t>Mirna Therapeutics, Inc.</t>
  </si>
  <si>
    <t>NasdaqGM:MIRN</t>
  </si>
  <si>
    <t>IQTR309896167</t>
  </si>
  <si>
    <t>IQ44204418</t>
  </si>
  <si>
    <t>Edge Therapeutics, Inc.</t>
  </si>
  <si>
    <t>NasdaqGS:EDGE</t>
  </si>
  <si>
    <t>IQTR309361963</t>
  </si>
  <si>
    <t>IQ65059725</t>
  </si>
  <si>
    <t>Edge Therapeutics, Inc., a clinical-stage biotechnology company, discovers, develops, and commercializes hospital-based therapies for acute life-threatening neurological conditions. Its lead product includes EG-1962, a polymer-based microparticle used for the treatment of aneurysmal subarachnoid hemorrhage. The company also develops EG-1964 for the management of chronic subdural hematoma as a prophylactic treatment to prevent recurrent bleeding. The company was founded in 2009 and is headquartered in Berkeley Heights, New Jersey.</t>
  </si>
  <si>
    <t>IQTR309463048</t>
  </si>
  <si>
    <t>Global Blood Therapeutics, Inc.</t>
  </si>
  <si>
    <t>NasdaqGS:GBT</t>
  </si>
  <si>
    <t>IQTR306277984</t>
  </si>
  <si>
    <t>IQ208736100</t>
  </si>
  <si>
    <t>Global Blood Therapeutics, Inc., a biopharmaceutical company, engages in the discovery, development, and commercialization of novel therapeutics to treat grievous blood-based disorders. Its product candidate is GBT440, a hemoglobin modifier that binds to hemoglobin molecules, which is in double-blind Phase I/II clinical trial indicated for the treatment of sickle cell disease. The company also focuses on developing an oral prophylactic therapy for hypoxemic pulmonary disorders and hereditary angioedema. The company was founded in 2011 and is headquartered in South San Francisco, California.</t>
  </si>
  <si>
    <t>Aimmune Therapeutics, Inc.</t>
  </si>
  <si>
    <t>NasdaqGS:AIMT</t>
  </si>
  <si>
    <t>IQTR306081128</t>
  </si>
  <si>
    <t>IQ241653204</t>
  </si>
  <si>
    <t>Aimmune Therapeutics, Inc., a clinical-stage biopharmaceutical company, engages in the development of desensitization treatments for peanut and other food allergies. Its Characterized Oral Desensitization Immunotherapy includes AR101, a product in Phase 3 registration trial for the treatment of peanut allergy in children and adults. The company was formerly known as Allergen Research Corporation and changed its name to Aimmune Therapeutics, Inc. in May 2015. The company was founded in 2011 and is headquartered in Brisbane, California.</t>
  </si>
  <si>
    <t>Zynerba Pharmaceuticals, Inc.</t>
  </si>
  <si>
    <t>NasdaqGM:ZYNE</t>
  </si>
  <si>
    <t>IQTR305532739</t>
  </si>
  <si>
    <t>IQ35650772</t>
  </si>
  <si>
    <t>Zynerba Pharmaceuticals, Inc., a specialty pharmaceutical company, focuses on developing and commercializing proprietary synthetic cannabinoid therapeutics formulated for transdermal delivery. Its products candidates include ZYN002, which is in Phase I clinical trial for the treatment of refractory epilepsy, Fragile X syndrome, and osteoarthritis; and ZYN001 that is in preclinical stage for the treatment of fibromyalgia and peripheral neuropathic pain. The company was formerly known as AllTranz, Inc. and changed its name to Zynerba Pharmaceuticals, Inc. in August 2014. The company was founded in 2007 and is headquartered in Devon, Pennsylvania.</t>
  </si>
  <si>
    <t>IQTR304568199</t>
  </si>
  <si>
    <t>Neos Therapeutics, Inc.</t>
  </si>
  <si>
    <t>NasdaqGM:NEOS</t>
  </si>
  <si>
    <t>IQTR304502176</t>
  </si>
  <si>
    <t>IQ6774144</t>
  </si>
  <si>
    <t>Neos Therapeutics, Inc., a pharmaceutical company, engages in the development, manufacture, and commercialization of products for the treatment of attention deficit hyperactivity disorder (ADHD) using its drug delivery technologies. Its product candidates are extended-release (XR) medications in orally disintegrating tablets or liquid suspension dosage forms. The company manufactures and markets generic Tussionex, a hydrocodone polistirex and chlorpheniramine polistirex XR liquid suspension product indicated for the relief of cough and upper respiratory symptoms associated with allergies or colds in adults and children of six years of age and older. Its product candidates include Adzenys XR-ODT amphetamine for the treatment of ADHD; Cotempla XR-ODT methylphenidate for the treatment of ADHD; and NT-0201 amphetamine XR liquid suspension for the treatment of ADHD. The company is headquartered in Grand Prairie, Texas.</t>
  </si>
  <si>
    <t>Chiasma, Inc.</t>
  </si>
  <si>
    <t>NasdaqGS:CHMA</t>
  </si>
  <si>
    <t>IQTR304056961</t>
  </si>
  <si>
    <t>IQ136932688</t>
  </si>
  <si>
    <t>Chiasma, Inc., a late-stage biopharmaceutical company, focuses on developing and commercializing oral forms of therapies for patients suffering from orphan diseases. Its product candidate is octreotide capsules or MYCAPSSA, which has completed Phase III clinical trial for the treatment of acromegaly, a condition that results in the body’s production of excess growth hormone. Chiasma, Inc. was founded in 2001 and is headquartered in Newton, Massachusetts.</t>
  </si>
  <si>
    <t>Seres Therapeutics, Inc.</t>
  </si>
  <si>
    <t>NasdaqGS:MCRB</t>
  </si>
  <si>
    <t>IQTR302344120</t>
  </si>
  <si>
    <t>IQ222388947</t>
  </si>
  <si>
    <t>Seres Therapeutics, Inc., a microbiome therapeutics platform company, focuses on the development of biological drugs designed to restore health by repairing the function of a dysbiotic microbiome. Its lead product candidate is SER-109, a bacterial spore ecology, which has completed open label Phase Ib/2 clinical study for the prevention of further recurrences of Clostridium difficile infection (CDI). The company also develops SER-287 that is in phase Ib clinical study to treat inflammatory bowel disease, including ulcerative colitis. Its product candidates in pre-clinical development comprise SER-262, an Ecobiotic microbiome therapeutic designed to be used following antibiotic treatment of primary CDI; and SER-155 for the prevention of transplant-related mortality. Seres Therapeutics, Inc. has a strategic collaboration with Nestle Health Science and Memorial Sloan Kettering Cancer Center; and a collaboration agreement with the University of Pennsylvania. The company was formerly known as Seres Health, Inc. and changed its name to Seres Therapeutics, Inc. in May 2015. Seres Therapeutics, Inc. was founded in 2010 and is headquartered in Cambridge, Massachusetts.</t>
  </si>
  <si>
    <t>Catabasis Pharmaceuticals, Inc.</t>
  </si>
  <si>
    <t>NasdaqGM:CATB</t>
  </si>
  <si>
    <t>IQTR301144514</t>
  </si>
  <si>
    <t>IQ100802824</t>
  </si>
  <si>
    <t>Ritter Pharmaceuticals, Inc.</t>
  </si>
  <si>
    <t>NasdaqCM:RTTR</t>
  </si>
  <si>
    <t>Phase IIb</t>
  </si>
  <si>
    <t>IQTR304897666</t>
  </si>
  <si>
    <t>IQ62102047</t>
  </si>
  <si>
    <t>Ritter Pharmaceuticals, Inc. develops novel therapeutic products that modulate the human gut microbiome to treat gastrointestinal diseases. Its lead product candidate is RP-G28, a novel microbiome modulator, which is under development for the reduction of symptoms associated with lactose intolerance. The company’s RP-G28 is designed to stimulate the growth of lactose-metabolizing bacteria in the colon, thereby adapting the gut microbiome to assist in digesting the lactose that reaches the large intestine. Its RP-G28 has been studied in a Phase 2a clinical trial. The company was formerly known as Ritter Natural Sciences, LLC and changed its name to Ritter Pharmaceuticals, Inc. in September 2008. Ritter Pharmaceuticals, Inc. was founded in 2004 and is headquartered in Los Angeles, California.</t>
  </si>
  <si>
    <t>Nivalis Therapeutics, Inc.</t>
  </si>
  <si>
    <t>NasdaqGM:NVLS</t>
  </si>
  <si>
    <t>IQTR301140352</t>
  </si>
  <si>
    <t>IQ49900317</t>
  </si>
  <si>
    <t>Nivalis Therapeutics, Inc., a clinical stage pharmaceutical company, focuses on the discovery, development, and commercialization of product candidates for patients with cystic fibrosis (CF). CF is a life-shortening genetic disease. Its lead product candidate is N91115, a small molecule that is in Phase II clinical trial, which addresses a defect in cystic fibrosis transmembrane conductance regulator (CFTR), resulting from mutations in the CFTR gene. The company was formerly known as N30 Pharmaceuticals, Inc. and changed its name to Nivalis Therapeutics, Inc. in February 2015. Nivalis Therapeutics, Inc. was founded in 2007 and is headquartered in Boulder, Colorado.</t>
  </si>
  <si>
    <t>NasdaqGS:LIFE</t>
  </si>
  <si>
    <t>Phase Ib/II</t>
  </si>
  <si>
    <t>IQTR290493275</t>
  </si>
  <si>
    <t>IQ33940575</t>
  </si>
  <si>
    <t>aTyr Pharma, Inc., a biotherapeutics company, engages in the discovery and clinical development of Physiocrine-based therapeutics for patients suffering from severe and rare diseases. The company develops Resolaris, which is in Phase Ib/II clinical trials for treating adult patients with facioscapulohumeral muscular dystrophy (FSHD), a rare genetic myopathy with an immune component; patients with early onset FSHD; and adult patients with limb-girdle muscular dystrophy 2B or FSHD. In addition, the company is developing iMod.Fc, a preclinical immuno-modulatory domain program. The company was founded in 2005 and is headquartered in San Diego, California.</t>
  </si>
  <si>
    <t>Collegium Pharmaceutical, Inc.</t>
  </si>
  <si>
    <t>NasdaqGS:COLL</t>
  </si>
  <si>
    <t>IQTR290256723</t>
  </si>
  <si>
    <t>IQ7490189</t>
  </si>
  <si>
    <t>Collegium Pharmaceutical, Inc., a specialty pharmaceutical company, develops and commercializes abuse-deterrent products that incorporate its DETERx platform technology for the treatment of chronic pain and other diseases. Its lead product candidate is Xtampza, an oral formulation of oxycodone. The company is also developing COL-195, a hydrocodone for the treatment of chronic pain; COL-172, an oxymorphone for the treatment of chronic pain; COL-196, a morphine formulation to treat pain; and COL-171, a proprietary preclinical DETERx methylphenidate formulation for the treatment of attention deficit hyperactivity disorder. The company was formerly known as Collegium Pharmaceuticals, Inc. and changed its name to Collegium Pharmaceutical, Inc. in October 2003. Collegium Pharmaceutical, Inc. was incorporated in 2002 and is headquartered in Canton, Massachusetts.</t>
  </si>
  <si>
    <t>CoLucid Pharmaceuticals, Inc.</t>
  </si>
  <si>
    <t>NasdaqGM:CLCD</t>
  </si>
  <si>
    <t>IQTR289898966</t>
  </si>
  <si>
    <t>IQ25521313</t>
  </si>
  <si>
    <t>CoLucid Pharmaceuticals, Inc., a biopharmaceutical company, develops small molecules for the acute treatment of migraine. Its lead product candidate is Lasmiditan, an oral tablet that is in Phase III clinical program for the acute treatment of migraine headaches in adults. The company is also developing IV lasmiditan, which is in Phase II clinical trial for the acute treatment of headache pain associated with migraine in adults in emergency room and other urgent care settings. CoLucid Pharmaceuticals, Inc. was founded in 2005 and is headquartered in Cambridge, Massachusetts.</t>
  </si>
  <si>
    <t>Verseon Corporation</t>
  </si>
  <si>
    <t>AIM:VSN</t>
  </si>
  <si>
    <t>IQTR293131470</t>
  </si>
  <si>
    <t>IQ134732546</t>
  </si>
  <si>
    <t>Verseon Corporation, a pharmaceutical company, designs and develops novel therapeutics for various diseases in the United States. It conducts drug discovery programs in the areas of anticoagulation, diabetic macular edema, and oncology. The company is involved in developing oral antico-agulants for various cardiovascular indications with novel pharmacology; potent kallikrein inhibitors for the treatment of diabetic macular edema delivered through topical eye drops; and novel angiogenesis inhibitors for the treatment of solid organ tumors. Verseon Corporation was founded in 2002 and is headquartered in Fremont, California.</t>
  </si>
  <si>
    <t>NasdaqGS:BPMC</t>
  </si>
  <si>
    <t>IQTR289171754</t>
  </si>
  <si>
    <t>IQ129802746</t>
  </si>
  <si>
    <t>Viking Therapeutics, Inc.</t>
  </si>
  <si>
    <t>NasdaqCM:VKTX</t>
  </si>
  <si>
    <t>IQTR267166243</t>
  </si>
  <si>
    <t>IQ246791410</t>
  </si>
  <si>
    <t>Viking Therapeutics, Inc., a clinical-stage biopharmaceutical company, focuses on the development of therapies for metabolic and endocrine disorders. Its lead clinical program includes VK0612, an orally available drug candidate for the treatment of type 2 diabetes. The company is also developing VK5211, an orally available drug candidate, which is in a Phase II clinical trial for acute rehabilitation following non-elective hip fracture surgery. In addition, it is developing VK0214, a novel liver-selective thyroid hormone receptor beta agonist for lipid disorders, such as dyslipidemia and nonalcoholic steatohepatitis, as well as VK2809, an orally available, tissue, and receptor-subtype selective agonist of the thyroid beta receptor that is entering Phase II development for the treatment of patients with hypercholesterolemia and fatty liver disease. Viking Therapeutics, Inc. was founded in 2012 and is headquartered in San Diego, California.</t>
  </si>
  <si>
    <t>KemPharm, Inc.</t>
  </si>
  <si>
    <t>NasdaqGM:KMPH</t>
  </si>
  <si>
    <t>IQTR288193402</t>
  </si>
  <si>
    <t>IQ65059726</t>
  </si>
  <si>
    <t>KemPharm, Inc., a clinical-stage specialty pharmaceutical company, discovers and develops new proprietary prodrugs in the United States. Its advanced product candidate is KP201/APAP, which consists of KP201 prodrug of hydrocodone formulated in combination with acetaminophen (APAP). The company is also developing KP201/APAP as an immediate release (IR) product candidate for the treatment of acute pain, as well as engages in designing KP201/APAP with abuse-deterrent properties to address the epidemic of opioid abuse. The company is also involved in developing KP201/IR (APAP-free), an IR formulation of KP201 without APAP for the short-term management of acute pain; KP511/ER, a prodrug of hydromorphone for the management of pain; KP415, a prodrug of methylphenidate for the treatment of attention deficit hyperactivity disorders; KP606/IR, an IR abuse-deterrent opioid product for the management of moderate to severe pain; and KP746, a prodrug of oxymorphone for the management of moderate to severe pain. KemPharm, Inc. was founded in 2006 and is headquartered in Coralville, Iowa.</t>
  </si>
  <si>
    <t>Cidara Therapeutics, Inc.</t>
  </si>
  <si>
    <t>NasdaqGM:CDTX</t>
  </si>
  <si>
    <t>IQTR288432499</t>
  </si>
  <si>
    <t>IQ266264552</t>
  </si>
  <si>
    <t>Cidara Therapeutics, Inc., a biopharmaceutical company, focuses on the discovery, development, and commercialization of novel anti-infectives for the treatment of various diseases. Its lead product candidate is CD101 IV, a novel molecule in the echinocandin class of antifungals for the treatment and prevention of systemic Candida infections. The company also develops CD101 topical, a topical formulation of CD101 for the treatment of recurrent vulvovaginal candidiasis, a prevalent mucosal infection. In addition, it develops a proprietary immunotherapy technology platform, Cloudbreak, which is used to create compounds designed to direct a patient’s immune cells to attack and eliminate pathogens that cause infectious disease, as well as engages in evaluating Cloudbreak candidates for the treatment of invasive fungal infections, including aspergillosis, an infection caused by the fungal pathogen. The company was formerly known as K2 Therapeutics, Inc. and changed its name to Cidara Therapeutics, Inc. in June 2014. Cidara Therapeutics, Inc. was founded in 2012 and is based in San Diego, California.</t>
  </si>
  <si>
    <t>Aduro BioTech, Inc.</t>
  </si>
  <si>
    <t>NasdaqGS:ADRO</t>
  </si>
  <si>
    <t>IQTR288194671</t>
  </si>
  <si>
    <t>IQ2983625</t>
  </si>
  <si>
    <t>XBiotech, Inc.</t>
  </si>
  <si>
    <t>NasdaqGS:XBIT</t>
  </si>
  <si>
    <t>IQTR283478395</t>
  </si>
  <si>
    <t>IQ216818432</t>
  </si>
  <si>
    <t>XBiotech, Inc., a clinical-stage biopharmaceutical company, engages in discovering and developing True Human monoclonal antibodies for treating various diseases. Its lead product is MABp1, which is also known as Xilonix, a novel anti-cancer agent, which has completed Phase III clinical trial in Europe for the treatment of advanced colorectal cancer. MABp1 targets and neutralizes interleukin-1 alpha. XBiotech, Inc. was founded in 2005 and is headquartered in Austin, Texas.</t>
  </si>
  <si>
    <t>Inotek Pharmaceuticals Corporation</t>
  </si>
  <si>
    <t>NasdaqGM:ITEK</t>
  </si>
  <si>
    <t>IQTR276120901</t>
  </si>
  <si>
    <t>IQ9637643</t>
  </si>
  <si>
    <t>Inotek Pharmaceuticals Corporation, a clinical-stage biopharmaceutical company, focuses on the discovery, development, and commercialization of therapies for glaucoma and other diseases of the eye in the United States. The company’s lead product candidate includes Trabodenoson, a monotherapy that is in Phase III clinical trials for lowering IOP by restoring the eye’s natural pressure control mechanism. It is also developing Trabodenoson plus Latanoprost, a fixed-dose combination prostaglandin analogue, which has completed the Phase II clinical trials for IOP-lowering in patients who have previously had inadequate response to latanoprost, as well as Trabodenoson monotherapy that is in pre-clinical studies for the treatment of optic neuropathy and degenerative retinal diseases. The company was founded in 1999 and is headquartered in Lexington, Massachusetts.</t>
  </si>
  <si>
    <t>Bellerophon Therapeutics, Inc.</t>
  </si>
  <si>
    <t>NasdaqGM:BLPH</t>
  </si>
  <si>
    <t>IQTR281906643</t>
  </si>
  <si>
    <t>IQ257337347</t>
  </si>
  <si>
    <t>Bellerophon Therapeutics, Inc., a clinical-stage therapeutics company, focuses on the development of products at the intersection of drugs and devices that address unmet medical needs in the treatment of cardiopulmonary diseases. Its product candidates include INOpulse, a pulsatile nitric oxide delivery device, which has completed Phase II clinical trials for the treatment of pulmonary arterial hypertension, as well as in Phase II clinical trials to treat pulmonary hypertension associated with chronic obstructive pulmonary diseases; and bioabsorbable cardiac matrix, a medical device for the prevention of congestive heart failure. Bellerophon Therapeutics, Inc. was founded in 2009 and is headquartered in Warren, New Jersey.</t>
  </si>
  <si>
    <t>Eyegate Pharmaceuticals, Inc.</t>
  </si>
  <si>
    <t>NasdaqCM:EYEG</t>
  </si>
  <si>
    <t>IQTR269361921</t>
  </si>
  <si>
    <t>IQ27817978</t>
  </si>
  <si>
    <t>Eyegate Pharmaceuticals, Inc., a clinical-stage specialty pharmaceutical company, focuses on developing and commercializing therapeutics and drug delivery systems for treating eye diseases. The company is developing EGP-437 that has completed Phase III clinical trials in anterior uveitis for the treatment of various inflammatory conditions of the eye, including uveitis, a debilitating form of intraocular inflammation of the anterior portion of the uvea. It is also developing Eyegate II drug delivery system. Eyegate Pharmaceuticals, Inc. is based in Waltham, Massachusetts.</t>
  </si>
  <si>
    <t>IQTR280838614</t>
  </si>
  <si>
    <t>NasdaqGM:TCON</t>
  </si>
  <si>
    <t>IQTR280759863</t>
  </si>
  <si>
    <t>IQ33915710</t>
  </si>
  <si>
    <t>TRACON Pharmaceuticals, Inc., a clinical stage biopharmaceutical company, focuses on the development and commercialization of novel targeted therapeutics for cancer, wet age-related macular degeneration, and fibrotic diseases. Its lead product candidate is TRC105, which is in Phase II clinical trials for oncology indications, including soft tissue sarcoma, renal cell carcinoma, glioblastoma, and hepatocellular carcinoma. The company’s other product candidates comprise TRC205, an endoglin antibody that is in preclinical stage for the treatment of fibrotic diseases; and TRC102, a small molecule, which is in clinical development for the treatment of lung cancer and glioblastoma. TRACON Pharmaceuticals, Inc. has collaboration agreements with National Cancer Institute and Santen. The company was formerly known as Lexington Pharmaceuticals, Inc. and changed its name to TRACON Pharmaceuticals, Inc. in March 2005. TRACON Pharmaceuticals, Inc. was founded in 2004 and is headquartered in San Diego, California.</t>
  </si>
  <si>
    <t>Flex Pharma, Inc.</t>
  </si>
  <si>
    <t>NasdaqGM:FLKS</t>
  </si>
  <si>
    <t>IQTR280758231</t>
  </si>
  <si>
    <t>IQ261970466</t>
  </si>
  <si>
    <t>Zosano Pharma Corporation</t>
  </si>
  <si>
    <t>NasdaqCM:ZSAN</t>
  </si>
  <si>
    <t>IQTR266728076</t>
  </si>
  <si>
    <t>IQ29535235</t>
  </si>
  <si>
    <t>Zosano Pharma Corporation, a clinical stage specialty pharmaceutical company, develops a proprietary transdermal microneedle patch system to deliver drug formulations through the skin for the treatment of various indications. The company’s product candidate is ZP-Triptan, a proprietary formulation of zolmitriptan used for the treatment of migraine, which has completed a Phase I clinical trial. Its product candidates also include ZP-PTH, a proprietary formulation of teriparatide that is used for the treatment of severe osteoporosis; and ZP-Glucagon, a proprietary formulation of glucagon that is intended for the emergency rescue of patients suffering from life-threatening, severe hypoglycemia. The company was founded in 2006 and is headquartered in Fremont, California.</t>
  </si>
  <si>
    <t>Bellicum Pharmaceuticals, Inc.</t>
  </si>
  <si>
    <t>NasdaqGM:BLCM</t>
  </si>
  <si>
    <t>IQTR277811569</t>
  </si>
  <si>
    <t>IQ29554867</t>
  </si>
  <si>
    <t>Bellicum Pharmaceuticals, Inc., a clinical stage biopharmaceutical company, focuses on discovering and developing novel cellular immunotherapies for the treatment of hematological cancers, solid tumors, and orphan inherited blood disorders in the United States and internationally. Its clinical product candidate is BPX-501, an adjunct T-cell therapy in multiple Phase I/II clinical trials, administered after allogeneic hematopoietic stem cell transplantation. The company’s preclinical product candidates include BPX-601, a chimeric antigen receptor (CAR-T) product candidate for treating solid tumors expressing the prostate stem cell antigen; BPX-701, a TCR product candidate for the treatment of solid tumors expressing the preferentially-expressed antigen in melanoma; and BPX-401, a CAR-T product candidate for the treatment of hematological cancers that express the CD19 antigen. The company has a research collaboration agreement with Holland's Leiden University Medical Center to discover and validate natural high-affinity T cell receptor product candidates targeting various cancers. Bellicum Pharmaceuticals, Inc. was founded in 2004 and is headquartered in Houston, Texas.</t>
  </si>
  <si>
    <t>Juno Therapeutics Inc.</t>
  </si>
  <si>
    <t>NasdaqGS:JUNO</t>
  </si>
  <si>
    <t>IQTR277411036</t>
  </si>
  <si>
    <t>IQ252447310</t>
  </si>
  <si>
    <t>Juno Therapeutics, Inc., a biopharmaceutical company, engages in developing cell-based cancer immunotherapies. The company develops cell-based cancer immunotherapies based on its chimeric antigen receptor and T cell receptor technologies to genetically engineer T cells to recognize and kill cancer cells. Its clinical stage CD19 product candidates include JCAR015 that is in Phase II clinical trials for adult patients with relapsed/refractory B cell acute lymphoblastic leukemia (r/r ALL); JCAR017, which is in Phase I/II trials for pediatric patients with r/r ALL; and JCAR014 that is in Phase I/II trials to treat various B cell malignancies in patients relapsed or refractory to standard therapies. The company’s additional product candidates comprise CD22, a cell surface protein expressed on B lymphocytes; CD171, a cell-surface adhesion molecule to treat neuroblastoma; MUC-16, a protein for treating ovarian cancers; IL-12, a cytokine to overcome the inhibitory effects; ROR-1, a protein for the treatment of non-small cell lung, triple negative breast, pancreatic, and prostate cancers; and WT-1, an intracellular protein that is in Phase I/II clinical trials to treat adult myeloid leukemia and non-small cell lung, breast, pancreatic, ovarian, and colorectal cancers. Juno Therapeutics, Inc. has collaboration agreements with Celgene Corporation, Editas Medicine, Inc., Fate Therapeutics, Inc., MedImmune Limited, and Memorial Sloan Kettering Cancer Center. The company was formerly known as FC Therapeutics, Inc. and changed its name to Juno Therapeutics, Inc. in October 2013. Juno Therapeutics, Inc. was founded in 2013 and is headquartered in Seattle, Washington.</t>
  </si>
  <si>
    <t>Phase IIa</t>
  </si>
  <si>
    <t>ENXTAM:PBD</t>
  </si>
  <si>
    <t>NasdaqGM:PRTO</t>
  </si>
  <si>
    <t>BOVESPA:OFSA3</t>
  </si>
  <si>
    <t>NasdaqGS:ATRA</t>
  </si>
  <si>
    <t>NasdaqGS:DERM</t>
  </si>
  <si>
    <t>NasdaqGS:CALA</t>
  </si>
  <si>
    <t>NasdaqGM:VBLT</t>
  </si>
  <si>
    <t>NasdaqGM:VTAE</t>
  </si>
  <si>
    <t>NasdaqGM:TKAI</t>
  </si>
  <si>
    <t>NasdaqGM:AFMD</t>
  </si>
  <si>
    <t>NasdaqGM:OTIC</t>
  </si>
  <si>
    <t>NasdaqGM:EARS</t>
  </si>
  <si>
    <t>NasdaqGM:LOXO</t>
  </si>
  <si>
    <t>NasdaqGM:MRNS</t>
  </si>
  <si>
    <t>NasdaqGM:ORPN</t>
  </si>
  <si>
    <t>NasdaqCM:CFRX</t>
  </si>
  <si>
    <t>NasdaqGM:OCUL</t>
  </si>
  <si>
    <t>AMEX:PFNX</t>
  </si>
  <si>
    <t>Intersect ENT, Inc.</t>
  </si>
  <si>
    <t>NasdaqGM:XENT</t>
  </si>
  <si>
    <t>IQTR266643354</t>
  </si>
  <si>
    <t>IQ37464681</t>
  </si>
  <si>
    <t>NasdaqGM:SAGE</t>
  </si>
  <si>
    <t>Roka Bioscience, Inc.</t>
  </si>
  <si>
    <t>NasdaqGM:ROKA</t>
  </si>
  <si>
    <t>IQTR264238438</t>
  </si>
  <si>
    <t>IQ65148484</t>
  </si>
  <si>
    <t>CareDx, Inc</t>
  </si>
  <si>
    <t>NasdaqGM:CDNA</t>
  </si>
  <si>
    <t>IQTR265379464</t>
  </si>
  <si>
    <t>IQ9985914</t>
  </si>
  <si>
    <t>CareDx, Inc., a molecular diagnostics company, focuses on the discovery, development, and commercialization of diagnostic surveillance solutions for transplant patients in the United States and internationally. The company’s commercialized testing solution includes the AlloMap heart transplant molecular test (AlloMap), a gene expression test that helps clinicians monitor and identify heart transplant recipients with stable graft function who have a low probability of moderate/severe acute cellular rejection. It is also developing AlloSure, a next-generation sequencing-based test to detect donor-derived cell-free DNA after transplantation. The company markets its AlloMap solution to healthcare providers through its direct sales force that targets transplant centers and their physicians, coordinators, and nurse practitioners. The company was formerly known as XDx, Inc. and changed its name to CareDx, Inc. in March 2014. CareDx, Inc. was incorporated in 1998 and is headquartered in Brisbane, California.</t>
  </si>
  <si>
    <t>NasdaqCM:GBIM</t>
  </si>
  <si>
    <t>NasdaqGM:NERV</t>
  </si>
  <si>
    <t>NasdaqGS:AMPH</t>
  </si>
  <si>
    <t>Kite Pharma, Inc.</t>
  </si>
  <si>
    <t>NasdaqGS:KITE</t>
  </si>
  <si>
    <t>IQTR264099256</t>
  </si>
  <si>
    <t>IQ128240703</t>
  </si>
  <si>
    <t>Kite Pharma, Inc., a clinical-stage biopharmaceutical company, focuses on the development and commercialization of novel cancer immunotherapy products. The company is developing a pipeline of engineered autologous cell therapy-based product candidates for the treatment of solid and hematological malignancies. Its lead product candidate is KTE-C19, a chimeric antigen receptors (CAR)-based therapy that is in Phase 2 clinical trials for the treatment of patients with refractory diffuse large B cell lymphoma, including primary mediastinal B cell lymphoma and transformed follicular lymphoma. The company is also conducting a Phase 2 clinical trial of KTE-C19 on patients with relapsed/refractory mantle cell lymphoma; a Phase 1-2 clinical trial of KTE-C19 on adult patients with relapsed/refractory acute lymphoblastic leukemia; and a Phase 1-2 clinical trial of KTE-C19 in pediatric patients with relapsed/refractory. In addition, it engages in developing T cell receptors-based therapies, which targets self-antigens, viral antigens, and neo-antigens. The company has a research collaboration and license agreement with Amgen Inc. to develop and commercialize various CAR-based product candidates; collaboration agreements with the Surgery Branch of the National Cancer Institute and bluebird bio, Inc.; cooperative research and development agreements with the U.S. Department of Health and Human Services; a license agreement with Cabaret Biotech Ltd.; a license and research agreement with Alpine Immune Sciences, Inc.; and a clinical trial collaboration agreement with Genentech to evaluate the safety and efficacy of KTE-C19, in combination with atezolizumab in patients with non-Hodgkin lymphoma. Kite Pharma, Inc. was founded in 2009 and is headquartered in Santa Monica, California.</t>
  </si>
  <si>
    <t>NasdaqGM:ARDX</t>
  </si>
  <si>
    <t>NasdaqGM:PARN</t>
  </si>
  <si>
    <t>NasdaqGS:ZFGN</t>
  </si>
  <si>
    <t>NasdaqGM:RDUS</t>
  </si>
  <si>
    <t>NasdaqGM:AGRX</t>
  </si>
  <si>
    <t>NasdaqGM:ALDR</t>
  </si>
  <si>
    <t>NasdaqGM:SCYX</t>
  </si>
  <si>
    <t>NasdaqCM:ALDX</t>
  </si>
  <si>
    <t>NasdaqGM:CERU</t>
  </si>
  <si>
    <t>NasdaqGM:ADMS</t>
  </si>
  <si>
    <t>NasdaqGM:CORI</t>
  </si>
  <si>
    <t>NasdaqGM:AGTC</t>
  </si>
  <si>
    <t>NasdaqGM:MDWD</t>
  </si>
  <si>
    <t>NasdaqGS:VSAR</t>
  </si>
  <si>
    <t>NasdaqGM:AKBA</t>
  </si>
  <si>
    <t>NasdaqCM:DPRX</t>
  </si>
  <si>
    <t>NasdaqCM:GLMD</t>
  </si>
  <si>
    <t>NasdaqGM:AKAO</t>
  </si>
  <si>
    <t>NasdaqGS:VWR</t>
  </si>
  <si>
    <t>NasdaqGM:AAVL</t>
  </si>
  <si>
    <t>NYSE:CTLT</t>
  </si>
  <si>
    <t>NasdaqGM:ZSPH</t>
  </si>
  <si>
    <t>OIP</t>
  </si>
  <si>
    <t>Implied Value</t>
  </si>
  <si>
    <t>Backsolve --&gt;</t>
  </si>
  <si>
    <t>Label Format #6</t>
  </si>
  <si>
    <t>(in USD or Shares)</t>
  </si>
  <si>
    <t>Concluded Common Stock Price</t>
  </si>
  <si>
    <t>Methodology Summary</t>
  </si>
  <si>
    <t>Primary Methodology</t>
  </si>
  <si>
    <t>Confirming Methodology</t>
  </si>
  <si>
    <t>Event Timings</t>
  </si>
  <si>
    <t xml:space="preserve">Preferred (Debt-Like Component) </t>
  </si>
  <si>
    <t xml:space="preserve">Preferred (Equity-Like Component) </t>
  </si>
  <si>
    <t xml:space="preserve">Equity (Common + Granted Options/Warrants) </t>
  </si>
  <si>
    <t>Cost of Capital (Enterprise Level - Portfolio)</t>
  </si>
  <si>
    <t>Most Recent Round</t>
  </si>
  <si>
    <t>Round Date</t>
  </si>
  <si>
    <t>Most Recent Round Price</t>
  </si>
  <si>
    <t>Most Recent Raise</t>
  </si>
  <si>
    <t>Most Recent Pre-Money Valuation</t>
  </si>
  <si>
    <t>Most Recent Post-Money Valuation</t>
  </si>
  <si>
    <t>Total Shares Outstanding</t>
  </si>
  <si>
    <t>Last Options Granted Strike Price</t>
  </si>
  <si>
    <t>Common as a % of Latest Preferred Round</t>
  </si>
  <si>
    <t>OPM Term to Exit (Years)</t>
  </si>
  <si>
    <t>OPM Term to Exit (Date)</t>
  </si>
  <si>
    <t>Updated upto:</t>
  </si>
  <si>
    <t>Performance of Entity</t>
  </si>
  <si>
    <t>Assets Best Use</t>
  </si>
  <si>
    <t>Number of Potential Buyers</t>
  </si>
  <si>
    <t>Access to Capital</t>
  </si>
  <si>
    <t>Size of Business</t>
  </si>
  <si>
    <t>Glamour of Entity</t>
  </si>
  <si>
    <t>Implied Discount for Lack of Control ("DLOC") - Common</t>
  </si>
  <si>
    <t>Less: Debt as of Exit Date</t>
  </si>
  <si>
    <t>Based on the 25th segment ranked by sales for the Duff &amp; Phelps, LLC Risk Premium Report 2016.</t>
  </si>
  <si>
    <t>Pre-Tax Cost of Debt</t>
  </si>
  <si>
    <t>#</t>
  </si>
  <si>
    <t>Exit Scenario wise exit %</t>
  </si>
  <si>
    <t>M&amp;A - Early</t>
  </si>
  <si>
    <t>M&amp;A - Mid</t>
  </si>
  <si>
    <t>M&amp;A - Late</t>
  </si>
  <si>
    <t>Do Not Delete</t>
  </si>
  <si>
    <t>Applied Probabilities</t>
  </si>
  <si>
    <t>IND</t>
  </si>
  <si>
    <t>Update this</t>
  </si>
  <si>
    <t>Template Model</t>
  </si>
  <si>
    <t>Date of Update</t>
  </si>
  <si>
    <t>Updated by</t>
  </si>
  <si>
    <t>Sheet</t>
  </si>
  <si>
    <t>Cell</t>
  </si>
  <si>
    <t>Comments (if any)</t>
  </si>
  <si>
    <t>Last Modified</t>
  </si>
  <si>
    <t>Priya</t>
  </si>
  <si>
    <t>OPM 2</t>
  </si>
  <si>
    <t>C24</t>
  </si>
  <si>
    <t>Removed duplicate reference for footnote 1</t>
  </si>
  <si>
    <t>WACC CAPM</t>
  </si>
  <si>
    <t>B42</t>
  </si>
  <si>
    <t>Added note to update unsystematic risk premium whenever WACC CAPM is used</t>
  </si>
  <si>
    <t>PWERM, Comparitive Sheet</t>
  </si>
  <si>
    <t>Various</t>
  </si>
  <si>
    <t>Fixed the basis as 3 for all YEARFRAC formulas through a global search.</t>
  </si>
  <si>
    <t>Q6</t>
  </si>
  <si>
    <t>Added “ROUND” formula</t>
  </si>
  <si>
    <t>Capital IQ DATA</t>
  </si>
  <si>
    <t>T13, T14</t>
  </si>
  <si>
    <t>Fixed the link to cell B4</t>
  </si>
  <si>
    <t>B49, B50</t>
  </si>
  <si>
    <t>Added footnote</t>
  </si>
  <si>
    <t>Company ABC IRC 409a VD MM.DD.YY Draft Exhibits YYYY.MM.DD_v4</t>
  </si>
  <si>
    <t>Asset Volatility - Comps</t>
  </si>
  <si>
    <t>Asset Volatility - Company (For OPM)</t>
  </si>
  <si>
    <t>Asset Volatility - Company (For DLOM)</t>
  </si>
  <si>
    <t>Common Stock Equity</t>
  </si>
  <si>
    <t>Options/Warrants (Treasury Method)</t>
  </si>
  <si>
    <t>Harshit</t>
  </si>
  <si>
    <t>Volatility check Val Summ</t>
  </si>
  <si>
    <t>WACC - PWERM</t>
  </si>
  <si>
    <t>Removed Macro</t>
  </si>
  <si>
    <t>Volatility check in out of print area</t>
  </si>
  <si>
    <t>Corrected calculation of Options (Treasury Method) and Common Stock Equity</t>
  </si>
  <si>
    <t>D15</t>
  </si>
  <si>
    <t>Updated formatting</t>
  </si>
  <si>
    <t>Row X</t>
  </si>
  <si>
    <t>Label Format #7</t>
  </si>
  <si>
    <t>(in millions of USD, except stock price)</t>
  </si>
  <si>
    <t>Harsh</t>
  </si>
  <si>
    <t>Market Trends</t>
  </si>
  <si>
    <t>Z4</t>
  </si>
  <si>
    <t>Changed label to (in millions of USD, except stock price)</t>
  </si>
  <si>
    <t>Row 238 onwards</t>
  </si>
  <si>
    <t>Treasury Method calculation</t>
  </si>
  <si>
    <t>H19, J19</t>
  </si>
  <si>
    <t>Fixed the formula for WACC to include Options/Warrants (Treasury Method)</t>
  </si>
  <si>
    <t>smallest (in millions)</t>
  </si>
  <si>
    <t>largest (in millions)</t>
  </si>
  <si>
    <t xml:space="preserve"> Year - 2017</t>
  </si>
  <si>
    <t>WACC - CAPM</t>
  </si>
  <si>
    <t>D&amp;P 2017</t>
  </si>
  <si>
    <t>A46:H67, B40, B41</t>
  </si>
  <si>
    <t>Important Points to Note</t>
  </si>
  <si>
    <t>1) Linking of Debt</t>
  </si>
  <si>
    <t>a) PWERM: PV of Debt Like component for differn. DLOM</t>
  </si>
  <si>
    <t>b) OPM: Debt as in Val. Summ.</t>
  </si>
  <si>
    <t>c) DLOM_OPM: Val sum + Tranche Value of LP</t>
  </si>
  <si>
    <t>d) Hybrid OPM: Debt as in Val Summ.</t>
  </si>
  <si>
    <t>e) Hybrid OPM_DLOM: PV of Debt Like component from PWERM</t>
  </si>
  <si>
    <t>2) Linking for EV</t>
  </si>
  <si>
    <t>a) PWERM: Equity Value in PWERM - Excess Cash + Debt</t>
  </si>
  <si>
    <t>b) OPM: Equity Value in OPM -Excess Cash + Debt</t>
  </si>
  <si>
    <t>c) DLOM_OPM: Equity Value in OPM -Excess Cash + Debt</t>
  </si>
  <si>
    <t>d) Hybrid OPM: Weighted Average Equity Value in Hybrid OPM -Excess Cash + Debt</t>
  </si>
  <si>
    <t>d) Hybrid OPM_DLOM: Weighted Average Equity Value in Hybrid OPM -Excess Cash + Debt</t>
  </si>
  <si>
    <t>Product (if applicable)</t>
  </si>
  <si>
    <t>Milestone Payment (if applicable)</t>
  </si>
  <si>
    <t>Probability of Dissolution (captured in OPM)</t>
  </si>
  <si>
    <t>Success Probability of Single Candidate (1)</t>
  </si>
  <si>
    <t>Probability (With Both Candidates Successful in Previous Stage)</t>
  </si>
  <si>
    <t>Probability (With Only 1 Candidate Successful in Previous Stage)</t>
  </si>
  <si>
    <t>Cumulative Probability to Continue</t>
  </si>
  <si>
    <t>Both Candidates Successful</t>
  </si>
  <si>
    <t>Only 1 Candidate is Successful</t>
  </si>
  <si>
    <t>Both Candidates Fail</t>
  </si>
  <si>
    <t>Two candidates at the same stage of development</t>
  </si>
  <si>
    <t>Lead - IND / Second - Lead Optimization</t>
  </si>
  <si>
    <t>Both Candidates are Successful</t>
  </si>
  <si>
    <t>Only Lead Candidate is Successful</t>
  </si>
  <si>
    <t>Only Second Indication is Successful</t>
  </si>
  <si>
    <t>Lead - Phase I / Second - IND</t>
  </si>
  <si>
    <t>Lead - Phase II / Second - Phase I</t>
  </si>
  <si>
    <t>Two candidates with the second asset a stage behind the first in terms of development</t>
  </si>
  <si>
    <t>Reference Project - Ideaya</t>
  </si>
  <si>
    <t>Reference Project - Surrozen</t>
  </si>
  <si>
    <t>Y220C - First Program</t>
  </si>
  <si>
    <t>Second Program</t>
  </si>
  <si>
    <t>Third Program</t>
  </si>
  <si>
    <t>Current Stage</t>
  </si>
  <si>
    <t>Hit-to-Lead-Decision</t>
  </si>
  <si>
    <t>IPO (Phase IND)</t>
  </si>
  <si>
    <t>M&amp;A (Phase I)</t>
  </si>
  <si>
    <t>Mid</t>
  </si>
  <si>
    <t>Rounded Probability</t>
  </si>
  <si>
    <t>Grossed Up Probability</t>
  </si>
  <si>
    <t>Total Probability</t>
  </si>
  <si>
    <t>No. of Successful Programs</t>
  </si>
  <si>
    <t>Success Probability of a Single Program and its Stage of Development</t>
  </si>
  <si>
    <t>First Program</t>
  </si>
  <si>
    <t>Phase I completed</t>
  </si>
  <si>
    <t>Phase Ia completed; Phase Ib ongoing</t>
  </si>
  <si>
    <t>IND completed; Phase Ia ongoing</t>
  </si>
  <si>
    <t>M&amp;A (Phase Ib - Lead) Probability Calculations</t>
  </si>
  <si>
    <t>Scenario #1</t>
  </si>
  <si>
    <t>First Program Successful</t>
  </si>
  <si>
    <t>Second Program Successful</t>
  </si>
  <si>
    <t>Second Program Failed</t>
  </si>
  <si>
    <t>Third Program Failed</t>
  </si>
  <si>
    <t>Scenario #2</t>
  </si>
  <si>
    <t>First Program Failed</t>
  </si>
  <si>
    <t>Third Program Successful</t>
  </si>
  <si>
    <t>Scenario #3</t>
  </si>
  <si>
    <t>Probability of Technical Success</t>
  </si>
  <si>
    <t>Reference Project - PMV</t>
  </si>
  <si>
    <t>3 canidates in different stages of development</t>
  </si>
  <si>
    <t>Delete the three templates for Exit Probability below, if not applicable</t>
  </si>
  <si>
    <t>Depreciation % Inputs</t>
  </si>
  <si>
    <t>Convention</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</si>
  <si>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</si>
  <si>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</si>
  <si>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</si>
  <si>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</si>
  <si>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</si>
  <si>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</si>
  <si>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</si>
  <si>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</si>
  <si>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</si>
  <si>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</si>
  <si>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</si>
  <si>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</si>
  <si>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</si>
  <si>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</si>
  <si>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</si>
  <si>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</si>
  <si>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</si>
  <si>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</si>
  <si>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</si>
  <si>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</si>
  <si>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</si>
  <si>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</si>
  <si>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</si>
  <si>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</si>
  <si>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</si>
  <si>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</si>
  <si>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</si>
  <si>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</si>
  <si>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</si>
  <si>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</si>
  <si>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</si>
  <si>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</si>
  <si>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</si>
  <si>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</si>
  <si>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</si>
  <si>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20 Year MACRS</t>
  </si>
  <si>
    <t>Half yearly</t>
  </si>
  <si>
    <t>39 Year MACRS</t>
  </si>
  <si>
    <t>Yearly</t>
  </si>
  <si>
    <t>15 Year MACRS</t>
  </si>
  <si>
    <t>10 Year MACRS</t>
  </si>
  <si>
    <t>7 Year MACRS</t>
  </si>
  <si>
    <t>5 Year MACRS</t>
  </si>
  <si>
    <t>3 Year MACRS</t>
  </si>
  <si>
    <t>Existing Fixed Assets</t>
  </si>
  <si>
    <t>Blended Rate</t>
  </si>
  <si>
    <t>Life Completed (years)</t>
  </si>
  <si>
    <t>Existing Fixed Assets (1)</t>
  </si>
  <si>
    <t xml:space="preserve">Allocation </t>
  </si>
  <si>
    <t>Capital Expenditures Year:</t>
  </si>
  <si>
    <t>Depreciation - New Capex</t>
  </si>
  <si>
    <t>Total Depreciation</t>
  </si>
  <si>
    <t>Capital expenditure class allocation schedule has been provided by Management. The depreciation % considered is half yearly convention as per modified accelerated cost recovery system (MACRS). Source: http://www.smbiz.com/sbrl012.html#hy</t>
  </si>
  <si>
    <t>(1) Includes consideration of net operating losses in determining taxable income based on information provided by Management.</t>
  </si>
  <si>
    <t>5 year Straight Line</t>
  </si>
  <si>
    <t>7 year Straight Line</t>
  </si>
  <si>
    <t>10 year Straight Line</t>
  </si>
  <si>
    <t>15 Year Straight Line</t>
  </si>
  <si>
    <t>20 Year Straight Line</t>
  </si>
  <si>
    <t>Depreciation - MACRS</t>
  </si>
  <si>
    <t>Outline - Workpapers</t>
  </si>
  <si>
    <t>Workpaper Number</t>
  </si>
  <si>
    <t>Workpaper Labeling</t>
  </si>
  <si>
    <t>Latest Preferred Round</t>
  </si>
  <si>
    <t xml:space="preserve">Common </t>
  </si>
  <si>
    <t>Value From OPM</t>
  </si>
  <si>
    <t>RNA applied a discount to the enterprise value computing using forward revenue and LTM revenue multiples.</t>
  </si>
  <si>
    <t>Discount Factor (3)</t>
  </si>
  <si>
    <t>Discount Factor (2)</t>
  </si>
  <si>
    <t>Post-IPO 
Equity Value</t>
  </si>
  <si>
    <t>Comparable Equity Value After 30 Days</t>
  </si>
  <si>
    <t>% Change in Equity Value</t>
  </si>
  <si>
    <t>BD</t>
  </si>
  <si>
    <t>Discovery / IND / Preclinical</t>
  </si>
  <si>
    <t>IND Filed</t>
  </si>
  <si>
    <t>IND Filing</t>
  </si>
  <si>
    <t>Blueprint Medicines Corporation, a biopharmaceutical company, develops drugs of small molecule kinase inhibitors that target genomic drivers in various cancers and rare genetic diseases. Its lead drug candidates include BLU-285, which targets KIT Exon 17 mutants and PDGFRa D842V, abnormally active receptor tyrosine kinase mutants for patients with systemic mastocytosis, a myeloproliferative disorder of the mast cells, and defined subsets of patients with gastrointestinal stromal tumor; and BLU-554, an orally available, potent, selective, and irreversible inhibitor of the kinase FGFR4. It is also developing BLU-667, a drug candidate that targets RET, a receptor tyrosine kinase that can become abnormally activated by mutations or translocations; and RET resistant mutants that would arise from treatment with first generation therapies, as well as candidates as inhibitors of neurotrophic tyrosine receptor kinase (NTRK) and predicted NTRK resistant mutants. In addition, the company is developing programs that target oncology and rare genetic diseases. The company has agreement with Alexion Pharma Holding to research, develop, and commercialize drug candidates for an undisclosed activated kinase target, which is the cause of a rare genetic disease. The company was formerly known as Hoyle Pharmaceuticals, Inc. and changed its name to Blueprint Medicines Corporation in June 2011. Blueprint Medicines Corporation was founded in 2008 and is headquartered in Cambridge, Massachusetts.</t>
  </si>
  <si>
    <t>Flex Pharma, Inc., a biotechnology company, develops and commercializes products for the treatment of nocturnal leg cramps, muscle cramps, spasms, and spasticity associated with neuromuscular conditions; and exercise-associated muscle cramps. The company develops its products based on the mechanism of muscle cramp inhibition. Flex Pharma, Inc. was founded in 2014 and is headquartered in Boston, Massachusetts.</t>
  </si>
  <si>
    <t>Phase I / I/Ib / I/IIa / Ib / Ib/II</t>
  </si>
  <si>
    <t>Jounce Therapeutics, Inc.</t>
  </si>
  <si>
    <t>NasdaqGS:JNCE</t>
  </si>
  <si>
    <t>IQTR414739851</t>
  </si>
  <si>
    <t>AnaptysBio, Inc.</t>
  </si>
  <si>
    <t>NasdaqGS:ANAB</t>
  </si>
  <si>
    <t xml:space="preserve"> IQTR311061881</t>
  </si>
  <si>
    <t>IQTR311061881</t>
  </si>
  <si>
    <t>Phase I/IIa</t>
  </si>
  <si>
    <t>Voyager Therapeutics, Inc., a clinical-stage gene therapy company, focuses on the development of treatments for patients suffering from severe diseases of the central nervous system. The company’s lead clinical candidate is the VY-AADC01, which is in Phase Ib clinical trial for the treatment of advanced Parkinson's disease. Its preclinical programs comprise VY-SOD101 for a monogenic form of amyotrophic lateral sclerosis; VY-FXN01 for Friedreich's ataxia; VY-HTT01 for Huntington’s disease; and VY-SMN101 for spinal muscular atrophy. The company has strategic collaboration agreements with Genzyme Corporation and the University of Massachusetts; and a research collaboration agreement with CHDI Foundation, Inc. to advance its VY-HTT01 program, an adeno-associated virus-mediated gene-silencing therapy for Huntington’s disease. Voyager Therapeutics, Inc. was founded in 2013 and is headquartered in Cambridge, Massachusetts.</t>
  </si>
  <si>
    <t>Mirna Therapeutics, Inc., a clinical-stage biopharmaceutical company, develops a pipeline of microRNA-based oncology therapeutics. The company is developing mimics of naturally occurring microRNAs (miR) that are designed to restore tumor suppressor activity and aid appropriate anti-tumor immune response. Its lead product candidate is MRX34, a mimic of naturally occurring microRNA-34 encapsulated in a liposomal nanoparticle formulation which is in Phase 1 clinical trial for the treatment of cancer. The company’s preclinical product candidates include miR-215 for the treatment of esophageal, kidney, and multiple myeloma cancers; miR-101 for the treatment of bladder, gastric, lung, and ovarian cancers; miR-16 for the treatment of chronic lymphocytic leukemia and lymphoma cancers; and let-7 for the treatment of prostate, pancreatic, and melanoma cancers. It has strategic partnerships and license agreements with Asuragen, Inc.; Marina Biotech, Inc.; the Yale University; the University of Zurich; Rosetta Genomics Ltd.; the Cancer Prevention and Research Institute of Texas; and Polymun Scientific Immunbiologische Forschung GmbH. The company was founded in 2007 and is headquartered in Austin, Texas. Mirna Therapeutics, Inc. operates as a subsidiary of Asuragen, Inc.</t>
  </si>
  <si>
    <t>Catabasis Pharmaceuticals, Inc., a clinical-stage biopharmaceutical company, focuses on the discovery, development, and commercialization of therapeutics to treat inflammatory and metabolic diseases. Its product pipeline includes CAT-1004, an oral small molecule that has completed Phase 1 clinical trials for the treatment of duchenne muscular dystrophy (DMD); CAT-2054, which is in Phase I clinical trial for the treatment of hypercholesterolemia in patients for whom existing treatments are insufficient; and CAT-2003 that has completed Phase IIa trials for the treatment of patients with elevated triglycerides or hypertriglyceridemia. It is also developing CAT-4001 that is in preclinical stage for the treatment for severe, rare neurodegenerative diseases, such as Friedreich's ataxia and amyotrophic lateral sclerosis. The company has collaboration agreements with dystrophy association for the development of CAT-1004, a treatment for DMD; and Sarepta Therapeutics, Inc. to explore a combination drug treatment approach for DMD. Catabasis Pharmaceuticals, Inc. was founded in 2008 and is based in Cambridge, Massachusetts.</t>
  </si>
  <si>
    <t>aTyr Pharma, Inc.</t>
  </si>
  <si>
    <t>Adaptimmune Therapeutics plc</t>
  </si>
  <si>
    <t>NasdaqGS:ADAP</t>
  </si>
  <si>
    <t>IQTR290492678</t>
  </si>
  <si>
    <t>IQ113495056</t>
  </si>
  <si>
    <t>Adaptimmune Therapeutics plc, a clinical-stage biopharmaceutical company, focuses on the provision of cancer immunotherapy products based on its T-cell receptor platform. Its platform enables to identify cancer targets; find and genetically engineer T-cell receptors (TCR); and produce TCR therapeutic candidates for administration to patients. The company’s lead program includes NY-ESO cancer antigen, which is in Phase 1/2 clinical trials for the treatment of patients with solid tumors, as well as hematological cancer types, including synovial sarcoma and multiple myeloma. Adaptimmune Therapeutics plc is also developing MAGE A-10 TCR that is in Phase 1/2 clinical trials for the treatment of non-small cell lung cancer and other solid tumors; and Alpha Fetoprotein TCR therapeutic candidate that has completed preclinical testing for targeting a peptide associated with hepatocellular carcinoma. It has a strategic collaboration and licensing agreement with GlaxoSmithKline for the development and commercialization of the NY-ESO TCR program; and strategic alliance with MD Anderson Cancer Center for the development of adoptive T-cell therapies for various cancers. The company also has a clinical trial collaboration agreement with Merck &amp; Co., Inc. for the assessment of NY-ESO specific peptide enhanced affinity receptor T-cell therapy in combination with anti-programmed death-1 inhibitor in patients with multiple myeloma. Adaptimmune Therapeutics plc was founded in 2014 and is headquartered in Abingdon, the United Kingdom.</t>
  </si>
  <si>
    <t>Phase II / IIa / IIb / II/III</t>
  </si>
  <si>
    <t>Tocagen Inc.</t>
  </si>
  <si>
    <t>NasdaqGS:TOCA</t>
  </si>
  <si>
    <t>Phase II/III</t>
  </si>
  <si>
    <t>IQTR423020775</t>
  </si>
  <si>
    <t>IQ47097690</t>
  </si>
  <si>
    <t>Tocagen Inc., a clinical-stage company, focuses on developing gene therapy candidates to activate a patient’s immune system against their cancer in the United States. The company is developing Toca 511 &amp; Toca FC that is in Phase II/III clinical trial for patients with recurrent high grade glioma (HGG); and Phase Ib clinical trial for the intravenous treatment of metastatic colorectal, pancreatic, breast, lung, melanoma, and renal cancers, as well as in preclinical stage for newly diagnosed HGG. It is also developing other retroviral replicating vectors to deliver genes to cancer cells against validated immunotherapy targets, such as the checkpoint protein PD-L1. The company was founded in 2007 and is headquartered in San Diego, California.</t>
  </si>
  <si>
    <t>ObsEva SA</t>
  </si>
  <si>
    <t>NasdaqGS:OBSV</t>
  </si>
  <si>
    <t>IQTR414750474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</si>
  <si>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Plan-les-Ouates, Switzerland.</t>
  </si>
  <si>
    <t>ObsEva_SA_-_Form_F-1A(Jan-23-2017)</t>
  </si>
  <si>
    <t>pg. 10</t>
  </si>
  <si>
    <t>Pg. 1</t>
  </si>
  <si>
    <t>IQ245335894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</si>
  <si>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Geneva, Switzerland.</t>
  </si>
  <si>
    <t>Spring Bank Pharmaceuticals, Inc., a clinical-stage biopharmaceutical company, engages in the discovery and development of a class of therapeutics using its proprietary small molecule nucleic acid hybrid (SMNH) chemistry platform. Its SMNH compounds are small segments of nucleic acids that are design to target and modulate the activity of specific proteins implicated in various disease states. The company’s lead product candidate is SB 9200, which completed a Phase 1 clinical trial for the treatment of chronic hepatitis B virus and respiratory syncytial virus. It also develops preclinical product candidates, such as SB 9400, SB 9941 and SB 9946 for RNA viral diseases. The company has a collaborative agreement with Arrowhead Pharmaceuticals Inc. to perform studies on Arrowhead’s ARC-520 and Spring Bank’s SB 9200 for the treatment of chronic Hepatitis B (HBV); and has clinical trial collaboration with Gilead Sciences for a HBV Phase II clinical study with Spring Bank's SB 9200 in combination with VireadÂ (tenofovir disoproxil fumarate) for HBV patients. The company was formerly known as Spring Bank Technologies, Inc. and changed its name to Spring Bank Pharmaceuticals, Inc. in May 2008. Spring Bank Pharmaceuticals, Inc. was founded in 2002 and is headquartered in Milford, Massachusetts.</t>
  </si>
  <si>
    <t>Aduro BioTech, Inc., a clinical-stage immunotherapy company, focuses on the discovery, development, and commercialization that transform the treatment of challenging diseases. Its lead product candidate is CRS-207, an immuno-oncology therapy, which is in a Phase IIb clinical trial for the treatment of metastatic pancreatic cancer, unresectable malignant pleural mesothelioma, and ovarian cancer. The company also offers STING Pathway Activator product candidates that are synthetic small molecule immune modulators, which target and activate Stimulator of Interferon Genes receptor under collaboration with Novartis Pharmaceuticals Corporation; and develops monoclonal antibodies with the potential to yield immunotherapy. Aduro BioTech, Inc. also has a collaboration agreement with Janssen Biotech, Inc. to develop drugs for the treatment of prostate and lung cancers. The company was formerly known as Oncologic, Inc. and changed its name to Aduro BioTech, Inc. in June 2008. Aduro BioTech, Inc. was founded in 2000 and is headquartered in Berkeley, California.</t>
  </si>
  <si>
    <t>NasdaqGS:BLUE</t>
  </si>
  <si>
    <t>IQTR240095442</t>
  </si>
  <si>
    <t>IQ28921</t>
  </si>
  <si>
    <t>bluebird bio, Inc., a clinical-stage biotechnology company, focuses on developing transformative gene therapies for severe genetic and rare diseases. Its product candidates include Lenti-D, which is in phase II/III clinical studies for the treatment of cerebral adrenoleukodystrophy, a rare, hereditary neurological disorder; and LentiGlobin that is in phase I/II clinical studies for the treatment of beta-thalassemia major and severe sickle cell disease (SCD) in France, as well as a phase I study in the United States for the treatment of severe SCD. The company’s lead chimeric antigen receptor T cell-based product candidate is bb2121, which is in phase I clinical trials for the treatment of relapsed and refractory multiple myeloma. bluebird bio, Inc. has a strategic collaboration with Celgene Corporation to discover, develop, and commercialize disease-altering gene therapies in oncology; and Kite Pharma, Inc. to develop and commercialize second generation T cell receptor product candidates against the human papillomavirus type 16 E6 oncoprotein. The company was formerly known as Genetix Pharmaceuticals, Inc., and changed its name to bluebird bio, Inc. in September 2010. bluebird bio, Inc. was founded in 1992 and is headquartered in Cambridge, Massachusetts.</t>
  </si>
  <si>
    <t>Phase III and NDA Filed</t>
  </si>
  <si>
    <t>BeyondSpring Inc.</t>
  </si>
  <si>
    <t>NasdaqCM:BYSI</t>
  </si>
  <si>
    <t>IQTR409737963</t>
  </si>
  <si>
    <t>IQ409784135</t>
  </si>
  <si>
    <t>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and a Phase 3 clinical trial as an anticancer agent in combination with docetaxel in advanced NSCLC. BeyondSpring Inc. was founded in 2010 and is headquartered in New York, New York.</t>
  </si>
  <si>
    <t>Source: http://www.nasdaq.com/markets/ipos/company/beyondspring-inc-1008377-82102</t>
  </si>
  <si>
    <t>Clearside BioMedical, Inc.</t>
  </si>
  <si>
    <t>NasdaqGM:CLSD</t>
  </si>
  <si>
    <t xml:space="preserve"> IQTR321712938</t>
  </si>
  <si>
    <t>Clearside BioMedical, Inc., a biopharmaceutical company, develops drug therapies to treat chronic blinding diseases of the eye. Its products include CLS-1001 for the treatment of macular edema associated with non-infectious uveitis; CLS-1003 for the treatment of macular edema associated with retinal vein occlusion; and CLS-1002 program for the treatment of wet age-related macular degeneration. The company was founded in 2011 and is headquartered in Alpharetta, Georgia.</t>
  </si>
  <si>
    <t>NDA Filed</t>
  </si>
  <si>
    <t>Overall Metrics</t>
  </si>
  <si>
    <t>IPO - METRICS</t>
  </si>
  <si>
    <t>Offer Date</t>
  </si>
  <si>
    <t>Post IPO</t>
  </si>
  <si>
    <t>Post IPO + 30 Days</t>
  </si>
  <si>
    <t>Enterprise</t>
  </si>
  <si>
    <t>Multiple</t>
  </si>
  <si>
    <t xml:space="preserve">Multiple </t>
  </si>
  <si>
    <t xml:space="preserve"> Value</t>
  </si>
  <si>
    <t>iRhythm Technologies, Inc.</t>
  </si>
  <si>
    <t>NasdaqGM:IRTC</t>
  </si>
  <si>
    <t>IQTR402652323</t>
  </si>
  <si>
    <t>IQ34159879</t>
  </si>
  <si>
    <t>Obalon Therapeutics, Inc.</t>
  </si>
  <si>
    <t>NasdaqGM:OBLN</t>
  </si>
  <si>
    <t>IQTR383379322</t>
  </si>
  <si>
    <t>IQ41660644</t>
  </si>
  <si>
    <t>Tactile Systems Technology, Inc.</t>
  </si>
  <si>
    <t>NasdaqGM:TCMD</t>
  </si>
  <si>
    <t>IQTR323391525</t>
  </si>
  <si>
    <t>IQ6233509</t>
  </si>
  <si>
    <t>Pulse Biosciences, Inc.</t>
  </si>
  <si>
    <t>NasdaqCM:PLSE</t>
  </si>
  <si>
    <t>IQTR340039751</t>
  </si>
  <si>
    <t>IQ276735354</t>
  </si>
  <si>
    <t>PAVmed Inc.</t>
  </si>
  <si>
    <t>NasdaqCM:PAVM</t>
  </si>
  <si>
    <t>IQTR324054248</t>
  </si>
  <si>
    <t>IQ277974005</t>
  </si>
  <si>
    <t>Penumbra, Inc.</t>
  </si>
  <si>
    <t>NYSE:PEN</t>
  </si>
  <si>
    <t>IQTR309360508</t>
  </si>
  <si>
    <t>IQ28688621</t>
  </si>
  <si>
    <t>ConforMIS, Inc.</t>
  </si>
  <si>
    <t>NasdaqGS:CFMS</t>
  </si>
  <si>
    <t>IQTR301965169</t>
  </si>
  <si>
    <t>IQ22001832</t>
  </si>
  <si>
    <t>Glaukos Corporation</t>
  </si>
  <si>
    <t>NYSE:GKOS</t>
  </si>
  <si>
    <t>IQTR301015306</t>
  </si>
  <si>
    <t>IQ3131592</t>
  </si>
  <si>
    <t>AirXpanders, Inc.</t>
  </si>
  <si>
    <t>ASX:AXP</t>
  </si>
  <si>
    <t>IQTR300922266</t>
  </si>
  <si>
    <t>IQ30348884</t>
  </si>
  <si>
    <t>Invuity, Inc.</t>
  </si>
  <si>
    <t>NasdaqGM:IVTY</t>
  </si>
  <si>
    <t>IQTR291764631</t>
  </si>
  <si>
    <t>IQ52419231</t>
  </si>
  <si>
    <t>EndoChoice Holdings, Inc.</t>
  </si>
  <si>
    <t>IQ276305745</t>
  </si>
  <si>
    <t>IQTR296178104</t>
  </si>
  <si>
    <t>Avinger, Inc.</t>
  </si>
  <si>
    <t>NasdaqGM:AVGR</t>
  </si>
  <si>
    <t>IQTR280838605</t>
  </si>
  <si>
    <t>IQ98560456</t>
  </si>
  <si>
    <t>Entellus Medical, Inc.</t>
  </si>
  <si>
    <t>NasdaqGM:ENTL</t>
  </si>
  <si>
    <t>IQTR280524672</t>
  </si>
  <si>
    <t>IQ35555971</t>
  </si>
  <si>
    <t>Second Sight Medical Products, Inc.</t>
  </si>
  <si>
    <t>NasdaqCM:EYES</t>
  </si>
  <si>
    <t>IQTR276205620</t>
  </si>
  <si>
    <t>IQ7715922</t>
  </si>
  <si>
    <t>Nevro Corp.</t>
  </si>
  <si>
    <t>NYSE:NVRO</t>
  </si>
  <si>
    <t>IQTR273843042</t>
  </si>
  <si>
    <t>IQ30485592</t>
  </si>
  <si>
    <t>Great Basin Scientific, Inc.</t>
  </si>
  <si>
    <t>IQ49442390</t>
  </si>
  <si>
    <t>IQTR269958834</t>
  </si>
  <si>
    <t>IRadimed Corporation</t>
  </si>
  <si>
    <t>NasdaqCM:IRMD</t>
  </si>
  <si>
    <t>IQTR268366521</t>
  </si>
  <si>
    <t>IQ22110569</t>
  </si>
  <si>
    <t>K2M Group Holdings, Inc.</t>
  </si>
  <si>
    <t>NasdaqGS:KTWO</t>
  </si>
  <si>
    <t>IQTR260414996</t>
  </si>
  <si>
    <t>IQ260414991</t>
  </si>
  <si>
    <t>Lombard Medical, Inc.</t>
  </si>
  <si>
    <t>NasdaqGM:EVAR</t>
  </si>
  <si>
    <t>IQTR260150572</t>
  </si>
  <si>
    <t>IQ20947639</t>
  </si>
  <si>
    <t>TriVascular Technologies, Inc.</t>
  </si>
  <si>
    <t>IQ42894289</t>
  </si>
  <si>
    <t>IQTR260150583</t>
  </si>
  <si>
    <t>Semler Scientific, Inc.</t>
  </si>
  <si>
    <t>IQ248606993</t>
  </si>
  <si>
    <t>IQTR251548850</t>
  </si>
  <si>
    <t>Inogen, Inc.</t>
  </si>
  <si>
    <t>NasdaqGS:INGN</t>
  </si>
  <si>
    <t>IQTR252184099</t>
  </si>
  <si>
    <t>IQ7701753</t>
  </si>
  <si>
    <t>Amedica Corporation</t>
  </si>
  <si>
    <t>NasdaqCM:AMDA</t>
  </si>
  <si>
    <t>IQTR250068893</t>
  </si>
  <si>
    <t>IQ7282516</t>
  </si>
  <si>
    <t>Tandem Diabetes Care, Inc.</t>
  </si>
  <si>
    <t>NasdaqGM:TNDM</t>
  </si>
  <si>
    <t>IQTR247854082</t>
  </si>
  <si>
    <t>IQ46368713</t>
  </si>
  <si>
    <t>Veracyte, Inc.</t>
  </si>
  <si>
    <t>NasdaqGM:VCYT</t>
  </si>
  <si>
    <t>IQTR247100680</t>
  </si>
  <si>
    <t>IQ42154124</t>
  </si>
  <si>
    <t>Updated As on</t>
  </si>
  <si>
    <t>( Source:Neotract VD 3/31/17)</t>
  </si>
  <si>
    <t>IPO - METRICS (DIAGNOSTICS)</t>
  </si>
  <si>
    <t>Fulgent Genetics, Inc.</t>
  </si>
  <si>
    <t>NasdaqGM:FLGT</t>
  </si>
  <si>
    <t>IQTR382674010</t>
  </si>
  <si>
    <t>IQ315621345</t>
  </si>
  <si>
    <t>Fulgent Genetics, Inc., a technology company, focuses on providing genetic testing services to physicians with clinically actionable diagnostic information. The company’s technology platform integrates data comparison and suppression algorithms, learning software, and genetic diagnostics tools and integrated laboratory processes. It primarily serves hospitals and medical institutions. The company was formerly known as Fulgent Diagnostics, Inc. and changed its name to Fulgent Genetics, Inc. in August 2016. Fulgent Genetics, Inc. was founded in 2011 and is headquartered in Temple City, California.</t>
  </si>
  <si>
    <t>NantHealth, Inc.</t>
  </si>
  <si>
    <t>NasdaqGS:NH</t>
  </si>
  <si>
    <t>IQTR334962584</t>
  </si>
  <si>
    <t>IQ222554189</t>
  </si>
  <si>
    <t>NantHealth, Inc. operates as an evidence-based personalized healthcare company. The company engages in converging science and technology through an integrated clinical platform to provide health information at the point of care for critical illnesses. It develops NantHealth solutions, an adaptive learning system, including molecular profiling solution, software, middleware, and hardware systems infrastructure that collects, indexes, analyzes, and interprets various molecular, clinical, operational, and financial data points derived from novel and traditional sources to enhance decision-making. The company’s products include Genomic Proteomic Spectrometry (GPS) Cancer molecular profile that integrates whole genome and transcriptome sequencing, and quantitative proteomics; GPS Cancer Report, a clinical cancer platform; and eviti, a decision support oncology solution. It also develops GPS in rare diseases and chronic illnesses. In addition, the company offers Nant Operating System (NantOS) and NantOS apps that include proprietary methods and algorithms, including patient portal and health heritage NantOS apps, care coordination and real-time connectivity NantOS apps, Provider Portal NantOS App, Care Coordination NantOS App Suite, Referral Management NantOS App, and Secure Messaging NantOS App, as well as cancer genome browser for healthcare providers and payors, self-insured employers, and biopharmaceutical companies. Further, it provides real-time clinical learning NantOS, NantOS Apps, and engagement services comprising outcomes analytics, value monitor NantOS App, population health assessment NantOS App suite, Mission Control patient engagement services, and home health services; and NaviNet Open, a multi-tenant payor portal. The company was formerly known as Nant Health, LLC and changed its name to NantHealth, Inc. in June 2016. The company was founded in 2010 and is headquartered in Culver City, California. NantHealth, Inc. is a subsidiary of NantWorks, LLC.</t>
  </si>
  <si>
    <t>HTG Molecular Diagnostics, Inc.</t>
  </si>
  <si>
    <t>NasdaqCM:HTGM</t>
  </si>
  <si>
    <t>IQTR280838156</t>
  </si>
  <si>
    <t>IQ1519732</t>
  </si>
  <si>
    <t>HTG Molecular Diagnostics, Inc. develops and markets technology platforms that facilitate the routine use of complex molecular profiling. The company’s HTG Edge and HTG EdgeSeq platforms consist of instrumentation, consumables, and software analytics that are used in molecular profiling applications, including tumor profiling, biomarker development and prospectively, and molecular diagnostic testing. The company’s platforms automate the molecular profiling of genes and gene activity using its nuclease protection chemistry on various biological samples. It provides molecular profiling panels targeting late stage drug development programs with potential breakthrough therapies, such as immuno-oncology. HTG Molecular Diagnostics, Inc. distributes its instruments and consumables directly in the United States and Europe; and through distributors or sales agents in parts of Europe and internationally. The company was formerly known as HTG, Inc. and changed its name to HTG Molecular Diagnostics, Inc. in March 2011. HTG Molecular Diagnostics, Inc. was incorporated in 1997 and is based in Tucson, Arizona.</t>
  </si>
  <si>
    <t>Capnia, Inc.</t>
  </si>
  <si>
    <t>NasdaqCM:CAPN</t>
  </si>
  <si>
    <t>IQTR276752870</t>
  </si>
  <si>
    <t>IQ2520553</t>
  </si>
  <si>
    <t>Capnia, Inc. develops and commercializes neonatology devices, diagnostics, and therapeutics platform based on its proprietary technology for precision metering of gas flow primarily in the United States. The company offers CoSense, an end-tidal carbon monoxide monitor, for the diagnosis of excessive hemolysis, a condition in which red blood cells degrade rapidly. It also develops Serenz, a handheld device that delivers non-inhaled carbon dioxide topically to the nasal mucosa for the treatment of symptoms of allergic rhinitis. In addition, the company provides NeoPip T-piece resuscitator and related consumables, which delivers consistent pre-set inspiratory pressure and positive end-expiratory pressures; temperature probes; scales; surgical tables; and patient surfaces for inpatient and ambulatory neonatal markets. Capnia, Inc. was founded in 1999 and is headquartered in Redwood City, California.</t>
  </si>
  <si>
    <t>T2 Biosystems, Inc.</t>
  </si>
  <si>
    <t>NasdaqGM:TTOO</t>
  </si>
  <si>
    <t>IQTR267235469</t>
  </si>
  <si>
    <t>IQ30844795</t>
  </si>
  <si>
    <t>T2 Biosystems, Inc., an in vitro diagnostics company, develops diagnostic products and product candidates in the United States. It provides T2 Magnetic Resonance platform that enables detection of pathogens, biomarkers, and other abnormalities in various unpurified patient sample types, including whole blood, plasma, serum, saliva, sputum, and urine. The company also offers T2Dx, a bench-top instrument for sepsis, Lyme disease, and other applications, as well as T2Candida panel for the detection of candida species in human whole blood specimens. In addition, it is developing T2Bacteria, a multiplex diagnostic panel that detects various bacterial pathogens associated with sepsis; T2Lyme for the detection of various strains of Lyme disease-causing bacteria; and T2Plex, an integrated instrument for hemostasis applications, as well as T2HemoStat panel, a panel of diagnostic tests that can provide data across the hemostasis spectrum, including measurements of fibrinogen, platelet activity, and clot lysis. The company has collaboration agreement with Canon U.S. Life Sciences, Inc. to develop a novel diagnostic test panel to detect Lyme disease, a tick-borne illness; and Allergan Sales, LLC for the direct detection diagnostic test panel that adds additional bacteria species to the existing T2Bacteria product candidate and testing drug resistance directly in whole blood. T2 Biosystems, Inc. was founded in 2006 and is headquartered in Lexington, Massachusetts.</t>
  </si>
  <si>
    <t>Veracyte, Inc. operates as a molecular diagnostics company in the United States. The company uses genomic technology to resolve diagnostic ambiguity. It offers Afirma Thyroid FNA Analysis solution for use in thyroid cancer diagnosis; cytopathology testing services; and the Afirma Malignancy Classifiers to manage thyroid nodule patients. The company’s products also include Percepta Bronchial Genomic Classifier solution for use in lung cancer screening and diagnosis; and Envisia Genomic Classifier solution for idiopathic pulmonary fibrosis. It sells its products through its product specialists, institutional channel managers, account managers, and clinical science specialists. The company was formerly known as Calderome, Inc. and changed its name to Veracyte, Inc. in March 2008. Veracyte, Inc. was incorporated in 2006 and is headquartered in South San Francisco, California.</t>
  </si>
  <si>
    <t>Foundation Medicine, Inc.</t>
  </si>
  <si>
    <t>NasdaqGS:FMI</t>
  </si>
  <si>
    <t>IQTR243766734</t>
  </si>
  <si>
    <t>IQ100846258</t>
  </si>
  <si>
    <t>Foundation Medicine, Inc. provides various molecular information products in the United States. The company’s molecular information platform includes proprietary methods and algorithms to analyze specimens across various types of cancer, as well as for incorporating that information into clinical care; and offers genomic information about each patient’s individual cancer, enabling physicians to optimize treatments in clinical practice and biopharmaceutical companies to develop targeted oncology therapies. It provides clinical products, such as FoundationOne for solid tumors; FoundationOne Heme for blood-based cancers, or hematologic malignancies, including leukemia, lymphoma, and myeloma, as well as sarcomas and pediatric cancers; Foundation Assay for Circulating Tumor; FoundationFocus CDxBRCA, a diagnostic assay to aid in identifying women with ovarian cancer. The company also offers FoundationCORE, a knowledgebase to publish scientific and medical advances, and foster relationships throughout the oncology community. In addition, it has strategic collaboration agreements with WuXi PharmaTech Inc.; F. Hoffmann-La Roche Ltd.; and Genentech, Inc. The company was founded in 2009 and is headquartered in Cambridge, Massachusetts. Foundation Medicine, Inc. is a subsidiary of Roche Holdings, Inc.</t>
  </si>
  <si>
    <t>Intrexon Corporation</t>
  </si>
  <si>
    <t>NYSE:XON</t>
  </si>
  <si>
    <t>IQTR242653724</t>
  </si>
  <si>
    <t>IQ22365961</t>
  </si>
  <si>
    <t>Intrexon Corporation operates in the synthetic biology field in the United States. The company, through a suite of proprietary and complementary technologies, designs, builds, and regulates gene programs, which are DNA sequences that consist of key genetic components. Its technologies include UltraVector gene design and fabrication platform, and its associated library of modular DNA components; Cell Systems Informatics; RheoSwitch inducible gene switch; AttSite Recombinases; Protein Engineering; Laser-Enabled Analysis and Processing; and ActoBiotics platform. It also provides reproductive technologies and other genetic processes to cattle breeders and producers; genetic preservation and cloning technologies; genetically engineered swine for medical and genetic research; biological insect control solutions; technologies for non-browning apple without the use of any flavor-altering chemical or antioxidant additives; commercial aquaculture products; and artwork, children's toys, and novelty goods that are derived from living organisms or enabled by synthetic biology. The company serves health, food, energy, environment, and consumer sectors. Intrexon Corporation has collaboration and license agreements with Ares Trading S.A.; ZIOPHARM Oncology, Inc.; Oragenics, Inc.; Fibrocell Science, Inc.; Genopaver, LLC; S &amp; I Ophthalmic, LLC; OvaXon, LLC; Intrexon Energy Partners, LLC; Persea Bio, LLC; Thrive Agrobiotics, Inc.; Intrexon Energy Partners II, LLC; and others. The company was formerly known as Genomatix Ltd. and changed its name to Intrexon Corporation in 2005. Intrexon Corporation was founded in 1998 and is based in Germantown, Maryland.</t>
  </si>
  <si>
    <t>(Source: Biodesix VS 4/12/17)</t>
  </si>
  <si>
    <t>First Pricing Date</t>
  </si>
  <si>
    <t>Hybrid OPM</t>
  </si>
  <si>
    <t>Hybrid Scenario</t>
  </si>
  <si>
    <t>Probability Weightings (3)</t>
  </si>
  <si>
    <t>Present Value Per Common Stock Share</t>
  </si>
  <si>
    <t>Series B - Value Per Share Calculation</t>
  </si>
  <si>
    <t>Total Value</t>
  </si>
  <si>
    <t>No. of Series B Shares</t>
  </si>
  <si>
    <t>Present Value Per Series B Share</t>
  </si>
  <si>
    <t>Present Value of Equity Value</t>
  </si>
  <si>
    <t>Probability Adjusted Present Value</t>
  </si>
  <si>
    <t>Backsolve &gt;&gt;</t>
  </si>
  <si>
    <t>&lt;&lt;-- Link this to latest series raise</t>
  </si>
  <si>
    <t>Option Pricing Method - Breakpoints &amp; Allocation (Hybrid OPM)</t>
  </si>
  <si>
    <t>Option Pricing Method - Implied Value Per Share (Hybrid OPM)</t>
  </si>
  <si>
    <t>Discount for Lack of Marketability - Option Models (Hybrid OPM)</t>
  </si>
  <si>
    <t>Hybrid DLOM</t>
  </si>
  <si>
    <t>Interpolation - Hybrid DLOM</t>
  </si>
  <si>
    <t>Volatility (Hybrid OPM)</t>
  </si>
  <si>
    <t>Call Options</t>
  </si>
  <si>
    <t>1 to 2</t>
  </si>
  <si>
    <t>2 to 3</t>
  </si>
  <si>
    <t>3 to 4</t>
  </si>
  <si>
    <t>4 to 5</t>
  </si>
  <si>
    <t>5 to 6</t>
  </si>
  <si>
    <t>6 to 7</t>
  </si>
  <si>
    <t>Incremental N(d1)</t>
  </si>
  <si>
    <t>Security Volatility</t>
  </si>
  <si>
    <t>Security</t>
  </si>
  <si>
    <t>Wtd. Avg</t>
  </si>
  <si>
    <t>N(d1)</t>
  </si>
  <si>
    <t>Update based on no. of breakpoints</t>
  </si>
  <si>
    <t>GenSight Biologics S.A.</t>
  </si>
  <si>
    <t>Class Volatility (Hybrid OPM)</t>
  </si>
  <si>
    <t>Reasons (if any)</t>
  </si>
  <si>
    <t>List of Checks</t>
  </si>
  <si>
    <t>Value Check</t>
  </si>
  <si>
    <t>Hist BS</t>
  </si>
  <si>
    <t>Life &gt; &gt;</t>
  </si>
  <si>
    <t>Existing Asset</t>
  </si>
  <si>
    <t>IRC 409A Common Stock Independent Appraisal</t>
  </si>
  <si>
    <t>DO NOT DELETE -&gt;&gt;</t>
  </si>
  <si>
    <t>Check for Balance sheet total match</t>
  </si>
  <si>
    <t>Beta Cal</t>
  </si>
  <si>
    <t>Update this if not taking median</t>
  </si>
  <si>
    <t>OPM Asset Vol Check</t>
  </si>
  <si>
    <t>Asset Vol - Hybrid OPM</t>
  </si>
  <si>
    <t>Hybrid OPM Asset Vol Check</t>
  </si>
  <si>
    <t>All CIQ Checks</t>
  </si>
  <si>
    <t>Difference in CIQ and Manually calculated Ent. Value</t>
  </si>
  <si>
    <t>Discount Factor (1)</t>
  </si>
  <si>
    <t>Time to Exit</t>
  </si>
  <si>
    <t>Additional Time to Cash Flow</t>
  </si>
  <si>
    <t>Duration</t>
  </si>
  <si>
    <t>Less: DLOM</t>
  </si>
  <si>
    <t>IPO Early</t>
  </si>
  <si>
    <t>Remove DLOM for Dissolution Scenarios</t>
  </si>
  <si>
    <t>M&amp;A Early</t>
  </si>
  <si>
    <t>M&amp;A Late</t>
  </si>
  <si>
    <t>Asset Volatility - OPM</t>
  </si>
  <si>
    <t>Asset Volatility - OPM DLOM</t>
  </si>
  <si>
    <t>Discount for Lack of Marketability</t>
  </si>
  <si>
    <t>Interpolation - IPO Early</t>
  </si>
  <si>
    <t>Check for difference in tranche value in OPM1 and value assigned in OPM2</t>
  </si>
  <si>
    <t>Non-Marketable Price Per Share</t>
  </si>
  <si>
    <t>Risk Free Rates</t>
  </si>
  <si>
    <t>Added more RFR calculations for PWERM scenarios and Hybrid OPM/DLOM</t>
  </si>
  <si>
    <t>Class Volatility</t>
  </si>
  <si>
    <t>Added Class Volatility Sheet</t>
  </si>
  <si>
    <t>CapIQ Sheets</t>
  </si>
  <si>
    <t>Updated CapIQ sheets (linked/unlinked) to reflect 8 year equity volatility</t>
  </si>
  <si>
    <t>Updated sheet to reflect 8 year equity volatility</t>
  </si>
  <si>
    <t>Added Hybrid DLOM sheet for all Preferred Series and Common Stock</t>
  </si>
  <si>
    <t>Added Hybrid OPM Sheet and Hybrid OPM 1 and Hybrid OPM 2</t>
  </si>
  <si>
    <t>Added DLOMs for PWERM scenarios</t>
  </si>
  <si>
    <t>Rows 147 - 149</t>
  </si>
  <si>
    <t xml:space="preserve">Added row for DLOM </t>
  </si>
  <si>
    <t>Asset Volatilities</t>
  </si>
  <si>
    <t>Added different Asset Volatility sheets for PWERM scenarios, OPM and DLOM</t>
  </si>
  <si>
    <t>Updated Look up formula in column Q to consider equity volatility for 8 years</t>
  </si>
  <si>
    <t>Refer to examples outside print area below for 2 candidates w/o lag, 2 candidates with lag, and 3 candidates</t>
  </si>
  <si>
    <t>OPM 1</t>
  </si>
  <si>
    <t>Check for difference between allocable value and total value after tranche allocation</t>
  </si>
  <si>
    <t>Asset Vol - DLOM</t>
  </si>
  <si>
    <t>DLOM Asset Vol Check</t>
  </si>
  <si>
    <t>Asset Vol - IPO Late</t>
  </si>
  <si>
    <t>IPO Late Asset Vol Check</t>
  </si>
  <si>
    <t>Value of Hybrid OPM</t>
  </si>
  <si>
    <t>Shares Pre-IPO</t>
  </si>
  <si>
    <t>Gross Proceeds</t>
  </si>
  <si>
    <t>Development Phase</t>
  </si>
  <si>
    <t>Post-IPO Value</t>
  </si>
  <si>
    <t>Kindly update the Revenue, Ebitda, EV details outside print area from CapIQ</t>
  </si>
  <si>
    <t>NasdaqGM:AXSM</t>
  </si>
  <si>
    <t>LTM Revenue</t>
  </si>
  <si>
    <t>LTM EBITDA</t>
  </si>
  <si>
    <t>EV/LTM Revenue</t>
  </si>
  <si>
    <t>EV/LTM EBITDA</t>
  </si>
  <si>
    <t>Straight Line Method</t>
  </si>
  <si>
    <t>MACRS</t>
  </si>
  <si>
    <t>Jounce Therapeutics, Inc., a clinical stage immunotherapy company, focuses on developing therapies that enable the immune system to attack tumors. Its lead product candidate, JTX-2011, is a clinical stage monoclonal antibody that binds to and activates ICOS, a protein on the surface of certain T cells commonly found in various solid tumors. The company is also developing JTX-4014, an anti-PD-1 antibody. Jounce Therapeutics, Inc. has a master research and collaboration agreement with Celgene Corporation focused on developing and commercializing biologic immunotherapies. The company was incorporated in 2012 and is based in Cambridge, Massachusetts.</t>
  </si>
  <si>
    <t>AnaptysBio, Inc., a clinical stage biotechnology company, engages in developing antibody product candidates focused on unmet medical needs in inflammation. The company’s proprietary anti-inflammatory pipeline includes ANB020, an anti-interleukin-33 antibody for the treatment of moderate-to-severe adult atopic dermatitis, severe adult peanut allergy, and severe adult eosinophilic asthma; ANB019, an anti-interleukin-36R antibody for the treatment of rare inflammatory diseases, including generalized pustular psoriasis and palmo-plantar pustular psoriasis; and a portfolio of checkpoint receptor agonist antibodies for the treatment of certain autoimmune diseases. It also has an immuno-oncology partnership with TESARO, Inc. and TESARO Development, Inc. to develop and commercialize an anti-PD-1 antagonist antibody (TSR-042) and an anti-TIM-3 antagonist antibody (TSR-022), which are under clinical development; and an inflammation partnership with Celgene Corporation to develop an anti-PD-1 checkpoint agonist antibody (CC-90006) that is in clinical stage. The company was formerly known as Anaptys Biosciences, Inc. and changed its name to AnaptysBio, Inc. in July 2006. AnaptysBio, Inc. was founded in 2005 and is based in San Diego, California.</t>
  </si>
  <si>
    <t>Ovid Therapeutics Inc.</t>
  </si>
  <si>
    <t>NasdaqGS:OVID</t>
  </si>
  <si>
    <t>IQTR427443869</t>
  </si>
  <si>
    <t>IQ288870432</t>
  </si>
  <si>
    <t>Ovid Therapeutics Inc., a biopharmaceutical company, develops impactful medicines for patients and families with neurological disorders in the United States. The company is developing OV101, a drug candidate that is in Phase II clinical trial for adults with angelman syndrome; and Phase I clinical trial for adolescents with angelman syndrome or fragile X syndrome, as well as in preclinical development stage for pediatrics with angelman syndrome. It is also developing OV935, a drug candidate that is in Phase I trial for rare epileptic encephalopathies; preclinical-stage compounds for rare epilepsy disorders; and OV102, an intravenous formulation for indications in the hospital setting. The company has collaboration agreement with Takeda Pharmaceutical Company Limited. Ovid Therapeutics Inc. was founded in 2014 and is based in New York, New York.</t>
  </si>
  <si>
    <t>Biohaven Pharmaceutical Holding Company Ltd.</t>
  </si>
  <si>
    <t>NYSE:BHVN</t>
  </si>
  <si>
    <t>IQTR427064468</t>
  </si>
  <si>
    <t>Biohaven Pharmaceutical Holding Company Ltd., a clinical-stage biopharmaceutical company, develops product candidates to treat neurological diseases, including rare disorders. Its advanced product candidate includes rimegepant, which is intended to initiate two Phase III clinical trials for the acute treatment of migraine; and trigriluzole, which is in a Phase II/III clinical trial used for the treatment of ataxias with an initial focus on spinocerebellar ataxia. The company also develops BHV-3500 for the prevention of chronic and episodic migraine; BHV-0223 for the treatment of amyotrophic lateral sclerosis, a neurodegenerative disease that affects nerve cells in the brain and spinal cord; and BHV-5000 for the treatment of symptoms associated with Rett syndrome, such as breathing irregularities. Biohaven Pharmaceutical Holding Company Ltd. was founded in 2013 and is based in New Haven, Connecticut. Biohaven Pharmaceutical Holding Company Ltd. is a subsidiary of Portage Biotech Inc.</t>
  </si>
  <si>
    <t>IQ253781980</t>
  </si>
  <si>
    <t>Upfront Value</t>
  </si>
  <si>
    <t>Contingent Payments</t>
  </si>
  <si>
    <t>Updated metrics calcs for Phase II</t>
  </si>
  <si>
    <t>Transactions</t>
  </si>
  <si>
    <t>Updated Exhibits to include upfront and contingent payments and CapIQ sheet as well</t>
  </si>
  <si>
    <t>Checklist</t>
  </si>
  <si>
    <t>Added check for common value conclusion</t>
  </si>
  <si>
    <t>ValSumm</t>
  </si>
  <si>
    <t>Common Concluded Value check</t>
  </si>
  <si>
    <t>Deciphera Pharmaceuticals, Inc.</t>
  </si>
  <si>
    <t>NasdaqGS:DCPH</t>
  </si>
  <si>
    <t>IQTR536237706</t>
  </si>
  <si>
    <t>IQ8221694</t>
  </si>
  <si>
    <t>Deciphera Pharmaceuticals, Inc., a clinical-stage biopharmaceutical company, develops drugs to enhance the lives of cancer patients by addressing key mechanisms of drug resistance that limit the rate and durability of response of various cancer therapies. The company develops DCC-2618, a pan-KIT and pan-PDGFRa inhibitor for the treatment of gastrointestinal stromal tumors, advanced systemic mastocytosis, gliomas, and other solid tumors. It is also developing immunokinase inhibitors comprising DCC-3014 for treatment of solid tumors and hematologic malignancies; and Rebastinib to treat breast cancer, as well as to investigate in combination with chemotherapy and checkpoint inhibitors. The company was founded in 2003 and is headquartered in Waltham, Massachusetts.</t>
  </si>
  <si>
    <t>Krystal Biotech, Inc.</t>
  </si>
  <si>
    <t>NasdaqCM:KRYS</t>
  </si>
  <si>
    <t>IQTR534966200</t>
  </si>
  <si>
    <t>IQ534062888</t>
  </si>
  <si>
    <t>Krystal Biotech, Inc., a gene therapy company, develops and commercializes pharmaceutical products for patients suffering from dermatological diseases. The company’s lead product candidate includes KB103, which is in preclinical studies to treat dystrophic epidermolysis bullosa, a genetic disease. It also develops KB104 that is in preclinical studies to treat Netherton syndrome, a severe form of ichthyosis, which is a family of genetic skin disorders. The company was formerly known as Krystal Biotech, LLC and changed its name to Krystal Biotech, Inc. in March 2017. Krystal Biotech, Inc. was founded in 2015 and is based in Pittsburgh, Pennsylvania.</t>
  </si>
  <si>
    <t>Mersana Therapeutics, Inc.</t>
  </si>
  <si>
    <t>NasdaqGS:MRSN</t>
  </si>
  <si>
    <t>IQTR432836998</t>
  </si>
  <si>
    <t>IQ1623526</t>
  </si>
  <si>
    <t>Mersana Therapeutics, Inc. is a biotechnology company that discovers, engineers, and develops antibody drug conjugates to cure various cancers. The company develops immune conjugate therapies to create drugs that enhance patients’ lives. It offers XMT-1522, a drug therapy for tumor models that express relatively low amounts of the HER2 protein; and human anti-HER2 antibody used in XMT-1522. Mersana Therapeutics, Inc. has strategic alliances with Takeda Pharmaceutical Company Limited; Merck Serono; and Asana BioSciences. The company was formerly known as Nanopharma Corp. and changed its name to Mersana Therapeutics, Inc. in November 2005. Mersana Therapeutics, Inc. was founded in 2001 and is based in Cambridge, Massachusetts.</t>
  </si>
  <si>
    <t>G1 Therapeutics, Inc.</t>
  </si>
  <si>
    <t>NasdaqGS:GTHX</t>
  </si>
  <si>
    <t>IQTR427746064</t>
  </si>
  <si>
    <t>IQ141112421</t>
  </si>
  <si>
    <t>G1 Therapeutics, Inc., a clinical-stage biopharmaceutical company, focuses on the discovery and development of novel therapeutics for the treatment of cancer in the United States. It is developing trilaciclib, an intravenous cyclin-dependent kinases (CDK) 4/6 inhibitor that is in Phase Ib/IIa clinical trials for patients with small cell lung cancer, as well as Phase II clinical trial for patients with triple-negative breast cancer; G1T38, an oral CDK4/6 inhibitor that is Phase I/II clinical trial for the treatment of breast cancer; and G1T48, an oral selective estrogen receptor degrader that is in preclinical development stage. The company was founded in 2008 and is headquartered in Research Triangle Park, North Carolina.</t>
  </si>
  <si>
    <t>Arsanis, Inc.</t>
  </si>
  <si>
    <t>NasdaqGM:ASNS</t>
  </si>
  <si>
    <t>IQTR541132486</t>
  </si>
  <si>
    <t>IQ113807139</t>
  </si>
  <si>
    <t>Arsanis, Inc., a clinical-stage biopharmaceutical company, focuses on applying monoclonal antibody (mAb) immunotherapies to address serious infectious diseases. Its lead product candidate is ASN100, a first-in-class mAb therapeutic in Phase II clinical development for the prevention of staphylococcus aureus pneumonia. The company’s preclinical pipeline comprises mAbs targeting multiple serious bacterial and viral pathogens, including respiratory syncytial virus. Arsanis, Inc. was founded in 2010 and is headquartered in Waltham, Massachusetts.</t>
  </si>
  <si>
    <t xml:space="preserve"> -   </t>
  </si>
  <si>
    <t>InflaRx N.V.</t>
  </si>
  <si>
    <t>NasdaqGS:IFRX</t>
  </si>
  <si>
    <t>IQTR540630710</t>
  </si>
  <si>
    <t>IQ42434000</t>
  </si>
  <si>
    <t>InflaRx GmbH, a clinical-stage biopharmaceutical company, focuses on discovering and developing inhibitors using C5a technology in the United States. Its C5a is an inflammatory mediator involved in the enhancement of a variety of autoimmune and other inflammatory diseases. The company is involved developing IFX-1, a novel intravenously delivered first-in-class anti-C5a monoclonal antibody for the treatment of hidradenitis suppurativa, a rare and chronic debilitating systemic inflammatory skin disease; ANCA-associated vasculitis, a rare and life-threatening autoimmune disease; and other chronic/autoimmune diseases, as well as IFX-2 for the treatment of chronic inflammation and autoimmune diseases. It has co-development agreement with Beijing Defengrei Biotechnology Co. Ltd. The company was founded in 2007 and is headquartered in Jena, Germany.</t>
  </si>
  <si>
    <t>Apellis Pharmaceuticals, Inc.</t>
  </si>
  <si>
    <t>NasdaqGS:APLS</t>
  </si>
  <si>
    <t>IQTR540638771</t>
  </si>
  <si>
    <t>IQ106524288</t>
  </si>
  <si>
    <t>Apellis Pharmaceuticals, Inc., a clinical-stage biopharmaceutical company, focuses on the discovery and development of therapeutic compounds for autoimmune and inflammatory diseases. Its lead product candidates include APL-2 and APL-1, to treat paroxysmal nocturnal hemoglobinuria, geographic atrophy, intermediate age-related macular degeneration, and chronic obstructive pulmonary disease. The company develops APL-2 for subcutaneous injection, which is an injection into the tissue under the skin, and for intravitreal injection that is an injection into the eye, as well as APL-1 for inhaled administration. Apellis Pharmaceuticals, Inc. was founded in 2009 and is based in Crestwood, Kentucky.</t>
  </si>
  <si>
    <t>Sienna Biopharmaceuticals, Inc.</t>
  </si>
  <si>
    <t>NasdaqGS:SNNA</t>
  </si>
  <si>
    <t>IQTR529222527</t>
  </si>
  <si>
    <t>Sienna Biopharmaceuticals, Inc., a clinical-stage biopharmaceutical company, discovers, develops, and commercializes topical products for medical dermatology and aesthetics markets in North America. The company’s lead product candidates include SNA-120, a TrkA inhibitor, which is in Phase 2b clinical development for the treatment of pruritus, itch, and neurogenic inflammation associated with psoriasis; and SNA-125, a dual JAK3/TrkA inhibitor that is in pre-clinical study for the treatment of atopic dermatitis, psoriasis, and pruritus. It also develops SNA-001, a photoparticle therapy, which is in pivotal clinical trials for the treatment of acne vulgaris and the reduction of unwanted light-pigmented hair. The company was formerly known as Sienna Labs, Inc. and changed its name to Sienna Biopharmaceuticals, Inc. in February 2016. Sienna Biopharmaceuticals, Inc. was founded in 2010 and is headquartered in Westlake Village, California.</t>
  </si>
  <si>
    <t>Aileron Therapeutics, Inc.</t>
  </si>
  <si>
    <t>NasdaqGM:ALRN</t>
  </si>
  <si>
    <t>IQTR432976538</t>
  </si>
  <si>
    <t>Aileron Therapeutics, Inc., a clinical-stage biopharmaceutical company, engages in developing and commercializing a novel class of therapeutics in the United States. The company’s lead product includes ALRN-6924, a stapled peptide that in Phase I clinical trial for the treatment of advanced solid tumors or lymphomas; Phase IIa clinical trial for the treatment of peripheral T-cell lymphoma; Phase I clinical trial for the treatment of acute myeloid leukemia (AML) and advanced myelodysplastic syndrome (MDS); and Phase II b trial for the treatment of AML/MDS in combination with cytosine arabinoside. It is also developing next generation wild type p53 reactivator that is in preclinical stage for the treatment of solid and liquid tumors. The company was formerly known as Renegade Therapeutics, Inc. and changed its name to Aileron Therapeutics, Inc. in February 2007. Aileron Therapeutics, Inc. was founded in 2001 and is based in Cambridge, Massachusetts.</t>
  </si>
  <si>
    <t>Avenue Therapeutics, Inc.</t>
  </si>
  <si>
    <t>NasdaqCM:ATXI</t>
  </si>
  <si>
    <t>IQTR429154251</t>
  </si>
  <si>
    <t>IQ310815442</t>
  </si>
  <si>
    <t>Avenue Therapeutics, Inc., a specialty pharmaceutical company, acquires, licenses, develops, and commercializes an intravenous formulation of tramadol HCI principally for use in the acute/intensive care hospital setting. Its product candidate is IV Tramadol for the treatment of post-operative pain. The company was founded in 2015 and is based in New York, New York. Avenue Therapeutics, Inc. is a subsidiary of Fortress Biotech, Inc.</t>
  </si>
  <si>
    <t>Rhythm Pharmaceuticals, Inc.</t>
  </si>
  <si>
    <t>NasdaqGM:RYTM</t>
  </si>
  <si>
    <t>IQTR537128527</t>
  </si>
  <si>
    <t>IQ309184792</t>
  </si>
  <si>
    <t>Rhythm Pharmaceuticals, Inc., a biopharmaceutical company, develops and commercializes peptide therapeutics for the treatment of rare genetic disorders of obesity in the United States. Its lead product candidate is Setmelanotide, a melanocortin-4 receptor agonist that is in Phase III clinical trials for treating POMC deficiency obesity and leptin receptor deficiency obesity; and Phase II clinical trials for treating Bardet-Biedl syndrome, Alström syndrome, POMC heterozygous deficiency obesity, and POMC epigenetic disorders. The company was formerly known as Rhythm Metabolic, Inc. and changed its name to Rhythm Pharmaceuticals, Inc. in October 2015. Rhythm Pharmaceuticals, Inc. was founded in 2008 and is based in Boston, Massachusetts. Rhythm Pharmaceuticals, Inc. is a subsidiary of Motus Therapeutics, Inc.</t>
  </si>
  <si>
    <t>Kala Pharmaceuticals, Inc.</t>
  </si>
  <si>
    <t>NasdaqGS:KALA</t>
  </si>
  <si>
    <t>IQTR435392692</t>
  </si>
  <si>
    <t>Kala Pharmaceuticals, Inc., a biopharmaceutical company, focuses on the development and commercialization of therapies using its proprietary nanoparticle-based Mucus Penetrating Particles technology. The company’s product candidates include KPI-121 1.0%, which has completed Phase 3 clinical trials for the treatment of inflammation and pain following ocular surgery; and KPI-121 0.25% that is in Phase 3 clinical trials for the temporary relief of the signs and symptoms of dry eye disease. It also develops KPI-285, a receptor kinase inhibitor, which is in preclinical studies for the treatment of various retinal diseases. The company was formerly known as Hanes Newco, Inc. and changed its name to Kala Pharmaceuticals, Inc. in December 2009. Kala Pharmaceuticals, Inc. was founded in 2009 and is headquartered in Waltham, Massachusetts.</t>
  </si>
  <si>
    <t>Dova Pharmaceuticals, Inc.</t>
  </si>
  <si>
    <t>NasdaqGM:DOVA</t>
  </si>
  <si>
    <t>IQTR432976288</t>
  </si>
  <si>
    <t>IQ402827501</t>
  </si>
  <si>
    <t>Dova Pharmaceuticals, Inc., a pharmaceutical company, focuses on acquiring, developing, and commercializing drug candidates for thrombocytopenia diseases. Its drug candidate includes avatrombopag, an orally administered thrombopoietin receptor agonist that has completed Phase III clinical trials for the treatment of thrombocytopenia in patients with chronic liver diseases. The company was founded in 2016 and is based in Durham, North Carolina.</t>
  </si>
  <si>
    <t>Athenex, Inc.</t>
  </si>
  <si>
    <t>NasdaqGS:ATNX</t>
  </si>
  <si>
    <t>IQTR430744691</t>
  </si>
  <si>
    <t>IQ23828956</t>
  </si>
  <si>
    <t>Athenex, Inc., a biopharmaceutical company, engages in the discovery, development, and commercialization of therapies for the treatment of cancer. Its Orascovery product candidates include Oraxol, an oral dosage form, which is in a Phase III trial in metastatic breast cancer for the treatment of advanced gastric cancer; Oratecan, an anticancer agent that is in a Phase 1 study for the treatment of colorectal, lung, ovarian, cervical, pancreatic, upper gastrointestinal, and brain cancer; Oradoxel, an anticancer agent, which is in a Phase 1 clinical study in the treatment of breast, prostate, gastric, head and neck, and lung cancer; and Oratopo, an anticancer for the treatment of cervical, ovarian ,and lung cancer. The company also develops KX-01, a compound, which is in Phase 3 study for the treatment of for actinic keratosis; and KX-02 for the treatment of gliomas. The company was formerly known as Kinex Pharmaceuticals LLC and changed its name to Athenex, Inc. in August 2015. Athenex, Inc. was founded in 2003 and is based in Buffalo, New York.</t>
  </si>
  <si>
    <t>Data Source fromTranslateBio VD 12/13/17</t>
  </si>
  <si>
    <t>Updated IPO Biopharma sheet and metrics' formula</t>
  </si>
  <si>
    <t>IPO Biopharma</t>
  </si>
  <si>
    <t>Switch for Quartiles</t>
  </si>
  <si>
    <t>Denali Therapeutics Inc.</t>
  </si>
  <si>
    <t>NasdaqGS:DNLI</t>
  </si>
  <si>
    <t>IQTR543594545</t>
  </si>
  <si>
    <t>IQ301283598</t>
  </si>
  <si>
    <t>Denali Therapeutics Inc., a biopharmaceutical company, engages in discovering and developing therapeutics for neurodegenerative diseases in the United States. The company’s lead LRRK2 product candidates includes the DNL201, a small molecule inhibitor that is in Phase I clinical trials, as well as DNL151, a small molecule inhibitor, which is in preclinical development stage for the treatment of Parkinson’s disease. It is also developing therapeutics for the treatment of Parkinson’s, dementia with Lewy bodies, and multiple system atrophy; amyotrophic lateral sclerosis; and mucopolysaccharidosis type II patients. The company was formerly known as SPR Pharma Inc. and changed its name to Denali Therapeutics Inc. in March 2015. Denali Therapeutics Inc. was incorporated in 2013 and is headquartered in South San Francisco, California.</t>
  </si>
  <si>
    <t>Odonate Therapeutics, Inc.</t>
  </si>
  <si>
    <t>NasdaqGS:ODT</t>
  </si>
  <si>
    <t>IQTR543593762</t>
  </si>
  <si>
    <t>IQ541399578</t>
  </si>
  <si>
    <t>Odonate Therapeutics, Inc., a pharmaceutical company, develops therapeutics to enhance the lives of patients with cancer in the United States. It is developing Tesetaxel, a novel chemotherapy agent that has completed Phase II clinical trials for patients with advanced or metastatic breast cancer. The company was founded in 2013 and is based in San Diego, California.</t>
  </si>
  <si>
    <t>Spero Therapeutics, Inc.</t>
  </si>
  <si>
    <t>NasdaqGS:SPRO</t>
  </si>
  <si>
    <t>IQTR539897682</t>
  </si>
  <si>
    <t>IQ240573619</t>
  </si>
  <si>
    <t>Spero Therapeutics, Inc., a clinical-stage biopharmaceutical company, focuses on identifying, developing, and commercializing novel treatments for multi-drug resistant (MDR) bacterial infections in the United States. It is developing SPR994, an oral carbapenem-class antibiotic for use in adults to treat MDR gram-negative infections; SPR741 that has completed Phase I clinical trial to treat MDR gram-negative infections in the hospital setting; SPR206, an agent that is in preclinical development stage to disrupt the outer membrane of gram-negative bacteria; and SPR720, an oral antibiotic that is in preclinical development stage for the treatment of pulmonary non-tuberculous mycobacterial infections. The company was founded in 2013 and is headquartered in Cambridge, Massachusetts.</t>
  </si>
  <si>
    <t>Nightstar Therapeutics Plc</t>
  </si>
  <si>
    <t>NasdaqGS:NITE</t>
  </si>
  <si>
    <t>IQTR536125357</t>
  </si>
  <si>
    <t>IQ270062348</t>
  </si>
  <si>
    <t>Nightstar Therapeutics Limited, a clinical-stage gene therapy company, focuses on developing and commercializing novel one-time treatments for patients suffering from rare inherited retinal diseases. The company’s lead product candidate includes NSR-REP1 that has completed Phase 1/2 clinical trial for the treatment of patients with choroideremia. It is also developing NSR-RPGR that is in Phase 1/2 clinical trial for the treatment of patients with X-linked retinitis pigmentosa, an inherited X-linked recessive retinal disease; and NSR-BEST1, which is in preclinical development for the treatment of Best vitelliform macular dystrophy. The company has a collaboration agreement with University of Oxford for the assistance in conducting clinical trials with its retinal gene therapy candidates; and Preceyes B.V. for the development of a high-precision drug delivery technology in the eye. The company was founded in 2013 and is headquartered in London, the United Kingdom.</t>
  </si>
  <si>
    <t>Zymeworks Inc.</t>
  </si>
  <si>
    <t>TSX:ZYME</t>
  </si>
  <si>
    <t>IQTR426421320</t>
  </si>
  <si>
    <t>IQ43279463</t>
  </si>
  <si>
    <t>Zymeworks Inc., a clinical-stage biopharmaceutical company, engages in the discovery, development, and commercialization of bio-therapeutics for the treatment of cancer in Canada. The company’s lead product candidate include ZW25, a novel bispecific antibody that is in Phase I clinical trial for the treatment of breast, gastric, and ovarian cancers. It is also developing ZW33, a bispecific anti-human epidermal growth factor receptor 2 antibody-drug conjugate that is in preclinical development stage for the treatment of breast and ovarian cancers. The company has strategic partnerships with Merck Sharp &amp; Dohme Research Ltd., Eli Lilly and Company, Celgene Corporation and Celgene Alpine Investment Co. LLC, GlaxoSmithKline Intellectual Property Development Limited, and Daiichi Sankyo Co., Ltd. Zymeworks Inc. was founded in 2003 and is headquartered in Vancouver, Canada.</t>
  </si>
  <si>
    <t>Allena Pharmaceuticals, Inc.</t>
  </si>
  <si>
    <t>NasdaqGS:ALNA</t>
  </si>
  <si>
    <t>IQTR539897184</t>
  </si>
  <si>
    <t>IQ143094845</t>
  </si>
  <si>
    <t>Allena Pharmaceuticals, Inc., a late-stage clinical biopharmaceutical company, engages in developing and commercializing oral enzyme therapeutics to treat patients with rare and severe metabolic, and kidney disorders in the United States. The company’s lead product candidate includes ALLN-177, an oral enzyme therapeutic for the treatment of enteric hyperoxaluria, a metabolic disorder commonly associated with kidney stones in adults. It is also involved in developing ALLN-346 for patients with hyperuricemia and moderate to severe chronic kidney diseases. The company was incorporated in 2011 and is headquartered in Newton, Massachusetts.</t>
  </si>
  <si>
    <t>Clementia Pharmaceuticals Inc.</t>
  </si>
  <si>
    <t>NasdaqGS:CMTA</t>
  </si>
  <si>
    <t>IQTR528893150</t>
  </si>
  <si>
    <t>IQ253931396</t>
  </si>
  <si>
    <t>Clementia Pharmaceuticals Inc., a clinical stage biopharmaceutical company, develops disease-modifying treatments for patients suffering from debilitating bone and other diseases. Its lead product candidate is palovarotene, an oral small molecule that binds and activates retinoic acid receptor gamma, and prevents abnormal new bone formation, as well as scar tissue formation in various tissues in animal models. The company is developing palovarotene for the treatment of fibrodysplasia ossificans progressiva and multiple osteochondroma, as well as has one Phase III and Phase II/III trials for two separate indications. Clementia Pharmaceuticals Inc. was founded in 2010 and is based in Montreal, Canada.</t>
  </si>
  <si>
    <t>IQ21766697</t>
  </si>
  <si>
    <t>Urogen Pharma Ltd.</t>
  </si>
  <si>
    <t>NasdaqGM:URGN</t>
  </si>
  <si>
    <t>IQTR427059627</t>
  </si>
  <si>
    <t>IQ240702165</t>
  </si>
  <si>
    <t>UroGen Pharma Ltd., a clinical stage biopharmaceutical company, focuses on developing therapies for urological pathologies. Its lead product candidates, MitoGel and VesiGel are formulations of the chemotherapy drug Mitomycin C, a generic drug which is currently used off-label for urothelial cancer treatment only in a water-based formulation as an adjuvant, or supplemental post-surgery, therapy. The company is developing its product candidates as chemoablation agents, which are designed to remove tumors by non-surgical means, to treat several forms of non-muscle invasive urothelial cancer, including low-grade upper tract urothelial carcinoma, and low-grade bladder cancer. UroGen Pharma Ltd. was incorporated in 2004 and is headquartered in Ra’anana, Israel.</t>
  </si>
  <si>
    <t>Phase III, NDA Filed and Marketed</t>
  </si>
  <si>
    <t>scPharmaceuticals Inc.</t>
  </si>
  <si>
    <t>NasdaqGS:SCPH</t>
  </si>
  <si>
    <t>IQTR541328196</t>
  </si>
  <si>
    <t>IQ247375245</t>
  </si>
  <si>
    <t>NuCana plc</t>
  </si>
  <si>
    <t>NasdaqGS:NCNA</t>
  </si>
  <si>
    <t>IQTR536245896</t>
  </si>
  <si>
    <t>IQ50918463</t>
  </si>
  <si>
    <t>NuCana plc, a biopharmaceutical company, engages in the development of products for the treatment of cancer. The company is developing Acelarin that is in Phase I clinical trials for the treatment of advanced metastatic solid tumors; that is in Phase Ib clinical trials for the treatment of recurrent ovarian cancer; in Phase II clinical trials for the treatment of patients with platinum-resistant ovarian cancer; and in Phase Ib clinical trials for the treatment of patients with biliary cancer. The company is also developing NUC-3373, which is in Phase I clinical trials for the treatment of patients with advanced solid tumors, as well as for the treatment of colorectal and breast cancer; and NUC-7738, a nucleoside analog that is in preclinical studies for the treatment of solid tumors and hematology. It has a research, collaboration, and license agreement with Cardiff University and University College Cardiff Consultants Ltd; and an assignment, license, and collaboration agreement with Cardiff ProTides Ltd. The company was formerly known as NuCana BioMed Limited and changed its name to NuCana plc in August 2017. The company was incorporated in 1997 and is headquartered in Edinburgh, the United Kingdom.</t>
  </si>
  <si>
    <t>Zai Lab Limited</t>
  </si>
  <si>
    <t>NasdaqGM:ZLAB</t>
  </si>
  <si>
    <t>IQTR534418027</t>
  </si>
  <si>
    <t>IQ271123063</t>
  </si>
  <si>
    <t>Zai Lab Limited, a biopharmaceutical company, engages in discovering or licensing, developing, and commercializing proprietary therapeutics for oncology, and autoimmune and infectious disease therapies in China. Its drug candidates include ZL-2306, a poly ADP ribose polymerase 1/2 inhibitor for the treatment of ovarian, breast, and lung cancers; ZL-2401, an antibiotic for the treatment of acute bacterial skin/skin structure infections, community-acquired bacterial pneumonias, and urinary tract infections; ZL-2301 that is Phase II clinical trial for the treatment of hepatocellular carcinoma; ZL-3101, a novel steroid-sparing topical product that is in Phase II clinical trial for the treatment of eczema and psoriasis; ZL-2302 for the treatment of non-small cell lung cancer; and ZL-1101, an anti-OX40 antagonistic antibody for the treatment of graft-versus-host disease or systemic lupus erythematosus. The company was founded in 2013 and is headquartered in Shanghai, China.</t>
  </si>
  <si>
    <t>Akcea Therapeutics, Inc.</t>
  </si>
  <si>
    <t>NasdaqGS:AKCA</t>
  </si>
  <si>
    <t>IQTR424659349</t>
  </si>
  <si>
    <t>IQ306140818</t>
  </si>
  <si>
    <t>Akcea Therapeutics Inc., a late-stage biopharmaceutical company, focuses on developing and commercializing drugs to treat patients with cardiometabolic diseases caused by lipid disorders in the United States and internationally. It develops Volanesorsen, which has completed Phase 3 clinical study for the treatment of familial chylomicronemia syndrome; and that is in Phase 3 clinical study for the treatment of familial partial lipodystrophy. The company also develops AKCEA-APO(a)-LRx, which has completed Phase 2b clinical study for treating patients suffering with hyperlipoproteinemia; AKCEA-ANGPTL3-LRx that has completed Phase 1/2 clinical study for the treatment of multiple lipid disorders; and AKCEA-APOCIII-LRx, which is in Phase 1/2 study for the treatment of cardiovascular disease driven by high triglycerides. It has strategic collaboration with Novartis Pharma AG. The company was incorporated in 2014 and is headquartered in Cambridge, Massachusetts. Akcea Therapeutics Inc. is a subsidiary of Ionis Pharmaceuticals, Inc.</t>
  </si>
  <si>
    <t>Added header in cell X7 of all asset volatility sheets</t>
  </si>
  <si>
    <t>Added checks for enterprise value in all asset volatility sheets</t>
  </si>
  <si>
    <t>Sum of N(d1) should be 1</t>
  </si>
  <si>
    <t>&lt;- Check</t>
  </si>
  <si>
    <t>Backsolve</t>
  </si>
  <si>
    <t>Hybrid OPM Backsolve</t>
  </si>
  <si>
    <t xml:space="preserve">Comparable Indication/Technology </t>
  </si>
  <si>
    <t>Phase of the Comparable Product</t>
  </si>
  <si>
    <t>Comp.1 and Trans. 1</t>
  </si>
  <si>
    <t>Added columns for comparable technology and Phases</t>
  </si>
  <si>
    <t>Checks &gt;&gt;</t>
  </si>
  <si>
    <t>Added Class Volatility checks</t>
  </si>
  <si>
    <t>Added check for Hybrid OPM backsolve</t>
  </si>
  <si>
    <t>WACC</t>
  </si>
  <si>
    <t>Updated D&amp;P studies for 2018</t>
  </si>
  <si>
    <t xml:space="preserve"> Year - 2018</t>
  </si>
  <si>
    <t>Based on the Duff &amp; Phelps 2018 Valuation Handbook.</t>
  </si>
  <si>
    <t>Based on the Duff &amp; Phelps 2018 Valuation Handbook - 10th decile companies.</t>
  </si>
  <si>
    <t>Manan</t>
  </si>
  <si>
    <t>Total Shares Outstanding / Converted to Common Stock</t>
  </si>
  <si>
    <t>Breakpoint Value</t>
  </si>
  <si>
    <t>Total Allocation</t>
  </si>
  <si>
    <t>Total Tranche Value</t>
  </si>
  <si>
    <t>Label changes to cells E7, B34, B81, B85, B138, B168</t>
  </si>
  <si>
    <t>Added upper border to the breakpoint value calculations</t>
  </si>
  <si>
    <t>OPM 1 Hybrid</t>
  </si>
  <si>
    <t>Row 85</t>
  </si>
  <si>
    <t>Added Upper border to the Total Liabilities &amp; Shareholder's Equity calculation</t>
  </si>
  <si>
    <t>Row 56</t>
  </si>
  <si>
    <t>Added outliers in the formulas for Stock Price, Market Cap and Enterprise Value</t>
  </si>
  <si>
    <t>X11 to Z37</t>
  </si>
  <si>
    <t>WACC PWERM</t>
  </si>
  <si>
    <t>Updated format of cells F15 and F17</t>
  </si>
  <si>
    <t>Updated format for calculations in Row 11 and Row 15</t>
  </si>
  <si>
    <t>Removed Extra space (row) below Footnote.</t>
  </si>
  <si>
    <t>Cap Table</t>
  </si>
  <si>
    <t>The Total for Common Options/Warrants and Preferred Warrants were made bold.</t>
  </si>
  <si>
    <t>Font color updated for Values and Shares columns.</t>
  </si>
  <si>
    <t>OPM 2 (Hybrid)</t>
  </si>
  <si>
    <t>Kritika</t>
  </si>
  <si>
    <t>Hybrid Method</t>
  </si>
  <si>
    <t>Latest Pref Series</t>
  </si>
  <si>
    <t>Val Summ</t>
  </si>
  <si>
    <t>Added Hybrid Method conclusions in off-print, added latest pref value conclusions from all three methods in off-print</t>
  </si>
  <si>
    <t>Removed additional term and updated PV factor calculations</t>
  </si>
  <si>
    <t>Exit Prob</t>
  </si>
  <si>
    <t>Cell B58 bold</t>
  </si>
  <si>
    <t>Based on discussions with Management</t>
  </si>
  <si>
    <t>Backsolved based on latest round of financing</t>
  </si>
  <si>
    <t>Updated format of cells E7:E13</t>
  </si>
  <si>
    <t>Updated RFR reference</t>
  </si>
  <si>
    <t>Tranche Ownership Percentage</t>
  </si>
  <si>
    <t>Total Tranche Ownership Percentage</t>
  </si>
  <si>
    <t>Incremental Value (Difference between Breakpoints)</t>
  </si>
  <si>
    <t>Incremental Value Allocation</t>
  </si>
  <si>
    <t>Price per Share at Each Breakpoint</t>
  </si>
  <si>
    <t>Off-print area; per share checks added, allocation % moved inside print area and labels updated based on Jeff's comments</t>
  </si>
  <si>
    <t>Hist IS</t>
  </si>
  <si>
    <t>Border removed from cells B9:C9</t>
  </si>
  <si>
    <t>Updated border format in line with common size</t>
  </si>
  <si>
    <t xml:space="preserve">General </t>
  </si>
  <si>
    <t>Couple of FN references across sheets</t>
  </si>
  <si>
    <t>Added additional term reference</t>
  </si>
  <si>
    <t>For certain Guideline Public Companies that were not public beyond the selected period, no historical volatility is available for the selected term. As such, we considered the latest available historical volatility for the purposes of this analysis. These companies are highlighted in gray.</t>
  </si>
  <si>
    <t>For certain Guideline Public Companies, equity volatility was not meaningful since they were listed less than a year before the Valuation Date (highlighted in blue and marked as "NM"). We have not considered these Guideline Public Companies for the purposes of calculating volatilities.</t>
  </si>
  <si>
    <t>Price Per Share at Each Breakpoint</t>
  </si>
  <si>
    <t>Hybrid OPM 1</t>
  </si>
  <si>
    <t>Same edits as above</t>
  </si>
  <si>
    <t>IPO Biopharma_Old</t>
  </si>
  <si>
    <t>Deleted this tab</t>
  </si>
  <si>
    <t>Added footnotes #3 and #4</t>
  </si>
  <si>
    <t>Longstaff Lookback Put Analysis</t>
  </si>
  <si>
    <t>Put Value (i)</t>
  </si>
  <si>
    <t>Calculated DLOM (ii) = (i) / (1 + i )</t>
  </si>
  <si>
    <t>Rows 53-66</t>
  </si>
  <si>
    <t>Added Longstaff DLOM formula</t>
  </si>
  <si>
    <t>Updated alignment for the headers</t>
  </si>
  <si>
    <t>Added the Exit Type list in the off-print section for the drill down below the PWERM scenarios.</t>
  </si>
  <si>
    <t>AwABTANVU0QBSP////8BRpkOAAA8Q0lRLk5BU0RBUUdTOkFOQUIuSVFfRUJJVERBX0VTVC5DWTIwMjAuNy8xNi8yMDE4LkNPTi5GLlVTRC5IAQAAACFMsgEDAAAAAADE/xsRNQnWCMKbYhI1CdYIIENJUS5JUTYwNTA0Mjg0LklRX0NPTVBBTllfVElDS0VSAQAAANw4mwMDAAAADU5hc2RhcUdTOkNUTVgADG0QDjUJ1gihKZEONQnWCClDSVEuSVFUUjQyMjg4NzcwMS5JUV9UUl9JTVBMSUVEX0VRX05JX0xUTQEAAAAVwTQZAwAAAAJOTQAMbRAONQnWCMDbgg41CdYIJ0NJUS5OQVNEQVFDTTpTUk5FLklRX1BFUklPRERBVEVfSVMuMTAwMAEAAABJQ5QDBQAAAAoxMi8zMS8yMDE3ANaMETgICdYIcySdbzQJ1ggsQ0lRLklRVFI1MzU3MTk5OTguSVFfVFJfVE9UQUxfR1JPU1NfVFYuVVNELkgFAAAAAAAAAAgAAAAaKEludmFsaWQgQ3VycmVuY3kgUmVxdWVzdClJU0dvNAnWCIH9lW80CdYIMENJUS5JUVRSNTM1NzE5OTk4LklRX1RSX1RBUkdFVF9FQklUREFfRVNULi5VU0QuSAEAAAA+cO4fAgAAAAQtNDAyALKzSW80CdYIgf2VbzQJ1gglQ0lRLklRVFIzMTIxMjI1MDQuSVFfUFJJTUFSWV9JTkRVU1RSWQEAAAC0iTgMAwAAAA1CaW90ZWNobm9sb2d5AAxtEA41CdYIwNuCDjUJ1gg9Q0lRLk5BU0RBUUdTOkFUTlguSVFfUkVWRU5VRV9FU1QuQ1kyMDE4LjcvMzEvMjAxOC5DT04uRi5VU0QuSAEAAADcmWsBAgAAAAkx</t>
  </si>
  <si>
    <t>MTIuMDg3NzcBDgAAAAUAAAACMTEBAAAAATACAAAACjEwMDM3NzgzNjQDAAAABjEwMDE4MAQAAAABMgYAAAABMAcAAAADMTYwCAAAAAEwCQAAAAExCgAAAAEwCwAAAAsxMTAwMTk1NDUxMgwAAAABNw0AAAAIOC8xLzIwMTgQAAAACTcvMzEvMjAxONaMETgICdYIJMKabzQJ1ggtQ0lRLk5BU0RBUUdTOlRTUk8uSVFfTUFSS0VUQ0FQLjUvNS8yMDE3LlVTRC5IAQAAAGjWWAYCAAAACzc4MDguMjQ4MjY4AQYAAAAFAAAAATEBAAAACjE4Mjk5ODg1NDEDAAAAAzE2MAIAAAAGMTAwMDU0BAAAAAEwBwAAAAg1LzUvMjAxN5wL1TgICdYIJMKabzQJ1ghGQ0lRLk5BU0RBUUdNOkFSUUwuSVFfVE9UQUxfUkVWXzNZUl9BTk5fQ0FHUi4yMDAwLjcvMzEvMjAxOC5MRlIuRi5VU0QuSAEAAAD2YQAAAgAAAAgtMjguNTg4OQEIAAAABQAAAAExAQAAAAoxODg4Nzg4NzcwAwAAAAMxNjACAAAABDQyMjAEAAAAATAHAAAACTcvMzEvMjAxOAgAAAAJMy8zMS8yMDE4CQAAAAEw1owROAgJ1gjDhp9vNAnWCD9DSVEuTkFTREFRR006QVJSWS5JUV9ORVRfV09SS0lOR19DQVAuMTk5Mi43LzMxLzIwMTguTEZSLkYuVVNELkgBAAAA+GEAAAIAAAAGMTAuMTg5AQgAAAAFAAAAATEBAAAACjE4NDEwOTUwMjYDAAAAAzE2MAIAAAAEMTMxMQQAAAABMAcAAAAJNy8zMS8yMDE4CAAAAAkzLzMxLzIwMTYJAAAAATCcC9U4CAnWCNRfmG80CdYINkNJ</t>
  </si>
  <si>
    <t>US5OQVNEQVFHUzpHVEhYLklRX0VCSVREQS4xOTkyLjcvMzEvMjAxOC5MRlIuRi5VU0QuSAEAAABlNGkIAwAAAAAAnAvVOAgJ1ggkwppvNAnWCC9DSVEuSVFUUjU0MjgwNjY4Ni5JUV9UUl9UQVJHRVRfVE9UQUxfUkVWLi5VU0QuSAEAAACeklogAgAAAAAAsrNJbzQJ1giB/ZVvNAnWCCFDSVEuTkFTREFRR006QVJRTC5JUV9DT01QQU5ZX05BTUUBAAAA9mEAAAMAAAAMQXJRdWxlLCBJbmMuANaMETgICdYIcySdbzQJ1gg8Q0lRLk5BU0RBUUNNOlNSTkUuSVFfR1JPU1NfTUFSR0lOLjIwMDAuNy8zMS8yMDE4LkxGUi5GLlVTRC5IAQAAAElDlAMCAAAABzYzLjI5OTEBCAAAAAUAAAABMQEAAAAKMTg4Nzk4OTgzMQMAAAADMTYwAgAAAAQ0MDc0BAAAAAEwBwAAAAk3LzMxLzIwMTgIAAAACTMvMzEvMjAxOAkAAAABMNaMETgICdYIcySdbzQJ1ghDQ0lRLk5BU0RBUUdTOkFEWFMuSVFfTUlOT1JJVFlfSU5URVJFU1RfVE9UQUwuLjcvMTYvMjAxOC5MRlIuRi5VU0QuSAEAAACe7HgAAwAAAAAAKRyUEDUJ1gjkdFsSNQnWCDVDSVEuTkFTREFRR1M6R1RIWC5JUV9EQV9DRi4yMDAwLjcvMzEvMjAxOC5MRlIuRi5VU0QuSAEAAABlNGkIAgAAAAUwLjEwOQEIAAAABQAAAAExAQAAAAoxODg2MzY3NjY3AwAAAAMxNjACAAAABDIxNjAEAAAAATAHAAAACTcvMzEvMjAxOAgAAAAJMy8zMS8yMDE4CQAAAAEw1owROAgJ1ggkwppv</t>
  </si>
  <si>
    <t>NAnWCCBDSVEuSVEzOTI2ODcxMi5JUV9DT01QQU5ZX1RJQ0tFUgEAAABoMVcCAwAAAA1OYXNkYXFHTTpGQVRFALKzSW80CdYIzFjngTQJ1ghDQ0lRLk5BU0RBUUdTOlNHRU4uSVFfTUlOT1JJVFlfSU5URVJFU1RfVE9UQUwuLjcvMTYvMjAxOC5MRlIuRi5VU0QuSAEAAABhhQAAAwAAAAAAxP8bETUJ1ghoYGcSNQnWCCtDSVEuSVFUUjI1Mzk1NDQ3My5JUV9UUl9JTVBMSUVEX0VWX0VCSVRfRldEAQAAAKkJIw8CAAAAAACys0lvNAnWCDWbk280CdYIOENJUS5OQVNEQVFHTTpYTkNSLklRX0VCSVREQS5DWTIwMTcuNy8xNi8yMDE4LkxGUi5GLlVTRC5IAQAAAKZaCwACAAAABy01MS4xMzYBCAAAAAUAAAABMQEAAAAKMTg3Njk4NDU1MgMAAAADMTYwAgAAAAQ0MDUxBAAAAAEwBwAAAAk3LzE2LzIwMTgIAAAACjEyLzMxLzIwMTcJAAAAATDE/xsRNQnWCBL+ZBI1CdYILUNJUS5OQVNEQVFDTTpNVEVNLklRX01BUktFVENBUC41LzUvMjAxNy5VU0QuSAEAAACZm6kBAwAAAAAAyDCyNwgJ1ggZ6aFvNAnWCCtDSVEuSVFUUjU2MzkxOTA0OS5JUV9UUl9JTVBMSUVEX0VWX0VCSVRfRldEAQAAAMm4nCEDAAAAAk5NAAxtEA41CdYIwNuCDjUJ1ghDQ0lRLk5BU0RBUUdTOktVUkEuSVFfRUJJVERBXzJZUl9BTk5fQ0FHUi4yMDAwLjcvMzEvMjAxOC5MRlIuRi5VU0QuSAEAAAC4y9oQAwAAAAJOTQEIAAAABQAAAAExAQAAAAox</t>
  </si>
  <si>
    <t>ODg3MzgyOTM3AwAAAAMxNjACAAAABDQyMDkEAAAAATAHAAAACTcvMzEvMjAxOAgAAAAJMy8zMS8yMDE4CQAAAAEw1owROAgJ1ghzJJ1vNAnWCENDSVEuTkFTREFRR1M6Q1RNWC5JUV9NSU5PUklUWV9JTlRFUkVTVF9UT1RBTC4uNy8xNi8yMDE4LkxGUi5GLlVTRC5IAQAAANw4mwMDAAAAAADE/xsRNQnWCMKbYhI1CdYIL0NJUS5JUVRSNDI0MzQyMDQ2LklRX1RSX1RBUkdFVF9UT1RBTF9SRVYuLlVTRC5IAQAAAB7yShkCAAAAAAAMbRAONQnWCMDbgg41CdYIKkNJUS5JUVRSMzcxNzE1MTE5LklRX1RSX1RBUkdFVF9FQklULi5VU0QuSAEAAAAv7CcWAgAAAAAAWM8SDjUJ1gjA24IONQnWCCNDSVEuSVFUUjMwMjg2NjYyNy5JUV9UUl9UT1RBTF9TVE9DSwEAAADDYA0SAgAAAAkyMy4zMTE3MjkBBgAAAAUAAAACNTQBAAAABjEwMTA1NwIAAAAJMzAyODY2NjI3AwAAAAkzMDI4NjcxNTEEAAAAAzE2MAYAAAAFRmFsc2VYzxIONQnWCAw+hQ41CdYIP0NJUS5OQVNEQVFDTTpDS1BULklRX0VCSVREQV8yWVJfQU5OX0NBR1IuLjcvMTYvMjAxOC5MRlIuRi5VU0QuSAEAAAC4URYRAwAAAAAAKRyUEDUJ1gjkdFsSNQnWCB1DSVEuMC5JUV9UUl9JTVBMSUVEX0VRX05JX0xUTQUAAAAAAAAACAAAABgoSW52YWxpZCBUcmFuc2FjdGlvbiBJZClJU0dvNAnWCAfi8IE0CdYILENJUS5JUVRSNTUwMjU5Mzk3LklRX1RSX1RBUkdF</t>
  </si>
  <si>
    <t>VF9FQklUREEuLlVTRC5IAQAAAMVKzCACAAAACC00MjcuMzk4AQYAAAAFAAAAAjM3AQAAAAoxODc2NTY1NTI4AgAAAAUyMTY3NwMAAAADMTYwBAAAAAEwBwAAAAgxLzEvMTkwMAxtEA41CdYId3mADjUJ1ghCQ0lRLk5BU0RBUUdTOk1HTlguSVFfVE9UQUxfUkVWXzJZUl9BTk5fQ0FHUi4uNy8xNi8yMDE4LkxGUi5GLlVTRC5IAQAAAE8rCQACAAAACDEyMi40MTUzAQgAAAAFAAAAATEBAAAACjE4ODcxMTQ5NDUDAAAAAzE2MAIAAAAENDIwNwQAAAABMAcAAAAJNy8xNi8yMDE4CAAAAAkzLzMxLzIwMTgJAAAAATDE/xsRNQnWCMKbYhI1CdYIKkNJUS5JUVRSMjczNTA3MTg1LklRX1RSX1RBUkdFVF9FQklULi5VU0QuSAEAAABxY00QAgAAAAYtMjguMTIBBgAAAAUAAAACMzcBAAAACjE2OTE3NjgyNjQCAAAABTIxNjc1AwAAAAMxNjAEAAAAATAHAAAACDEvMS8xOTAwsrNJbzQJ1giB/ZVvNAnWCDpDSVEuTkFTREFRR1M6RlBSWC5JUV9UT1RBTF9ERUJULjIwMDAuNy8zMS8yMDE4LkxGUi5GLlVTRC5IAQAAADddMwACAAAAATABCAAAAAUAAAABMQEAAAAKMTg4NzQwMjIyNwMAAAADMTYwAgAAAAQ0MTczBAAAAAEwBwAAAAk3LzMxLzIwMTgIAAAACTMvMzEvMjAxOAkAAAABMNaMETgICdYIGemhbzQJ1ggsQ0lRLklRVFI1NjE2MDYzNjUuSVFfVFJfVEFSR0VUX0VCSVREQS4uVVNELkgBAAAA3W55IQIAAAAAALKzSW80</t>
  </si>
  <si>
    <t>CdYINZuTbzQJ1ggrQ0lRLk5BU0RBUUdTOk5LLklRX01BUktFVENBUC41LzUvMjAxNy5VU0QuSAEAAAANfaEPAgAAAAoyNDAuNzE2Njc2AQYAAAAFAAAAATEBAAAACjE4MzE5ODc4ODQDAAAAAzE2MAIAAAAGMTAwMDU0BAAAAAEwBwAAAAg1LzUvMjAxN9aMETgICdYIGemhbzQJ1ggqQ0lRLklRVFI0MTE4NzEwODIuSVFfVFJfVEFSR0VUX0VCSVQuLlVTRC5IAQAAAGqnjBgCAAAAAACys0lvNAnWCDWbk280CdYIIENJUS5JUTYwMDQ4MjAxLklRX0NPTVBBTllfVElDS0VSAQAAAElDlAMDAAAADU5hc2RhcUNNOlNSTkUAsrNJbzQJ1ghzJJ1vNAnWCCdDSVEuTkFTREFRR006WE5DUi5JUV9CRVRBXzFZUi43LzE2LzIwMTgBAAAAploLAAIAAAAQMS4zNjI5MjY1Nzc1NjUyNgDE/xsRNQnWCBL+ZBI1CdYIH0NJUS5JUTMzNjYxOTkuSVFfQ09NUEFOWV9USUNLRVIBAAAAN10zAAMAAAANTmFzZGFxR1M6RlBSWAAMbRAONQnWCOOLkw41CdYIMENJUS5JUVRSNTMzMzg1NzQ0LklRX1RSX1RBUkdFVF9FQklUREFfRVNULi5VU0QuSAEAAAAQ0sofAgAAAAAADG0QDjUJ1gjA24IONQnWCC5DSVEuTkFTREFRR006TkxOSy5JUV9NQVJLRVRDQVAuNy8xNi8yMDE4LlVTRC5IAQAAAJV7jAACAAAACjE3My45MzI2NTkBBgAAAAUAAAABMQEAAAAKMTg4ODM1MjQ2MwMAAAADMTYwAgAAAAYxMDAwNTQEAAAAATAHAAAACTcvMTYvMjAx</t>
  </si>
  <si>
    <t>OCkclBA1CdYI5HRbEjUJ1ggiQ0lRLklRVFI0MTE4NzEwODIuSVFfVFJfVE9UQUxfQ0FTSAEAAABqp4wYAgAAAAUxOTYuMwEGAAAABQAAAAI1NAEAAAAGMTAxMDU2AgAAAAk0MTE4NzEwODIDAAAACTQxMTg3MTI5MQQAAAADMTYwBgAAAAVGYWxzZbKzSW80CdYINZuTbzQJ1ggwQ0lRLk5BU0RBUUdTOkJHTkUuSVFfVE9UQUxfUkVWLjE5OTYuLkxGUi5GLlVTRC5IAQAAAODk3QYCAAAAATABCAAAAAUAAAABMQEAAAAKMTg5OTkwMDYxOAMAAAADMTYwAgAAAAIyOAQAAAABMAcAAAAJOC8yMy8yMDE4CAAAAAk2LzMwLzIwMTcJAAAAATCcC9U4CAnWCJwL1TgICdYIP0NJUS5OQVNEQVFHUzpDQUxBLklRX0VCSVREQV81WVJfQU5OX0NBR1IuLjcvMTYvMjAxOC5MRlIuRi5VU0QuSAEAAAClJ4EGAwAAAAAAKRyUEDUJ1gjkdFsSNQnWCDZDSVEuTkFTREFRR1M6QVROWC5JUV9FQklUREEuMjAwMC43LzMxLzIwMTguTEZSLkYuVVNELkgBAAAA3JlrAQIAAAAHLTc5LjY5MQEIAAAABQAAAAExAQAAAAoxODg4NzAyOTgyAwAAAAMxNjACAAAABDQwNTEEAAAAATAHAAAACTcvMzEvMjAxOAgAAAAJMy8zMS8yMDE4CQAAAAEw1owROAgJ1ggkwppvNAnWCCdDSVEuTkFTREFRR006WE5DUi5JUV9CRVRBXzJZUi43LzE2LzIwMTgBAAAAploLAAIAAAAQMS43OTIyODQwNDE5NDI5OADE/xsRNQnWCBL+ZBI1CdYIRkNJUS5OQVNEQVFH</t>
  </si>
  <si>
    <t>UzpBVE5YLklRX01JTk9SSVRZX0lOVEVSRVNUX1RPVEFMLjIwMDAuNS81LzIwMTcuTEZSLkYuVVNELkgBAAAA3JlrAQIAAAAFMC44NjIBCAAAAAUAAAABMQEAAAAKMTg0MjQ5MDI4MQMAAAADMTYwAgAAAAQxMzEyBAAAAAEwBwAAAAg1LzUvMjAxNwgAAAAKMTIvMzEvMjAxNgkAAAABMNaMETgICdYIJMKabzQJ1gg8Q0lRLk5BU0RBUUdNOkFSUUwuSVFfRUJJVERBX0VTVC5DWTIwMTkuNy8zMS8yMDE4LkNPTi5GLlVTRC5IAQAAAPZhAAADAAAAAADWjBE4CAnWCHMknW80CdYII0NJUS5JUVRSMzA3ODYzOTg0LklRX1RSX1RPVEFMX1NUT0NLAQAAALChWRICAAAAAABYzxIONQnWCMDbgg41CdYIN0NJUS5OQVNEQVFHUzpNR05YLklRX0VCSVRfTUFSR0lOLi43LzE2LzIwMTguTEZSLkYuVVNELkgBAAAATysJAAIAAAAILTIxLjI4OTcBCAAAAAUAAAABMQEAAAAKMTg4NzExNDk0NQMAAAADMTYwAgAAAAQ0MDUzBAAAAAEwBwAAAAk3LzE2LzIwMTgIAAAACTMvMzEvMjAxOAkAAAABMMT/GxE1CdYIwptiEjUJ1gg9Q0lRLk5BU0RBUUNNOlpJT1AuSVFfRUJJVERBX01BUkdJTi4yMDAwLjcvMzEvMjAxOC5MRlIuRi5VU0QuSAEAAACzUbIAAwAAAAJOTQEIAAAABQAAAAExAQAAAAoxODg3OTcyMzU5AwAAAAMxNjACAAAABDQwNDcEAAAAATAHAAAACTcvMzEvMjAxOAgAAAAJMy8zMS8yMDE4CQAAAAEw1owROAgJ1gjDhp9v</t>
  </si>
  <si>
    <t>NAnWCC5DSVEuTkFTREFRQ006WklPUC5JUV9NQVJLRVRDQVAuNy8zMS8yMDE4LlVTRC5IAQAAALNRsgACAAAACjM2NC44NDQ4NDQBBgAAAAUAAAABMQEAAAAKMTg4Nzk3MjIwMQMAAAADMTYwAgAAAAYxMDAwNTQEAAAAATAHAAAACTcvMzEvMjAxONaMETgICdYIw4afbzQJ1gg+Q0lRLihJTlZBTElEIElERU5USUZJRVIpLklRX1BSRUZfRVFVSVRZLi45LzE1LzIwMTcuTEZSLkYuVVNELkgFAAAAAAAAAAgAAAAUKEludmFsaWQgSWRlbnRpZmllcinep34QNQnWCJgSWRI1CdYIO0NJUS5OQVNEQVFHUzpCR05FLklRX05FVF9XT1JLSU5HX0NBUC4uNy8xNi8yMDE4LkxGUi5GLlVTRC5IAQAAAODk3QYCAAAABy0xMC42NDQBCAAAAAUAAAABMQEAAAAKMTg4NzY4ODU4OAMAAAADMTYwAgAAAAQxMzExBAAAAAEwBwAAAAk3LzE2LzIwMTgIAAAACTMvMzEvMjAxOAkAAAABMMT/GxE1CdYIaGBnEjUJ1ggpQ0lRLklRVFI0MDg0MDc4MjIuSVFfVFJfSU1QTElFRF9FUV9OSV9MVE0BAAAADs9XGAMAAAACTk0AsrNJbzQJ1giB/ZVvNAnWCDhDSVEuTkFTREFRR1M6TUdOWC5JUV9UT1RBTF9FUVVJVFkuLjcvMTYvMjAxOC5MRlIuRi5VU0QuSAEAAABPKwkAAgAAAAcyNDcuMjc2AQgAAAAFAAAAATEBAAAACjE4ODcxMTQ5NDUDAAAAAzE2MAIAAAAEMTI3NQQAAAABMAcAAAAJNy8xNi8yMDE4CAAAAAkzLzMxLzIwMTgJAAAAATDE</t>
  </si>
  <si>
    <t>/xsRNQnWCMKbYhI1CdYIRENJUS4oSU5WQUxJRCBJREVOVElGSUVSKS5JUV9SRVZFTlVFX0VTVC5DWTIwMjAuNy8xNi8yMDE4LkNPTi5GLlVTRC5IBQAAAAAAAAAIAAAAFChJbnZhbGlkIElkZW50aWZpZXIpIAqBEDUJ1giYElkSNQnWCEZDSVEuTkFTREFRR006RkFURS5JUV9UT1RBTF9SRVZfMllSX0FOTl9DQUdSLjIwMDAuNy8zMS8yMDE4LkxGUi5GLlVTRC5IAQAAAGgxVwICAAAABjQuNTg0NQEIAAAABQAAAAExAQAAAAoxODg4NTAwNTI3AwAAAAMxNjACAAAABDQyMDcEAAAAATAHAAAACTcvMzEvMjAxOAgAAAAJMy8zMS8yMDE4CQAAAAEw1owROAgJ1gjDhp9vNAnWCDNDSVEuTkFTREFRR1M6U0dFTi5JUV9FQklUREFfRVNULkNZMjAxOC4uQ09OLkYuVVNELkgBAAAAYYUAAAIAAAAILTIwNS4yODQBDgAAAAUAAAACMTEBAAAAATACAAAACjEwMDAxMjQ3MjYDAAAABjEwMDE4NwQAAAABMgYAAAABMAcAAAADMTYwCAAAAAEwCQAAAAExCgAAAAEwCwAAAAsxMTAwMjQ3NzM1OQwAAAABNw0AAAAJOC8yNC8yMDE4EAAAAAk4LzIzLzIwMTjE/xsRNQnWCMT/GxE1CdYIIUNJUS5JUVRSMjczNTA3MTg1LklRX1RSX0JVWUVSTkFNRQEAAABxY00QAwAAAB9EYWlpY2hpIFNhbmt5byBDb21wYW55LCBMaW1pdGVkALKzSW80CdYIgf2VbzQJ1ggtQ0lRLk5BU0RBUUdTOlBCWUkuSVFfRElWSURFTkRfWUlFTEQuNy8xNi8y</t>
  </si>
  <si>
    <t>MDE4AQAAAAJqrAcDAAAAAABGnRkRNQnWCBL+ZBI1CdYIM0NJUS4oSU5WQUxJRCBJREVOVElGSUVSKS5JUV9HUC4yMDAwLjcvMzEvMjAxOC4uLlVTRAUAAAAAAAAACAAAABQoSW52YWxpZCBJZGVudGlmaWVyKbKzSW80CdYI7TawbzQJ1ggsQ0lRLklRVFI0MzE4NDE1ODEuSVFfVFJfVE9UQUxfR1JPU1NfVFYuVVNELkgFAAAAAAAAAAgAAAAaKEludmFsaWQgQ3VycmVuY3kgUmVxdWVzdCkMbRAONQnWCAw+hQ41CdYIRENJUS5OQVNEQVFHUzpOSy5JUV9UT1RBTF9SRVZfNVlSX0FOTl9DQUdSLjIwMDAuNy8zMS8yMDE4LkxGUi5GLlVTRC5IAQAAAA19oQ8DAAAAAADWjBE4CAnWCBnpoW80CdYIMkNJUS5OQVNEQVFHTTpJTU1VLklRX0VCSVREQS4uNy8xNi8yMDE4LkxGUi5GLlVTRC5IAQAAACBDBAACAAAACy0xMDcuMjQ0OTE3AQgAAAAFAAAAATEBAAAACjE4ODg1MjMzODQDAAAAAzE2MAIAAAAENDA1MQQAAAABMAcAAAAJNy8xNi8yMDE4CAAAAAkzLzMxLzIwMTgJAAAAATDE/xsRNQnWCBL+ZBI1CdYIO0NJUS5OQVNEQVFHUzpGUFJYLklRX1RPVEFMX1JFVi5DWTIwMTcuNy8xNi8yMDE4LkxGUi5GLlVTRC5IAQAAADddMwACAAAABjM5LjUwOAEIAAAABQAAAAExAQAAAAoxODc2MTM1OTkxAwAAAAMxNjACAAAAAjI4BAAAAAEwBwAAAAk3LzE2LzIwMTgIAAAACjEyLzMxLzIwMTcJAAAAATApHJQQNQnWCHM5YBI1</t>
  </si>
  <si>
    <t>CdYILkNJUS5JUVRSNDEzOTUzNjYxLklRX1RSX1RBUkdFVF9TVE9DS1BSRU1JVU1fMVcBAAAAfW6sGAIAAAAAALKzSW80CdYIgf2VbzQJ1gg3Q0lRLk5BU0RBUUdTOktVUkEuSVFfUEVSSU9EREFURV9JUy4yMDAwLjcvMzEvMjAxOC5MRlIuRgEAAAC4y9oQBQAAAAkzLzMxLzIwMTgA1owROAgJ1ghzJJ1vNAnWCDxDSVEuT1RDUEs6TUJWWC5JUV9FQklUREFfMllSX0FOTl9DQUdSLi43LzE2LzIwMTguTEZSLkYuVVNELkgBAAAA2ESLAgMAAAACTk0BCAAAAAUAAAABMQEAAAAKMTg4MTIxMzI0NQMAAAADMTYwAgAAAAQ0MjA5BAAAAAEwBwAAAAk3LzE2LzIwMTgIAAAACjEyLzMxLzIwMTcJAAAAATDep34QNQnWCJgSWRI1CdYII0NJUS5JUVRSNTQ4MzM4MDIwLklRX1RSX0NMT1NFRF9EQVRFAQAAAGT5riAFAAAACDEvMy8yMDE4AAxtEA41CdYIwNuCDjUJ1gg8Q0lRLk5BU0RBUUdNOkNSVlMuSVFfVE9UQUxfRVFVSVRZLjE5OTIuNy8zMS8yMDE4LkxGUi5GLlVTRC5IAQAAAPSwphACAAAABjE1Mi41NQEIAAAABQAAAAExAQAAAAoxODQwMTE2MTU0AwAAAAMxNjACAAAABDEyNzUEAAAAATAHAAAACTcvMzEvMjAxOAgAAAAJMy8zMS8yMDE2CQAAAAEw1owROAgJ1ggZ6aFvNAnWCDxDSVEuTkFTREFRR006RkFURS5JUV9UT1RBTF9FUVVJVFkuMTk5Ni43LzMxLzIwMTguTEZSLkYuVVNELkgBAAAAaDFXAgIAAAAGNjMu</t>
  </si>
  <si>
    <t>ODU4AQgAAAAFAAAAATEBAAAACjE4ODg1MDAzMzMDAAAAAzE2MAIAAAAEMTI3NQQAAAABMAcAAAAJNy8zMS8yMDE4CAAAAAkzLzMxLzIwMTcJAAAAATDWjBE4CAnWCMOGn280CdYIOkNJUS4oSU5WQUxJRCBJREVOVElGSUVSKS5JUV9QRVJJT0REQVRFX0lTLi43LzE2LzIwMTguTEZSLkYFAAAAAAAAAAgAAAAUKEludmFsaWQgSWRlbnRpZmllcinep34QNQnWCJgSWRI1CdYIMUNJUS5BU1g6SU1VLklRX1BSRUZfRVFVSVRZLi43LzE2LzIwMTguTEZSLkYuVVNELkgBAAAAmJOpAAMAAAAAACkclBA1CdYIMNddEjUJ1ghEQ0lRLihJTlZBTElEIElERU5USUZJRVIpLklRX1JFVkVOVUVfRVNULkNZMjAyMC43LzMxLzIwMTguQ09OLkYuVVNELkgFAAAAAAAAAAgAAAAUKEludmFsaWQgSWRlbnRpZmllcinIMLI3CAnWCO02sG80CdYILENJUS5JUVRSNTQ4MzM4MDIwLklRX1RSX1RPVEFMX0dST1NTX1RWLlVTRC5IBQAAAAAAAAAIAAAAGihJbnZhbGlkIEN1cnJlbmN5IFJlcXVlc3QpDG0QDjUJ1gjA24IONQnWCD9DSVEuTkFTREFRR006SU1NVS5JUV9ORVRfV09SS0lOR19DQVAuMjAwMC43LzMxLzIwMTguTEZSLkYuVVNELkgBAAAAIEMEAAIAAAAKLTgzLjI1NTU4MQEIAAAABQAAAAExAQAAAAoxODg4NTIzMzg0AwAAAAMxNjACAAAABDEzMTEEAAAAATAHAAAACTcvMzEvMjAxOAgAAAAJMy8zMS8yMDE4CQAAAAEwnAvV</t>
  </si>
  <si>
    <t>OAgJ1gjUX5hvNAnWCD9DSVEuTkFTREFRR1M6VFNSTy5JUV9ORVRfV09SS0lOR19DQVAuMTk5Mi43LzMxLzIwMTguTEZSLkYuVVNELkgBAAAAaNZYBgIAAAAHLTQ3LjYxNgEIAAAABQAAAAExAQAAAAoxODQwOTM0NjYzAwAAAAMxNjACAAAABDEzMTEEAAAAATAHAAAACTcvMzEvMjAxOAgAAAAJMy8zMS8yMDE2CQAAAAEwnAvVOAgJ1ggkwppvNAnWCDlDSVEuTkFTREFRR1M6QVROWC5JUV9OSV9NQVJHSU4uMjAwMC43LzMxLzIwMTguTEZSLkYuVVNELkgBAAAA3JlrAQIAAAAJLTEzNi43MjE5AQgAAAAFAAAAATEBAAAACjE4ODg3MDI5ODIDAAAAAzE2MAIAAAAENDA5NAQAAAABMAcAAAAJNy8zMS8yMDE4CAAAAAkzLzMxLzIwMTgJAAAAATDWjBE4CAnWCCTCmm80CdYIIENJUS5JUTM2MTgzODIyLklRX0xBU1RTQUxFUFJJQ0UuAQAAAA4fKAICAAAABDIuNDMAnAvVOAgJ1gh3eYAONQnWCDNDSVEuTkFTREFRR1M6U0dFTi5JUV9FQklUREFfRVNULkNZMjAyMC4uQ09OLkYuVVNELkgBAAAAYYUAAAIAAAAHLTEyLjkyMwEOAAAABQAAAAIxMQEAAAABMAIAAAAKMTAwMDEyNDcyOAMAAAAGMTAwMTg3BAAAAAEyBgAAAAEwBwAAAAMxNjAIAAAAATAJAAAAATEKAAAAATALAAAACzEwOTk3ODk1OTQ4DAAAAAE3DQAAAAk4LzI0LzIwMTgQAAAACTgvMjMvMjAxOMT/GxE1CdYIxP8bETUJ1gg9Q0lRLk5BU0RBUUdNOkFGTUQu</t>
  </si>
  <si>
    <t>SVFfUkVWRU5VRV9FU1QuQ1kyMDIwLjcvMTYvMjAxOC5DT04uRi5VU0QuSAEAAADb9wwAAgAAABA5LjYwNjk4OTgxNjg2NDM3AQ4AAAAFAAAAAjExAQAAAAEwAgAAAAoxMDAyODg0MDE1AwAAAAYxMDAxODAEAAAAATMGAAAAATAHAAAAAzE2MAgAAAABMAkAAAABMQoAAAABMAsAAAALMTA4ODcxNzYwMzIMAAAAATcNAAAACTcvMTcvMjAxOBAAAAAJNy8xNi8yMDE4KRyUEDUJ1ggw110SNQnWCDNDSVEuTkFTREFRR1M6UEJZSS5JUV9QRVJJT0REQVRFX0lTLi43LzE2LzIwMTguTEZSLkYBAAAAAmqsBwUAAAAJMy8zMS8yMDE4AMT/GxE1CdYIEv5kEjUJ1gg6Q0lRLkVOWFRQQTpJUEguSVFfUkVWRU5VRV9FU1QuQ1kyMDE4LjcvMTYvMjAxOC5DT04uRi5VU0QuSAEAAACZgAYAAgAAABA2OS4wMjU1ODI1MDYyMjI3AQ4AAAAFAAAAAjExAQAAAAEwAgAAAAoxMDAxNjQzMzkxAwAAAAYxMDAxODAEAAAAATMGAAAAATAHAAAAAzE2MAgAAAABMAkAAAABMQoAAAABMAsAAAALMTA5NTM4NDI0NzkMAAAAATcNAAAACTcvMTcvMjAxOBAAAAAJNy8xNi8yMDE4KRyUEDUJ1ghzOWASNQnWCCJDSVEuSVFUUjUzMzM4NTc0NC5JUV9UUl9QQ1RfU09VR0hUAQAAABDSyh8CAAAAAzEwMAEGAAAABQAAAAI1NAEAAAAGMTAxMDI0AgAAAAk1MzMzODU3NDQDAAAACTUzMzM4NTgyNAQAAAADMTYwBgAAAARUcnVlDG0QDjUJ1gh3eYAONQnW</t>
  </si>
  <si>
    <t>CDVDSVEuTkFTREFRR1M6VFNSTy5JUV9OSV9NQVJHSU4uLjcvMTYvMjAxOC5MRlIuRi5VU0QuSAEAAABo1lgGAgAAAAktMTkzLjQxNzIBCAAAAAUAAAABMQEAAAAKMTg4NjMzNzQ2NgMAAAADMTYwAgAAAAQ0MDk0BAAAAAEwBwAAAAk3LzE2LzIwMTgIAAAACTMvMzEvMjAxOAkAAAABMMT/GxE1CdYIEv5kEjUJ1gg3Q0lRLk5BU0RBUUdTOk5LLklRX05JX01BUkdJTi4yMDAwLjcvMzEvMjAxOC5MRlIuRi5VU0QuSAEAAAANfaEPAwAAAAJOTQEIAAAABQAAAAExAQAAAAoxODg3MTE4NzkxAwAAAAMxNjACAAAABDQwOTQEAAAAATAHAAAACTcvMzEvMjAxOAgAAAAJMy8zMS8yMDE4CQAAAAEw1owROAgJ1gjDhp9vNAnWCCRDSVEuTkFTREFRR1M6QkdORS5JUV9FRkZFQ1RfVEFYX1JBVEUBAAAA4OTdBgMAAAACTk0BCAAAAAUAAAABMQEAAAAKMTg5OTkwMDYzMQMAAAADMTYwAgAAAAQ0Mzc2BAAAAAEwBwAAAAk4LzIzLzIwMTgIAAAACTYvMzAvMjAxOAkAAAABMJwL1TgICdYIqAKKDjUJ1gg7Q0lRLk5BU0RBUUdTOkZQUlguSVFfVE9UQUxfUkVWLkNZMjAxNi43LzE2LzIwMTguTEZSLkYuVVNELkgBAAAAN10zAAIAAAAGMzAuNjkxAQgAAAAFAAAAATEBAAAACjE4NzYxMzU5ODgDAAAAAzE2MAIAAAACMjgEAAAAATAHAAAACTcvMTYvMjAxOAgAAAAKMTIvMzEvMjAxNgkAAAABMCkclBA1CdYIczlgEjUJ1gglQ0lRLklR</t>
  </si>
  <si>
    <t>VFIzMTQ4MjkyMzYuSVFfVFJfSU1QTElFRF9FUV9CVgEAAAC06cMSAgAAAAAAWM8SDjUJ1gjA24IONQnWCDFDSVEuWFRSQTpNT1IuSVFfRUJJVERBLjE5OTIuNy8zMS8yMDE4LkxGUi5GLlVTRC5IAQAAAN8RAgACAAAACS00OS40NjE3OAEIAAAABQAAAAExAQAAAAoxODM5OTQwNjkwAwAAAAMxNjACAAAABDQwNTEEAAAAATAHAAAACTcvMzEvMjAxOAgAAAAJMy8zMS8yMDE2CQAAAAEwnAvVOAgJ1gjUX5hvNAnWCDhDSVEuTkFTREFRR006TFBUWC5JUV9UT1RBTF9FUVVJVFkuLjcvMTYvMjAxOC5MRlIuRi5VU0QuSAEAAAAMNgkHAgAAAAYxNi4xMjgBCAAAAAUAAAABMQEAAAAKMTg5MDE2MzkzNgMAAAADMTYwAgAAAAQxMjc1BAAAAAEwBwAAAAk3LzE2LzIwMTgIAAAACTMvMzEvMjAxOAkAAAABMCkclBA1CdYIMNddEjUJ1gg8Q0lRLk5BU0RBUUdTOkdUSFguSVFfRUFSTklOR19DTy5DWTIwMTYuNy8zMS8yMDE4LkxGUi5GLlVTRC5IAQAAAGU0aQgCAAAABy0zMC4yOTEBCAAAAAUAAAABMQEAAAAKMTg3NTMyNzMwMQMAAAADMTYwAgAAAAE3BAAAAAEwBwAAAAk3LzMxLzIwMTgIAAAACjEyLzMxLzIwMTYJAAAAATDWjBE4CAnWCCTCmm80CdYIKUNJUS5JUVRSNTMzNjM5NTAxLklRX1RSX0lNUExJRURfRVFfTklfTFRNAQAAAE2xzh8CAAAAAAAMbRAONQnWCMDbgg41CdYIPUNJUS5OQVNEQVFHUzpKTkNFLklRX1JF</t>
  </si>
  <si>
    <t>VkVOVUVfRVNULkNZMjAxOC43LzE2LzIwMTguQ09OLkYuVVNELkgBAAAA4nmeDQIAAAAGNTEuMzI1AQ4AAAAFAAAAAjExAQAAAAEwAgAAAAoxMDAzNjI5MDk3AwAAAAYxMDAxODAEAAAAATIGAAAAATAHAAAAAzE2MAgAAAABMAkAAAABMQoAAAABMAsAAAALMTA5NDU1NzA4MDQMAAAAATcNAAAACTcvMTcvMjAxOBAAAAAJNy8xNi8yMDE4KRyUEDUJ1gjkdFsSNQnWCB5DSVEuLklRX1RSX0lNUExJRURfRVZfRUJJVF9GV0QFAAAAAAAAAAgAAAAUKEludmFsaWQgSWRlbnRpZmllcimcC9U4CAnWCHd5gA41CdYIJUNJUS5JUVRSNTQyODA2Njg2LklRX1RSX0lNUExJRURfRVFfQlYBAAAAnpJaIAIAAAAAALKzSW80CdYIgf2VbzQJ1gg9Q0lRLk5BU0RBUUNNOkFWRU8uSVFfUkVWRU5VRV9FU1QuQ1kyMDIwLjcvMTYvMjAxOC5DT04uRi5VU0QuSAEAAAD0Fh0AAgAAAAQ3MS41AQ4AAAAFAAAAAjExAQAAAAEwAgAAAAoxMDAwNzQ4MDgzAwAAAAYxMDAxODAEAAAAATIGAAAAATAHAAAAAzE2MAgAAAABMAkAAAABMQoAAAABMAsAAAALMTA4NzEyNjExNTcMAAAAATcNAAAACTcvMTcvMjAxOBAAAAAJNy8xNi8yMDE4xP8bETUJ1gjCm2ISNQnWCCVDSVEuSVFUUjI1Mzk1NDQ3My5JUV9UUl9NQUpfTUlOX1NUQUtFAQAAAKkJIw8DAAAACE1ham9yaXR5ALKzSW80CdYINZuTbzQJ1gg6Q0lRLk5BU0RBUUNNOkFWRU8uSVFfQ0FT</t>
  </si>
  <si>
    <t>SF9TVF9JTlZFU1QuLjcvMTYvMjAxOC5MRlIuRi5VU0QuSAEAAAD0Fh0AAgAAAAYyNi45OTUBCAAAAAUAAAABMQEAAAAKMTg4NzIzNDI5NQMAAAADMTYwAgAAAAQxMDAyBAAAAAEwBwAAAAk3LzE2LzIwMTgIAAAACTMvMzEvMjAxOAkAAAABMMT/GxE1CdYIwptiEjUJ1gg9Q0lRLk5BU0RBUUdNOkNSVlMuSVFfRUJJVERBX01BUkdJTi4yMDAwLjcvMzEvMjAxOC5MRlIuRi5VU0QuSAEAAAD0sKYQAwAAAAAA1owROAgJ1ggZ6aFvNAnWCDVDSVEuTkFTREFRR1M6TUdOWC5JUV9OSV9NQVJHSU4uLjcvMTYvMjAxOC5MRlIuRi5VU0QuSAEAAABPKwkAAgAAAAgtMTkuNjQ0OQEIAAAABQAAAAExAQAAAAoxODg3MTE0OTQ1AwAAAAMxNjACAAAABDQwOTQEAAAAATAHAAAACTcvMTYvMjAxOAgAAAAJMy8zMS8yMDE4CQAAAAEwxP8bETUJ1gjCm2ISNQnWCD1DSVEuTkFTREFRR1M6RlBSWC5JUV9SRVZFTlVFX0VTVC5DWTIwMTkuNy8zMS8yMDE4LkNPTi5GLlVTRC5IAQAAADddMwACAAAACDYwLjUwMTc4AQ4AAAAFAAAAAjExAQAAAAEwAgAAAAoxMDAxOTU2MzQ5AwAAAAYxMDAxODAEAAAAATIGAAAAATAHAAAAAzE2MAgAAAABMAkAAAABMQoAAAABMAsAAAALMTA5NDU1NzUwNTQMAAAAATcNAAAACDgvMS8yMDE4EAAAAAk3LzMxLzIwMTjWjBE4CAnWCBnpoW80CdYIQkNJUS5OQVNEQVFHUzpDVE1YLklRX1RPVEFMX1JFVl8y</t>
  </si>
  <si>
    <t>WVJfQU5OX0NBR1IuLjcvMTYvMjAxOC5MRlIuRi5VU0QuSAEAAADcOJsDAgAAAAgyMDAuODQ3MQEIAAAABQAAAAExAQAAAAoxODg3Njc1MzE2AwAAAAMxNjACAAAABDQyMDcEAAAAATAHAAAACTcvMTYvMjAxOAgAAAAJMy8zMS8yMDE4CQAAAAEwxP8bETUJ1gjCm2ISNQnWCCVDSVEuTkFTREFRR1M6U0dFTi5JUV9GSVJTVFBSSUNJTkdEQVRFAQAAAGGFAAAFAAAACDMvNy8yMDAxAEadGRE1CdYIaGBnEjUJ1gg7Q0lRLk5BU0RBUUdTOkFEWFMuSVFfVE9UQUxfUkVWLkNZMjAxNy43LzE2LzIwMTguTEZSLkYuVVNELkgBAAAAnux4AAIAAAAJMTAuMjk1ODM1AQgAAAAFAAAAATEBAAAACjE4NzgwMTI0NzMDAAAAAzE2MAIAAAACMjgEAAAAATAHAAAACTcvMTYvMjAxOAgAAAAJMS8zMS8yMDE4CQAAAAEwKRyUEDUJ1gjkdFsSNQnWCDxDSVEuTkFTREFRR1M6TVJTTi5JUV9FQklUREFfRVNULkNZMjAyMC43LzMxLzIwMTguQ09OLkYuVVNELkgBAAAA5sUYAAIAAAAHLTUyLjYwNQEOAAAABQAAAAIxMQEAAAABMAIAAAAKMTAwMzgwMzI4NQMAAAAGMTAwMTg3BAAAAAEyBgAAAAEwBwAAAAMxNjAIAAAAATAJAAAAATEKAAAAATALAAAACzEwOTgxNDE1MzY2DAAAAAE3DQAAAAg4LzEvMjAxOBAAAAAJNy8zMS8yMDE41owROAgJ1gjDhp9vNAnWCCJDSVEuSVFUUjUzNTcxOTk5OC5JUV9UUl9UT1RBTF9DQVNIAQAAAD5w7h8C</t>
  </si>
  <si>
    <t>AAAACzEwNDAxLjAzODgyAQYAAAAFAAAAAjU0AQAAAAYxMDEwNTYCAAAACTUzNTcxOTk5OAMAAAAJNTM1NzI0ODEzBAAAAAMxNjAGAAAABUZhbHNlsrNJbzQJ1giB/ZVvNAnWCClDSVEuSVEzNjE4Mzg0MC5JUV9MQVNUU0FMRVBSSUNFLjcvMzEvMjAxOAEAAAAgHygCAgAAAAQzLjAzAElTR280CdYIgf2VbzQJ1ggtQ0lRLk5BU0RBUUdTOk1SU04uSVFfRElWSURFTkRfWUlFTEQuNy8xNi8yMDE4AQAAAObFGAADAAAAAAApHJQQNQnWCHM5YBI1CdYIPENJUS5OQVNEQVFHTTpDUklTLklRX1RPVEFMX0VRVUlUWS4xOTk2LjcvMzEvMjAxOC5MRlIuRi5VU0QuSAEAAAAXagAAAgAAAAYyMS40NzcBCAAAAAUAAAABMQEAAAAKMTg4NjI0NzM5NQMAAAADMTYwAgAAAAQxMjc1BAAAAAEwBwAAAAk3LzMxLzIwMTgIAAAACTMvMzEvMjAxNwkAAAABMMgwsjcICdYI3UukbzQJ1gg6Q0lRLk5BU0RBUUdTOkVQWk0uSVFfVE9UQUxfREVCVC4yMDAwLjcvMzEvMjAxOC5MRlIuRi5VU0QuSAEAAAADJj0DAgAAAAEwAQgAAAAFAAAAATEBAAAACjE4ODcyNDYwNzcDAAAAAzE2MAIAAAAENDE3MwQAAAABMAcAAAAJNy8zMS8yMDE4CAAAAAkzLzMxLzIwMTgJAAAAATDWjBE4CAnWCCTCmm80CdYILUNJUS5OQVNEQVFHUzpCR05FLklRX01BUktFVENBUC41LzUvMjAxNy5VU0QuSAEAAADg5N0GAgAAAAsxNTY0LjUyNDk4MwEGAAAABQAA</t>
  </si>
  <si>
    <t>AAExAQAAAAoxODMyOTUwNTIxAwAAAAMxNjACAAAABjEwMDA1NAQAAAABMAcAAAAINS81LzIwMTecC9U4CAnWCIH9lW80CdYILUNJUS4uSVFfRUFSTklOR19DTy4xOTk2LjcvMzEvMjAxOC5MRlIuRi5VU0QuSAUAAAABAAAACAAAABQoSW52YWxpZCBJZGVudGlmaWVyKfWEMkc0CdYI9YQyRzQJ1gguQ0lRLklRVFI1NDI4MDY2ODYuSVFfVFJfVEFSR0VUX1NUT0NLUFJFTUlVTV8xVwEAAACeklogAgAAAAAAsrNJbzQJ1giB/ZVvNAnWCDlDSVEuTkFTREFRQ006U1JORS5JUV9UT1RBTF9SRVYuMjAwMC43LzMxLzIwMTguTEZSLkYuVVNELkgBAAAASUOUAwIAAAAHMTUzLjIyOAEIAAAABQAAAAExAQAAAAoxODg3OTg5ODMxAwAAAAMxNjACAAAAAjI4BAAAAAEwBwAAAAk3LzMxLzIwMTgIAAAACTMvMzEvMjAxOAkAAAABMNaMETgICdYIcySdbzQJ1gg7Q0lRLk5BU0RBUUdTOkNUTVguSVFfVE9UQUxfUkVWLkNZMjAxNi43LzE2LzIwMTguTEZSLkYuVVNELkgBAAAA3DibAwIAAAAGMTUuMDQzAQgAAAAFAAAAATEBAAAACjE4NzczMTY3MzQDAAAAAzE2MAIAAAACMjgEAAAAATAHAAAACTcvMTYvMjAxOAgAAAAKMTIvMzEvMjAxNgkAAAABMMT/GxE1CdYIwptiEjUJ1ggnQ0lRLk5BU0RBUUdTOkpOQ0UuSVFfQkVUQV8xWVIuNy8xNi8yMDE4AQAAAOJ5ng0CAAAAEDEuMzcyOTU2MTIxNzkyMjYAKRyUEDUJ1giYElkSNQnW</t>
  </si>
  <si>
    <t>CCVDSVEuSVFUUjQxMTg3MTA4Mi5JUV9UUl9NQUpfTUlOX1NUQUtFAQAAAGqnjBgDAAAACE1ham9yaXR5ALKzSW80CdYINZuTbzQJ1gg1Q0lRLk5BU0RBUUdTOkdUSFguSVFfQ0FQRVguMTk5Ni43LzMxLzIwMTguTEZSLkYuVVNELkgBAAAAZTRpCAIAAAAJLTAuMjA2NzM3AQgAAAAFAAAAATEBAAAACjE4ODYzNjc2NDgDAAAAAzE2MAIAAAAEMjAyMQQAAAABMAcAAAAJNy8zMS8yMDE4CAAAAAkzLzMxLzIwMTcJAAAAATCcC9U4CAnWCCTCmm80CdYIM0NJUS5OQVNEQVFHUzpCR05FLklRX1RPVEFMX0VRVUlUWS4yMDAwLi5MRlIuRi5VU0QuSAEAAADg5N0GAgAAAAgxMjI2LjY2OAEIAAAABQAAAAExAQAAAAoxODk5OTAwNjMxAwAAAAMxNjACAAAABDEyNzUEAAAAATAHAAAACTgvMjMvMjAxOAgAAAAJNi8zMC8yMDE4CQAAAAEwnAvVOAgJ1gicC9U4CAnWCD9DSVEuTkFTREFRR006TkxOSy5JUV9FQklUREFfM1lSX0FOTl9DQUdSLi43LzE2LzIwMTguTEZSLkYuVVNELkgBAAAAlXuMAAMAAAACTk0BCAAAAAUAAAABMQEAAAAKMTg4ODM1NDIwNwMAAAADMTYwAgAAAAQ0MjIyBAAAAAEwBwAAAAk3LzE2LzIwMTgIAAAACTMvMzEvMjAxOAkAAAABMCkclBA1CdYI5HRbEjUJ1gg5Q0lRLk5BU0RBUUdNOkFGTUQuSVFfRUJJVERBX01BUkdJTi4uNy8xNi8yMDE4LkxGUi5GLlVTRC5IAQAAANv3DAADAAAAAk5NAQgAAAAF</t>
  </si>
  <si>
    <t>AAAAATEBAAAACjE4ODk4NjYwNDkDAAAAAjUwAgAAAAQ0MDQ3BAAAAAEwBwAAAAk3LzE2LzIwMTgIAAAACTMvMzEvMjAxOAkAAAABMCkclBA1CdYIMNddEjUJ1ggkQ0lRLk5BU0RBUUdNOk5MTksuSVFfRUZGRUNUX1RBWF9SQVRFAQAAAJV7jAADAAAAAk5NAQgAAAAFAAAAATEBAAAACjE4OTkwODA1MjcDAAAAAzE2MAIAAAAENDM3NgQAAAABMAcAAAAJOC8yMy8yMDE4CAAAAAk2LzMwLzIwMTgJAAAAATApHJQQNQnWCOR0WxI1CdYIL0NJUS5JUVRSMjQ1ODMxMDA3LklRX1RSX1RBUkdFVF9UT1RBTF9SRVYuLlVTRC5IAQAAAF8Vpw4CAAAABTc5Ljk2AQYAAAAFAAAAAjM3AQAAAAoxNjMwMjk2OTcyAgAAAAIyOAMAAAADMTYwBAAAAAEwBwAAAAgxLzEvMTkwMLKzSW80CdYIgf2VbzQJ1ggpQ0lRLk5BU0RBUUdTOkJHTkUuSVFfQlVTSU5FU1NfREVTQ1JJUFRJT04BAAAA4OTdBgMAAAD9DkJlaUdlbmUsIEx0ZC4sIGEgY2xpbmljYWwtc3RhZ2UgYmlvcGhhcm1hY2V1dGljYWwgY29tcGFueSwgZGV2ZWxvcHMgYW5kIGNvbW1lcmNpYWxpemVzIG1vbGVjdWxhcmx5LXRhcmdldGVkIGFuZCBpbW11bm8tb25jb2xvZ3kgZHJ1Z3MgZm9yIHRoZSB0cmVhdG1lbnQgb2YgY2FuY2VyLiBJdHMgY29tbWVyY2lhbCBwcm9kdWN0cyBpbmNsdWRlIEFCUkFYQU5FLCBhIHNvbHZlbnQtZnJlZSBjaGVtb3RoZXJhcHkgcHJvZHVj</t>
  </si>
  <si>
    <t>dCBmb3IgdGhlIHRyZWF0bWVudCBvZiBicmVhc3QsIG5vbi1zbWFsbCBjZWxsIGx1bmcsIHBhbmNyZWF0aWMsIGFuZCBnYXN0cmljIGNhbmNlcjsgUkVWTElNSUQsIGFuIG9yYWwgaW1tdW5vbW9kdWxhdG9yeSBkcnVnIGZvciB0aGUgdHJlYXRtZW50IG9mIG11bHRpcGxlIG15ZWxvbWEgaW4gY29tYmluYXRpb24gd2l0aCBkZXhhbWV0aGFzb25lOyBhbmQgVklEQVpBLCBhIHB5cmltaWRpbmUgbnVjbGVvc2lkZSBhbmFsb2cgZm9yIHRoZSB0cmVhdG1lbnQgb2YgaW50ZXJtZWRpYXRlLTIgYW5kIGhpZ2gtcmlzayBteWVsb2R5c3BsYXN0aWMgc3luZHJvbWVzLCBjaHJvbmljIG15ZWxvbW9ub2N5dGUgbGV1a2VtaWEsIGFuZCBhY3V0ZSBteWVsb2lkIGxldWtlbWlhIHdpdGggMjAlIHRvIDMwJSBibGFzdHMgYW5kIG11bHRpLWxpbmVhZ2UgZHlzcGxhc2lhLiBUaGUgY29tcGFueeKAmXMgY2xpbmljYWwgc3RhZ2UgZHJ1ZyBjYW5kaWRhdGVzIGluY2x1ZGUgQkdCLTMxMTEsIGEgc21hbGwgbW9sZWN1bGUgQnJ1dG9u4oCZcyB0eXJvc2luZSBraW5hc2UgKEJUSykgaW5oaWJpdG9yIGZvciB0aGUgdHJlYXRtZW50IG9mIHZhcmlvdXMgbHltcGhvbWFzOyBCR0ItQTMxNywgYSBodW1hbml6ZWQgbW9ub2Nsb25hbCBhbnRpYm9keSBmb3Igc29saWQgYW5kIGhlbWF0b2xvZ2ljYWwgY2FuY2VyczsgQkdCLTI5MCwg</t>
  </si>
  <si>
    <t>YSBzbWFsbCBtb2xlY3VsZSBpbmhpYml0b3Igb2YgUEFSUDEgYW5kIFBBUlAyIGZvciB0aGUgdHJlYXRtZW50IG9mIGhvbW9sb2dvdXMgcmVjb21iaW5hdGlvbiBkZWZpY2llbnQgY2FuY2VyczsgQkdCLTI4MywgYSBzbWFsbCBtb2xlY3VsZSBSQUYgZGltZXIgaW5oaWJpdG9yIHRvIHRyZWF0IGNhbmNlcnMgd2l0aCBhYmVycmF0aW9ucyBpbiB0aGUgbWl0b2dlbi1hY3RpdmF0ZWQgcHJvdGVpbiBraW5hc2UgcGF0aHdheSwgaW5jbHVkaW5nIEJSQUYgbXV0YXRpb25zIGFuZCBLUkFTL05SQVMgZ2VuZSBtdXRhdGlvbnM7IEJHQi1BMzMzLCBhbiBodW1hbml6ZWQgbW9ub2Nsb25hbCBhbnRpYm9keSBmb3IgdGhlIGltbXVuZSBjaGVja3BvaW50IHJlY2VwdG9yIGxpZ2FuZCBQRC1MMTsgYW5kIE1HQ0QtMDUxNiwgYSBtdWx0aS1raW5hc2UgaW5oaWJpdG9yLiBJdHMgcHJlY2xpbmljYWwgcHJvZ3JhbXMgY29uc2lzdHMgb2YgdGFyZ2V0ZWQgdGhlcmFwaWVzIGFuZCBpbW11bm8tb25jb2xvZ3kgYWdlbnRzLCBpbmNsdWRpbmcgYW4gYWRkaXRpb25hbCBSQUYgZGltZXIgaW5oaWJpdG9yLCBhIFRJTS0zIGNlbGwgc3VyZmFjZSBwcm90ZWluIG1vbm9jbG9uYWwgYW50aWJvZHksIGFuZCBhIEJUSyBpbmhpYml0b3IgZm9yIG5vbi1vbmNvbG9neSBpbmRpY2F0aW9ucy4gVGhlIGNvbXBhbnkgaGFzIGEgc3RyYXRl</t>
  </si>
  <si>
    <t>Z2ljIGNvbGxhYm9yYXRpb24gd2l0aCBDZWxnZW5lIENvcnBvcmF0aW9uIHRvIHJlc2VhcmNoIGFuZCBkZXZlbG9wIEJlaUdlbmUsIEx0ZC7igJlzIGludmVzdGlnYXRpb25hbCBhbnRpLXByb2dyYW1tZWQgY2VsbCBkZWF0aCBwcm90ZWluIDEgKFBELTEpIGluaGliaXRvciwgQkdCLUEzMTc7IGFuZCB3aXRoIE1lcmNrIEtHYUEgdG8gcmVzZWFyY2ggYW5kIGRldmVsb3Agb24gQkdCLTI5MCBhbmQgQkdCLTI4My4gQmVpR2VuZSwgTHRkLiB3YXMgZm91bmRlZCBpbiAyMDEwIGFuZCBpcyBiYXNlZCBpbiBHZW9yZ2UgVG93biwgdGhlIENheW1hbiBJc2xhbmRzLgCcC9U4CAnWCKgCig41CdYINUNJUS5OQVNEQVFDTTpTUk5FLklRX0NBUEVYLjIwMDAuNy8zMS8yMDE4LkxGUi5GLlVTRC5IAQAAAElDlAMCAAAABi03LjI1OQEIAAAABQAAAAExAQAAAAoxODg3OTg5ODMxAwAAAAMxNjACAAAABDIwMjEEAAAAATAHAAAACTcvMzEvMjAxOAgAAAAJMy8zMS8yMDE4CQAAAAEw1owROAgJ1ghzJJ1vNAnWCCBDSVEuSVEzNjE4Mzg0My5JUV9MQVNUU0FMRVBSSUNFLgEAAAAjHygCAgAAAAQyLjk5AJwL1TgICdYId3mADjUJ1ggxQ0lRLk5BU0RBUUdTOlNHRU4uSVFfQ0FQRVguLjcvMTYvMjAxOC5MRlIuRi5VU0QuSAEAAABhhQAAAgAAAActMTguODEyAQgAAAAFAAAAATEBAAAACjE4ODQ4OTI4NTIDAAAAAzE2MAIAAAAE</t>
  </si>
  <si>
    <t>MjAyMQQAAAABMAcAAAAJNy8xNi8yMDE4CAAAAAkzLzMxLzIwMTgJAAAAATDE/xsRNQnWCGhgZxI1CdYIP0NJUS4oSU5WQUxJRCBJREVOVElGSUVSKS5JUV9HUk9TU19NQVJHSU4uLjcvMTYvMjAxOC5MRlIuRi5VU0QuSAUAAAAAAAAACAAAABQoSW52YWxpZCBJZGVudGlmaWVyKd6nfhA1CdYImBJZEjUJ1gglQ0lRLk5BU0RBUUdNOkNSVlMuSVFfRklSU1RQUklDSU5HREFURQEAAAD0sKYQBQAAAAkzLzIzLzIwMTYA1owROAgJ1ggZ6aFvNAnWCEFDSVEuKElOVkFMSUQgSURFTlRJRklFUikuSVFfQ0FTSF9TVF9JTlZFU1QuLjkvMTUvMjAxNy5MRlIuRi5VU0QuSAUAAAAAAAAACAAAABQoSW52YWxpZCBJZGVudGlmaWVyKd6nfhA1CdYImBJZEjUJ1ggiQ0lRLkFTWDpJTVUuSVFfVEVWLjcvMTYvMjAxOC5VU0QuSAEAAACYk6kAAgAAAAk1OS43OTg0OTcBBgAAAAUAAAABMQEAAAAKMTg3NzMwMDk2MgMAAAADMTYwAgAAAAYxMDAwNjAEAAAAATAHAAAACTcvMTYvMjAxOCkclBA1CdYIMNddEjUJ1gg/Q0lRLk5BU0RBUUdNOkFGTUQuSVFfRUJJVERBXzJZUl9BTk5fQ0FHUi4uNy8xNi8yMDE4LkxGUi5GLlVTRC5IAQAAANv3DAADAAAAAk5NAQgAAAAFAAAAATEBAAAACjE4ODk4NjYwNDkDAAAAAjUwAgAAAAQ0MjA5BAAAAAEwBwAAAAk3LzE2LzIwMTgIAAAACTMvMzEvMjAxOAkAAAABMCkclBA1CdYIMNddEjUJ1ggq</t>
  </si>
  <si>
    <t>Q0lRLihJTlZBTElEIElERU5USUZJRVIpLklRX0NPTVBBTllfVElDS0VSBQAAAAAAAAAIAAAAFChJbnZhbGlkIElkZW50aWZpZXIpDG0QDjUJ1ghCxa0ONQnWCCBDSVEuSVEzNjE4MzgyNS5JUV9MQVNUU0FMRVBSSUNFLgEAAAARHygCAgAAAAMyLjYAnAvVOAgJ1gh3eYAONQnWCDBDSVEuTkFTREFRR1M6RVBaTS5JUV9MQVNUU0FMRVBSSUNFLjcvMzEvMjAxOC5VU0QBAAAAAyY9AwIAAAAEMTIuOQDWjBE4CAnWCCTCmm80CdYIOkNJUS5OQVNEQVFHTTpGQVRFLklRX0VBUk5JTkdfQ08uMjAwMC43LzMxLzIwMTguTEZSLkYuVVNELkgBAAAAaDFXAgIAAAAHLTQ2Ljk2MQEIAAAABQAAAAExAQAAAAoxODg4NTAwNTI3AwAAAAMxNjACAAAAATcEAAAAATAHAAAACTcvMzEvMjAxOAgAAAAJMy8zMS8yMDE4CQAAAAEw1owROAgJ1gjDhp9vNAnWCDlDSVEuTkFTREFRR006RkFURS5JUV9UT1RBTF9SRVYuMTk5Mi43LzMxLzIwMTguTEZSLkYuVVNELkgBAAAAaDFXAgIAAAAFMy43NTMBCAAAAAUAAAABMQEAAAAKMTg0MzU0NDMyMQMAAAADMTYwAgAAAAIyOAQAAAABMAcAAAAJNy8zMS8yMDE4CAAAAAkzLzMxLzIwMTYJAAAAATDWjBE4CAnWCMOGn280CdYIQENJUS4oSU5WQUxJRCBJREVOVElGSUVSKS5JUV9UT1RBTF9SRVYuMTk5Mi43LzMxLzIwMTguTEZSLkYuVVNELkgFAAAAAAAAAAgAAAAUKEludmFsaWQgSWRlbnRp</t>
  </si>
  <si>
    <t>ZmllcinIMLI3CAnWCO02sG80CdYILUNJUS5OQVNEQVFHTTpGQVRFLklRX0RJVklERU5EX1lJRUxELjcvMzEvMjAxOAEAAABoMVcCAwAAAAAA1owROAgJ1gjDhp9vNAnWCCpDSVEuSVFUUjQwNzc2MDY5Mi5JUV9UUl9UQVJHRVRfRUJJVC4uVVNELkgBAAAANO9NGAIAAAAAAAxtEA41CdYIDD6FDjUJ1ggdQ0lRLk5BU0RBUUdNOk5MTksuSVFfRVhDSEFOR0UBAAAAlXuMAAMAAAAITmFzZGFxR00AKRyUEDUJ1gjkdFsSNQnWCDBDSVEuTkFTREFRR1M6QkdORS5JUV9MQVNUU0FMRVBSSUNFLjcvMTYvMjAxOC5VU0QBAAAA4OTdBgIAAAAGMTYzLjE5AEadGRE1CdYIaGBnEjUJ1ggdQ0lRLk5BU0RBUUdNOkxQVFguSVFfRVhDSEFOR0UBAAAADDYJBwMAAAAITmFzZGFxR00AKRyUEDUJ1ggw110SNQnWCDxDSVEuTkFTREFRR1M6R1RIWC5JUV9FQklUREFfRVNULkNZMjAxOS43LzMxLzIwMTguQ09OLkYuVVNELkgBAAAAZTRpCAIAAAAKLTExNC43NDkxNgEOAAAABQAAAAIxMQEAAAABMAIAAAAKMTAwMzc1MTU4NwMAAAAGMTAwMTg3BAAAAAEyBgAAAAEwBwAAAAMxNjAIAAAAATAJAAAAATEKAAAAATALAAAACzEwOTA5NTQzMDQ5DAAAAAE3DQAAAAg4LzEvMjAxOBAAAAAJNy8zMS8yMDE4nAvVOAgJ1ggkwppvNAnWCC5DSVEuSVFUUjMwMjg2NjYyNy5JUV9UUl9UQVJHRVRfU1RPQ0tQUkVNSVVNXzFNAQAAAMNgDRICAAAA</t>
  </si>
  <si>
    <t>AABYzxIONQnWCAw+hQ41CdYIPkNJUS5OQVNEQVFHUzpLVVJBLklRX0NBU0hfU1RfSU5WRVNULjIwMDAuNy8zMS8yMDE4LkxGUi5GLlVTRC5IAQAAALjL2hACAAAABTEzOC4yAQgAAAAFAAAAATEBAAAACjE4ODczODI5MzcDAAAAAzE2MAIAAAAEMTAwMgQAAAABMAcAAAAJNy8zMS8yMDE4CAAAAAkzLzMxLzIwMTgJAAAAATDWjBE4CAnWCHMknW80CdYIMENJUS5YVFJBOk1PUi5JUV9EQV9DRi4yMDAwLjcvMzEvMjAxOC5MRlIuRi5VU0QuSAEAAADfEQIAAgAAAAg0LjA5ODY1NwEIAAAABQAAAAExAQAAAAoxODg2MTUxNjQ4AwAAAAMxNjACAAAABDIxNjAEAAAAATAHAAAACTcvMzEvMjAxOAgAAAAJMy8zMS8yMDE4CQAAAAEwnAvVOAgJ1gjUX5hvNAnWCDVDSVEuTkFTREFRR1M6TVJTTi5JUV9DQVBFWC4xOTkyLjcvMzEvMjAxOC5MRlIuRi5VU0QuSAEAAADmxRgAAwAAAAAA1owROAgJ1gjDhp9vNAnWCEZDSVEuTkFTREFRR006Q1JWUy5JUV9UT1RBTF9SRVZfM1lSX0FOTl9DQUdSLjIwMDAuNy8zMS8yMDE4LkxGUi5GLlVTRC5IAQAAAPSwphADAAAAAADWjBE4CAnWCBnpoW80CdYIP0NJUS5OQVNEQVFDTTpNVEVNLklRX05FVF9XT1JLSU5HX0NBUC4xOTkyLjcvMzEvMjAxOC5MRlIuRi5VU0QuSAEAAACZm6kBAwAAAAAAyDCyNwgJ1ggZ6aFvNAnWCCBDSVEuSVFUUjU2MzkxOTA0OS5JUV9UUl9FQVJOT1VUUwEA</t>
  </si>
  <si>
    <t>AADJuJwhAgAAAAAADG0QDjUJ1gjA24IONQnWCCVDSVEuSVFUUjM3MTcxNTExOS5JUV9QUklNQVJZX0lORFVTVFJZAQAAAL/6awwDAAAADUJpb3RlY2hub2xvZ3kADG0QDjUJ1gjA24IONQnWCCpDSVEuSVFUUjQzMTg0MTU4MS5JUV9UUl9UQVJHRVRfRUJJVC4uVVNELkgBAAAALWG9GQIAAAAAAAxtEA41CdYIDD6FDjUJ1ggiQ0lRLklRVFIzMTIxMjI1MDQuSVFfVFJfVEFSR0VUTkFNRQEAAACInJoSAwAAAClCaW9Ob3Zpb24gQi5WLiAobmthOkFkdXJvIEJpb3RlY2ggRXVyb3BlKQBYzxIONQnWCMDbgg41CdYIIUNJUS5JUVRSNTUwMjU5Mzk3LklRX1RSX0JVWUVSTkFNRQEAAADFSswgAwAAABNDZWxnZW5lIENvcnBvcmF0aW9uAAxtEA41CdYId3mADjUJ1ggqQ0lRLklRVFIzMTIxMjI1MDQuSVFfVFJfVEFSR0VUX0VCSVQuLlVTRC5IAQAAAIicmhICAAAAAABYzxIONQnWCMDbgg41CdYIMUNJUS5OQVNEQVFHUzpGUFJYLklRX0NBUEVYLi43LzE2LzIwMTguTEZSLkYuVVNELkgBAAAAN10zAAIAAAAGLTMuOTU3AQgAAAAFAAAAATEBAAAACjE4ODc0MDIyMjcDAAAAAzE2MAIAAAAEMjAyMQQAAAABMAcAAAAJNy8xNi8yMDE4CAAAAAkzLzMxLzIwMTgJAAAAATApHJQQNQnWCHM5YBI1CdYITkNJUS4oSU5WQUxJRCBJREVOVElGSUVSKS5JUV9NSU5PUklUWV9JTlRFUkVTVF9UT1RBTC4yMDAwLjcvMzEvMjAxOC5M</t>
  </si>
  <si>
    <t>RlIuRi5VU0QuSAUAAAAAAAAACAAAABQoSW52YWxpZCBJZGVudGlmaWVyKcgwsjcICdYI7TawbzQJ1ggnQ0lRLk5BU0RBUUdNOkZBVEUuSVFfUEVSSU9EREFURV9JUy4xMDAwAQAAAGgxVwIFAAAACjEyLzMxLzIwMTcA1owROAgJ1gjLtrWLNAnWCDVDSVEuTkFTREFRR1M6QkdORS5JUV9OSV9NQVJHSU4uLjcvMTYvMjAxOC5MRlIuRi5VU0QuSAEAAADg5N0GAgAAAAgtNTQuMjg2MQEIAAAABQAAAAExAQAAAAoxODg3Njg4NTg4AwAAAAMxNjACAAAABDQwOTQEAAAAATAHAAAACTcvMTYvMjAxOAgAAAAJMy8zMS8yMDE4CQAAAAEwxP8bETUJ1ghoYGcSNQnWCD1DSVEuTkFTREFRR1M6Q0FMQS5JUV9SRVZFTlVFX0VTVC5DWTIwMTguNy8xNi8yMDE4LkNPTi5GLlVTRC5IAQAAAKUngQYCAAAACDIzLjYxOTc1AQ4AAAAFAAAAAjExAQAAAAEwAgAAAAoxMDAyODk2NDE4AwAAAAYxMDAxODAEAAAAATIGAAAAATAHAAAAAzE2MAgAAAABMAkAAAABMQoAAAABMAsAAAALMTA5MTMyNzg0ODUMAAAAATcNAAAACTcvMTcvMjAxOBAAAAAJNy8xNi8yMDE4KRyUEDUJ1gjkdFsSNQnWCCxDSVEuKElOVkFMSUQgSURFTlRJRklFUikuSVFfRklSU1RQUklDSU5HREFURQUAAAAAAAAACAAAABQoSW52YWxpZCBJZGVudGlmaWVyKQxtEA41CdYIQsWtDjUJ1ggxQ0lRLklRVFIzMTQ4MjkyMzYuSVFfVFJfVEFSR0VUX1JFVkVOVUVfRVNU</t>
  </si>
  <si>
    <t>Li5VU0QuSAEAAAC06cMSAgAAAAAAWM8SDjUJ1gjA24IONQnWCDxDSVEuTkFTREFRR006SU1NVS5JUV9FQklUREFfRVNULkNZMjAyMC43LzE2LzIwMTguQ09OLkYuVVNELkgBAAAAIEMEAAMAAAAAAMT/GxE1CdYIEv5kEjUJ1ggmQ0lRLiVVU1BNUlQuSVFfTEFTVFNBTEVQUklDRS43LzE2LzIwMTgBAAAAWe1aAAIAAAABNQAMbRAONQnWCAw+hQ41CdYIPENJUS5OQVNEQVFHUzpLVVJBLklRX0VBUk5JTkdfQ08uQ1kyMDE3LjcvMzEvMjAxOC5MRlIuRi5VU0QuSAEAAAC4y9oQAgAAAActMzUuNDM0AQgAAAAFAAAAATEBAAAACjE4NzgwMTI0NzgDAAAAAzE2MAIAAAABNwQAAAABMAcAAAAJNy8zMS8yMDE4CAAAAAoxMi8zMS8yMDE3CQAAAAEw1owROAgJ1ghzJJ1vNAnWCDFDSVEuSVFUUjU1MTE2NjI5Mi5JUV9UUl9UQVJHRVRfUkVWRU5VRV9FU1QuLlVTRC5IAQAAAFQh2iACAAAAAAAMbRAONQnWCMDbgg41CdYINUNJUS5OQVNEQVFHUzpFUFpNLklRX0NBUEVYLjIwMDAuNy8zMS8yMDE4LkxGUi5GLlVTRC5IAQAAAAMmPQMCAAAABi0wLjk3NAEIAAAABQAAAAExAQAAAAoxODg3MjQ2MDc3AwAAAAMxNjACAAAABDIwMjEEAAAAATAHAAAACTcvMzEvMjAxOAgAAAAJMy8zMS8yMDE4CQAAAAEw1owROAgJ1ghzJJ1vNAnWCD9DSVEuTkFTREFRR1M6QURYUy5JUV9FQklUREFfNVlSX0FOTl9DQUdSLi43LzE2LzIwMTgu</t>
  </si>
  <si>
    <t>TEZSLkYuVVNELkgBAAAAnux4AAMAAAACTk0BCAAAAAUAAAABMQEAAAAKMTg5Mjc4ODU0OAMAAAADMTYwAgAAAAQ0MjM1BAAAAAEwBwAAAAk3LzE2LzIwMTgIAAAACTQvMzAvMjAxOAkAAAABMCkclBA1CdYI5HRbEjUJ1gguQ0lRLklRVFI0MzE4NDE1ODEuSVFfVFJfVEFSR0VUX1NUT0NLUFJFTUlVTV8xVwEAAAAtYb0ZAgAAAAAADG0QDjUJ1ggMPoUONQnWCDZDSVEuTkFTREFRR1M6TVJTTi5JUV9FQklUREEuMTk5Ni43LzMxLzIwMTguTEZSLkYuVVNELkgBAAAA5sUYAAIAAAAHLTE1LjgyNAEIAAAABQAAAAExAQAAAAoxODg5MDk2NTk3AwAAAAMxNjACAAAABDQwNTEEAAAAATAHAAAACTcvMzEvMjAxOAgAAAAJMy8zMS8yMDE3CQAAAAEw1owROAgJ1gjDhp9vNAnWCD1DSVEuTkFTREFRR1M6UEJZSS5JUV9SRVZFTlVFX0VTVC5DWTIwMTkuNy8xNi8yMDE4LkNPTi5GLlVTRC5IAQAAAAJqrAcCAAAACTQwNC4xMTIyOAEOAAAABQAAAAIxMQEAAAABMAIAAAAKMTAwMTUxMzA3OQMAAAAGMTAwMTgwBAAAAAEyBgAAAAEwBwAAAAMxNjAIAAAAATAJAAAAATEKAAAAATALAAAACzEwOTUxMjQwNjk2DAAAAAE3DQAAAAk3LzE3LzIwMTgQAAAACTcvMTYvMjAxOMT/GxE1CdYIEv5kEjUJ1ghDQ0lRLk5BU0RBUUdTOk1HTlguSVFfTUlOT1JJVFlfSU5URVJFU1RfVE9UQUwuLjkvMTUvMjAxNy5MRlIuRi5VU0QuSAEAAABP</t>
  </si>
  <si>
    <t>KwkAAwAAAAAAxP8bETUJ1gjCm2ISNQnWCCdDSVEuTkFTREFRR1M6QVROWC5JUV9CRVRBXzJZUi43LzMxLzIwMTgBAAAA3JlrAQIAAAARMC44NTExNjQ0MTQ3MTk4MDUA1owROAgJ1ggkwppvNAnWCDpDSVEuTkFTREFRR1M6TVJTTi5JUV9QUkVGX0VRVUlUWS4yMDAwLjUvNS8yMDE3LkxGUi5GLlVTRC5IAQAAAObFGAADAAAAAADWjBE4CAnWCMOGn280CdYIPkNJUS5OQVNEQVFHTTpBUlJZLklRX1RPVEFMX0VRVUlUWS5DWTIwMTYuNy8zMS8yMDE4LkxGUi5GLlVTRC5IAQAAAPhhAAACAAAABjUyLjA1MgEIAAAABQAAAAExAQAAAAoxODczMjAzNzk1AwAAAAMxNjACAAAABDEyNzUEAAAAATAHAAAACTcvMzEvMjAxOAgAAAAKMTIvMzEvMjAxNgkAAAABMJwL1TgICdYIJMKabzQJ1gg+Q0lRLihJTlZBTElEIElERU5USUZJRVIpLklRX1BSRUZfRVFVSVRZLi43LzE2LzIwMTguTEZSLkYuVVNELkgFAAAAAAAAAAgAAAAUKEludmFsaWQgSWRlbnRpZmllcinep34QNQnWCJgSWRI1CdYIIkNJUS5JUVRSNTYxNjA2MzY1LklRX1RSX1RBUkdFVE5BTUUBAAAA3W55IQMAAAAWQmVuZXZpciBCaW9waGFybSwgSW5jLgCys0lvNAnWCDWbk280CdYIKkNJUS5JUVRSNDA4MjkxMzk1LklRX1RSX1RBUkdFVF9FQklULi5VU0QuSAEAAABDCFYYAgAAAActMzAuMTg1AQYAAAAFAAAAAjM3AQAAAAoxODI2NzUyMzU5AgAAAAUyMTY3</t>
  </si>
  <si>
    <t>NQMAAAADMTYwBAAAAAEwBwAAAAgxLzEvMTkwMFjPEg41CdYIwNuCDjUJ1gglQ0lRLk5BU0RBUUdTOk1SU04uSVFfRklSU1RQUklDSU5HREFURQEAAADmxRgABQAAAAk2LzI4LzIwMTcA1owROAgJ1gjji5MONQnWCCdDSVEuTkFTREFRR1M6TVJTTi5JUV9CRVRBXzJZUi43LzMxLzIwMTgBAAAA5sUYAAIAAAARMC42NzE1NjE3MTkyODA4MjMA1owROAgJ1gjDhp9vNAnWCCtDSVEuSVFUUjU1MTE2NjI5Mi5JUV9UUl9UT1RBTF9HUk9TU19UVi4uVVNEAQAAAFQh2iACAAAACjYyMy4wODg1NzEBBgAAAAUAAAACNTQBAAAABjEwMjA4OAIAAAAJNTUxMTY2MjkyAwAAAAk1NTExNzMzNzUEAAAAAzE2MAYAAAAFRmFsc2UMbRAONQnWCMDbgg41CdYIN0NJUS5OQVNEQVFHUzpDVE1YLklRX1BSRUZfRVFVSVRZLi45LzE1LzIwMTcuTEZSLkYuVVNELkgBAAAA3DibAwMAAAAAAMT/GxE1CdYIwptiEjUJ1gg7Q0lRLk5BU0RBUUdTOk5LLklRX1JFVkVOVUVfRVNULkNZMjAxOC43LzMxLzIwMTguQ09OLkYuVVNELkgBAAAADX2hDwIAAAAEMC4wMgEOAAAABQAAAAIxMQEAAAABMAIAAAAKMTAwMzE2NDgwMQMAAAAGMTAwMTgwBAAAAAEyBgAAAAEwBwAAAAMxNjAIAAAAATAJAAAAATEKAAAAATALAAAACzEwODkxMzUyOTEwDAAAAAE3DQAAAAg4LzEvMjAxOBAAAAAJNy8zMS8yMDE41owROAgJ1gjDhp9vNAnWCCJDSVEuSVFUUjI3</t>
  </si>
  <si>
    <t>MzUwNzE4NS5JUV9UUl9UT1RBTF9DQVNIAQAAAHFjTRACAAAACTI3OS4wMTk2MgEGAAAABQAAAAI1NAEAAAAGMTAxMDU2AgAAAAkyNzM1MDcxODUDAAAACTI3MzUwNzc4NwQAAAADMTYwBgAAAAVGYWxzZbKzSW80CdYIgf2VbzQJ1gg1Q0lRLk5BU0RBUUdTOk1SU04uSVFfTklfTUFSR0lOLi43LzE2LzIwMTguTEZSLkYuVVNELkgBAAAA5sUYAAIAAAAJLTI2My43OTY4AQgAAAAFAAAAATEBAAAACjE4ODkwOTY2NTMDAAAAAzE2MAIAAAAENDA5NAQAAAABMAcAAAAJNy8xNi8yMDE4CAAAAAkzLzMxLzIwMTgJAAAAATDE/xsRNQnWCHM5YBI1CdYIQkNJUS5OQVNEQVFHUzpGUFJYLklRX1RPVEFMX1JFVl8yWVJfQU5OX0NBR1IuLjcvMTYvMjAxOC5MRlIuRi5VU0QuSAEAAAA3XTMAAgAAAAgtNTkuNzYwNwEIAAAABQAAAAExAQAAAAoxODg3NDAyMjI3AwAAAAMxNjACAAAABDQyMDcEAAAAATAHAAAACTcvMTYvMjAxOAgAAAAJMy8zMS8yMDE4CQAAAAEwKRyUEDUJ1ghzOWASNQnWCC5DSVEuSVFUUjQyNDM0MjA0Ni5JUV9UUl9UQVJHRVRfU1RPQ0tQUkVNSVVNXzFXAQAAAB7yShkCAAAAAAAMbRAONQnWCMDbgg41CdYIPUNJUS5OQVNEQVFDTTpNVEVNLklRX0VCSVREQV9NQVJHSU4uMjAwMC43LzMxLzIwMTguTEZSLkYuVVNELkgBAAAAmZupAQMAAAACTk0BCAAAAAUAAAABMQEAAAAKMTg4ODczMzAwNAMAAAADMTYw</t>
  </si>
  <si>
    <t>AgAAAAQ0MDQ3BAAAAAEwBwAAAAk3LzMxLzIwMTgIAAAACTMvMzEvMjAxOAkAAAABMMgwsjcICdYIGemhbzQJ1gg3Q0lRLk5BU0RBUUdTOk1SU04uSVFfUEVSSU9EREFURV9JUy4yMDAwLjcvMzEvMjAxOC5MRlIuRgEAAADmxRgABQAAAAkzLzMxLzIwMTgA1owROAgJ1gjDhp9vNAnWCCtDSVEuSVFUUjMxNDgyOTIzNi5JUV9UUl9UT1RBTF9HUk9TU19UVi4uVVNEAQAAALTpwxICAAAAAzI1OABYzxIONQnWCMDbgg41CdYIJUNJUS5JUVRSNTQyODA2Njg2LklRX1RSX01BSl9NSU5fU1RBS0UBAAAAnpJaIAMAAAAITWFqb3JpdHkAsrNJbzQJ1giB/ZVvNAnWCDpDSVEuTkFTREFRR1M6S1VSQS5JUV9FQVJOSU5HX0NPLjIwMDAuNy8zMS8yMDE4LkxGUi5GLlVTRC5IAQAAALjL2hACAAAABy00Mi41MDUBCAAAAAUAAAABMQEAAAAKMTg4NzM4MjkzNwMAAAADMTYwAgAAAAE3BAAAAAEwBwAAAAk3LzMxLzIwMTgIAAAACTMvMzEvMjAxOAkAAAABMNaMETgICdYIcySdbzQJ1gg0Q0lRLkVOWFRQQTpJUEguSVFfRUJJVF9NQVJHSU4uLjcvMTYvMjAxOC5MRlIuRi5VU0QuSAEAAACZgAYAAgAAAAUtOTAuOAEIAAAABQAAAAExAQAAAAoxODg5NTUyMTY0AwAAAAI1MAIAAAAENDA1MwQAAAABMAcAAAAJNy8xNi8yMDE4CAAAAAoxMi8zMS8yMDE3CQAAAAEwKRyUEDUJ1ghzOWASNQnWCD1DSVEuTkFTREFRR1M6QVROWC5JUV9D</t>
  </si>
  <si>
    <t>QVNIX1NUX0lOVkVTVC4yMDAwLjUvNS8yMDE3LkxGUi5GLlVTRC5IAQAAANyZawECAAAABjQxLjc1MwEIAAAABQAAAAExAQAAAAoxODQyNDkwMjgxAwAAAAMxNjACAAAABDEwMDIEAAAAATAHAAAACDUvNS8yMDE3CAAAAAoxMi8zMS8yMDE2CQAAAAEw1owROAgJ1ggkwppvNAnWCD1DSVEuTkFTREFRR006Q1JJUy5JUV9SRVZFTlVFX0VTVC5DWTIwMTkuNy8zMS8yMDE4LkNPTi5GLlVTRC5IAQAAABdqAAACAAAACDEwLjM5MjQyAQ4AAAAFAAAAAjExAQAAAAEwAgAAAAoxMDAxMzg3NzQ4AwAAAAYxMDAxODAEAAAAATIGAAAAATAHAAAAAzE2MAgAAAABMAkAAAABMQoAAAABMAsAAAALMTA5NTEyNDI2MzQMAAAAATcNAAAACDgvMS8yMDE4EAAAAAk3LzMxLzIwMTjIMLI3CAnWCN1LpG80CdYILkNJUS4oSU5WQUxJRCBJREVOVElGSUVSKS5JUV9CRVRBXzJZUi43LzMxLzIwMTgFAAAAAAAAAAgAAAAUKEludmFsaWQgSWRlbnRpZmllcinIMLI3CAnWCO02sG80CdYIIkNJUS5JUVRSMzAyODY2NjI3LklRX1RSX1RBUkdFVE5BTUUBAAAAw2ANEgMAAAAMWC1CT0RZLCBJbmMuAFjPEg41CdYIDD6FDjUJ1ggyQ0lRLk5BU0RBUUdTOlNHRU4uSVFfRUJJVERBLi43LzE2LzIwMTguTEZSLkYuVVNELkgBAAAAYYUAAAIAAAAILTE5NS4zMTcBCAAAAAUAAAABMQEAAAAKMTg4NDg5Mjg1MgMAAAADMTYwAgAAAAQ0MDUxBAAAAAEw</t>
  </si>
  <si>
    <t>BwAAAAk3LzE2LzIwMTgIAAAACTMvMzEvMjAxOAkAAAABMMT/GxE1CdYIaGBnEjUJ1ggsQ0lRLklRVFI0MjQzNDIwNDYuSVFfVFJfVE9UQUxfR1JPU1NfVFYuVVNELkgFAAAAAAAAAAgAAAAaKEludmFsaWQgQ3VycmVuY3kgUmVxdWVzdCkMbRAONQnWCMDbgg41CdYIRkNJUS5OQVNEQVFDTTpTUk5FLklRX1RPVEFMX1JFVl8yWVJfQU5OX0NBR1IuMjAwMC43LzMxLzIwMTguTEZSLkYuVVNELkgBAAAASUOUAwIAAAAINDc3LjA4OTIBCAAAAAUAAAABMQEAAAAKMTg4Nzk4OTgzMQMAAAADMTYwAgAAAAQ0MjA3BAAAAAEwBwAAAAk3LzMxLzIwMTgIAAAACTMvMzEvMjAxOAkAAAABMNaMETgICdYIcySdbzQJ1ghDQ0lRLk5BU0RBUUdTOkVQWk0uSVFfRUJJVERBXzVZUl9BTk5fQ0FHUi4yMDAwLjcvMzEvMjAxOC5MRlIuRi5VU0QuSAEAAAADJj0DAwAAAAJOTQEIAAAABQAAAAExAQAAAAoxODg3MjQ2MDc3AwAAAAMxNjACAAAABDQyMzUEAAAAATAHAAAACTcvMzEvMjAxOAgAAAAJMy8zMS8yMDE4CQAAAAEw1owROAgJ1ghzJJ1vNAnWCDxDSVEuTkFTREFRR1M6VFNSTy5JUV9FQVJOSU5HX0NPLkNZMjAxNy43LzE2LzIwMTguTEZSLkYuVVNELkgBAAAAaNZYBgIAAAAILTQ5Ni4xMjYBCAAAAAUAAAABMQEAAAAKMTg3NzIyNjMwMQMAAAADMTYwAgAAAAE3BAAAAAEwBwAAAAk3LzE2LzIwMTgIAAAACjEyLzMxLzIwMTcJ</t>
  </si>
  <si>
    <t>AAAAATDE/xsRNQnWCBL+ZBI1CdYIJENJUS5OQVNEQVFHUzpQQllJLklRX0VGRkVDVF9UQVhfUkFURQEAAAACaqwHAwAAAAAAxP8bETUJ1ggS/mQSNQnWCDVDSVEuTkFTREFRR1M6Q0FMQS5JUV9DQVBFWC4xOTk2LjcvMzEvMjAxOC5MRlIuRi5VU0QuSAEAAAClJ4EGAgAAAAYtMC4yODYBCAAAAAUAAAABMQEAAAAKMTg4Nzk4MDI3NwMAAAADMTYwAgAAAAQyMDIxBAAAAAEwBwAAAAk3LzMxLzIwMTgIAAAACTMvMzEvMjAxNwkAAAABMMgwsjcICdYI3UukbzQJ1gg/Q0lRLk5BU0RBUUdTOk1SU04uSVFfRUJJVERBXzVZUl9BTk5fQ0FHUi4uNy8xNi8yMDE4LkxGUi5GLlVTRC5IAQAAAObFGAADAAAAAAApHJQQNQnWCHM5YBI1CdYIK0NJUS5JUVRSNDI0MzQyMDQ2LklRX1RSX1RPVEFMX0dST1NTX1RWLi5VU0QBAAAAHvJKGQIAAAABNgEGAAAABQAAAAI1NAEAAAAGMTAyMDg4AgAAAAk0MjQzNDIwNDYDAAAACTQyNDM0MjY1OAQAAAADMTYwBgAAAAVGYWxzZQxtEA41CdYIwNuCDjUJ1ggjQ0lRLklRVFI1NDI4MDY2ODYuSVFfVFJfVE9UQUxfU1RPQ0sBAAAAnpJaIAIAAAAAALKzSW80CdYIgf2VbzQJ1ghCQ0lRLk5BU0RBUUdNOkxQVFguSVFfVE9UQUxfUkVWXzVZUl9BTk5fQ0FHUi4uNy8xNi8yMDE4LkxGUi5GLlVTRC5IAQAAAAw2CQcDAAAAAAApHJQQNQnWCDDXXRI1CdYILkNJUS5OQVNEQVFDTTpDS1BULklR</t>
  </si>
  <si>
    <t>X01BUktFVENBUC45LzE1LzIwMTcuVVNELkgBAAAAuFEWEQIAAAAKMjI0LjUxMTg4OQEGAAAABQAAAAExAQAAAAoxODUyNzUxNjkwAwAAAAMxNjACAAAABjEwMDA1NAQAAAABMAcAAAAJOS8xNS8yMDE3KRyUEDUJ1gjkdFsSNQnWCDVDSVEuT1RDUEs6TUJWWC5JUV9UT1RBTF9FUVVJVFkuLjcvMTYvMjAxOC5MRlIuRi5VU0QuSAEAAADYRIsCAgAAAAcxLjEzMDQ0AQgAAAAFAAAAATEBAAAACjE4ODEyMTMyNDUDAAAAAzE2MAIAAAAEMTI3NQQAAAABMAcAAAAJNy8xNi8yMDE4CAAAAAoxMi8zMS8yMDE3CQAAAAEw3qd+EDUJ1giYElkSNQnWCEZDSVEuTkFTREFRR006QVJRTC5JUV9NSU5PUklUWV9JTlRFUkVTVF9UT1RBTC4yMDAwLjUvNS8yMDE3LkxGUi5GLlVTRC5IAQAAAPZhAAADAAAAAADWjBE4CAnWCHMknW80CdYIIUNJUS5OQVNEQVFHTTpBRk1ELklRX0NPTVBBTllfTkFNRQEAAADb9wwAAwAAAAxBZmZpbWVkIE4uVi4AKRyUEDUJ1ggw110SNQnWCChDSVEuTkFTREFRR006QVJSWS5JUV9URVYuNy8zMS8yMDE4LlVTRC5IAQAAAPhhAAACAAAACzI5MTAuNjQ5ODc2AQYAAAAFAAAAATEBAAAACjE4ODg0NzAxNzcDAAAAAzE2MAIAAAAGMTAwMDYwBAAAAAEwBwAAAAk3LzMxLzIwMTicC9U4CAnWCNRfmG80CdYIOkNJUS5OQVNEQVFHUzpDVE1YLklRX0NBU0hfU1RfSU5WRVNULi43LzE2LzIwMTguTEZSLkYu</t>
  </si>
  <si>
    <t>VVNELkgBAAAA3DibAwIAAAAHMzYxLjQ3NgEIAAAABQAAAAExAQAAAAoxODg3Njc1MzE2AwAAAAMxNjACAAAABDEwMDIEAAAAATAHAAAACTcvMTYvMjAxOAgAAAAJMy8zMS8yMDE4CQAAAAEwxP8bETUJ1gjCm2ISNQnWCDVDSVEuTkFTREFRR1M6QkdORS5JUV9DQVBFWC4xOTkyLjcvMzEvMjAxOC5MRlIuRi5VU0QuSAEAAADg5N0GAgAAAAYtNS4zODUBCAAAAAUAAAABMQEAAAAKMTg0MTE4MDE2OAMAAAADMTYwAgAAAAQyMDIxBAAAAAEwBwAAAAk3LzMxLzIwMTgIAAAACTMvMzEvMjAxNgkAAAABMJwL1TgICdYIgf2VbzQJ1gg/Q0lRLk5BU0RBUUNNOkFWRU8uSVFfRUJJVERBXzNZUl9BTk5fQ0FHUi4uNy8xNi8yMDE4LkxGUi5GLlVTRC5IAQAAAPQWHQADAAAAAADE/xsRNQnWCHM5YBI1CdYIO0NJUS5OQVNEQVFHUzpNR05YLklRX1RPVEFMX1JFVi5DWTIwMTcuNy8xNi8yMDE4LkxGUi5GLlVTRC5IAQAAAE8rCQACAAAABzE1Ny43NDIBCAAAAAUAAAABMQEAAAAKMTg3NjEzNTE3MgMAAAADMTYwAgAAAAIyOAQAAAABMAcAAAAJNy8xNi8yMDE4CAAAAAoxMi8zMS8yMDE3CQAAAAEwxP8bETUJ1gjCm2ISNQnWCC5DSVEuTkFTREFRR006QVJSWS5JUV9NQVJLRVRDQVAuNy8zMS8yMDE4LlVTRC5IAQAAAPhhAAACAAAACzMyNDEuNzA0ODc3AQYAAAAFAAAAATEBAAAACjE4ODg0NzAxNzcDAAAAAzE2MAIAAAAGMTAw</t>
  </si>
  <si>
    <t>MDU0BAAAAAEwBwAAAAk3LzMxLzIwMTicC9U4CAnWCNRfmG80CdYILkNJUS5OQVNEQVFHUzpDVE1YLklRX01BUktFVENBUC43LzE2LzIwMTguVVNELkgBAAAA3DibAwIAAAALMTAyNC4zODQ1MzgBBgAAAAUAAAABMQEAAAAKMTg4NzY3NDgyOQMAAAADMTYwAgAAAAYxMDAwNTQEAAAAATAHAAAACTcvMTYvMjAxOEadGRE1CdYIwptiEjUJ1gg6Q0lRLk5BU0RBUUdTOkNBTEEuSVFfRUFSTklOR19DTy4xOTk2LjcvMzEvMjAxOC5MRlIuRi5VU0QuSAEAAAClJ4EGAgAAAActMzQuMDA5AQgAAAAFAAAAATEBAAAACjE4ODc5ODAyNzcDAAAAAzE2MAIAAAABNwQAAAABMAcAAAAJNy8zMS8yMDE4CAAAAAkzLzMxLzIwMTcJAAAAATDIMLI3CAnWCN1LpG80CdYIOUNJUS5OQVNEQVFHTTpDUlZTLklRX1RPVEFMX1JFVi4xOTkyLjcvMzEvMjAxOC5MRlIuRi5VU0QuSAEAAAD0sKYQAwAAAAAA1owROAgJ1ggZ6aFvNAnWCCVDSVEuSVFUUjU0ODMzODAyMC5JUV9UUl9NQUpfTUlOX1NUQUtFAQAAAGT5riADAAAACE1ham9yaXR5AAxtEA41CdYIwNuCDjUJ1gg8Q0lRLk5BU0RBUUdNOkNSVlMuSVFfVE9UQUxfRVFVSVRZLjIwMDAuNy8zMS8yMDE4LkxGUi5GLlVTRC5IAQAAAPSwphACAAAABzEzNy4yMjgBCAAAAAUAAAABMQEAAAAKMTg4NjM2NzU5MQMAAAADMTYwAgAAAAQxMjc1BAAAAAEwBwAAAAk3LzMxLzIwMTgIAAAACTMv</t>
  </si>
  <si>
    <t>MzEvMjAxOAkAAAABMNaMETgICdYIGemhbzQJ1gg7Q0lRLk5BU0RBUUdNOkNSVlMuSVFfUFJFRl9FUVVJVFkuMjAwMC43LzMxLzIwMTguTEZSLkYuVVNELkgBAAAA9LCmEAMAAAAAANaMETgICdYIGemhbzQJ1gguQ0lRLklRVFI1NDc0MjM2ODAuSVFfVFJfVEFSR0VUX1NUT0NLUFJFTUlVTV8xVwEAAADABaEgAgAAAAc3Ny4wNDkyAQYAAAAFAAAAAjU0AQAAAAYxMDEwNTQCAAAACTU0NzQyMzY4MAMAAAAJNTQ3NDMzMDY1BAAAAAMxNjAGAAAABUZhbHNlDG0QDjUJ1ggMPoUONQnWCDBDSVEuTkFTREFRR006QUZNRC5JUV9MQVNUU0FMRVBSSUNFLjcvMTYvMjAxOC5VU0QBAAAA2/cMAAIAAAAEMS43NQApHJQQNQnWCDDXXRI1CdYIJENJUS5OQVNEQVFHUzpGUFJYLklRX0VGRkVDVF9UQVhfUkFURQEAAAA3XTMAAwAAAAJOTQEIAAAABQAAAAExAQAAAAoxODk5Mjg0MDY0AwAAAAMxNjACAAAABDQzNzYEAAAAATAHAAAACTgvMjMvMjAxOAgAAAAJNi8zMC8yMDE4CQAAAAEwyDCyNwgJ1gg27pUONQnWCENDSVEuTkFTREFRR006Q1JJUy5JUV9FQklUREFfNVlSX0FOTl9DQUdSLjIwMDAuNy8zMS8yMDE4LkxGUi5GLlVTRC5IAQAAABdqAAADAAAAAk5NAQgAAAAFAAAAATEBAAAACjE4ODYyNDc0MjADAAAAAzE2MAIAAAAENDIzNQQAAAABMAcAAAAJNy8zMS8yMDE4CAAAAAkzLzMxLzIwMTgJAAAAATDIMLI3CAnWCN1L</t>
  </si>
  <si>
    <t>pG80CdYIOUNJUS5OQVNEQVFHUzpDQUxBLklRX1RPVEFMX0RFQlQuMjAwMC41LzUvMjAxNy5MRlIuRi5VU0QuSAEAAAClJ4EGAgAAAAEwAQgAAAAFAAAAATEBAAAACjE4MzIxNzc2NjYDAAAAAzE2MAIAAAAENDE3MwQAAAABMAcAAAAINS81LzIwMTcIAAAACjEyLzMxLzIwMTYJAAAAATDIMLI3CAnWCN1LpG80CdYII0NJUS5OQVNEQVFHUzpUU1JPLklRX1BFUklPRERBVEVfSVMuAQAAAGjWWAYFAAAACTYvMzAvMjAxOADE/xsRNQnWCBL+ZBI1CdYINkNJUS5OQVNEQVFHUzpNR05YLklRX0VBUk5JTkdfQ08uLjcvMTYvMjAxOC5MRlIuRi5VU0QuSAEAAABPKwkAAgAAAActMzEuNTA3AQgAAAAFAAAAATEBAAAACjE4ODcxMTQ5NDUDAAAAAzE2MAIAAAABNwQAAAABMAcAAAAJNy8xNi8yMDE4CAAAAAkzLzMxLzIwMTgJAAAAATDE/xsRNQnWCMKbYhI1CdYIO0NJUS5PVENQSzpNQlZYLklRX1RPVEFMX0VRVUlUWS5DWTIwMTYuNy8xNi8yMDE4LkxGUi5GLlVTRC5IAQAAANhEiwICAAAACDMuMzQyNTIyAQgAAAAFAAAAATEBAAAACjE4ODEyMTMyMjADAAAAAzE2MAIAAAAEMTI3NQQAAAABMAcAAAAJNy8xNi8yMDE4CAAAAAoxMi8zMS8yMDE2CQAAAAEw3qd+EDUJ1giYElkSNQnWCCdDSVEuTkFTREFRR006TkxOSy5JUV9CRVRBXzJZUi43LzE2LzIwMTgBAAAAlXuMAAIAAAAPMi4wOTg3MTM5NTI1MjE1ACkclBA1CdYI</t>
  </si>
  <si>
    <t>5HRbEjUJ1gg8Q0lRLk5BU0RBUUdTOkNBTEEuSVFfRUJJVERBX0VTVC5DWTIwMTguNy8xNi8yMDE4LkNPTi5GLlVTRC5IAQAAAKUngQYDAAAAAAApHJQQNQnWCOR0WxI1CdYIOUNJUS5OQVNEQVFHUzpFUFpNLklRX1RPVEFMX1JFVi4xOTkyLjcvMzEvMjAxOC5MRlIuRi5VU0QuSAEAAAADJj0DAgAAAAUyLjEyMQEIAAAABQAAAAExAQAAAAoxODQwNjMwMzk0AwAAAAMxNjACAAAAAjI4BAAAAAEwBwAAAAk3LzMxLzIwMTgIAAAACTMvMzEvMjAxNgkAAAABMNaMETgICdYIJMKabzQJ1ghGQ0lRLk5BU0RBUUdTOkJHTkUuSVFfVE9UQUxfUkVWXzVZUl9BTk5fQ0FHUi4yMDAwLjcvMzEvMjAxOC5MRlIuRi5VU0QuSAEAAADg5N0GAwAAAAAAnAvVOAgJ1gjUX5hvNAnWCD9DSVEuTkFTREFRR006WE5DUi5JUV9FQklUREFfMllSX0FOTl9DQUdSLi43LzE2LzIwMTguTEZSLkYuVVNELkgBAAAAploLAAMAAAACTk0BCAAAAAUAAAABMQEAAAAKMTg4NzEyNTg1NQMAAAADMTYwAgAAAAQ0MjA5BAAAAAEwBwAAAAk3LzE2LzIwMTgIAAAACTMvMzEvMjAxOAkAAAABMMT/GxE1CdYIEv5kEjUJ1ggxQ0lRLk5BU0RBUUdTOkJHTkUuSVFfVE9UQUxfREVCVC4yMDAwLi5MRlIuRi5VU0QuSAEAAADg5N0GAgAAAAcyMDkuNzUxAQgAAAAFAAAAATEBAAAACjE4OTk5MDA2MzEDAAAAAzE2MAIAAAAENDE3MwQAAAABMAcAAAAJOC8yMy8y</t>
  </si>
  <si>
    <t>MDE4CAAAAAk2LzMwLzIwMTgJAAAAATCcC9U4CAnWCJwL1TgICdYIPENJUS5OQVNEQVFHTTpYTkNSLklRX0VCSVREQV9FU1QuQ1kyMDE4LjcvMTYvMjAxOC5DT04uRi5VU0QuSAEAAACmWgsAAgAAAAMtOTgBDgAAAAUAAAACMTEBAAAAATACAAAACjEwMDIwMjUyNDcDAAAABjEwMDE4NwQAAAABMgYAAAABMAcAAAADMTYwCAAAAAEwCQAAAAExCgAAAAEwCwAAAAsxMDkxNTgzNDM1NgwAAAABNw0AAAAJNy8xNy8yMDE4EAAAAAk3LzE2LzIwMTjE/xsRNQnWCBL+ZBI1CdYIKkNJUS5JUVRSNTQ4MzM4MDIwLklRX1RSX1RBUkdFVF9FQklULi5VU0QuSAEAAABk+a4gAgAAAAAADG0QDjUJ1gjA24IONQnWCCVDSVEuTkFTREFRR1M6TksuSVFfUEVSSU9EREFURV9JUy4xMDAwAQAAAA19oQ8FAAAACjEyLzMxLzIwMTcA1owROAgJ1ggDQL+LNAnWCBZDSVEuMC5JUV9UUl9UQVJHRVROQU1FBQAAAAAAAAAIAAAAGChJbnZhbGlkIFRyYW5zYWN0aW9uIElkKUlTR280CdYIB+LwgTQJ1gg1Q0lRLk5BU0RBUUdTOkZQUlguSVFfTklfTUFSR0lOLi43LzE2LzIwMTguTEZSLkYuVVNELkgBAAAAN10zAAIAAAAJLTIyMS43NDQ2AQgAAAAFAAAAATEBAAAACjE4ODc0MDIyMjcDAAAAAzE2MAIAAAAENDA5NAQAAAABMAcAAAAJNy8xNi8yMDE4CAAAAAkzLzMxLzIwMTgJAAAAATApHJQQNQnWCHM5YBI1CdYIM0NJUS5OQVNEQVFHUzpO</t>
  </si>
  <si>
    <t>Sy5JUV9EQV9DRi4yMDAwLjcvMzEvMjAxOC5MRlIuRi5VU0QuSAEAAAANfaEPAgAAAAU2LjAyNwEIAAAABQAAAAExAQAAAAoxODg3MTE4NzkxAwAAAAMxNjACAAAABDIxNjAEAAAAATAHAAAACTcvMzEvMjAxOAgAAAAJMy8zMS8yMDE4CQAAAAEw1owROAgJ1ggZ6aFvNAnWCCJDSVEuSVFUUjU1MTE2NjI5Mi5JUV9UUl9UQVJHRVROQU1FAQAAAFQh2iADAAAAHENhc2NhZGlhbiBUaGVyYXBldXRpY3MsIEluYy4ADG0QDjUJ1gjA24IONQnWCDFDSVEuTkFTREFRR1M6Sk5DRS5JUV9EQV9DRi4uNy8xNi8yMDE4LkxGUi5GLlVTRC5IAQAAAOJ5ng0CAAAABTQuNDAzAQgAAAAFAAAAATEBAAAACjE4ODgxODYzNzQDAAAAAzE2MAIAAAAEMjE2MAQAAAABMAcAAAAJNy8xNi8yMDE4CAAAAAkzLzMxLzIwMTgJAAAAATDep34QNQnWCOR0WxI1CdYIMkNJUS5BU1g6SU1VLklRX1RPVEFMX0VRVUlUWS4uNy8xNi8yMDE4LkxGUi5GLlVTRC5IAQAAAJiTqQACAAAACTEzLjkzNTA2OAEIAAAABQAAAAExAQAAAAoxODc3MzA1MzIwAwAAAAMxNjACAAAABDEyNzUEAAAAATAHAAAACTcvMTYvMjAxOAgAAAAKMTIvMzEvMjAxNwkAAAABMCkclBA1CdYIMNddEjUJ1gg/Q0lRLk5BU0RBUUdTOlNHRU4uSVFfRUJJVERBXzNZUl9BTk5fQ0FHUi4uNy8xNi8yMDE4LkxGUi5GLlVTRC5IAQAAAGGFAAADAAAAAk5NAQgAAAAFAAAAATEBAAAA</t>
  </si>
  <si>
    <t>CjE4ODQ4OTI4NTIDAAAAAzE2MAIAAAAENDIyMgQAAAABMAcAAAAJNy8xNi8yMDE4CAAAAAkzLzMxLzIwMTgJAAAAATDE/xsRNQnWCGhgZxI1CdYIPkNJUS5OQVNEQVFHUzpUU1JPLklRX1RPVEFMX0VRVUlUWS5DWTIwMTcuNy8zMS8yMDE4LkxGUi5GLlVTRC5IAQAAAGjWWAYCAAAABzI0OS4wODYBCAAAAAUAAAABMQEAAAAKMTg3NzIyNjMwMQMAAAADMTYwAgAAAAQxMjc1BAAAAAEwBwAAAAk3LzMxLzIwMTgIAAAACjEyLzMxLzIwMTcJAAAAATCcC9U4CAnWCCTCmm80CdYIIUNJUS5JUVRSNDA4MjkxMzk1LklRX1RSX0JVWUVSTkFNRQEAAABDCFYYAwAAABpDZWxsZGV4IFRoZXJhcGV1dGljcywgSW5jLgBYzxIONQnWCMDbgg41CdYIPENJUS5OQVNEQVFHTTpDUklTLklRX0dST1NTX01BUkdJTi4yMDAwLjcvMzEvMjAxOC5MRlIuRi5VU0QuSAEAAAAXagAAAgAAAAktMjk0LjA4ODkBCAAAAAUAAAABMQEAAAAKMTg4NjI0NzQyMAMAAAADMTYwAgAAAAQ0MDc0BAAAAAEwBwAAAAk3LzMxLzIwMTgIAAAACTMvMzEvMjAxOAkAAAABMMgwsjcICdYI3UukbzQJ1ggnQ0lRLk5BU0RBUUdNOkFSUlkuSVFfQkVUQV8yWVIuNy8zMS8yMDE4AQAAAPhhAAACAAAAETAuNDc4NDIwMTM4MzMwMDc1AJwL1TgICdYIJMKabzQJ1ggtQ0lRLi5JUV9QUkVGX0VRVUlUWS4yMDAwLjUvNS8yMDE3LkxGUi5GLlVTRC5IBQAAAAEAAAAI</t>
  </si>
  <si>
    <t>AAAAFChJbnZhbGlkIElkZW50aWZpZXIp9YQyRzQJ1gj1hDJHNAnWCDFDSVEuTkFTREFRR1M6QU5BQi5JUV9DQVBFWC4uNy8xNi8yMDE4LkxGUi5GLlVTRC5IAQAAACFMsgECAAAABi0wLjQzNwEIAAAABQAAAAExAQAAAAoxODg3NDAwMDQzAwAAAAMxNjACAAAABDIwMjEEAAAAATAHAAAACTcvMTYvMjAxOAgAAAAJMy8zMS8yMDE4CQAAAAEwxP8bETUJ1gjCm2ISNQnWCDxDSVEuTkFTREFRQ006U1JORS5JUV9FQVJOSU5HX0NPLkNZMjAxNy43LzMxLzIwMTguTEZSLkYuVVNELkgBAAAASUOUAwIAAAAGMTEuMTA5AQgAAAAFAAAAATEBAAAACjE4Nzg2Nzc0NTYDAAAAAzE2MAIAAAABNwQAAAABMAcAAAAJNy8zMS8yMDE4CAAAAAoxMi8zMS8yMDE3CQAAAAEw1owROAgJ1ghzJJ1vNAnWCEJDSVEuTkFTREFRR006WE5DUi5JUV9UT1RBTF9SRVZfNVlSX0FOTl9DQUdSLi43LzE2LzIwMTguTEZSLkYuVVNELkgBAAAAploLAAIAAAAHMzEuNzcyMQEIAAAABQAAAAExAQAAAAoxODg3MTI1ODU1AwAAAAMxNjACAAAABDQyMzMEAAAAATAHAAAACTcvMTYvMjAxOAgAAAAJMy8zMS8yMDE4CQAAAAEwxP8bETUJ1ggS/mQSNQnWCDxDSVEuTkFTREFRQ006TVRFTS5JUV9UT1RBTF9FUVVJVFkuMjAwMC43LzMxLzIwMTguTEZSLkYuVVNELkgBAAAAmZupAQIAAAAGNzAuOTQxAQgAAAAFAAAAATEBAAAACjE4ODg3MzMwMDQDAAAA</t>
  </si>
  <si>
    <t>AzE2MAIAAAAEMTI3NQQAAAABMAcAAAAJNy8zMS8yMDE4CAAAAAkzLzMxLzIwMTgJAAAAATDIMLI3CAnWCBnpoW80CdYINUNJUS5OQVNEQVFDTTpaSU9QLklRX0RBX0NGLjIwMDAuNy8zMS8yMDE4LkxGUi5GLlVTRC5IAQAAALNRsgACAAAABTAuNDA3AQgAAAAFAAAAATEBAAAACjE4ODc5NzIzNTkDAAAAAzE2MAIAAAAEMjE2MAQAAAABMAcAAAAJNy8zMS8yMDE4CAAAAAkzLzMxLzIwMTgJAAAAATDWjBE4CAnWCMOGn280CdYIIkNJUS5JUVRSNDA4NDA3ODIyLklRX1RSX1RBUkdFVE5BTUUBAAAADs9XGAMAAABAVGV0cmFsb2dpYyBQaGFybWFjZXV0aWNhbHMgQ29ycG9yYXRpb24sIFN1YnN0YW50aWFsbHkgQWxsIEFzc2V0cwCys0lvNAnWCIH9lW80CdYIMENJUS5FTlhUUEE6SVBILklRX1BFUklPRERBVEVfSVMuLjcvMTYvMjAxOC5MRlIuRgEAAACZgAYABQAAAAoxMi8zMS8yMDE3ACkclBA1CdYIczlgEjUJ1gg7Q0lRLk5BU0RBUUNNOkFWRU8uSVFfTkVUX1dPUktJTkdfQ0FQLi43LzE2LzIwMTguTEZSLkYuVVNELkgBAAAA9BYdAAIAAAAHLTE1LjIzNQEIAAAABQAAAAExAQAAAAoxODg3MjM0Mjk1AwAAAAMxNjACAAAABDEzMTEEAAAAATAHAAAACTcvMTYvMjAxOAgAAAAJMy8zMS8yMDE4CQAAAAEwxP8bETUJ1gjCm2ISNQnWCENDSVEuTkFTREFRR1M6QU5BQi5JUV9NSU5PUklUWV9JTlRFUkVTVF9UT1RB</t>
  </si>
  <si>
    <t>TC4uOS8xNS8yMDE3LkxGUi5GLlVTRC5IAQAAACFMsgEDAAAAAADE/xsRNQnWCMKbYhI1CdYIOkNJUS5OQVNEQVFHUzpUU1JPLklRX1RPVEFMX0RFQlQuMjAwMC43LzMxLzIwMTguTEZSLkYuVVNELkgBAAAAaNZYBgIAAAAHNDQwLjQxNwEIAAAABQAAAAExAQAAAAoxODg2MzM3NDY2AwAAAAMxNjACAAAABDQxNzMEAAAAATAHAAAACTcvMzEvMjAxOAgAAAAJMy8zMS8yMDE4CQAAAAEwnAvVOAgJ1ggkwppvNAnWCB9DSVEuMC5JUV9UUl9JTVBMSUVEX0VWX0VCSVRfRldEBQAAAAAAAAAIAAAAGChJbnZhbGlkIFRyYW5zYWN0aW9uIElkKUlTR280CdYIB+LwgTQJ1ggwQ0lRLk5BU0RBUUdTOlRTUk8uSVFfTEFTVFNBTEVQUklDRS43LzMxLzIwMTguVVNEAQAAAGjWWAYCAAAABTM0LjgzAJwL1TgICdYIJMKabzQJ1ggpQ0lRLklRMzYxODM4MTMuSVFfTEFTVFNBTEVQUklDRS43LzE2LzIwMTgBAAAABR8oAgIAAAADMS45AAxtEA41CdYIDD6FDjUJ1ggnQ0lRLk5BU0RBUUdTOkNBTEEuSVFfQkVUQV8xWVIuNy8xNi8yMDE4AQAAAKUngQYCAAAAETAuOTEzNjYyNDM0NjA1ODQzACkclBA1CdYI5HRbEjUJ1gg+Q0lRLk5BU0RBUUdNOkZBVEUuSVFfVE9UQUxfRVFVSVRZLkNZMjAxNi43LzMxLzIwMTguTEZSLkYuVVNELkgBAAAAaDFXAgIAAAAGNzMuMTU0AQgAAAAFAAAAATEBAAAACjE4NzcwNjkwNjcDAAAAAzE2MAIA</t>
  </si>
  <si>
    <t>AAAEMTI3NQQAAAABMAcAAAAJNy8zMS8yMDE4CAAAAAoxMi8zMS8yMDE2CQAAAAEw1owROAgJ1gjDhp9vNAnWCEVDSVEuKElOVkFMSUQgSURFTlRJRklFUikuSVFfVE9UQUxfRVFVSVRZLkNZMjAxNy43LzE2LzIwMTguTEZSLkYuVVNELkgFAAAAAAAAAAgAAAAUKEludmFsaWQgSWRlbnRpZmllcinep34QNQnWCJgSWRI1CdYIGkNJUS4uSVFfQkVUQV8yWVIuNy8zMS8yMDE4BQAAAAEAAAAIAAAAFChJbnZhbGlkIElkZW50aWZpZXIp9YQyRzQJ1gj1hDJHNAnWCDdDSVEuKElOVkFMSUQgSURFTlRJRklFUikuSVFfTEFTVFNBTEVQUklDRS43LzE2LzIwMTguVVNEBQAAAAAAAAAIAAAAFChJbnZhbGlkIElkZW50aWZpZXIp3qd+EDUJ1giYElkSNQnWCD1DSVEuTkFTREFRR1M6S1VSQS5JUV9SRVZFTlVFX0VTVC5DWTIwMjEuNy8zMS8yMDE4LkNPTi5GLlVTRC5IAQAAALjL2hACAAAABTg4Ni40AQ4AAAAFAAAAAjExAQAAAAEwAgAAAAoxMDAzMTg0OTkyAwAAAAYxMDAxODAEAAAAATIGAAAAATAHAAAAAzE2MAgAAAABMAkAAAABMQoAAAABMAsAAAALMTEwMzMzNzg0MjgMAAAAATcNAAAACDgvMS8yMDE4EAAAAAk3LzMxLzIwMTjWjBE4CAnWCHMknW80CdYIIENJUS5JUVRSMjUzOTU0NDczLklRX1RSX0VBUk5PVVRTAQAAAKkJIw8CAAAAAACys0lvNAnWCDWbk280CdYIN0NJUS5OQVNEQVFHUzpDVE1YLklRX1BSRUZf</t>
  </si>
  <si>
    <t>RVFVSVRZLi43LzE2LzIwMTguTEZSLkYuVVNELkgBAAAA3DibAwMAAAAAAMT/GxE1CdYIwptiEjUJ1ggwQ0lRLklRVFIzMDc4NjM5ODQuSVFfVFJfVEFSR0VUX0VCSVREQV9FU1QuLlVTRC5IAQAAALChWRICAAAAAABYzxIONQnWCMDbgg41CdYILUNJUS5OQVNEQVFDTTpDS1BULklRX0RJVklERU5EX1lJRUxELjcvMTYvMjAxOAEAAAC4URYRAwAAAAAAKRyUEDUJ1gjkdFsSNQnWCDxDSVEuTkFTREFRQ006TVRFTS5JUV9HUk9TU19NQVJHSU4uMjAwMC43LzMxLzIwMTguTEZSLkYuVVNELkgBAAAAmZupAQMAAAACTk0BCAAAAAUAAAABMQEAAAAKMTg4ODczMzAwNAMAAAADMTYwAgAAAAQ0MDc0BAAAAAEwBwAAAAk3LzMxLzIwMTgIAAAACTMvMzEvMjAxOAkAAAABMMgwsjcICdYIGemhbzQJ1gg2Q0lRLk5BU0RBUUdTOlRTUk8uSVFfRUJJVERBLjE5OTIuNy8zMS8yMDE4LkxGUi5GLlVTRC5IAQAAAGjWWAYCAAAACC0yNzAuNjg1AQgAAAAFAAAAATEBAAAACjE4NDA5MzQ2NjMDAAAAAzE2MAIAAAAENDA1MQQAAAABMAcAAAAJNy8zMS8yMDE4CAAAAAkzLzMxLzIwMTYJAAAAATCcC9U4CAnWCCTCmm80CdYIPUNJUS4oSU5WQUxJRCBJREVOVElGSUVSKS5JUV9UT1RBTF9ERUJULi43LzE2LzIwMTguTEZSLkYuVVNELkgFAAAAAAAAAAgAAAAUKEludmFsaWQgSWRlbnRpZmllcinep34QNQnWCJgSWRI1CdYII0NJUS5J</t>
  </si>
  <si>
    <t>UVRSMjYzNzE4NjQ3LklRX1RSX0NMT1NFRF9EQVRFAQAAAPcGuA8FAAAACDcvOC8yMDE0ALKzSW80CdYINZuTbzQJ1ggjQ0lRLk5BU0RBUUdTOlNHRU4uSVFfUEVSSU9EREFURV9JUy4BAAAAYYUAAAUAAAAJNi8zMC8yMDE4AEadGRE1CdYIaGBnEjUJ1ggzQ0lRLk5BU0RBUUdTOkJHTkUuSVFfRUFSTklOR19DTy5DWTIwMTcuLkxGUi5GLlVTRC5IAQAAAODk3QYCAAAABy05NS44NjcBCAAAAAUAAAABMQEAAAAKMTg5OTg4MTE5NAMAAAADMTYwAgAAAAE3BAAAAAEwBwAAAAk4LzIzLzIwMTgIAAAACjEyLzMxLzIwMTcJAAAAATCcC9U4CAnWCJwL1TgICdYINUNJUS5BU1g6SU1VLklRX05FVF9XT1JLSU5HX0NBUC4uNy8xNi8yMDE4LkxGUi5GLlVTRC5IAQAAAJiTqQACAAAACDAuMjE1NTU0AQgAAAAFAAAAATEBAAAACjE4NzczMDUzMjADAAAAAzE2MAIAAAAEMTMxMQQAAAABMAcAAAAJNy8xNi8yMDE4CAAAAAoxMi8zMS8yMDE3CQAAAAEwKRyUEDUJ1ggw110SNQnWCDVDSVEuTkFTREFRR006Q1JJUy5JUV9DQVBFWC4yMDAwLjcvMzEvMjAxOC5MRlIuRi5VU0QuSAEAAAAXagAAAgAAAAYtMC4yMTMBCAAAAAUAAAABMQEAAAAKMTg4NjI0NzQyMAMAAAADMTYwAgAAAAQyMDIxBAAAAAEwBwAAAAk3LzMxLzIwMTgIAAAACTMvMzEvMjAxOAkAAAABMMgwsjcICdYI3UukbzQJ1gg8Q0lRLk5BU0RBUUdTOkZQUlguSVFf</t>
  </si>
  <si>
    <t>RUFSTklOR19DTy5DWTIwMTcuNy8xNi8yMDE4LkxGUi5GLlVTRC5IAQAAADddMwACAAAACC0xNTAuMjIyAQgAAAAFAAAAATEBAAAACjE4NzYxMzU5OTEDAAAAAzE2MAIAAAABNwQAAAABMAcAAAAJNy8xNi8yMDE4CAAAAAoxMi8zMS8yMDE3CQAAAAEwKRyUEDUJ1ghzOWASNQnWCCxDSVEuSVFUUjMwMjg2NjYyNy5JUV9UUl9UT1RBTF9HUk9TU19UVi5VU0QuSAUAAAAAAAAACAAAABooSW52YWxpZCBDdXJyZW5jeSBSZXF1ZXN0KQxtEA41CdYIDD6FDjUJ1gg1Q0lRLk5BU0RBUUdTOkJHTkUuSVFfQ0FTSF9TVF9JTlZFU1QuMjAwMC4uTEZSLkYuVVNELkgBAAAA4OTdBgIAAAAIMTM2OS42MjgBCAAAAAUAAAABMQEAAAAKMTg5OTkwMDYzMQMAAAADMTYwAgAAAAQxMDAyBAAAAAEwBwAAAAk4LzIzLzIwMTgIAAAACTYvMzAvMjAxOAkAAAABMJwL1TgICdYInAvVOAgJ1ggrQ0lRLk5BU0RBUUdTOk5LLklRX0RJVklERU5EX1lJRUxELjcvMzEvMjAxOAEAAAANfaEPAwAAAAAA1owROAgJ1ggZ6aFvNAnWCC5DSVEuSVFUUjU0MjgwNjY4Ni5JUV9UUl9UQVJHRVRfU1RPQ0tQUkVNSVVNXzFNAQAAAJ6SWiACAAAAAACys0lvNAnWCIH9lW80CdYILENJUS5JUVRSNDAzNzkxNzY3LklRX1RSX1RBUkdFVF9FQklUREEuLlVTRC5IAQAAAJdfERgCAAAAAABYzxIONQnWCMDbgg41CdYINkNJUS5OQVNEQVFHUzpDVE1YLklRX0VB</t>
  </si>
  <si>
    <t>Uk5JTkdfQ08uLjcvMTYvMjAxOC5MRlIuRi5VU0QuSAEAAADcOJsDAgAAAActNTAuMzM1AQgAAAAFAAAAATEBAAAACjE4ODc2NzUzMTYDAAAAAzE2MAIAAAABNwQAAAABMAcAAAAJNy8xNi8yMDE4CAAAAAkzLzMxLzIwMTgJAAAAATDE/xsRNQnWCMKbYhI1CdYIJUNJUS5JUVRSNTMzNjM5NTAxLklRX1BSSU1BUllfSU5EVVNUUlkBAAAAW47aAQMAAAANQmlvdGVjaG5vbG9neQAMbRAONQnWCMDbgg41CdYIQ0NJUS5OQVNEQVFHUzpGUFJYLklRX01JTk9SSVRZX0lOVEVSRVNUX1RPVEFMLi43LzE2LzIwMTguTEZSLkYuVVNELkgBAAAAN10zAAMAAAAAACkclBA1CdYIczlgEjUJ1ghCQ0lRLihJTlZBTElEIElERU5USUZJRVIpLklRX1BSRUZfRVFVSVRZLjIwMDAuNy8zMS8yMDE4LkxGUi5GLlVTRC5IBQAAAAAAAAAIAAAAFChJbnZhbGlkIElkZW50aWZpZXIpyDCyNwgJ1gjtNrBvNAnWCDZDSVEuTkFTREFRR1M6QVROWC5JUV9FQklUREEuMTk5Mi43LzMxLzIwMTguTEZSLkYuVVNELkgBAAAA3JlrAQIAAAAHLTE3LjUwNwEIAAAABQAAAAExAQAAAAoxODQyNDkwMjczAwAAAAMxNjACAAAABDQwNTEEAAAAATAHAAAACTcvMzEvMjAxOAgAAAAKMTIvMzEvMjAxNAkAAAABMNaMETgICdYIJMKabzQJ1gguQ0lRLk5BU0RBUUdTOlBCWUkuSVFfTUFSS0VUQ0FQLjcvMTYvMjAxOC5VU0QuSAEAAAACaqwHAgAAAAsxOTg3</t>
  </si>
  <si>
    <t>LjAwMDE1OAEGAAAABQAAAAExAQAAAAoxODg4NjY3MTE1AwAAAAMxNjACAAAABjEwMDA1NAQAAAABMAcAAAAJNy8xNi8yMDE4Rp0ZETUJ1ggS/mQSNQnWCDZDSVEuTkFTREFRR1M6TVJTTi5JUV9FQVJOSU5HX0NPLi43LzE2LzIwMTguTEZSLkYuVVNELkgBAAAA5sUYAAIAAAAHLTQzLjA0OQEIAAAABQAAAAExAQAAAAoxODg5MDk2NjUzAwAAAAMxNjACAAAAATcEAAAAATAHAAAACTcvMTYvMjAxOAgAAAAJMy8zMS8yMDE4CQAAAAEwKRyUEDUJ1ghzOWASNQnWCDxDSVEuTkFTREFRR1M6QVROWC5JUV9UT1RBTF9FUVVJVFkuMjAwMC43LzMxLzIwMTguTEZSLkYuVVNELkgBAAAA3JlrAQIAAAAHMTU2LjA4NQEIAAAABQAAAAExAQAAAAoxODg4NzAyOTgyAwAAAAMxNjACAAAABDEyNzUEAAAAATAHAAAACTcvMzEvMjAxOAgAAAAJMy8zMS8yMDE4CQAAAAEw1owROAgJ1ggkwppvNAnWCDVDSVEuTkFTREFRR006TFBUWC5JUV9OSV9NQVJHSU4uLjcvMTYvMjAxOC5MRlIuRi5VU0QuSAEAAAAMNgkHAwAAAAAAKRyUEDUJ1ggw110SNQnWCCxDSVEuSVFUUjQwODI5MTM5NS5JUV9UUl9UT1RBTF9HUk9TU19UVi5VU0QuSAUAAAAAAAAACAAAABooSW52YWxpZCBDdXJyZW5jeSBSZXF1ZXN0KQxtEA41CdYIwNuCDjUJ1ggnQ0lRLk5BU0RBUUdTOlRTUk8uSVFfQkVUQV8yWVIuNy8xNi8yMDE4AQAAAGjWWAYCAAAAEDEuMDMy</t>
  </si>
  <si>
    <t>MjQwNDAyMTg4NjYAxP8bETUJ1ggS/mQSNQnWCD5DSVEuTkFTREFRR1M6QkdORS5JUV9DQVNIX1NUX0lOVkVTVC4yMDAwLjcvMzEvMjAxOC5MRlIuRi5VU0QuSAEAAADg5N0GAgAAAAgxNDY0LjAxNQEIAAAABQAAAAExAQAAAAoxODg3Njg4NTg4AwAAAAMxNjACAAAABDEwMDIEAAAAATAHAAAACTcvMzEvMjAxOAgAAAAJMy8zMS8yMDE4CQAAAAEwnAvVOAgJ1giB/ZVvNAnWCCxDSVEuSVFUUjU0NzQyMzY4MC5JUV9UUl9UT1RBTF9HUk9TU19UVi5VU0QuSAUAAAAAAAAACAAAABooSW52YWxpZCBDdXJyZW5jeSBSZXF1ZXN0KQxtEA41CdYIwNuCDjUJ1gglQ0lRLklRVFI0MzE4NDE1ODEuSVFfVFJfTUFKX01JTl9TVEFLRQEAAAAtYb0ZAwAAAAhNYWpvcml0eQAMbRAONQnWCAw+hQ41CdYIKUNJUS5JUVRSNTUxMTY2MjkyLklRX0JVU0lORVNTX0RFU0NSSVBUSU9OAQAAAAtkAAADAAAAgQpDYXNjYWRpYW4gVGhlcmFwZXV0aWNzLCBJbmMuLCBhIGNsaW5pY2FsLXN0YWdlIGJpb3BoYXJtYWNldXRpY2FsIGNvbXBhbnksIGZvY3VzZXMgb24gdGhlIGRldmVsb3BtZW50IG9mIHRoZXJhcGV1dGljIHByb2R1Y3RzIGZvciB0aGUgdHJlYXRtZW50IG9mIGNhbmNlci4gSXRzIGxlYWQgY2xpbmljYWwtc3RhZ2UgcHJvZHVjdCBjYW5kaWRhdGUgaXMgdHVjYXRpbmliLCBhbiBvcmFsLCBIRVIyLXNlbGVjdGl2ZSBzbWFs</t>
  </si>
  <si>
    <t>bCBtb2xlY3VsZSB0eXJvc2luZSBraW5hc2UgaW5oaWJpdG9yLCB3aGljaCBpcyBpbiB0d28gUGhhc2UgSWIgY2xpbmljYWwgdHJpYWxzLCBvbmUgaW4gY29tYmluYXRpb24gd2l0aCBULURNMSBhbmQgYW5vdGhlciBpbiBjb21iaW5hdGlvbiB3aXRoIGNhcGVjaXRhYmluZSBhbmQvb3IgdHJhc3R1enVtYWIgZm9yIHRoZSB0cmVhdG1lbnQgb2YgbWV0YXN0YXRpYyBicmVhc3QgY2FuY2VyLiBUaGUgY29tcGFueeKAmXMgcHJvZHVjdCBwaXBlbGluZSBhbHNvIGluY2x1ZGVzIHR3byBwcmVjbGluaWNhbC1zdGFnZSBwcm9kdWN0IGNhbmRpZGF0ZXMsIHdoaWNoIGluY2x1ZGUgQ0FTQy01NzgsIGEgQ2hrMSBjZWxsIGN5Y2xlIGluaGliaXRvcjsgYW5kIENBU0MtNjc0LCBhbiBhbnRpYm9keSBhZ2FpbnN0IGFuIGltbXVuby1vbmNvbG9neSB0YXJnZXQuIEl0IGhhcyBhIGxpY2Vuc2UgYWdyZWVtZW50IHdpdGggQXJyYXkgQmlvUGhhcm1hIEluYy4gdG8gZGV2ZWxvcCwgbWFudWZhY3R1cmUsIGFuZCBjb21tZXJjaWFsaXplIHR1Y2F0aW5pYjsgcmVzZWFyY2ggY29sbGFib3JhdGlvbiBhZ3JlZW1lbnQgd2l0aCBTZW50aW5lbCBPbmNvbG9neSBMdGQuIGZvciB0aGUgZGlzY292ZXJ5IG9mIG5vdmVsIENoazEgaW5oaWJpdG9yczsgYW5kIGNvbGxhYm9yYXRpb24gYWdyZWVtZW50IHdpdGggQWRpbWFiIExMQyBm</t>
  </si>
  <si>
    <t>b3IgdGhlIGRpc2NvdmVyeSBvZiBub3ZlbCBhbnRpYm9kaWVzIGFnYWluc3QgaW1tdW5vdGhlcmFweSB0YXJnZXRzIGluIG9uY29sb2d5LiBUaGUgY29tcGFueSB3YXMgZm9ybWVybHkga25vd24gYXMgT25jb3RoeXJlb24gSW5jLiBhbmQgY2hhbmdlZCBpdHMgbmFtZSB0byBDYXNjYWRpYW4gVGhlcmFwZXV0aWNzLCBJbmMuIGluIEp1bmUgMjAxNi4gQ2FzY2FkaWFuIFRoZXJhcGV1dGljcywgSW5jLiB3YXMgZm91bmRlZCBpbiAxOTg1IGFuZCBpcyBoZWFkcXVhcnRlcmVkIGluIFNlYXR0bGUsIFdhc2hpbmd0b24uIENhc2NhZGlhbiBUaGVyYXBldXRpY3MsIEluYy4gaXMgYSBzdWJzaWRpYXJ5IG9mIFNlYXR0bGUgR2VuZXRpY3MsIEluYy4ADG0QDjUJ1gjA24IONQnWCC9DSVEuSVFUUjQzMTg0MTU4MS5JUV9UUl9UQVJHRVRfVE9UQUxfUkVWLi5VU0QuSAEAAAAtYb0ZAgAAAAAADG0QDjUJ1ggMPoUONQnWCDVDSVEuTkFTREFRR006WE5DUi5JUV9OSV9NQVJHSU4uLjcvMTYvMjAxOC5MRlIuRi5VU0QuSAEAAACmWgsAAgAAAAktMTk1LjQwODQBCAAAAAUAAAABMQEAAAAKMTg4NzEyNTg1NQMAAAADMTYwAgAAAAQ0MDk0BAAAAAEwBwAAAAk3LzE2LzIwMTgIAAAACTMvMzEvMjAxOAkAAAABMMT/GxE1CdYIEv5kEjUJ1ggmQ0lRLkVOWFRQQTpJUEguSVFfQlVTSU5FU1NfREVTQ1JJUFRJT04BAAAAmYAGAAMA</t>
  </si>
  <si>
    <t>AADKCUlubmF0ZSBQaGFybWEgUy5BLiwgYSBjbGluaWNhbC1zdGFnZSBiaW90ZWNobm9sb2d5IGNvbXBhbnksIGRpc2NvdmVycyBhbmQgZGV2ZWxvcHMgdGhlcmFwZXV0aWMgYW50aWJvZGllcyBmb3IgdGhlIHRyZWF0bWVudCBvZiBjYW5jZXIgaW4gRnJhbmNlIGFuZCBpbnRlcm5hdGlvbmFsbHkuIEl0IG9mZmVycyBJUEg0MTAyLCBhbiBhbnRpLUtJUjNETDIgaHVtYW5pemVkIGN5dG90b3hpY2l0eS1pbmR1Y2luZyBhbnRpYm9keSwgd2hpY2ggaXMgaW4gUGhhc2UgSSBjbGluaWNhbCB0cmlhbCBmb3IgY3V0YW5lb3VzIFQtY2VsbCBseW1waG9tYXM7IE1vbmFsaXp1bWFiLCBhIGNoZWNrcG9pbnQgaW5oaWJpdG9yIHRoYXQgaXMgaW4gUGhhc2UgSUkgY2xpbmljYWwgdHJpYWwgdG8gdHJlYXQgdmFyaW91cyBjYW5jZXIgaW5kaWNhdGlvbnMsIGFzIHdlbGwgYXMgaW4gUGhhc2UgSS9JSSBjbGluaWNhbCB0cmlhbCBmb3IgdGhlIHRyZWF0bWVudCBvZiBzb2xpZCB0dW1vcnM7IGFuZCBJUEg1NDAxLCBhIHRoZXJhcGV1dGljIGFudGlib2R5IHRoYXQgYmluZHMgYW5kIGJsb2NrcyBDNWEgcmVjZXB0b3JzIGV4cHJlc3NlZCBvbiBzdWJzZXRzIG9mIG15ZWxvaWQtZGVyaXZlZCBzdXBwcmVzc29yIGNlbGxzIGFuZCBuZXV0cm9waGlscy4gVGhlIGNvbXBhbnkgYWxzbyBwcm92aWRlcyBMaXJpbHVtYWIgKElQ</t>
  </si>
  <si>
    <t>SDIxMDIvQk1TLTk4NjAxNSksIGEgaHVtYW4gbW9ub2Nsb25hbCBhbnRpYm9keSB0aGF0IGJsb2NrcyB0aGUgaW50ZXJhY3Rpb24gYmV0d2VlbiBLSVIyREwtMSwtMiwtMyBpbmhpYml0b3J5IHJlY2VwdG9ycyBhbmQgdGhlaXIgbGlnYW5kczsgSVBINTIsIGFuIGFudGktQ0QzOSBhbnRpYm9keSBmb3IgaW1tdW5vLW9uY29sb2d5OyBJUEg1MywgYW4gYW50aS1DRDczIGFudGlib2R5IGZvciBpbW11bm8tb25jb2xvZ3k7IGFuZCBJUEg0MzAxLCBhbiBhbnRpLU1JQ0EvQiB0aGVyYXBldXRpYyBhbnRpYm9keSB0byB0cmVhdCBvbmNvbG9neS4gVGhlIGNvbXBhbnkgaGFzIGxpY2Vuc2luZyBhZ3JlZW1lbnRzIHdpdGggQXN0cmFaZW5lY2EsIEJyaXN0b2wtTXllcnMgU3F1aWJiLCBOb3ZvIE5vcmRpc2sgQS9TLCBhbmQgU2Fub2ZpLiBJbm5hdGUgUGhhcm1hIFMuQS4gaGFzIGEgY2xpbmljYWwgdHJpYWwgY29sbGFib3JhdGlvbiB3aXRoIE1lZEltbXVuZS4gVGhlIGNvbXBhbnkgd2FzIGZvdW5kZWQgaW4gMTk5OSBhbmQgaXMgYmFzZWQgaW4gTWFyc2VpbGxlLCBGcmFuY2UuACkclBA1CdYIczlgEjUJ1gg8Q0lRLk5BU0RBUUdNOklNTVUuSVFfRUJJVERBX0VTVC5DWTIwMTkuNy8xNi8yMDE4LkNPTi5GLlVTRC5IAQAAACBDBAADAAAAAADE/xsRNQnWCBL+ZBI1CdYILENJUS5OQVNEQVFHUzpCR05FLklRX0NB</t>
  </si>
  <si>
    <t>UEVYLjIwMDAuLkxGUi5GLlVTRC5IAQAAAODk3QYCAAAABy01Ny44MDIBCAAAAAUAAAABMQEAAAAKMTg5OTkwMDYzMQMAAAADMTYwAgAAAAQyMDIxBAAAAAEwBwAAAAk4LzIzLzIwMTgIAAAACTYvMzAvMjAxOAkAAAABMJwL1TgICdYInAvVOAgJ1ggtQ0lRLk5BU0RBUUdTOkJHTkUuSVFfRUJJVERBLjE5OTYuLkxGUi5GLlVTRC5IAQAAAODk3QYCAAAABy0xNzkuMjgBCAAAAAUAAAABMQEAAAAKMTg5OTkwMDYxOAMAAAADMTYwAgAAAAQ0MDUxBAAAAAEwBwAAAAk4LzIzLzIwMTgIAAAACTYvMzAvMjAxNwkAAAABMJwL1TgICdYInAvVOAgJ1gg6Q0lRLk5BU0RBUUdTOkJHTkUuSVFfRUFSTklOR19DTy4xOTkyLjcvMzEvMjAxOC5MRlIuRi5VU0QuSAEAAADg5N0GAgAAAActNjguODkxAQgAAAAFAAAAATEBAAAACjE4NDExODAxNjgDAAAAAzE2MAIAAAABNwQAAAABMAcAAAAJNy8zMS8yMDE4CAAAAAkzLzMxLzIwMTYJAAAAATCcC9U4CAnWCIH9lW80CdYIPENJUS5OQVNEQVFHUzpDVE1YLklRX0VBUk5JTkdfQ08uQ1kyMDE2LjcvMTYvMjAxOC5MRlIuRi5VU0QuSAEAAADcOJsDAgAAAAUtNTguOQEIAAAABQAAAAExAQAAAAoxODc3MzE2NzM0AwAAAAMxNjACAAAAATcEAAAAATAHAAAACTcvMTYvMjAxOAgAAAAKMTIvMzEvMjAxNgkAAAABMMT/GxE1CdYIwptiEjUJ1ggaQ0lRLi5JUV9QRVJJT0REQVRFX0lTLjEw</t>
  </si>
  <si>
    <t>MDAFAAAAAAAAAAgAAAAUKEludmFsaWQgSWRlbnRpZmllcin1hDJHNAnWCHsd7IE0CdYIOkNJUS5OQVNEQVFHUzpGUFJYLklRX0VBUk5JTkdfQ08uMTk5Ni43LzMxLzIwMTguTEZSLkYuVVNELkgBAAAAN10zAAIAAAAFLTg2LjEBCAAAAAUAAAABMQEAAAAKMTg4NzQwMjIyNAMAAAADMTYwAgAAAAE3BAAAAAEwBwAAAAk3LzMxLzIwMTgIAAAACTMvMzEvMjAxNwkAAAABMMgwsjcICdYIGemhbzQJ1gg1Q0lRLk5BU0RBUUdNOkFSUlkuSVFfQ0FQRVguMTk5Mi43LzMxLzIwMTguTEZSLkYuVVNELkgBAAAA+GEAAAIAAAAGLTMuMTU5AQgAAAAFAAAAATEBAAAACjE4NDEwOTUwMjYDAAAAAzE2MAIAAAAEMjAyMQQAAAABMAcAAAAJNy8zMS8yMDE4CAAAAAkzLzMxLzIwMTYJAAAAATCcC9U4CAnWCNRfmG80CdYIPUNJUS5OQVNEQVFHTTpMUFRYLklRX1JFVkVOVUVfRVNULkNZMjAxOC43LzE2LzIwMTguQ09OLkYuVVNELkgBAAAADDYJBwIAAAABMAEOAAAABQAAAAIxMQEAAAABMAIAAAAKMTAwMzYzOTU0NwMAAAAGMTAwMTgwBAAAAAEyBgAAAAEwBwAAAAMxNjAIAAAAATAJAAAAATEKAAAAATALAAAACzEwOTM1NDM5MjkwDAAAAAE3DQAAAAk3LzE3LzIwMTgQAAAACTcvMTYvMjAxOCkclBA1CdYIMNddEjUJ1gg9Q0lRLk5BU0RBUUdTOlBCWUkuSVFfUkVWRU5VRV9FU1QuQ1kyMDE4LjcvMTYvMjAxOC5DT04uRi5VU0Qu</t>
  </si>
  <si>
    <t>SAEAAAACaqwHAgAAAAgyMTcuNzgxMQEOAAAABQAAAAIxMQEAAAABMAIAAAAKMTAwMTUxMzA3NAMAAAAGMTAwMTgwBAAAAAEyBgAAAAEwBwAAAAMxNjAIAAAAATAJAAAAATEKAAAAATALAAAACzEwOTUxMjQwODk0DAAAAAE3DQAAAAk3LzE3LzIwMTgQAAAACTcvMTYvMjAxOMT/GxE1CdYIEv5kEjUJ1gg9Q0lRLk5BU0RBUUdTOlNHRU4uSVFfUkVWRU5VRV9FU1QuQ1kyMDE5LjcvMTYvMjAxOC5DT04uRi5VU0QuSAEAAABhhQAAAgAAAAk3NzIuMTM4OTIBDgAAAAUAAAACMTEBAAAAATACAAAACjEwMDAxMjQ3MjcDAAAABjEwMDE4MAQAAAABMgYAAAABMAcAAAADMTYwCAAAAAEwCQAAAAExCgAAAAEwCwAAAAsxMDk2NzY0MTU4OQwAAAABNw0AAAAJNy8xNy8yMDE4EAAAAAk3LzE2LzIwMTjE/xsRNQnWCGhgZxI1CdYIN0NJUS5OQVNEQVFHUzpCR05FLklRX1BSRUZfRVFVSVRZLi43LzE2LzIwMTguTEZSLkYuVVNELkgBAAAA4OTdBgMAAAAAAMT/GxE1CdYIaGBnEjUJ1gg9Q0lRLk5BU0RBUUdNOkNSSVMuSVFfUkVWRU5VRV9FU1QuQ1kyMDIwLjcvMzEvMjAxOC5DT04uRi5VU0QuSAEAAAAXagAAAgAAAAcyMC4yOTg1AQ4AAAAFAAAAAjExAQAAAAEwAgAAAAoxMDAxMzg3NzUzAwAAAAYxMDAxODAEAAAAATIGAAAAATAHAAAAAzE2MAgAAAABMAkAAAABMQoAAAABMAsAAAALMTA5NTEyNDI1MjAMAAAAATcNAAAACDgv</t>
  </si>
  <si>
    <t>MS8yMDE4EAAAAAk3LzMxLzIwMTjIMLI3CAnWCN1LpG80CdYIIENJUS5JUVRSMzEyMTIyNTA0LklRX1RSX0VBUk5PVVRTAQAAAIicmhICAAAABjI4Ljk3NgBYzxIONQnWCMDbgg41CdYINENJUS5BU1g6SU1VLklRX0NBU0hfU1RfSU5WRVNULi43LzE2LzIwMTguTEZSLkYuVVNELkgBAAAAmJOpAAIAAAAIOS4zMTM5MjQBCAAAAAUAAAABMQEAAAAKMTg3NzMwNTMyMAMAAAADMTYwAgAAAAQxMDAyBAAAAAEwBwAAAAk3LzE2LzIwMTgIAAAACjEyLzMxLzIwMTcJAAAAATApHJQQNQnWCDDXXRI1CdYINUNJUS5OQVNEQVFHUzpBVE5YLklRX0RBX0NGLjIwMDAuNy8zMS8yMDE4LkxGUi5GLlVTRC5IAQAAANyZawECAAAABTMuNzI1AQgAAAAFAAAAATEBAAAACjE4ODg3MDI5ODIDAAAAAzE2MAIAAAAEMjE2MAQAAAABMAcAAAAJNy8zMS8yMDE4CAAAAAkzLzMxLzIwMTgJAAAAATDWjBE4CAnWCCTCmm80CdYIO0NJUS5OQVNEQVFHUzpDVE1YLklRX05FVF9XT1JLSU5HX0NBUC4uNy8xNi8yMDE4LkxGUi5GLlVTRC5IAQAAANw4mwMCAAAABy02NC4xNTIBCAAAAAUAAAABMQEAAAAKMTg4NzY3NTMxNgMAAAADMTYwAgAAAAQxMzExBAAAAAEwBwAAAAk3LzE2LzIwMTgIAAAACTMvMzEvMjAxOAkAAAABMMT/GxE1CdYIwptiEjUJ1ghCQ0lRLk5BU0RBUUNNOkNLUFQuSVFfVE9UQUxfUkVWXzVZUl9BTk5fQ0FHUi4uNy8xNi8y</t>
  </si>
  <si>
    <t>MDE4LkxGUi5GLlVTRC5IAQAAALhRFhEDAAAAAAApHJQQNQnWCOR0WxI1CdYIPUNJUS5OQVNEQVFHTTpYTkNSLklRX1JFVkVOVUVfRVNULkNZMjAxOC43LzE2LzIwMTguQ09OLkYuVVNELkgBAAAAploLAAIAAAAIMTUuMjQyNTcBDgAAAAUAAAACMTEBAAAAATACAAAACjEwMDIwMjUyNDcDAAAABjEwMDE4MAQAAAABMgYAAAABMAcAAAADMTYwCAAAAAEwCQAAAAExCgAAAAEwCwAAAAsxMDkxNTgzNDM2OAwAAAABNw0AAAAJNy8xNy8yMDE4EAAAAAk3LzE2LzIwMTjE/xsRNQnWCBL+ZBI1CdYINUNJUS5OQVNEQVFDTTpaSU9QLklRX0NBUEVYLjIwMDAuNy8zMS8yMDE4LkxGUi5GLlVTRC5IAQAAALNRsgACAAAABi0wLjUyOQEIAAAABQAAAAExAQAAAAoxODg3OTcyMzU5AwAAAAMxNjACAAAABDIwMjEEAAAAATAHAAAACTcvMzEvMjAxOAgAAAAJMy8zMS8yMDE4CQAAAAEw1owROAgJ1gjDhp9vNAnWCDxDSVEuTkFTREFRR1M6Q0FMQS5JUV9FQVJOSU5HX0NPLkNZMjAxNy43LzMxLzIwMTguTEZSLkYuVVNELkgBAAAApSeBBgIAAAAHLTI3LjgyNgEIAAAABQAAAAExAQAAAAoxODc3OTU1NzA3AwAAAAMxNjACAAAAATcEAAAAATAHAAAACTcvMzEvMjAxOAgAAAAKMTIvMzEvMjAxNwkAAAABMMgwsjcICdYI3UukbzQJ1ggrQ0lRLk5BU0RBUUNNOlpJT1AuSVFfTEFTVFNBTEVQUklDRS41LzUvMjAxNwEAAACzUbIAAgAA</t>
  </si>
  <si>
    <t>AAQ3LjEyANaMETgICdYIw4afbzQJ1ggiQ0lRLklRVFI1MzM2Mzk1MDEuSVFfVFJfUENUX1NPVUdIVAEAAABNsc4fAgAAAAMxMDAADG0QDjUJ1gjA24IONQnWCDVDSVEuTkFTREFRR006RkFURS5JUV9DQVBFWC4xOTkyLjcvMzEvMjAxOC5MRlIuRi5VU0QuSAEAAABoMVcCAgAAAAYtMS4yMjQBCAAAAAUAAAABMQEAAAAKMTg0MzU0NDMyMQMAAAADMTYwAgAAAAQyMDIxBAAAAAEwBwAAAAk3LzMxLzIwMTgIAAAACTMvMzEvMjAxNgkAAAABMNaMETgICdYIw4afbzQJ1ggoQ0lRLk5BU0RBUUdTOkVQWk0uSVFfVEVWLjcvMzEvMjAxOC5VU0QuSAEAAAADJj0DAgAAAAo2NDguNDY5NzIzAQYAAAAFAAAAATEBAAAACjE4ODcyNDU0NDgDAAAAAzE2MAIAAAAGMTAwMDYwBAAAAAEwBwAAAAk3LzMxLzIwMTjWjBE4CAnWCCTCmm80CdYIIENJUS4uSVFfTUFSS0VUQ0FQLjUvNS8yMDE3LlVTRC5IBQAAAAEAAAAIAAAAFChJbnZhbGlkIElkZW50aWZpZXIp9YQyRzQJ1gj1hDJHNAnWCDxDSVEuTkFTREFRR1M6Q0FMQS5JUV9FQklUREFfRVNULkNZMjAyMC43LzE2LzIwMTguQ09OLkYuVVNELkgBAAAApSeBBgMAAAAAACkclBA1CdYI5HRbEjUJ1ggrQ0lRLklRVFI0MTM5NTM2NjEuSVFfVFJfVE9UQUxfR1JPU1NfVFYuLlVTRAEAAAB9bqwYAgAAAAM3ODABBgAAAAUAAAACNTQBAAAABjEwMjA4OAIAAAAJNDEzOTUzNjYxAwAA</t>
  </si>
  <si>
    <t>AAk0MTM5NTc2NDAEAAAAAzE2MAYAAAAFRmFsc2Wys0lvNAnWCIH9lW80CdYIPENJUS5OQVNEQVFDTTpDS1BULklRX0VBUk5JTkdfQ08uQ1kyMDE2LjcvMTYvMjAxOC5MRlIuRi5VU0QuSAEAAAC4URYRAgAAAActMjIuNDYxAQgAAAAFAAAAATEBAAAACjE4Nzg3ODQ1NzUDAAAAAzE2MAIAAAABNwQAAAABMAcAAAAJNy8xNi8yMDE4CAAAAAoxMi8zMS8yMDE2CQAAAAEwKRyUEDUJ1gjkdFsSNQnWCClDSVEuSVFUUjU2MTYwNjM2NS5JUV9CVVNJTkVTU19ERVNDUklQVElPTgEAAAA4Od4KAwAAAJoFQmVuZXZpciBCaW9waGFybSwgSW5jLiBkZXZlbG9wcyBvbmNvbHl0aWMgaW1tdW5vdGhlcmFwaWVzIGZvciBhZHZhbmNlZCBzb2xpZCB0dW1vcnMuIFRoZSBjb21wYW55IG9mZmVycyBvbmNvbHl0aWMgdmlydXMsIHdoaWNoIGlzIGEgdmlydXMgZGVzaWduZWQgdG8gc3BlY2lmaWNhbGx5IGluZmVjdCBhbmQgZGVzdHJveSBjYW5jZXIgY2VsbHM7IGFuZCBtaXRpZ2F0ZSBhbnRhZ29uaXNtIGJldHdlZW4gb25jb2x5dGljIHZpcnVzZXMgYW5kIGltbXVuZSBjaGVja3BvaW50IGluaGliaXRvcnMuIEl0cyBvbmNvbHl0aWMgdmlydXMgcGxhdGZvcm0gaXMgYmFzZWQgb24gVC1TdGVhbHRoIHRlY2hub2xvZ3kgdGhhdCBvdmVyY29tZXMgdGhlIGJhcnJpZXIgb2YgYm9keeKAmXMgaW1tdW5lIHN5c3RlbSwgd2hpY2gg</t>
  </si>
  <si>
    <t>aXMgZWZmZWN0aXZlIGF0IGtpbGxpbmcgaGFybWZ1bCB2aXJ1c2VzLCBzdWNoIGFzIGZsdSwgYXMgd2VsbCBhcyBiZW5lZmljaWFsIHZpcnVzZXMsIHN1Y2ggYXMgb25jb2x5dGljIHZpcnVzZXMuIEJlbmV2aXIgQmlvcGhhcm0sIEluYy4gaXMgYmFzZWQgaW4gR2FpdGhlcnNidXJnLCBNYXJ5bGFuZC4gQXMgb2YgSnVuZSAxMSwgMjAxOCwgQmVuZXZpciBCaW9waGFybSwgSW5jLiBvcGVyYXRlcyBhcyBhIHN1YnNpZGlhcnkgb2YgSmFuc3NlbiBCaW90ZWNoLCBJbmMuALKzSW80CdYINZuTbzQJ1gg1Q0lRLk5BU0RBUUdTOkJHTkUuSVFfVE9UQUxfRVFVSVRZLkNZMjAxNi4uTEZSLkYuVVNELkgBAAAA4OTdBgIAAAAHMzUyLjkwNwEIAAAABQAAAAExAQAAAAoxODk5ODgxMjA0AwAAAAMxNjACAAAABDEyNzUEAAAAATAHAAAACTgvMjMvMjAxOAgAAAAKMTIvMzEvMjAxNgkAAAABMJwL1TgICdYInAvVOAgJ1gg2Q0lRLk5BU0RBUUdTOkVQWk0uSVFfRUJJVERBLjE5OTIuNy8zMS8yMDE4LkxGUi5GLlVTRC5IAQAAAAMmPQMCAAAABy05Mi43MzgBCAAAAAUAAAABMQEAAAAKMTg0MDYzMDM5NAMAAAADMTYwAgAAAAQ0MDUxBAAAAAEwBwAAAAk3LzMxLzIwMTgIAAAACTMvMzEvMjAxNgkAAAABMNaMETgICdYIcySdbzQJ1ggzQ0lRLk5BU0RBUUdTOkJHTkUuSVFfRUJJVERBX0VTVC5DWTIwMjAuLkNPTi5GLlVTRC5I</t>
  </si>
  <si>
    <t>AQAAAODk3QYCAAAACS00MDYuOTY0NwEOAAAABQAAAAIxMQEAAAABMAIAAAAKMTAwMzMyNjI3NwMAAAAGMTAwMTg3BAAAAAEyBgAAAAEwBwAAAAMxNjAIAAAAATAJAAAAATEKAAAAATALAAAACzExMDMyMzY3ODM0DAAAAAE3DQAAAAk4LzI0LzIwMTgQAAAACTgvMjMvMjAxOJwL1TgICdYInAvVOAgJ1gg8Q0lRLk5BU0RBUUdNOklNTVUuSVFfVE9UQUxfRVFVSVRZLjE5OTIuNy8zMS8yMDE4LkxGUi5GLlVTRC5IAQAAACBDBAACAAAACi00NS4wMDY0ODUBCAAAAAUAAAABMQEAAAAKMTg0MTE3MTIyNAMAAAADMTYwAgAAAAQxMjc1BAAAAAEwBwAAAAk3LzMxLzIwMTgIAAAACTMvMzEvMjAxNgkAAAABMJwL1TgICdYI1F+YbzQJ1ggbQ0lRLi5JUV9URVYuNy8zMS8yMDE4LlVTRC5IBQAAAAEAAAAIAAAAFChJbnZhbGlkIElkZW50aWZpZXIp9YQyRzQJ1gj1hDJHNAnWCD5DSVEuTkFTREFRR1M6QkdORS5JUV9UT1RBTF9FUVVJVFkuQ1kyMDE3LjcvMTYvMjAxOC5MRlIuRi5VU0QuSAEAAADg5N0GAgAAAAc2ODQuMjMxAQgAAAAFAAAAATEBAAAACjE4NzYzNTc0NDkDAAAAAzE2MAIAAAAEMTI3NQQAAAABMAcAAAAJNy8xNi8yMDE4CAAAAAoxMi8zMS8yMDE3CQAAAAEwxP8bETUJ1ghoYGcSNQnWCDNDSVEuTkFTREFRR006WE5DUi5JUV9QRVJJT0REQVRFX0lTLi43LzE2LzIwMTguTEZSLkYBAAAAploLAAUAAAAJMy8z</t>
  </si>
  <si>
    <t>MS8yMDE4AMT/GxE1CdYIEv5kEjUJ1ghEQ0lRLihJTlZBTElEIElERU5USUZJRVIpLklRX0VCSVREQV9NQVJHSU4uMjAwMC43LzMxLzIwMTguTEZSLkYuVVNELkgFAAAAAAAAAAgAAAAUKEludmFsaWQgSWRlbnRpZmllcinIMLI3CAnWCO02sG80CdYILkNJUS5JUVRSMzEyMTIyNTA0LklRX1RSX1RBUkdFVF9TVE9DS1BSRU1JVU1fMVcBAAAAiJyaEgIAAAAAAFjPEg41CdYIwNuCDjUJ1ggyQ0lRLk5BU0RBUUdTOlRTUk8uSVFfRUJJVERBLi43LzE2LzIwMTguTEZSLkYuVVNELkgBAAAAaNZYBgIAAAAILTQ3Ny4yOTcBCAAAAAUAAAABMQEAAAAKMTg4NjMzNzQ2NgMAAAADMTYwAgAAAAQ0MDUxBAAAAAEwBwAAAAk3LzE2LzIwMTgIAAAACTMvMzEvMjAxOAkAAAABMMT/GxE1CdYIEv5kEjUJ1ggtQ0lRLkVOWFRQQTpJUEguSVFfTEFTVFNBTEVQUklDRS43LzE2LzIwMTguVVNEAQAAAJmABgACAAAACDUuMzc4NzYxACkclBA1CdYIczlgEjUJ1gggQ0lRLklRMzYxODM4MzcuSVFfTEFTVFNBTEVQUklDRS4BAAAAHR8oAgIAAAAEMi44MgCcC9U4CAnWCHd5gA41CdYIJUNJUS5OQVNEQVFHUzpBVE5YLklRX0ZJUlNUUFJJQ0lOR0RBVEUBAAAA3JlrAQUAAAAJNi8xNC8yMDE3ANaMETgICdYIJMKabzQJ1gg7Q0lRLk5BU0RBUUdTOkdUSFguSVFfVE9UQUxfUkVWLkNZMjAxNi43LzMxLzIwMTguTEZSLkYuVVNELkgBAAAA</t>
  </si>
  <si>
    <t>ZTRpCAMAAAAAAJwL1TgICdYIJMKabzQJ1ggvQ0lRLk5BU0RBUUdTOkJHTkUuSVFfRUJJVERBLkNZMjAxNi4uTEZSLkYuVVNELkgBAAAA4OTdBgIAAAAILTExNS4xNTEBCAAAAAUAAAABMQEAAAAKMTg5OTg4MTIwNAMAAAADMTYwAgAAAAQ0MDUxBAAAAAEwBwAAAAk4LzIzLzIwMTgIAAAACjEyLzMxLzIwMTYJAAAAATCcC9U4CAnWCJwL1TgICdYILkNJUS5JUVRSNDA3NzYwNjkyLklRX1RSX1RBUkdFVF9TVE9DS1BSRU1JVU1fMU0BAAAANO9NGAIAAAAAAFjPEg41CdYIDD6FDjUJ1ggwQ0lRLklRVFI0MzE4NDE1ODEuSVFfVFJfVEFSR0VUX0VCSVREQV9FU1QuLlVTRC5IAQAAAC1hvRkCAAAAAAAMbRAONQnWCAw+hQ41CdYIOkNJUS5OQVNEQVFHTTpGQVRFLklRX0VBUk5JTkdfQ08uMTk5Mi43LzMxLzIwMTguTEZSLkYuVVNELkgBAAAAaDFXAgIAAAAHLTMwLjQ4OAEIAAAABQAAAAExAQAAAAoxODQzNTQ0MzIxAwAAAAMxNjACAAAAATcEAAAAATAHAAAACTcvMzEvMjAxOAgAAAAJMy8zMS8yMDE2CQAAAAEw1owROAgJ1gjDhp9vNAnWCDpDSVEuTkFTREFRR1M6Q0FMQS5JUV9DQVNIX1NUX0lOVkVTVC4uNy8xNi8yMDE4LkxGUi5GLlVTRC5IAQAAAKUngQYCAAAABzE1MC45NjQBCAAAAAUAAAABMQEAAAAKMTg4Nzk4MDMwNQMAAAADMTYwAgAAAAQxMDAyBAAAAAEwBwAAAAk3LzE2LzIwMTgIAAAACTMvMzEvMjAx</t>
  </si>
  <si>
    <t>OAkAAAABMCkclBA1CdYI5HRbEjUJ1ggrQ0lRLklRVFI1NDgzMzgwMjAuSVFfVFJfSU1QTElFRF9FVl9FQklUX0ZXRAEAAABk+a4gAgAAAAAADG0QDjUJ1gjA24IONQnWCClDSVEuSVEzNjE4MzgxOS5JUV9MQVNUU0FMRVBSSUNFLjcvMTYvMjAxOAEAAAALHygCAgAAAAQyLjE5AAxtEA41CdYIDD6FDjUJ1ghCQ0lRLihJTlZBTElEIElERU5USUZJRVIpLklRX05FVF9XT1JLSU5HX0NBUC4uNy8xNi8yMDE4LkxGUi5GLlVTRC5IBQAAAAAAAAAIAAAAFChJbnZhbGlkIElkZW50aWZpZXIp3qd+EDUJ1giYElkSNQnWCChDSVEuTkFTREFRR006SU1NVS5JUV9URVYuNy8xNi8yMDE4LlVTRC5IAQAAACBDBAACAAAACjQ0MzguMzAzMTkBBgAAAAUAAAABMQEAAAAKMTg4ODUyMjQ0MwMAAAADMTYwAgAAAAYxMDAwNjAEAAAAATAHAAAACTcvMTYvMjAxOEadGRE1CdYIaGBnEjUJ1gg8Q0lRLk5BU0RBUUdTOkFEWFMuSVFfRUJJVERBX0VTVC5DWTIwMTkuNy8xNi8yMDE4LkNPTi5GLlVTRC5IAQAAAJ7seAADAAAAAAApHJQQNQnWCOR0WxI1CdYINUNJUS5OQVNEQVFHTTpJTU1VLklRX05JX01BUkdJTi4uNy8xNi8yMDE4LkxGUi5GLlVTRC5IAQAAACBDBAADAAAAAk5NAQgAAAAFAAAAATEBAAAACjE4ODg1MjMzODQDAAAAAzE2MAIAAAAENDA5NAQAAAABMAcAAAAJNy8xNi8yMDE4CAAAAAkzLzMxLzIwMTgJAAAAATDE/xsR</t>
  </si>
  <si>
    <t>NQnWCBL+ZBI1CdYIK0NJUS5FTlhUUEE6SVBILklRX01BUktFVENBUC45LzE1LzIwMTcuVVNELkgBAAAAmYAGAAIAAAAKNzYxLjM5NDA5NgEGAAAABQAAAAExAQAAAAoxODM3OTYyMjM3AwAAAAMxNjACAAAABjEwMDA1NAQAAAABMAcAAAAJOS8xNS8yMDE3KRyUEDUJ1ghzOWASNQnWCD1DSVEuTkFTREFRR1M6Q0FMQS5JUV9SRVZFTlVFX0VTVC5DWTIwMTguNy8zMS8yMDE4LkNPTi5GLlVTRC5IAQAAAKUngQYCAAAACDIzLjYxOTc1AQ4AAAAFAAAAAjExAQAAAAEwAgAAAAoxMDAyODk2NDE4AwAAAAYxMDAxODAEAAAAATIGAAAAATAHAAAAAzE2MAgAAAABMAkAAAABMQoAAAABMAsAAAALMTA5MTMyNzg0ODUMAAAAATcNAAAACDgvMS8yMDE4EAAAAAk3LzMxLzIwMTjIMLI3CAnWCN1LpG80CdYIJENJUS5OQVNEQVFDTTpTUk5FLklRX0VGRkVDVF9UQVhfUkFURQEAAABJQ5QDAwAAAAJOTQEIAAAABQAAAAExAQAAAAoxODk5NTMxMDUwAwAAAAMxNjACAAAABDQzNzYEAAAAATAHAAAACTgvMjMvMjAxOAgAAAAJNi8zMC8yMDE4CQAAAAEw1owROAgJ1ghzJJ1vNAnWCENDSVEuTkFTREFRR1M6QkdORS5JUV9FQklUREFfNVlSX0FOTl9DQUdSLjIwMDAuNy8zMS8yMDE4LkxGUi5GLlVTRC5IAQAAAODk3QYDAAAAAACcC9U4CAnWCNRfmG80CdYIP0NJUS5OQVNEQVFHUzpNUlNOLklRX05FVF9XT1JLSU5HX0NBUC4xOTky</t>
  </si>
  <si>
    <t>LjcvMzEvMjAxOC5MRlIuRi5VU0QuSAEAAADmxRgAAwAAAAAA1owROAgJ1gjDhp9vNAnWCClDSVEuTkFTREFRQ006U1JORS5JUV9CVVNJTkVTU19ERVNDUklQVElPTgEAAABJQ5QDAwAAAKMMU29ycmVudG8gVGhlcmFwZXV0aWNzLCBJbmMuLCBhIGNsaW5pY2FsIHN0YWdlIGJpb3RlY2hub2xvZ3kgY29tcGFueSwgcHJpbWFyaWx5IGVuZ2FnZXMgaW4gdGhlIGRpc2NvdmVyeSBhbmQgZGV2ZWxvcG1lbnQgb2YgdGhlcmFwaWVzIGZvY3VzZWQgb24gb25jb2xvZ3kgYW5kIHRoZSB0cmVhdG1lbnQgb2YgY2hyb25pYyBjYW5jZXIgcGFpbiB3b3JsZHdpZGUuIFRoZSBjb21wYW55IGlzIGZvY3VzaW5nIG9uIHRoZSBkZXZlbG9wbWVudCBvZiBjaGltZXJpYyBhbnRpZ2VuIHJlY2VwdG9yIChDQVIpLWJhc2VkIGltbXVub3RoZXJhcGllcyB1c2luZyBhdXRvbG9nb3VzIFQtY2VsbHMuIEl0IGlzIGRldmVsb3BpbmcgQ0QzOCBEaXJlY3RlZCBDQVItVCwgYSBjZWxsdWxhciB0aGVyYXB5IHVzZWQgZm9yIHRoZSB0cmVhdG1lbnQgb2YgbXVsdGlwbGUgbXllbG9tYSwgYXMgd2VsbCBhcyBmb3IgYW15bG9pZG9zaXMgYW5kIGdyYWZ0LXZlcnN1cy1ob3N0IGRpc2Vhc2VzOyBDRDEyMyBEaXJlY3RlZCBDQVItVCBmb3IgdGhlIHRyZWF0bWVudCBvZiBhY3V0ZSBteWVsb2dlbm91cyBsZXVrZW1pYTsgYW5kIGh1bWFuIGFu</t>
  </si>
  <si>
    <t>dGlib2RpZXMsIGluY2x1ZGluZyBQRC0xLCBQRC1MMSwgQ0QzOCwgQ0QxMjMsIENENDcsIGMtTUVULCBWRUdGUjIsIENDUjIsIE9YNDAsIFRJR0lULCBhbmQgQ0QxMzcuIFRoZSBjb21wYW55IGlzIGFsc28gZGV2ZWxvcGluZyBpbnRyYWNlbGx1bGFyIHRhcmdldGluZyBhbnRpYm9kaWVzIGNvbXByaXNpbmcgU1RBVDMsIE11dGFudCBLUkFTLCBNWUMsIHA1MywgYW5kIFRBVSB0byBtb2R1bGF0ZSB0aGUgZXZvbHV0aW9uIG9mIGNhbmNlciwgaW5mbGFtbWF0aW9uLCBhdXRvaW1tdW5lIGRpc2Vhc2VzLCBkaWFiZXRlcywgY2VudHJhbCBuZXJ2b3VzIHN5c3RlbSBkaXNlYXNlcywgY2FyZGlvdmFzY3VsYXIgZGlzZWFzZXMsIGFuZCB2aXJhbCBpbmZlY3Rpb25zOyBhbmQgb25jb2x5dGljIHZpcnVzZXMgdGhhdCBpbmZlY3QgYW5kIHNlbGVjdGl2ZWx5IG11bHRpcGx5IGluIGFuZCBkZXN0cm95IHR1bW9yIGNlbGxzIHdpdGhvdXQgZGFtYWdpbmcgaGVhbHRoeSB0aXNzdWUuIEluIGFkZGl0aW9uLCBpdCBvZmZlcnMgcmVzaW5pZmVyYXRveGluLCBhIG5vbi1vcGlvaWQtYmFzZWQgVFJQVjEgYWdvbmlzdCBuZXVyb3RveGluIGZvciB0aGUgdHJlYXRtZW50IG9mIGludHJhY3RhYmxlIHBhaW4gdHJlYXRtZW50OyBhbmQgWlRsaWRvLCBhIGxpZG9jYWluZSBkZWxpdmVyeSBzeXN0ZW0gZm9yIHRoZSB0cmVhdG1l</t>
  </si>
  <si>
    <t>bnQgb2YgcG9zdGhlcnBldGljIG5ldXJhbGdpYS4gVGhlIGNvbXBhbnkgaGFzIGEgbGljZW5zaW5nIGFncmVlbWVudCB3aXRoIE1hYnRlY2ggTGltaXRlZCB0byBkZXZlbG9wIGFuZCBjb21tZXJjaWFsaXplIG11bHRpcGxlIHByZXNwZWNpZmllZCBiaW9zaW1pbGFyIGFuZCBiaW9iZXR0ZXIgYW50aWJvZGllcyBmcm9tIGJhc2VkIG9uIEVyYml0dXgsIFJlbWljYWRlLCBYb2xhaXIsIGFuZCBTaW11bGVjdC4gU29ycmVudG8gVGhlcmFwZXV0aWNzLCBJbmMuIHdhcyBmb3VuZGVkIGluIDIwMDYgYW5kIGlzIGJhc2VkIGluIFNhbiBEaWVnbywgQ2FsaWZvcm5pYS4A1owROAgJ1ghzJJ1vNAnWCDpDSVEuTkFTREFRR006SU1NVS5JUV9UT1RBTF9ERUJULjIwMDAuNy8zMS8yMDE4LkxGUi5GLlVTRC5IAQAAACBDBAACAAAACjIwMS45NDIzMTcBCAAAAAUAAAABMQEAAAAKMTg4ODUyMzM4NAMAAAADMTYwAgAAAAQ0MTczBAAAAAEwBwAAAAk3LzMxLzIwMTgIAAAACTMvMzEvMjAxOAkAAAABMJwL1TgICdYI1F+YbzQJ1ggwQ0lRLklRVFI1NTAyNTkzOTcuSVFfVFJfVEFSR0VUX0VCSVREQV9FU1QuLlVTRC5IAQAAAMVKzCACAAAACS00MjQuNjEyMQAMbRAONQnWCHd5gA41CdYIQ0NJUS5OQVNEQVFHUzpHVEhYLklRX0VCSVREQV81WVJfQU5OX0NBR1IuMjAwMC43LzMxLzIwMTguTEZSLkYuVVNELkgBAAAAZTRpCAMA</t>
  </si>
  <si>
    <t>AAAAANaMETgICdYIJMKabzQJ1gguQ0lRLk5BU0RBUUdTOkFUTlguSVFfTUFSS0VUQ0FQLjcvMzEvMjAxOC5VU0QuSAEAAADcmWsBAgAAAAsxMjI0LjQ4NDM4MgEGAAAABQAAAAExAQAAAAoxODg4NzAyNzAyAwAAAAMxNjACAAAABjEwMDA1NAQAAAABMAcAAAAJNy8zMS8yMDE41owROAgJ1ggkwppvNAnWCDBDSVEuTkFTREFRR1M6TUdOWC5JUV9MQVNUU0FMRVBSSUNFLjcvMTYvMjAxOC5VU0QBAAAATysJAAIAAAAEMjEuNgBGnRkRNQnWCMKbYhI1CdYIHUNJUS5OQVNEQVFDTTpTUk5FLklRX0VYQ0hBTkdFAQAAAElDlAMDAAAACE5hc2RhcUNNANaMETgICdYIcySdbzQJ1ggsQ0lRLk5BU0RBUUdTOkNUTVguSVFfTEFTVFNBTEVQUklDRS45LzE1LzIwMTcBAAAA3DibAwIAAAAFMTcuMzEARp0ZETUJ1gjCm2ISNQnWCDxDSVEuTkFTREFRR1M6TVJTTi5JUV9FQVJOSU5HX0NPLkNZMjAxNy43LzE2LzIwMTguTEZSLkYuVVNELkgBAAAA5sUYAAIAAAAHLTM4LjcwNwEIAAAABQAAAAExAQAAAAoxODgwNTQ3Mzk1AwAAAAMxNjACAAAAATcEAAAAATAHAAAACTcvMTYvMjAxOAgAAAAKMTIvMzEvMjAxNwkAAAABMCkclBA1CdYIczlgEjUJ1ggwQ0lRLk5BU0RBUUdNOklNTVUuSVFfTEFTVFNBTEVQUklDRS43LzE2LzIwMTguVVNEAQAAACBDBAACAAAABTI1LjQ3AEadGRE1CdYIaGBnEjUJ1ghCQ0lRLk5BU0RBUUdNOklN</t>
  </si>
  <si>
    <t>TVUuSVFfVE9UQUxfUkVWXzJZUl9BTk5fQ0FHUi4uNy8xNi8yMDE4LkxGUi5GLlVTRC5IAQAAACBDBAACAAAACC0yOC4zMzk3AQgAAAAFAAAAATEBAAAACjE4ODg1MjMzODQDAAAAAzE2MAIAAAAENDIwNwQAAAABMAcAAAAJNy8xNi8yMDE4CAAAAAkzLzMxLzIwMTgJAAAAATDE/xsRNQnWCBL+ZBI1CdYILUNJUS5OQVNEQVFHUzpCR05FLklRX0RJVklERU5EX1lJRUxELjcvMTYvMjAxOAEAAADg5N0GAwAAAAAARp0ZETUJ1ghoYGcSNQnWCB1DSVEuTkFTREFRR1M6UEJZSS5JUV9FWENIQU5HRQEAAAACaqwHAwAAAAhOYXNkYXFHUwBGnRkRNQnWCBL+ZBI1CdYIOENJUS5YVFJBOk1PUi5JUV9SRVZFTlVFX0VTVC5DWTIwMTguNy8zMS8yMDE4LkNPTi5GLlVTRC5IAQAAAN8RAgACAAAAEDgxLjg0OTc3MTgyMjM1OTUBDgAAAAUAAAACMTEBAAAAATACAAAACjEwMDA4MDIwMTADAAAABjEwMDE4MAQAAAABMwYAAAABMAcAAAADMTYwCAAAAAEwCQAAAAExCgAAAAEwCwAAAAsxMTA1MjI5NTAzMQwAAAABNw0AAAAIOC8xLzIwMTgQAAAACTcvMzEvMjAxOJwL1TgICdYI1F+YbzQJ1ggsQ0lRLk5BU0RBUUdTOk5LLklRX01BUktFVENBUC43LzMxLzIwMTguVVNELkgBAAAADX2hDwIAAAAKMjczLjMwOTY2NgEGAAAABQAAAAExAQAAAAoxODg3MTE2OTI5AwAAAAMxNjACAAAABjEwMDA1NAQAAAABMAcAAAAJNy8zMS8yMDE4</t>
  </si>
  <si>
    <t>1owROAgJ1gjDhp9vNAnWCC1DSVEuTkFTREFRR1M6QVROWC5JUV9ESVZJREVORF9ZSUVMRC43LzMxLzIwMTgBAAAA3JlrAQMAAAAAANaMETgICdYIJMKabzQJ1ggwQ0lRLk5BU0RBUUdTOktVUkEuSVFfTEFTVFNBTEVQUklDRS43LzMxLzIwMTguVVNEAQAAALjL2hACAAAABDIwLjMA1owROAgJ1ghzJJ1vNAnWCChDSVEuTkFTREFRR1M6U0dFTi5JUV9URVYuNy8xNi8yMDE4LlVTRC5IAQAAAGGFAAACAAAADDEwNTE1Ljk4NzI4NwEGAAAABQAAAAExAQAAAAoxODg0ODkxMTU3AwAAAAMxNjACAAAABjEwMDA2MAQAAAABMAcAAAAJNy8xNi8yMDE4Rp0ZETUJ1ghoYGcSNQnWCD1DSVEuTkFTREFRQ006TVRFTS5JUV9SRVZFTlVFX0VTVC5DWTIwMTguNy8zMS8yMDE4LkNPTi5GLlVTRC5IAQAAAJmbqQECAAAAAzAuNQEOAAAABQAAAAIxMQEAAAABMAIAAAAKMTAwMzgxNjQ1OAMAAAAGMTAwMTgwBAAAAAEyBgAAAAEwBwAAAAMxNjAIAAAAATAJAAAAATEKAAAAATALAAAACzEwODg3MzM2NDE5DAAAAAE3DQAAAAg4LzEvMjAxOBAAAAAJNy8zMS8yMDE4yDCyNwgJ1ggZ6aFvNAnWCDVDSVEuTkFTREFRR1M6TUdOWC5JUV9UT1RBTF9SRVYuLjcvMTYvMjAxOC5MRlIuRi5VU0QuSAEAAABPKwkAAgAAAAcxNjAuMzgyAQgAAAAFAAAAATEBAAAACjE4ODcxMTQ5NDUDAAAAAzE2MAIAAAACMjgEAAAAATAHAAAACTcvMTYvMjAx</t>
  </si>
  <si>
    <t>OAgAAAAJMy8zMS8yMDE4CQAAAAEwxP8bETUJ1gjCm2ISNQnWCElDSVEuKElOVkFMSUQgSURFTlRJRklFUikuSVFfVE9UQUxfUkVWXzVZUl9BTk5fQ0FHUi4uNy8xNi8yMDE4LkxGUi5GLlVTRC5IBQAAAAAAAAAIAAAAFChJbnZhbGlkIElkZW50aWZpZXIp3qd+EDUJ1giYElkSNQnWCCpDSVEuT1RDUEs6TldCTy5JUV9ESVZJREVORF9ZSUVMRC43LzE2LzIwMTgBAAAAo3oUAAMAAAAAACkclBA1CdYIMNddEjUJ1ggUQ0lRLi5JUV9DT01QQU5ZX05BTUUFAAAAAAAAAAgAAAAUKEludmFsaWQgSWRlbnRpZmllcin1hDJHNAnWCC9IDvc0CdYIN0NJUS5OQVNEQVFHTTpMUFRYLklRX1BSRUZfRVFVSVRZLi43LzE2LzIwMTguTEZSLkYuVVNELkgBAAAADDYJBwMAAAAAACkclBA1CdYIMNddEjUJ1gg8Q0lRLk5BU0RBUUdTOlNHRU4uSVFfRUJJVERBX0VTVC5DWTIwMTguNy8xNi8yMDE4LkNPTi5GLlVTRC5IAQAAAGGFAAACAAAACC0yMjguMDc5AQ4AAAAFAAAAAjExAQAAAAEwAgAAAAoxMDAwMTI0NzI2AwAAAAYxMDAxODcEAAAAATIGAAAAATAHAAAAAzE2MAgAAAABMAkAAAABMQoAAAABMAsAAAALMTA4NTc4NzMxMTcMAAAAATcNAAAACTcvMTcvMjAxOBAAAAAJNy8xNi8yMDE4xP8bETUJ1ghoYGcSNQnWCCJDSVEuSVFUUjU0MjgwNjY4Ni5JUV9UUl9UT1RBTF9DQVNIAQAAAJ6SWiACAAAAAACys0lvNAnWCIH9lW80</t>
  </si>
  <si>
    <t>CdYIOUNJUS5OQVNEQVFHUzpUU1JPLklRX0VCSVREQV9NQVJHSU4uLjcvMTYvMjAxOC5MRlIuRi5VU0QuSAEAAABo1lgGAgAAAAktMTc2Ljc3OTkBCAAAAAUAAAABMQEAAAAKMTg4NjMzNzQ2NgMAAAADMTYwAgAAAAQ0MDQ3BAAAAAEwBwAAAAk3LzE2LzIwMTgIAAAACTMvMzEvMjAxOAkAAAABMMT/GxE1CdYIEv5kEjUJ1ggvQ0lRLi5JUV9UT1RBTF9FUVVJVFkuMTk5Mi43LzMxLzIwMTguTEZSLkYuVVNELkgFAAAAAQAAAAgAAAAUKEludmFsaWQgSWRlbnRpZmllcin1hDJHNAnWCPWEMkc0CdYIO0NJUS5OQVNEQVFHUzpBRFhTLklRX05FVF9XT1JLSU5HX0NBUC4uNy8xNi8yMDE4LkxGUi5GLlVTRC5IAQAAAJ7seAACAAAACi0xMS4yNDYwNjQBCAAAAAUAAAABMQEAAAAKMTg5Mjc4ODU0OAMAAAADMTYwAgAAAAQxMzExBAAAAAEwBwAAAAk3LzE2LzIwMTgIAAAACTQvMzAvMjAxOAkAAAABMCkclBA1CdYI5HRbEjUJ1ggzQ0lRLk5BU0RBUUdNOkxQVFguSVFfUEVSSU9EREFURV9JUy4uNy8xNi8yMDE4LkxGUi5GAQAAAAw2CQcFAAAACTMvMzEvMjAxOAApHJQQNQnWCDDXXRI1CdYIMENJUS5JUVRSNDA4MjkxMzk1LklRX1RSX1RBUkdFVF9FQklUREFfRVNULi5VU0QuSAEAAABDCFYYAgAAAAAAWM8SDjUJ1gjA24IONQnWCC5DSVEuTkFTREFRR1M6Sk5DRS5JUV9NQVJLRVRDQVAuOS8xNS8yMDE3LlVTRC5IAQAA</t>
  </si>
  <si>
    <t>AOJ5ng0CAAAACjQ5Mi4yNDk1MTcBBgAAAAUAAAABMQEAAAAKMTg1Mjc5MDYzMQMAAAADMTYwAgAAAAYxMDAwNTQEAAAAATAHAAAACTkvMTUvMjAxN96nfhA1CdYImBJZEjUJ1ggnQ0lRLk5BU0RBUUdNOkNSSVMuSVFfUEVSSU9EREFURV9JUy4xMDAwAQAAABdqAAAFAAAACjEyLzMxLzIwMTcAyDCyNwgJ1gjdS6RvNAnWCDtDSVEuTkFTREFRR1M6VFNSTy5JUV9FQklUX01BUkdJTi4yMDAwLjcvMzEvMjAxOC5MRlIuRi5VU0QuSAEAAABo1lgGAgAAAAktMTgwLjg2NTUBCAAAAAUAAAABMQEAAAAKMTg4NjMzNzQ2NgMAAAADMTYwAgAAAAQ0MDUzBAAAAAEwBwAAAAk3LzMxLzIwMTgIAAAACTMvMzEvMjAxOAkAAAABMJwL1TgICdYIJMKabzQJ1ghHQ0lRLk5BU0RBUUdTOktVUkEuSVFfTUlOT1JJVFlfSU5URVJFU1RfVE9UQUwuMjAwMC43LzMxLzIwMTguTEZSLkYuVVNELkgBAAAAuMvaEAMAAAAAANaMETgICdYIcySdbzQJ1ghCQ0lRLk5BU0RBUUNNOkFWRU8uSVFfVE9UQUxfUkVWXzNZUl9BTk5fQ0FHUi4uNy8xNi8yMDE4LkxGUi5GLlVTRC5IAQAAAPQWHQACAAAABjI2Ljk1NAEIAAAABQAAAAExAQAAAAoxODg3MjM0Mjk1AwAAAAMxNjACAAAABDQyMjAEAAAAATAHAAAACTcvMTYvMjAxOAgAAAAJMy8zMS8yMDE4CQAAAAEwxP8bETUJ1ghzOWASNQnWCCVDSVEuSVFUUjU2MTYwNjM2NS5JUV9UUl9JTVBMSUVE</t>
  </si>
  <si>
    <t>X0VRX0JWAQAAAN1ueSECAAAAAACys0lvNAnWCDWbk280CdYINENJUS5OQVNEQVFHUzpCR05FLklRX1JFVkVOVUVfRVNULkNZMjAxOS4uQ09OLkYuVVNELkgBAAAA4OTdBgIAAAAJMjIwLjc4NTU3AQ4AAAAFAAAAAjExAQAAAAEwAgAAAAoxMDAzMzI2MjcyAwAAAAYxMDAxODAEAAAAATIGAAAAATAHAAAAAzE2MAgAAAABMAkAAAABMQoAAAABMAsAAAALMTEwNTExMjAzMDAMAAAAATcNAAAACTgvMjQvMjAxOBAAAAAJOC8yMy8yMDE4nAvVOAgJ1gicC9U4CAnWCB1DSVEuSVEyNTA4MC5JUV9DT01QQU5ZX1RJQ0tFUgEAAAD4YQAAAwAAAA1OYXNkYXFHTTpBUlJZALKzSW80CdYI1F+YbzQJ1ggoQ0lRLk5BU0RBUUNNOlNSTkUuSVFfVEVWLjcvMzEvMjAxOC5VU0QuSAEAAABJQ5QDAgAAAAo1OTcuMDM0NTczAQYAAAAFAAAAATEBAAAACjE4ODc5ODk3NjYDAAAAAzE2MAIAAAAGMTAwMDYwBAAAAAEwBwAAAAk3LzMxLzIwMTjWjBE4CAnWCHMknW80CdYIJENJUS5OQVNEQVFHUzpBVE5YLklRX0VGRkVDVF9UQVhfUkFURQEAAADcmWsBAwAAAAJOTQEIAAAABQAAAAExAQAAAAoxOTAwNTM2NjAyAwAAAAMxNjACAAAABDQzNzYEAAAAATAHAAAACTgvMjMvMjAxOAgAAAAJNi8zMC8yMDE4CQAAAAEw1owROAgJ1ggkwppvNAnWCDJDSVEuRU5YVFBBOklQSC5JUV9UT1RBTF9SRVYuLjcvMTYvMjAxOC5MRlIuRi5VU0QuSAEA</t>
  </si>
  <si>
    <t>AACZgAYAAgAAAAk1Mi44NzM0MzkBCAAAAAUAAAABMQEAAAAKMTg4OTU1MjE2NAMAAAADMTYwAgAAAAIyOAQAAAABMAcAAAAJNy8xNi8yMDE4CAAAAAoxMi8zMS8yMDE3CQAAAAEwKRyUEDUJ1ghzOWASNQnWCD1DSVEuTkFTREFRR1M6RlBSWC5JUV9DQVNIX1NUX0lOVkVTVC4yMDAwLjUvNS8yMDE3LkxGUi5GLlVTRC5IAQAAADddMwACAAAABzM4MC4zMTcBCAAAAAUAAAABMQEAAAAKMTg0MDU2NTgzNgMAAAADMTYwAgAAAAQxMDAyBAAAAAEwBwAAAAg1LzUvMjAxNwgAAAAJMy8zMS8yMDE3CQAAAAEwyDCyNwgJ1ggZ6aFvNAnWCDxDSVEuTkFTREFRR1M6S1VSQS5JUV9UT1RBTF9FUVVJVFkuMTk5Ni43LzMxLzIwMTguTEZSLkYuVVNELkgBAAAAuMvaEAIAAAAGNTAuMjQxAQgAAAAFAAAAATEBAAAACjE4ODczODI5MjIDAAAAAzE2MAIAAAAEMTI3NQQAAAABMAcAAAAJNy8zMS8yMDE4CAAAAAkzLzMxLzIwMTcJAAAAATDWjBE4CAnWCHMknW80CdYIMkNJUS5OQVNEQVFHUzpCR05FLklRX0VCSVRfTUFSR0lOLjIwMDAuLkxGUi5GLlVTRC5IAQAAAODk3QYCAAAACC03Mi40NzQ4AQgAAAAFAAAAATEBAAAACjE4OTk5MDA2MzEDAAAAAzE2MAIAAAAENDA1MwQAAAABMAcAAAAJOC8yMy8yMDE4CAAAAAk2LzMwLzIwMTgJAAAAATCcC9U4CAnWCJwL1TgICdYIOkNJUS5YVFJBOk1PUi5JUV9ORVRfV09SS0lOR19DQVAu</t>
  </si>
  <si>
    <t>MTk5Mi43LzMxLzIwMTguTEZSLkYuVVNELkgBAAAA3xECAAIAAAAKLTEyLjE2MzQxMwEIAAAABQAAAAExAQAAAAoxODM5OTQwNjkwAwAAAAMxNjACAAAABDEzMTEEAAAAATAHAAAACTcvMzEvMjAxOAgAAAAJMy8zMS8yMDE2CQAAAAEwnAvVOAgJ1gjUX5hvNAnWCC9DSVEuSVFUUjI3MzUwNzE4NS5JUV9UUl9JTVBMSUVEX0VWX0ZJTkFMLi5VU0QuSAEAAABxY00QAgAAAAozMzMuMzAxODcxAQYAAAAFAAAAAjU0AQAAAAYxMDIwNDUCAAAACTI3MzUwNzE4NQMAAAAJMjczNTA3Nzg3BAAAAAMxNjAGAAAABUZhbHNlsrNJbzQJ1giB/ZVvNAnWCCdDSVEuTkFTREFRR1M6TVJTTi5JUV9CRVRBXzFZUi43LzMxLzIwMTgBAAAA5sUYAAIAAAARMC42NDEzODg1MDc4MDQ3MjQA1owROAgJ1gjDhp9vNAnWCDhDSVEuTkFTREFRQ006QVZFTy5JUV9HUk9TU19NQVJHSU4uLjcvMTYvMjAxOC5MRlIuRi5VU0QuSAEAAAD0Fh0AAgAAAAktMjcyLjU4MzUBCAAAAAUAAAABMQEAAAAKMTg4NzIzNDI5NQMAAAADMTYwAgAAAAQ0MDc0BAAAAAEwBwAAAAk3LzE2LzIwMTgIAAAACTMvMzEvMjAxOAkAAAABMMT/GxE1CdYIwptiEjUJ1ggpQ0lRLklRVFI1NDc0MjM2ODAuSVFfQlVTSU5FU1NfREVTQ1JJUFRJT04BAAAAAhhzCAMAAACcCElnbnl0YSwgSW5jLiwgYSBwcmVjaXNpb24gb25jb2xvZ3kgYmlvdGVjaG5vbG9neSBjb21wYW55</t>
  </si>
  <si>
    <t>LCBlbmdhZ2VzIGluIGRpc2NvdmVyaW5nLCBpbi1saWNlbnNpbmcgb3IgYWNxdWlyaW5nLCBkZXZlbG9waW5nLCBhbmQgY29tbWVyY2lhbGl6aW5nIG1vbGVjdWxhcmx5IHRhcmdldGVkIHRoZXJhcGllcyBmb3IgZXJhZGljYXRpbmcgcmVzaWR1YWwgZGlzZWFzZXMuIEl0cyBwcm9kdWN0cyBwaXBlbGluZSBpbmNsdWRlcyBlbnRyZWN0aW5pYiwgYSB0eXJvc2luZSBraW5hc2UgaW5oaWJpdG9yIGRpcmVjdGVkIHRvIHRoZSB0cm9wb215b3NpbiByZWNlcHRvciBraW5hc2UgZmFtaWx5IHR5cm9zaW5lIGtpbmFzZSByZWNlcHRvcnMsIFJPUzEsIGFuZCBhbmFwbGFzdGljIGx5bXBob21hIGtpbmFzZSBwcm90ZWlucywgd2hpY2ggaXMgaW4gUGhhc2UgSUkgYW5kIHR3byBQaGFzZSBJIGNsaW5pY2FsIHN0dWRpZXMgaW4gbW9sZWN1bGFybHkgZGVmaW5lZCBhZHVsdCBwYXRpZW50IHBvcHVsYXRpb25zIGZvciB0aGUgdHJlYXRtZW50IG9mIHNvbGlkIHR1bW9ycywgYXMgd2VsbCBhcyBpbiBQaGFzZSBJL0liIGNsaW5pY2FsIHN0dWR5IGluIHBlZGlhdHJpYyBwYXRpZW50cyB3aXRoIGFkdmFuY2VkIHNvbGlkIHR1bW9yIG1hbGlnbmFuY2llczsgUlhEWC0xMDUsIGFuIG9yYWxseSBiaW9hdmFpbGFibGUgYW5kIHZhc2N1bGFyIGVuZG90aGVsaWFsIGdyb3d0aCBmYWN0b3IgcmVjZXB0b3IsIGFuZCBzbWFsbCBt</t>
  </si>
  <si>
    <t>b2xlY3VsZSB0eXJvc2luZSBraW5hc2UgaW5oaWJpdG9yIG9mIFJFVC1kcml2ZW4gc29saWQgdHVtb3JzOyBhbmQgUlhEWC0xMDYsIGEgcHNldWRvLWlycmV2ZXJzaWJsZSBpbmhpYml0b3IsIHdoaWNoIGlzIGluIGxhdGUgcHJlY2xpbmljYWwgZGV2ZWxvcG1lbnQuIFRoZSBjb21wYW55IHdhcyBmb3VuZGVkIGluIDIwMTEgYW5kIGlzIGhlYWRxdWFydGVyZWQgaW4gU2FuIERpZWdvLCBDYWxpZm9ybmlhLiBBcyBvZiBGZWJydWFyeSA3LCAyMDE4LCBJZ255dGEsIEluYy4gb3BlcmF0ZXMgYXMgYSBzdWJzaWRpYXJ5IG9mIFJvY2hlIEhvbGRpbmdzLCBJbmMuAAxtEA41CdYIDD6FDjUJ1ggxQ0lRLklRVFI1NjE2MDYzNjUuSVFfVFJfVEFSR0VUX1JFVkVOVUVfRVNULi5VU0QuSAEAAADdbnkhAgAAAAAAsrNJbzQJ1gg1m5NvNAnWCD1DSVEuTkFTREFRR1M6VFNSTy5JUV9SRVZFTlVFX0VTVC5DWTIwMjEuNy8zMS8yMDE4LkNPTi5GLlVTRC5IAQAAAGjWWAYCAAAACTkyMC4yOTg2NAEOAAAABQAAAAIxMQEAAAABMAIAAAAKMTAwMTU4MDM1NQMAAAAGMTAwMTgwBAAAAAEyBgAAAAEwBwAAAAMxNjAIAAAAATAJAAAAATEKAAAAATALAAAACzEwOTY3MjE1NjM0DAAAAAE3DQAAAAg4LzEvMjAxOBAAAAAJNy8zMS8yMDE4nAvVOAgJ1ggkwppvNAnWCDlDSVEuT1RDUEs6TldCTy5JUV9FQklUREFfRVNULkNZMjAxOS43</t>
  </si>
  <si>
    <t>LzE2LzIwMTguQ09OLkYuVVNELkgBAAAAo3oUAAMAAAAAACkclBA1CdYIczlgEjUJ1gg9Q0lRLk5BU0RBUUdNOkNSVlMuSVFfUkVWRU5VRV9FU1QuQ1kyMDE4LjcvMzEvMjAxOC5DT04uRi5VU0QuSAEAAAD0sKYQAgAAAAEwAQ4AAAAFAAAAAjExAQAAAAEwAgAAAAoxMDAzMzcwMzU0AwAAAAYxMDAxODAEAAAAATIGAAAAATAHAAAAAzE2MAgAAAABMAkAAAABMQoAAAABMAsAAAALMTA5NTU0NjE4ODkMAAAAATcNAAAACDgvMS8yMDE4EAAAAAk3LzMxLzIwMTjWjBE4CAnWCBnpoW80CdYILkNJUS5OQVNEQVFHTTpJTU1VLklRX01BUktFVENBUC43LzMxLzIwMTguVVNELkgBAAAAIEMEAAIAAAALNDMxOC4wNzY2MzMBBgAAAAUAAAABMQEAAAAKMTg4ODUyMjQ0MwMAAAADMTYwAgAAAAYxMDAwNTQEAAAAATAHAAAACTcvMzEvMjAxOJwL1TgICdYI1F+YbzQJ1ggsQ0lRLklRVFI0MDc3NjA2OTIuSVFfVFJfVE9UQUxfR1JPU1NfVFYuVVNELkgFAAAAAAAAAAgAAAAaKEludmFsaWQgQ3VycmVuY3kgUmVxdWVzdCkMbRAONQnWCAw+hQ41CdYIL0NJUS4uSVFfRUFSTklOR19DTy5DWTIwMTcuNy8zMS8yMDE4LkxGUi5GLlVTRC5IBQAAAAEAAAAIAAAAFChJbnZhbGlkIElkZW50aWZpZXIp9YQyRzQJ1gj1hDJHNAnWCDtDSVEuTkFTREFRR1M6R1RIWC5JUV9QUkVGX0VRVUlUWS4yMDAwLjcvMzEvMjAxOC5MRlIuRi5VU0Qu</t>
  </si>
  <si>
    <t>SAEAAABlNGkIAwAAAAAAnAvVOAgJ1ggkwppvNAnWCCxDSVEuTkFTREFRR1M6Sk5DRS5JUV9MQVNUU0FMRVBSSUNFLjkvMTUvMjAxNwEAAADieZ4NAgAAAAUxNS4yOQDep34QNQnWCJgSWRI1CdYIPENJUS5OQVNEQVFHTTpOTE5LLklRX0VCSVREQV9FU1QuQ1kyMDE4LjcvMTYvMjAxOC5DT04uRi5VU0QuSAEAAACVe4wAAgAAAAktNjkuNzkyMTEBDgAAAAUAAAACMTEBAAAAATACAAAACjEwMDE0MjUwODcDAAAABjEwMDE4NwQAAAABMgYAAAABMAcAAAADMTYwCAAAAAEwCQAAAAExCgAAAAEwCwAAAAsxMDg2NDI5OTg1MgwAAAABNw0AAAAJNy8xNy8yMDE4EAAAAAk3LzE2LzIwMTgpHJQQNQnWCOR0WxI1CdYIQ0NJUS4oSU5WQUxJRCBJREVOVElGSUVSKS5JUV9FQklUREFfRVNULkNZMjAxOC43LzMxLzIwMTguQ09OLkYuVVNELkgFAAAAAAAAAAgAAAAUKEludmFsaWQgSWRlbnRpZmllcinIMLI3CAnWCO02sG80CdYILENJUS5JUVRSNTQyODA2Njg2LklRX1RSX1RBUkdFVF9FQklUREEuLlVTRC5IAQAAAJ6SWiACAAAAAACys0lvNAnWCIH9lW80CdYIKkNJUS5JUVRSNDI0MzQyMDQ2LklRX1RSX1RBUkdFVF9FQklULi5VU0QuSAEAAAAe8koZAgAAAAAADG0QDjUJ1gjA24IONQnWCC5DSVEuTkFTREFRR1M6QU5BQi5JUV9NQVJLRVRDQVAuOS8xNS8yMDE3LlVTRC5IAQAAACFMsgECAAAACjY1Mi4zODM0NjIBBgAA</t>
  </si>
  <si>
    <t>AAUAAAABMQEAAAAKMTg1MzAxODkxOAMAAAADMTYwAgAAAAYxMDAwNTQEAAAAATAHAAAACTkvMTUvMjAxN0adGRE1CdYIwptiEjUJ1ghGQ0lRLk5BU0RBUUdNOklNTVUuSVFfVE9UQUxfUkVWXzJZUl9BTk5fQ0FHUi4yMDAwLjcvMzEvMjAxOC5MRlIuRi5VU0QuSAEAAAAgQwQAAgAAAAgtMjguMzM5NwEIAAAABQAAAAExAQAAAAoxODg4NTIzMzg0AwAAAAMxNjACAAAABDQyMDcEAAAAATAHAAAACTcvMzEvMjAxOAgAAAAJMy8zMS8yMDE4CQAAAAEwnAvVOAgJ1gjUX5hvNAnWCDxDSVEuTkFTREFRR1M6R1RIWC5JUV9HUk9TU19NQVJHSU4uMjAwMC43LzMxLzIwMTguTEZSLkYuVVNELkgBAAAAZTRpCAMAAAAAAJwL1TgICdYIJMKabzQJ1ghAQ0lRLk9UQ1BLOk5XQk8uSVFfTUlOT1JJVFlfSU5URVJFU1RfVE9UQUwuLjcvMTYvMjAxOC5MRlIuRi5VU0QuSAEAAACjehQAAwAAAAAAKRyUEDUJ1ghzOWASNQnWCEZDSVEuTkFTREFRQ006WklPUC5JUV9UT1RBTF9SRVZfNVlSX0FOTl9DQUdSLjIwMDAuNy8zMS8yMDE4LkxGUi5GLlVTRC5IAQAAALNRsgACAAAABzQzLjkxMDQBCAAAAAUAAAABMQEAAAAKMTg4Nzk3MjM1OQMAAAADMTYwAgAAAAQ0MjMzBAAAAAEwBwAAAAk3LzMxLzIwMTgIAAAACTMvMzEvMjAxOAkAAAABMNaMETgICdYIw4afbzQJ1gg6Q0lRLk5BU0RBUUNNOk1URU0uSVFfUFJFRl9FUVVJVFkuMjAw</t>
  </si>
  <si>
    <t>MC41LzUvMjAxNy5MRlIuRi5VU0QuSAEAAACZm6kBAwAAAAAAyDCyNwgJ1ggZ6aFvNAnWCCNDSVEuSVFUUjU0MjgwNjY4Ni5JUV9UUl9DTE9TRURfREFURQEAAACeklogBQAAAAkxMS8zLzIwMTcAsrNJbzQJ1giB/ZVvNAnWCD5DSVEuTkFTREFRR1M6RlBSWC5JUV9DQVNIX1NUX0lOVkVTVC4yMDAwLjcvMzEvMjAxOC5MRlIuRi5VU0QuSAEAAAA3XTMAAgAAAAczODkuNDI2AQgAAAAFAAAAATEBAAAACjE4ODc0MDIyMjcDAAAAAzE2MAIAAAAEMTAwMgQAAAABMAcAAAAJNy8zMS8yMDE4CAAAAAkzLzMxLzIwMTgJAAAAATDWjBE4CAnWCBnpoW80CdYILENJUS5JUVRSNDA4NDA3ODIyLklRX1RSX1RPVEFMX0dST1NTX1RWLlVTRC5IBQAAAAAAAAAIAAAAGihJbnZhbGlkIEN1cnJlbmN5IFJlcXVlc3QpSVNHbzQJ1giB/ZVvNAnWCCZDSVEuJVVTUE1SVC5JUV9MQVNUU0FMRVBSSUNFLjcvMzEvMjAxOAEAAABZ7VoAAgAAAAE1AElTR280CdYIgf2VbzQJ1gg9Q0lRLk5BU0RBUUdTOkpOQ0UuSVFfUkVWRU5VRV9FU1QuQ1kyMDIwLjcvMTYvMjAxOC5DT04uRi5VU0QuSAEAAADieZ4NAgAAAAcxMDYuMzExAQ4AAAAFAAAAAjExAQAAAAEwAgAAAAoxMDAzNjI5MjYwAwAAAAYxMDAxODAEAAAAATIGAAAAATAHAAAAAzE2MAgAAAABMAkAAAABMQoAAAABMAsAAAALMTA5NDU1NzAyOTIMAAAAATcNAAAACTcvMTcvMjAxOBAA</t>
  </si>
  <si>
    <t>AAAJNy8xNi8yMDE4KRyUEDUJ1giYElkSNQnWCCxDSVEuSVFUUjMwMjg2NjYyNy5JUV9UUl9UQVJHRVRfRUJJVERBLi5VU0QuSAEAAADDYA0SAgAAAAAAWM8SDjUJ1ggMPoUONQnWCDxDSVEuTkFTREFRR1M6QVROWC5JUV9UT1RBTF9FUVVJVFkuMTk5Mi43LzMxLzIwMTguTEZSLkYuVVNELkgBAAAA3JlrAQIAAAAGMjcuODM1AQgAAAAFAAAAATEBAAAACjE4NDI0OTAyNzMDAAAAAzE2MAIAAAAEMTI3NQQAAAABMAcAAAAJNy8zMS8yMDE4CAAAAAoxMi8zMS8yMDE0CQAAAAEw1owROAgJ1ggkwppvNAnWCB1DSVEuTkFTREFRR1M6QkdORS5JUV9FWENIQU5HRQEAAADg5N0GAwAAAAhOYXNkYXFHUwCcC9U4CAnWCKgCig41CdYINkNJUS5OQVNEQVFHTTpDUklTLklRX0VCSVREQS4xOTk2LjcvMzEvMjAxOC5MRlIuRi5VU0QuSAEAAAAXagAAAgAAAActNDYuMDgyAQgAAAAFAAAAATEBAAAACjE4ODYyNDczOTUDAAAAAzE2MAIAAAAENDA1MQQAAAABMAcAAAAJNy8zMS8yMDE4CAAAAAkzLzMxLzIwMTcJAAAAATDIMLI3CAnWCN1LpG80CdYINUNJUS5OQVNEQVFHUzpDQUxBLklRX0NBUEVYLjIwMDAuNy8zMS8yMDE4LkxGUi5GLlVTRC5IAQAAAKUngQYCAAAABi0xLjIwNQEIAAAABQAAAAExAQAAAAoxODg3OTgwMzA1AwAAAAMxNjACAAAABDIwMjEEAAAAATAHAAAACTcvMzEvMjAxOAgAAAAJMy8zMS8yMDE4CQAAAAEw</t>
  </si>
  <si>
    <t>yDCyNwgJ1gjdS6RvNAnWCD1DSVEuTkFTREFRR1M6RVBaTS5JUV9DQVNIX1NUX0lOVkVTVC4yMDAwLjUvNS8yMDE3LkxGUi5GLlVTRC5IAQAAAAMmPQMCAAAABzI0Mi4xOTIBCAAAAAUAAAABMQEAAAAKMTgzMTcyODc2MAMAAAADMTYwAgAAAAQxMDAyBAAAAAEwBwAAAAg1LzUvMjAxNwgAAAAKMTIvMzEvMjAxNgkAAAABMNaMETgICdYIcySdbzQJ1ggwQ0lRLk5BU0RBUUdNOkFSUlkuSVFfTEFTVFNBTEVQUklDRS43LzMxLzIwMTguVVNEAQAAAPhhAAACAAAABTE1LjM5AJwL1TgICdYI1F+YbzQJ1gg+Q0lRLk5BU0RBUUdTOlBCWUkuSVFfVE9UQUxfRVFVSVRZLkNZMjAxNi43LzE2LzIwMTguTEZSLkYuVVNELkgBAAAAAmqsBwIAAAAHMjA5LjgyNAEIAAAABQAAAAExAQAAAAoxODc4MDYzMzMwAwAAAAMxNjACAAAABDEyNzUEAAAAATAHAAAACTcvMTYvMjAxOAgAAAAKMTIvMzEvMjAxNgkAAAABMMT/GxE1CdYIEv5kEjUJ1gg9Q0lRLk5BU0RBUUdNOkFGTUQuSVFfUkVWRU5VRV9FU1QuQ1kyMDE5LjcvMTYvMjAxOC5DT04uRi5VU0QuSAEAAADb9wwAAgAAABAyLjQ1NDAyMTc3ODA4MjIyAQ4AAAAFAAAAAjExAQAAAAEwAgAAAAoxMDAyODg0MDEwAwAAAAYxMDAxODAEAAAAATMGAAAAATAHAAAAAzE2MAgAAAABMAkAAAABMQoAAAABMAsAAAALMTEwMjYyODMzMDMMAAAAATcNAAAACTcvMTcvMjAxOBAAAAAJNy8x</t>
  </si>
  <si>
    <t>Ni8yMDE4KRyUEDUJ1ggw110SNQnWCEFDSVEuTkFTREFRR1M6TksuSVFfRUJJVERBXzVZUl9BTk5fQ0FHUi4yMDAwLjcvMzEvMjAxOC5MRlIuRi5VU0QuSAEAAAANfaEPAwAAAAAA1owROAgJ1ggZ6aFvNAnWCChDSVEuLklRX0NBUEVYLjE5OTYuNy8zMS8yMDE4LkxGUi5GLlVTRC5IBQAAAAEAAAAIAAAAFChJbnZhbGlkIElkZW50aWZpZXIp9YQyRzQJ1gj1hDJHNAnWCB5DSVEuSVEzNjE4Mzg0MC5JUV9DT01QQU5ZX05BTUUBAAAAIB8oAgMAAAAyVW5pdGVkIFN0YXRlcyBUcmVhc3VyeSBDb25zdGFudCBNYXR1cml0eSAtIDIwIFllYXIADG0QDjUJ1gh3eYAONQnWCClDSVEuSVEzNjE4MzgzMS5JUV9MQVNUU0FMRVBSSUNFLjcvMzEvMjAxOAEAAAAXHygCAgAAAAQyLjg1AElTR280CdYIgf2VbzQJ1ggsQ0lRLklRVFIzMjE4NjUyOTcuSVFfVFJfVEFSR0VUX0VCSVREQS4uVVNELkgBAAAAUUYvEwIAAAAAAFjPEg41CdYIDD6FDjUJ1ghDQ0lRLk5BU0RBUUdTOkZQUlguSVFfRUJJVERBXzVZUl9BTk5fQ0FHUi4yMDAwLjcvMzEvMjAxOC5MRlIuRi5VU0QuSAEAAAA3XTMAAwAAAAJOTQEIAAAABQAAAAExAQAAAAoxODg3NDAyMjI3AwAAAAMxNjACAAAABDQyMzUEAAAAATAHAAAACTcvMzEvMjAxOAgAAAAJMy8zMS8yMDE4CQAAAAEwyDCyNwgJ1ggZ6aFvNAnWCCFDSVEuSVFUUjQwODQwNzgyMi5JUV9UUl9CVVlF</t>
  </si>
  <si>
    <t>Uk5BTUUBAAAADs9XGAMAAAARTWVkaXZpciBBQiAocHVibCkAsrNJbzQJ1giB/ZVvNAnWCD1DSVEuTkFTREFRQ006WklPUC5JUV9SRVZFTlVFX0VTVC5DWTIwMTkuNy8zMS8yMDE4LkNPTi5GLlVTRC5IAQAAALNRsgACAAAABDYuMjYBDgAAAAUAAAACMTEBAAAAATACAAAACjEwMDA4OTgwNzUDAAAABjEwMDE4MAQAAAABMgYAAAABMAcAAAADMTYwCAAAAAEwCQAAAAExCgAAAAEwCwAAAAsxMDkzMTUzMzY2NQwAAAABNw0AAAAIOC8xLzIwMTgQAAAACTcvMzEvMjAxONaMETgICdYIw4afbzQJ1gglQ0lRLjAuSVFfVFJfVEFSR0VUX1JFVkVOVUVfRVNULi5VU0QuSAUAAAAAAAAACAAAABgoSW52YWxpZCBUcmFuc2FjdGlvbiBJZClJU0dvNAnWCAfi8IE0CdYIJUNJUS5JUVRSNDI0MzQyMDQ2LklRX1BSSU1BUllfSU5EVVNUUlkBAAAAAbgGDwMAAAAPUGhhcm1hY2V1dGljYWxzAAxtEA41CdYIwNuCDjUJ1ggvQ0lRLklRVFI1NjE2MDYzNjUuSVFfVFJfVEFSR0VUX1RPVEFMX1JFVi4uVVNELkgBAAAA3W55IQIAAAAAALKzSW80CdYINZuTbzQJ1gg/Q0lRLk5BU0RBUUdTOktVUkEuSVFfTkVUX1dPUktJTkdfQ0FQLjIwMDAuNy8zMS8yMDE4LkxGUi5GLlVTRC5IAQAAALjL2hACAAAABi02Ljg5NgEIAAAABQAAAAExAQAAAAoxODg3MzgyOTM3AwAAAAMxNjACAAAABDEzMTEEAAAAATAHAAAACTcvMzEvMjAxOAgAAAAJ</t>
  </si>
  <si>
    <t>My8zMS8yMDE4CQAAAAEw1owROAgJ1ghzJJ1vNAnWCD1DSVEuTkFTREFRR1M6UEJZSS5JUV9SRVZFTlVFX0VTVC5DWTIwMjAuNy8xNi8yMDE4LkNPTi5GLlVTRC5IAQAAAAJqrAcCAAAABTgzNy43AQ4AAAAFAAAAAjExAQAAAAEwAgAAAAoxMDAxNTEzMDg0AwAAAAYxMDAxODAEAAAAATIGAAAAATAHAAAAAzE2MAgAAAABMAkAAAABMQoAAAABMAsAAAALMTA5NTEyNDA1MTYMAAAAATcNAAAACTcvMTcvMjAxOBAAAAAJNy8xNi8yMDE4xP8bETUJ1ggS/mQSNQnWCEJDSVEuTkFTREFRR1M6VFNSTy5JUV9UT1RBTF9SRVZfM1lSX0FOTl9DQUdSLi43LzE2LzIwMTguTEZSLkYuVVNELkgBAAAAaNZYBgMAAAAAAMT/GxE1CdYIEv5kEjUJ1gg9Q0lRLk5BU0RBUUdTOlBCWUkuSVFfUkVWRU5VRV9FU1QuQ1kyMDIxLjcvMTYvMjAxOC5DT04uRi5VU0QuSAEAAAACaqwHAgAAAAcxMjA2LjY1AQ4AAAAFAAAAAjExAQAAAAEwAgAAAAoxMDAxNTE1MzczAwAAAAYxMDAxODAEAAAAATIGAAAAATAHAAAAAzE2MAgAAAABMAkAAAABMQoAAAABMAsAAAALMTA5NTEyNDAzNTQMAAAAATcNAAAACTcvMTcvMjAxOBAAAAAJNy8xNi8yMDE4xP8bETUJ1ggS/mQSNQnWCDlDSVEuTkFTREFRR1M6RlBSWC5JUV9UT1RBTF9SRVYuMTk5Mi43LzMxLzIwMTguTEZSLkYuVVNELkgBAAAAN10zAAIAAAAHMzgyLjAzNAEIAAAABQAAAAExAQAAAAox</t>
  </si>
  <si>
    <t>ODQwNTY1Nzk0AwAAAAMxNjACAAAAAjI4BAAAAAEwBwAAAAk3LzMxLzIwMTgIAAAACTMvMzEvMjAxNgkAAAABMNaMETgICdYIGemhbzQJ1ggtQ0lRLk5BU0RBUUdTOkdUSFguSVFfRElWSURFTkRfWUlFTEQuNy8zMS8yMDE4AQAAAGU0aQgDAAAAAACcC9U4CAnWCCTCmm80CdYILUNJUS5OQVNEQVFHTTpJTU1VLklRX0RJVklERU5EX1lJRUxELjcvMzEvMjAxOAEAAAAgQwQAAwAAAAAAnAvVOAgJ1gjUX5hvNAnWCDhDSVEuTkFTREFRR1M6R1RIWC5JUV9FQklUREEuQ1kyMDE3LjcvMzEvMjAxOC5MRlIuRi5VU0QuSAEAAABlNGkIAgAAAActNjAuODc5AQgAAAAFAAAAATEBAAAACjE4NzUzMjczMDYDAAAAAzE2MAIAAAAENDA1MQQAAAABMAcAAAAJNy8zMS8yMDE4CAAAAAoxMi8zMS8yMDE3CQAAAAEwnAvVOAgJ1ggkwppvNAnWCC9DSVEuSVFUUjMwNzg2Mzk4NC5JUV9UUl9UQVJHRVRfVE9UQUxfUkVWLi5VU0QuSAEAAACwoVkSAgAAAAAAWM8SDjUJ1gjA24IONQnWCDxDSVEuT1RDUEs6TUJWWC5JUV9FQklUREFfM1lSX0FOTl9DQUdSLi43LzE2LzIwMTguTEZSLkYuVVNELkgBAAAA2ESLAgMAAAACTk0BCAAAAAUAAAABMQEAAAAKMTg4MTIxMzI0NQMAAAADMTYwAgAAAAQ0MjIyBAAAAAEwBwAAAAk3LzE2LzIwMTgIAAAACjEyLzMxLzIwMTcJAAAAATDep34QNQnWCJgSWRI1CdYIQkNJUS5OQVNEQVFHTTpOTE5L</t>
  </si>
  <si>
    <t>LklRX1RPVEFMX1JFVl8zWVJfQU5OX0NBR1IuLjcvMTYvMjAxOC5MRlIuRi5VU0QuSAEAAACVe4wAAgAAAAgtNDQuNjUzMwEIAAAABQAAAAExAQAAAAoxODg4MzU0MjA3AwAAAAMxNjACAAAABDQyMjAEAAAAATAHAAAACTcvMTYvMjAxOAgAAAAJMy8zMS8yMDE4CQAAAAEwKRyUEDUJ1gjkdFsSNQnWCDZDSVEuWFRSQTpNT1IuSVFfRUJJVF9NQVJHSU4uMjAwMC43LzMxLzIwMTguTEZSLkYuVVNELkgBAAAA3xECAAIAAAAJLTEwNi4wMzkyAQgAAAAFAAAAATEBAAAACjE4ODYxNTE2NDgDAAAAAjUwAgAAAAQ0MDUzBAAAAAEwBwAAAAk3LzMxLzIwMTgIAAAACTMvMzEvMjAxOAkAAAABMJwL1TgICdYI1F+YbzQJ1ggjQ0lRLklRVFI1NjE2MDYzNjUuSVFfVFJfVE9UQUxfU1RPQ0sBAAAA3W55IQIAAAAAALKzSW80CdYINZuTbzQJ1ggvQ0lRLklRVFIyNDU4MzEwMDcuSVFfVFJfSU1QTElFRF9FVl9GSU5BTC4uVVNELkgBAAAAXxWnDgIAAAAKNzQ4LjE4MTYxNwCys0lvNAnWCIH9lW80CdYILENJUS5JUVRSNTYzOTE5MDQ5LklRX1RSX1RBUkdFVF9FQklUREEuLlVTRC5IAQAAAMm4nCECAAAABy01NS4xNzIBBgAAAAUAAAACMzcBAAAACjE4ODg5NzkwOTUCAAAABTIxNjc3AwAAAAMxNjAEAAAAATAHAAAACDEvMS8xOTAwDG0QDjUJ1gjA24IONQnWCDlDSVEuTkFTREFRR006Q1JWUy5JUV9UT1RBTF9SRVYuMjAwMC43</t>
  </si>
  <si>
    <t>LzMxLzIwMTguTEZSLkYuVVNELkgBAAAA9LCmEAMAAAAAANaMETgICdYIGemhbzQJ1gg5Q0lRLk5BU0RBUUdTOkpOQ0UuSVFfRUJJVERBX01BUkdJTi4uNy8xNi8yMDE4LkxGUi5GLlVTRC5IAQAAAOJ5ng0CAAAACC00NS4yOTgxAQgAAAAFAAAAATEBAAAACjE4ODgxODYzNzQDAAAAAzE2MAIAAAAENDA0NwQAAAABMAcAAAAJNy8xNi8yMDE4CAAAAAkzLzMxLzIwMTgJAAAAATApHJQQNQnWCJgSWRI1CdYINkNJUS5OQVNEQVFHUzpDVE1YLklRX1RPVEFMX0RFQlQuLjcvMTYvMjAxOC5MRlIuRi5VU0QuSAEAAADcOJsDAgAAAAEwAQgAAAAFAAAAATEBAAAACjE4ODc2NzUzMTYDAAAAAzE2MAIAAAAENDE3MwQAAAABMAcAAAAJNy8xNi8yMDE4CAAAAAkzLzMxLzIwMTgJAAAAATDE/xsRNQnWCMKbYhI1CdYIQkNJUS5OQVNEQVFHTTpYTkNSLklRX1RPVEFMX1JFVl8zWVJfQU5OX0NBR1IuLjcvMTYvMjAxOC5MRlIuRi5VU0QuSAEAAACmWgsAAgAAAAc1My45NTYxAQgAAAAFAAAAATEBAAAACjE4ODcxMjU4NTUDAAAAAzE2MAIAAAAENDIyMAQAAAABMAcAAAAJNy8xNi8yMDE4CAAAAAkzLzMxLzIwMTgJAAAAATDE/xsRNQnWCBL+ZBI1CdYIPUNJUS5BU1g6SU1VLklRX01JTk9SSVRZX0lOVEVSRVNUX1RPVEFMLi45LzE1LzIwMTcuTEZSLkYuVVNELkgBAAAAmJOpAAMAAAAAACkclBA1CdYIMNddEjUJ1ggsQ0lRLk5B</t>
  </si>
  <si>
    <t>U0RBUUdTOkFEWFMuSVFfTEFTVFNBTEVQUklDRS45LzE1LzIwMTcBAAAAnux4AAIAAAAENC44MQApHJQQNQnWCOR0WxI1CdYIOUNJUS5OQVNEQVFHTTpYTkNSLklRX0VCSVREQV9NQVJHSU4uLjcvMTYvMjAxOC5MRlIuRi5VU0QuSAEAAACmWgsAAgAAAAktMjAyLjEyMzQBCAAAAAUAAAABMQEAAAAKMTg4NzEyNTg1NQMAAAADMTYwAgAAAAQ0MDQ3BAAAAAEwBwAAAAk3LzE2LzIwMTgIAAAACTMvMzEvMjAxOAkAAAABMMT/GxE1CdYIEv5kEjUJ1gg2Q0lRLk5BU0RBUUdTOkJHTkUuSVFfVE9UQUxfREVCVC4uNy8xNi8yMDE4LkxGUi5GLlVTRC5IAQAAAODk3QYCAAAABzE3My42ODEBCAAAAAUAAAABMQEAAAAKMTg4NzY4ODU4OAMAAAADMTYwAgAAAAQ0MTczBAAAAAEwBwAAAAk3LzE2LzIwMTgIAAAACTMvMzEvMjAxOAkAAAABMMT/GxE1CdYIaGBnEjUJ1ggxQ0lRLk5BU0RBUUdTOk1SU04uSVFfREFfQ0YuLjcvMTYvMjAxOC5MRlIuRi5VU0QuSAEAAADmxRgAAgAAAAUwLjk3NwEIAAAABQAAAAExAQAAAAoxODg5MDk2NjUzAwAAAAMxNjACAAAABDIxNjAEAAAAATAHAAAACTcvMTYvMjAxOAgAAAAJMy8zMS8yMDE4CQAAAAEwKRyUEDUJ1ghzOWASNQnWCDBDSVEuSVFUUjQyMjg4NzcwMS5JUV9UUl9UQVJHRVRfRUJJVERBX0VTVC4uVVNELkgBAAAAFcE0GQIAAAAAAAxtEA41CdYIwNuCDjUJ1ggsQ0lRLklRVFI1</t>
  </si>
  <si>
    <t>MzM2Mzk1MDEuSVFfVFJfVE9UQUxfR1JPU1NfVFYuVVNELkgFAAAAAAAAAAgAAAAaKEludmFsaWQgQ3VycmVuY3kgUmVxdWVzdCkMbRAONQnWCMDbgg41CdYIOkNJUS5OQVNEQVFHUzpHVEhYLklRX0VBUk5JTkdfQ08uMTk5Mi43LzMxLzIwMTguTEZSLkYuVVNELkgBAAAAZTRpCAMAAAAAANaMETgICdYIJMKabzQJ1gg8Q0lRLk5BU0RBUUdTOkVQWk0uSVFfVE9UQUxfRVFVSVRZLjE5OTYuNy8zMS8yMDE4LkxGUi5GLlVTRC5IAQAAAAMmPQMCAAAABzE3NC41MjEBCAAAAAUAAAABMQEAAAAKMTg4NzI0NjA0OQMAAAADMTYwAgAAAAQxMjc1BAAAAAEwBwAAAAk3LzMxLzIwMTgIAAAACTMvMzEvMjAxNwkAAAABMNaMETgICdYIcySdbzQJ1ghHQ0lRLk5BU0RBUUdNOkNSVlMuSVFfTUlOT1JJVFlfSU5URVJFU1RfVE9UQUwuMjAwMC43LzMxLzIwMTguTEZSLkYuVVNELkgBAAAA9LCmEAMAAAAAANaMETgICdYIGemhbzQJ1gg6Q0lRLk5BU0RBUUdTOkFUTlguSVFfVE9UQUxfREVCVC4yMDAwLjcvMzEvMjAxOC5MRlIuRi5VU0QuSAEAAADcmWsBAgAAAAUxLjY2MwEIAAAABQAAAAExAQAAAAoxODg4NzAyOTgyAwAAAAMxNjACAAAABDQxNzMEAAAAATAHAAAACTcvMzEvMjAxOAgAAAAJMy8zMS8yMDE4CQAAAAEw1owROAgJ1ggkwppvNAnWCDtDSVEuTkFTREFRR1M6TksuSVFfQ0FTSF9TVF9JTlZFU1QuMjAwMC41LzUv</t>
  </si>
  <si>
    <t>MjAxNy5MRlIuRi5VU0QuSAEAAAANfaEPAgAAAAcxOTguOTIxAQgAAAAFAAAAATEBAAAACjE4MzE5ODc5MzcDAAAAAzE2MAIAAAAEMTAwMgQAAAABMAcAAAAINS81LzIwMTcIAAAACjEyLzMxLzIwMTYJAAAAATDWjBE4CAnWCBnpoW80CdYIMkNJUS5PVENQSzpOV0JPLklRX1RPVEFMX1JFVi4uNy8xNi8yMDE4LkxGUi5GLlVTRC5IAQAAAKN6FAACAAAAAzAuNAEIAAAABQAAAAExAQAAAAoxODg5MzAyODI0AwAAAAMxNjACAAAAAjI4BAAAAAEwBwAAAAk3LzE2LzIwMTgIAAAACTMvMzEvMjAxOAkAAAABMCkclBA1CdYIczlgEjUJ1ghGQ0lRLk5BU0RBUUNNOlpJT1AuSVFfVE9UQUxfUkVWXzJZUl9BTk5fQ0FHUi4yMDAwLjcvMzEvMjAxOC5MRlIuRi5VU0QuSAEAAACzUbIAAgAAAActOS40OTkxAQgAAAAFAAAAATEBAAAACjE4ODc5NzIzNTkDAAAAAzE2MAIAAAAENDIwNwQAAAABMAcAAAAJNy8zMS8yMDE4CAAAAAkzLzMxLzIwMTgJAAAAATDWjBE4CAnWCMOGn280CdYIP0NJUS5OQVNEQVFHUzpDVE1YLklRX0VCSVREQV8yWVJfQU5OX0NBR1IuLjcvMTYvMjAxOC5MRlIuRi5VU0QuSAEAAADcOJsDAwAAAAJOTQEIAAAABQAAAAExAQAAAAoxODg3Njc1MzE2AwAAAAMxNjACAAAABDQyMDkEAAAAATAHAAAACTcvMTYvMjAxOAgAAAAJMy8zMS8yMDE4CQAAAAEwxP8bETUJ1gjCm2ISNQnWCClDSVEuTkFTREFRR1M6</t>
  </si>
  <si>
    <t>TksuSVFfTEFTVFNBTEVQUklDRS41LzUvMjAxNwEAAAANfaEPAgAAAAQyLjkzANaMETgICdYIGemhbzQJ1gg2Q0lRLk5BU0RBUUNNOk1URU0uSVFfRUJJVERBLjE5OTYuNy8zMS8yMDE4LkxGUi5GLlVTRC5IAQAAAJmbqQECAAAACS05LjI1NzEyMgEIAAAABQAAAAExAQAAAAoxODg4NzMzMDAyAwAAAAMxNjACAAAABDQwNTEEAAAAATAHAAAACTcvMzEvMjAxOAgAAAAJMy8zMS8yMDE3CQAAAAEwyDCyNwgJ1ggZ6aFvNAnWCDJDSVEuTkFTREFRR1M6T1ZJRC5JUV9UT1RBTF9SRVYuMjAwMC4xMC8xOC8yMDE2Li4uLgEAAAAg0DcRAwAAAAAAsrNJbzQJ1gg1m5NvNAnWCDxDSVEuTkFTREFRR1M6RVBaTS5JUV9UT1RBTF9FUVVJVFkuMjAwMC43LzMxLzIwMTguTEZSLkYuVVNELkgBAAAAAyY9AwIAAAAHMjMxLjEzMgEIAAAABQAAAAExAQAAAAoxODg3MjQ2MDc3AwAAAAMxNjACAAAABDEyNzUEAAAAATAHAAAACTcvMzEvMjAxOAgAAAAJMy8zMS8yMDE4CQAAAAEw1owROAgJ1ghzJJ1vNAnWCDZDSVEuTkFTREFRR006SU1NVS5JUV9FQklUREEuMjAwMC43LzMxLzIwMTguTEZSLkYuVVNELkgBAAAAIEMEAAIAAAALLTEwNy4yNDQ5MTcBCAAAAAUAAAABMQEAAAAKMTg4ODUyMzM4NAMAAAADMTYwAgAAAAQ0MDUxBAAAAAEwBwAAAAk3LzMxLzIwMTgIAAAACTMvMzEvMjAxOAkAAAABMJwL1TgICdYI1F+YbzQJ1gg7Q0lR</t>
  </si>
  <si>
    <t>Lk5BU0RBUUdTOk1HTlguSVFfTkVUX1dPUktJTkdfQ0FQLi43LzE2LzIwMTguTEZSLkYuVVNELkgBAAAATysJAAIAAAAHLTM4Ljk5OAEIAAAABQAAAAExAQAAAAoxODg3MTE0OTQ1AwAAAAMxNjACAAAABDEzMTEEAAAAATAHAAAACTcvMTYvMjAxOAgAAAAJMy8zMS8yMDE4CQAAAAEwxP8bETUJ1gjCm2ISNQnWCCxDSVEuLklRX05JX01BUkdJTi4yMDAwLjcvMzEvMjAxOC5MRlIuRi5VU0QuSAUAAAABAAAACAAAABQoSW52YWxpZCBJZGVudGlmaWVyKZYkMEc0CdYIliQwRzQJ1gg3Q0lRLk5BU0RBUUdTOkZQUlguSVFfRUJJVF9NQVJHSU4uLjcvMTYvMjAxOC5MRlIuRi5VU0QuSAEAAAA3XTMAAgAAAAktMjI0LjQzNzgBCAAAAAUAAAABMQEAAAAKMTg4NzQwMjIyNwMAAAADMTYwAgAAAAQ0MDUzBAAAAAEwBwAAAAk3LzE2LzIwMTgIAAAACTMvMzEvMjAxOAkAAAABMCkclBA1CdYIczlgEjUJ1gglQ0lRLk5BU0RBUUdNOkNSSVMuSVFfRklSU1RQUklDSU5HREFURQEAAAAXagAABQAAAAg4LzEvMjAwMADIMLI3CAnWCN1LpG80CdYIK0NJUS5JUVRSNDEzOTUzNjYxLklRX1RSX0lNUExJRURfRVZfRUJJVF9GV0QBAAAAfW6sGAIAAAAAALKzSW80CdYIgf2VbzQJ1gghQ0lRLklRVFIyNDU4MzEwMDcuSVFfVFJfQlVZRVJOQU1FAQAAAF8Vpw4DAAAAFE90c3VrYSBBbWVyaWNhLCBJbmMuALKzSW80CdYIgf2VbzQJ1ggg</t>
  </si>
  <si>
    <t>Q0lRLklRVFI0MTE4NzEwODIuSVFfVFJfRUFSTk9VVFMBAAAAaqeMGAIAAAAEMTUwMAEGAAAABQAAAAI1NAEAAAAGMTAxNDAzAgAAAAk0MTE4NzEwODIDAAAACTQxMTg3MTI5MQQAAAADMTYwBgAAAAVGYWxzZbKzSW80CdYINZuTbzQJ1gg4Q0lRLk5BU0RBUUdNOk5MTksuSVFfVE9UQUxfRVFVSVRZLi43LzE2LzIwMTguTEZSLkYuVVNELkgBAAAAlXuMAAIAAAAHMTM3Ljk1NAEIAAAABQAAAAExAQAAAAoxODg4MzU0MjA3AwAAAAMxNjACAAAABDEyNzUEAAAAATAHAAAACTcvMTYvMjAxOAgAAAAJMy8zMS8yMDE4CQAAAAEwKRyUEDUJ1gjkdFsSNQnWCEJDSVEuTkFTREFRR1M6U0dFTi5JUV9UT1RBTF9SRVZfMllSX0FOTl9DQUdSLi43LzE2LzIwMTguTEZSLkYuVVNELkgBAAAAYYUAAAIAAAAGMTguNTA1AQgAAAAFAAAAATEBAAAACjE4ODQ4OTI4NTIDAAAAAzE2MAIAAAAENDIwNwQAAAABMAcAAAAJNy8xNi8yMDE4CAAAAAkzLzMxLzIwMTgJAAAAATDE/xsRNQnWCGhgZxI1CdYIIkNJUS5JUVRSMjUzOTU0NDczLklRX1RSX1RPVEFMX0NBU0gBAAAAqQkjDwIAAAAAALKzSW80CdYINZuTbzQJ1ggyQ0lRLk5BU0RBUUdNOlhOQ1IuSVFfRUJJVERBLi43LzE2LzIwMTguTEZSLkYuVVNELkgBAAAAploLAAIAAAAHLTY1LjEwNgEIAAAABQAAAAExAQAAAAoxODg3MTI1ODU1AwAAAAMxNjACAAAABDQwNTEEAAAAATAH</t>
  </si>
  <si>
    <t>AAAACTcvMTYvMjAxOAgAAAAJMy8zMS8yMDE4CQAAAAEwxP8bETUJ1ggS/mQSNQnWCDZDSVEuLklRX0VCSVREQV81WVJfQU5OX0NBR1IuMjAwMC43LzMxLzIwMTguTEZSLkYuVVNELkgFAAAAAQAAAAgAAAAUKEludmFsaWQgSWRlbnRpZmllcin1hDJHNAnWCPWEMkc0CdYIOUNJUS5OQVNEQVFHUzpFUFpNLklRX05JX01BUkdJTi4yMDAwLjcvMzEvMjAxOC5MRlIuRi5VU0QuSAEAAAADJj0DAwAAAAJOTQEIAAAABQAAAAExAQAAAAoxODg3MjQ2MDc3AwAAAAMxNjACAAAABDQwOTQEAAAAATAHAAAACTcvMzEvMjAxOAgAAAAJMy8zMS8yMDE4CQAAAAEw1owROAgJ1ghzJJ1vNAnWCDVDSVEuTkFTREFRR006SU1NVS5JUV9DQVBFWC4xOTkyLjcvMzEvMjAxOC5MRlIuRi5VU0QuSAEAAAAgQwQAAgAAAAgtMS43NzM2NgEIAAAABQAAAAExAQAAAAoxODQxMTcxMjI0AwAAAAMxNjACAAAABDIwMjEEAAAAATAHAAAACTcvMzEvMjAxOAgAAAAJMy8zMS8yMDE2CQAAAAEwnAvVOAgJ1gjUX5hvNAnWCDZDSVEuTkFTREFRR1M6QkdORS5JUV9UT1RBTF9ERUJULi45LzE1LzIwMTcuTEZSLkYuVVNELkgBAAAA4OTdBgIAAAAHMTUyLjcyOAEIAAAABQAAAAExAQAAAAoxODUyNzAwNTY0AwAAAAMxNjACAAAABDQxNzMEAAAAATAHAAAACTkvMTUvMjAxNwgAAAAJNi8zMC8yMDE3CQAAAAEwxP8bETUJ1ghoYGcSNQnWCCRDSVEuT1RD</t>
  </si>
  <si>
    <t>UEs6TldCTy5JUV9CRVRBXzVZUi43LzE2LzIwMTgBAAAAo3oUAAIAAAAQMS45ODc1Mjc3NDg4NjEzNAApHJQQNQnWCDDXXRI1CdYIO0NJUS5OQVNEQVFHUzpFUFpNLklRX0VCSVRfTUFSR0lOLjIwMDAuNy8zMS8yMDE4LkxGUi5GLlVTRC5IAQAAAAMmPQMDAAAAAk5NAQgAAAAFAAAAATEBAAAACjE4ODcyNDYwNzcDAAAAAzE2MAIAAAAENDA1MwQAAAABMAcAAAAJNy8zMS8yMDE4CAAAAAkzLzMxLzIwMTgJAAAAATDWjBE4CAnWCHMknW80CdYIPUNJUS5OQVNEQVFHTTpJTU1VLklRX1JFVkVOVUVfRVNULkNZMjAyMS43LzMxLzIwMTguQ09OLkYuVVNELkgBAAAAIEMEAAIAAAAINTIxLjcxNjcBDgAAAAUAAAACMTEBAAAAATACAAAACTcyODM3NTU5NQMAAAAGMTAwMTgwBAAAAAEyBgAAAAEwBwAAAAMxNjAIAAAAATAJAAAAATEKAAAAATALAAAACzEwOTgwMjY0NDAyDAAAAAE3DQAAAAg4LzEvMjAxOBAAAAAJNy8zMS8yMDE4nAvVOAgJ1gjUX5hvNAnWCCdDSVEuTkFTREFRR1M6RlBSWC5JUV9CRVRBXzFZUi43LzMxLzIwMTgBAAAAN10zAAIAAAARMC43MDU4MTc2MjAyODMyNzIA1owROAgJ1ggZ6aFvNAnWCDZDSVEuLklRX0VCSVREQV8yWVJfQU5OX0NBR1IuMjAwMC43LzMxLzIwMTguTEZSLkYuVVNELkgFAAAAAQAAAAgAAAAUKEludmFsaWQgSWRlbnRpZmllcin1hDJHNAnWCPWEMkc0CdYIN0NJUS5OQVNEQVFH</t>
  </si>
  <si>
    <t>TTpYTkNSLklRX1BSRUZfRVFVSVRZLi43LzE2LzIwMTguTEZSLkYuVVNELkgBAAAAploLAAMAAAAAAMT/GxE1CdYIEv5kEjUJ1gguQ0lRLk5BU0RBUUdTOktVUkEuSVFfTUFSS0VUQ0FQLjcvMzEvMjAxOC5VU0QuSAEAAAC4y9oQAgAAAAo3NTQuMzY0NDIzAQYAAAAFAAAAATEBAAAACjE4ODczODIyODEDAAAAAzE2MAIAAAAGMTAwMDU0BAAAAAEwBwAAAAk3LzMxLzIwMTjWjBE4CAnWCHMknW80CdYIPkNJUS5OQVNEQVFHTTpMUFRYLklRX1RPVEFMX0VRVUlUWS5DWTIwMTcuNy8xNi8yMDE4LkxGUi5GLlVTRC5IAQAAAAw2CQcCAAAABjExLjExNwEIAAAABQAAAAExAQAAAAoxODc1NTU5OTYzAwAAAAMxNjACAAAABDEyNzUEAAAAATAHAAAACTcvMTYvMjAxOAgAAAAKMTIvMzEvMjAxNwkAAAABMCkclBA1CdYIMNddEjUJ1ggeQ0lRLklRMzYxODM4MTkuSVFfQ09NUEFOWV9OQU1FAQAAAAsfKAIDAAAAMlVuaXRlZCBTdGF0ZXMgVHJlYXN1cnkgQ29uc3RhbnQgTWF0dXJpdHkgLSA2IE1vbnRoAAxtEA41CdYId3mADjUJ1gguQ0lRLklRVFI0MDc3NjA2OTIuSVFfVFJfVEFSR0VUX1NUT0NLUFJFTUlVTV8xVwEAAAA0700YAgAAAAAAWM8SDjUJ1ggMPoUONQnWCDxDSVEuTkFTREFRR006QVJRTC5JUV9FQVJOSU5HX0NPLkNZMjAxNi43LzMxLzIwMTguTEZSLkYuVVNELkgBAAAA9mEAAAIAAAAHLTIyLjcxOAEIAAAA</t>
  </si>
  <si>
    <t>BQAAAAExAQAAAAoxODc4NTA4Njk1AwAAAAMxNjACAAAAATcEAAAAATAHAAAACTcvMzEvMjAxOAgAAAAKMTIvMzEvMjAxNgkAAAABMNaMETgICdYIcySdbzQJ1gg2Q0lRLk5BU0RBUUdNOklNTVUuSVFfVE9UQUxfREVCVC4uOS8xNS8yMDE3LkxGUi5GLlVTRC5IAQAAACBDBAACAAAACTk4LjA4NDIxOQEIAAAABQAAAAExAQAAAAoxODU0MzgyMzE0AwAAAAMxNjACAAAABDQxNzMEAAAAATAHAAAACTkvMTUvMjAxNwgAAAAJNi8zMC8yMDE3CQAAAAEwxP8bETUJ1ggS/mQSNQnWCC5DSVEuKElOVkFMSUQgSURFTlRJRklFUikuSVFfQkVUQV81WVIuNy8xNi8yMDE4BQAAAAAAAAAIAAAAFChJbnZhbGlkIElkZW50aWZpZXIpIAqBEDUJ1giYElkSNQnWCEZDSVEuTkFTREFRR1M6VFNSTy5JUV9UT1RBTF9SRVZfM1lSX0FOTl9DQUdSLjIwMDAuNy8zMS8yMDE4LkxGUi5GLlVTRC5IAQAAAGjWWAYDAAAAAACcC9U4CAnWCCTCmm80CdYII0NJUS5JUVRSNDMxODQxNTgxLklRX1RSX1RPVEFMX1NUT0NLAQAAAC1hvRkCAAAAAAAMbRAONQnWCAw+hQ41CdYILkNJUS5OWVNFOkJIVk4uSVFfVE9UQUxfUkVWLjIwMDAuMTAvMTgvMjAxNi4uLi4BAAAA3GcgDwMAAAAAALKzSW80CdYINZuTbzQJ1gg/Q0lRLk5BU0RBUUdTOkJHTkUuSVFfTkVUX1dPUktJTkdfQ0FQLjE5OTYuNy8zMS8yMDE4LkxGUi5GLlVTRC5IAQAAAODk3QYC</t>
  </si>
  <si>
    <t>AAAABy0zOC44MTMBCAAAAAUAAAABMQEAAAAKMTg4NzY4ODU4MwMAAAADMTYwAgAAAAQxMzExBAAAAAEwBwAAAAk3LzMxLzIwMTgIAAAACTMvMzEvMjAxNwkAAAABMJwL1TgICdYIgf2VbzQJ1ggwQ0lRLklRVFI0MDk5NTE4ODYuSVFfVFJfVEFSR0VUX0VCSVREQV9FU1QuLlVTRC5IAQAAAI5ebxgCAAAAAAAMbRAONQnWCMDbgg41CdYISkNJUS4oSU5WQUxJRCBJREVOVElGSUVSKS5JUV9FQklUREFfNVlSX0FOTl9DQUdSLjIwMDAuNy8zMS8yMDE4LkxGUi5GLlVTRC5IBQAAAAAAAAAIAAAAFChJbnZhbGlkIElkZW50aWZpZXIpyDCyNwgJ1gg8mbJvNAnWCCpDSVEuSVFUUjQxMzk1MzY2MS5JUV9UUl9UQVJHRVRfRUJJVC4uVVNELkgBAAAAfW6sGAIAAAAGLTkuNzQyALKzSW80CdYIgf2VbzQJ1gglQ0lRLklRVFIzMjE4NjUyOTcuSVFfVFJfSU1QTElFRF9FUV9CVgEAAABRRi8TAgAAAAAAWM8SDjUJ1ggMPoUONQnWCDZDSVEuTkFTREFRR1M6VFNSTy5JUV9FQklUREEuMjAwMC43LzMxLzIwMTguTEZSLkYuVVNELkgBAAAAaNZYBgIAAAAILTQ3Ny4yOTcBCAAAAAUAAAABMQEAAAAKMTg4NjMzNzQ2NgMAAAADMTYwAgAAAAQ0MDUxBAAAAAEwBwAAAAk3LzMxLzIwMTgIAAAACTMvMzEvMjAxOAkAAAABMJwL1TgICdYIJMKabzQJ1ggpQ0lRLklRMzYxODM4MzQuSVFfTEFTVFNBTEVQUklDRS43LzE2LzIwMTgBAAAA</t>
  </si>
  <si>
    <t>Gh8oAgIAAAAEMi44MgAMbRAONQnWCAw+hQ41CdYIPENJUS5OQVNEQVFHUzpBVE5YLklRX0VBUk5JTkdfQ08uQ1kyMDE2LjcvMzEvMjAxOC5MRlIuRi5VU0QuSAEAAADcmWsBAgAAAActODcuOTA2AQgAAAAFAAAAATEBAAAACjE4Nzk5MDc2MTkDAAAAAzE2MAIAAAABNwQAAAABMAcAAAAJNy8zMS8yMDE4CAAAAAoxMi8zMS8yMDE2CQAAAAEw1owROAgJ1ggkwppvNAnWCB5DSVEuSVEzNjE4MzgzNy5JUV9DT01QQU5ZX05BTUUBAAAAHR8oAgMAAAAyVW5pdGVkIFN0YXRlcyBUcmVhc3VyeSBDb25zdGFudCBNYXR1cml0eSAtIDEwIFllYXIADG0QDjUJ1gh3eYAONQnWCCpDSVEuSVFUUjMyMTg2NTI5Ny5JUV9UUl9UQVJHRVRfRUJJVC4uVVNELkgBAAAAUUYvEwIAAAAAAFjPEg41CdYIDD6FDjUJ1ghGQ0lRLk5BU0RBUUdTOk1SU04uSVFfVE9UQUxfUkVWXzJZUl9BTk5fQ0FHUi4yMDAwLjcvMzEvMjAxOC5MRlIuRi5VU0QuSAEAAADmxRgAAwAAAAAA1owROAgJ1gjDhp9vNAnWCENDSVEuTkFTREFRR006QVJSWS5JUV9FQklUREFfNVlSX0FOTl9DQUdSLjIwMDAuNy8zMS8yMDE4LkxGUi5GLlVTRC5IAQAAAPhhAAADAAAAAk5NAQgAAAAFAAAAATEBAAAACjE4ODg0NzA2NzYDAAAAAzE2MAIAAAAENDIzNQQAAAABMAcAAAAJNy8zMS8yMDE4CAAAAAkzLzMxLzIwMTgJAAAAATCcC9U4CAnWCCTCmm80CdYIPENJUS5O</t>
  </si>
  <si>
    <t>QVNEQVFHUzpTR0VOLklRX0VCSVREQV9FU1QuQ1kyMDE5LjcvMTYvMjAxOC5DT04uRi5VU0QuSAEAAABhhQAAAgAAAAgtMTIxLjYyNwEOAAAABQAAAAIxMQEAAAABMAIAAAAKMTAwMDEyNDcyNwMAAAAGMTAwMTg3BAAAAAEyBgAAAAEwBwAAAAMxNjAIAAAAATAJAAAAATEKAAAAATALAAAACzEwODU3ODc0OTcyDAAAAAE3DQAAAAk3LzE3LzIwMTgQAAAACTcvMTYvMjAxOMT/GxE1CdYIaGBnEjUJ1ggmQ0lRLkFTWDpJTVUuSVFfTEFTVFNBTEVQUklDRS45LzE1LzIwMTcBAAAAmJOpAAIAAAAIMC4wMTI3OTkAKRyUEDUJ1ggw110SNQnWCCdDSVEuTkFTREFRR1M6Q0FMQS5JUV9QRVJJT0REQVRFX0lTLjEwMDABAAAApSeBBgUAAAAKMTIvMzEvMjAxNwDIMLI3CAnWCN1LpG80CdYIKUNJUS5JUVRSMzcxNzE1MTE5LklRX1RSX0lNUExJRURfRVFfTklfTFRNAQAAAC/sJxYCAAAAAABYzxIONQnWCMDbgg41CdYIRkNJUS5OQVNEQVFHTTpJTU1VLklRX1RPVEFMX1JFVl8zWVJfQU5OX0NBR1IuMjAwMC43LzMxLzIwMTguTEZSLkYuVVNELkgBAAAAIEMEAAIAAAAILTE4LjQzNDEBCAAAAAUAAAABMQEAAAAKMTg4ODUyMzM4NAMAAAADMTYwAgAAAAQ0MjIwBAAAAAEwBwAAAAk3LzMxLzIwMTgIAAAACTMvMzEvMjAxOAkAAAABMJwL1TgICdYI1F+YbzQJ1gg6Q0lRLk5BU0RBUUNNOlpJT1AuSVFfRUFSTklOR19DTy4xOTky</t>
  </si>
  <si>
    <t>LjcvMzEvMjAxOC5MRlIuRi5VU0QuSAEAAACzUbIAAgAAAActNTMuODc2AQgAAAAFAAAAATEBAAAACjE4MzkzNDEwNjcDAAAAAzE2MAIAAAABNwQAAAABMAcAAAAJNy8zMS8yMDE4CAAAAAkzLzMxLzIwMTYJAAAAATDWjBE4CAnWCMOGn280CdYIPENJUS5OQVNEQVFHTTpMUFRYLklRX0VBUk5JTkdfQ08uQ1kyMDE3LjcvMTYvMjAxOC5MRlIuRi5VU0QuSAEAAAAMNgkHAgAAAActMjkuNzI3AQgAAAAFAAAAATEBAAAACjE4NzU1NTk5NjMDAAAAAzE2MAIAAAABNwQAAAABMAcAAAAJNy8xNi8yMDE4CAAAAAoxMi8zMS8yMDE3CQAAAAEwKRyUEDUJ1ggw110SNQnWCENDSVEuTkFTREFRR1M6QVROWC5JUV9FQklUREFfNVlSX0FOTl9DQUdSLjIwMDAuNy8zMS8yMDE4LkxGUi5GLlVTRC5IAQAAANyZawEDAAAAAADWjBE4CAnWCCTCmm80CdYIKUNJUS4uSVFfRUJJVERBLjIwMDAuNy8zMS8yMDE4LkxGUi5GLlVTRC5IBQAAAAEAAAAIAAAAFChJbnZhbGlkIElkZW50aWZpZXIp9YQyRzQJ1gj1hDJHNAnWCDdDSVEuTkFTREFRR1M6VFNSTy5JUV9FQklUX01BUkdJTi4uNy8xNi8yMDE4LkxGUi5GLlVTRC5IAQAAAGjWWAYCAAAACS0xODAuODY1NQEIAAAABQAAAAExAQAAAAoxODg2MzM3NDY2AwAAAAMxNjACAAAABDQwNTMEAAAAATAHAAAACTcvMTYvMjAxOAgAAAAJMy8zMS8yMDE4CQAAAAEwxP8bETUJ1ggS/mQSNQnW</t>
  </si>
  <si>
    <t>CCxDSVEuTkFTREFRQ006QVZFTy5JUV9MQVNUU0FMRVBSSUNFLjkvMTUvMjAxNwEAAAD0Fh0AAgAAAAQzLjU1AEadGRE1CdYIczlgEjUJ1gg4Q0lRLk9UQ1BLOk1CVlguSVFfVE9UQUxfUkVWLkNZMjAxNy43LzE2LzIwMTguTEZSLkYuVVNELkgBAAAA2ESLAgMAAAAAAN6nfhA1CdYIaGBnEjUJ1gg/Q0lRLk5BU0RBUUNNOkFWRU8uSVFfRUJJVERBXzJZUl9BTk5fQ0FHUi4uNy8xNi8yMDE4LkxGUi5GLlVTRC5IAQAAAPQWHQADAAAAAADE/xsRNQnWCHM5YBI1CdYIN0NJUS5OQVNEQVFHTTpJTU1VLklRX1BFUklPRERBVEVfSVMuMjAwMC43LzMxLzIwMTguTEZSLkYBAAAAIEMEAAUAAAAJMy8zMS8yMDE4AJwL1TgICdYI1F+YbzQJ1ggvQ0lRLi5JUV9FQklUREFfRVNULkNZMjAxOC43LzMxLzIwMTguQ09OLkYuVVNELkgFAAAAAQAAAAgAAAAUKEludmFsaWQgSWRlbnRpZmllcin1hDJHNAnWCPWEMkc0CdYIPkNJUS4oSU5WQUxJRCBJREVOVElGSUVSKS5JUV9QRVJJT0REQVRFX0lTLjIwMDAuNy8zMS8yMDE4LkxGUi5GBQAAAAAAAAAIAAAAFChJbnZhbGlkIElkZW50aWZpZXIpyDCyNwgJ1gjtNrBvNAnWCCxDSVEuSVFUUjU1MTE2NjI5Mi5JUV9UUl9UQVJHRVRfRUJJVERBLi5VU0QuSAEAAABUIdogAgAAAActNTcuMTMzAQYAAAAFAAAAAjM3AQAAAAoxODc3NDc4MTk3AgAAAAUyMTY3NwMAAAADMTYwBAAAAAEw</t>
  </si>
  <si>
    <t>BwAAAAgxLzEvMTkwMAxtEA41CdYIwNuCDjUJ1ghDQ0lRLihJTlZBTElEIElERU5USUZJRVIpLklRX1RPVEFMX0VRVUlUWS4xOTkyLjcvMzEvMjAxOC5MRlIuRi5VU0QuSAUAAAAAAAAACAAAABQoSW52YWxpZCBJZGVudGlmaWVyKcgwsjcICdYI7TawbzQJ1gg4Q0lRLk5BU0RBUUNNOk1URU0uSVFfRUJJVERBLkNZMjAxNi43LzMxLzIwMTguTEZSLkYuVVNELkgBAAAAmZupAQIAAAAHLTEwLjU1NAEIAAAABQAAAAExAQAAAAoxODgxMTE4NzQ0AwAAAAMxNjACAAAABDQwNTEEAAAAATAHAAAACTcvMzEvMjAxOAgAAAAKMTIvMzEvMjAxNgkAAAABMMgwsjcICdYIGemhbzQJ1gg7Q0lRLk5BU0RBUUdTOlBCWUkuSVFfVE9UQUxfUkVWLkNZMjAxNi43LzE2LzIwMTguTEZSLkYuVVNELkgBAAAAAmqsBwMAAAAAAMT/GxE1CdYIEv5kEjUJ1gg4Q0lRLk5BU0RBUUdNOklNTVUuSVFfRUJJVERBLkNZMjAxNy43LzMxLzIwMTguTEZSLkYuVVNELkgBAAAAIEMEAAIAAAAKLTkxLjg3NjU5NAEIAAAABQAAAAExAQAAAAoxODczNDkzNTI4AwAAAAMxNjACAAAABDQwNTEEAAAAATAHAAAACTcvMzEvMjAxOAgAAAAKMTIvMzEvMjAxNwkAAAABMJwL1TgICdYI1F+YbzQJ1gg7Q0lRLk5BU0RBUUdTOkNBTEEuSVFfUFJFRl9FUVVJVFkuMjAwMC43LzMxLzIwMTguTEZSLkYuVVNELkgBAAAApSeBBgMAAAAAAMgwsjcICdYI3UukbzQJ</t>
  </si>
  <si>
    <t>1ggtQ0lRLk5BU0RBUUdTOkZQUlguSVFfRElWSURFTkRfWUlFTEQuNy8xNi8yMDE4AQAAADddMwADAAAAAAApHJQQNQnWCHM5YBI1CdYILENJUS5JUVRSMjUzOTU0NDczLklRX1RSX1RPVEFMX0dST1NTX1RWLlVTRC5IBQAAAAAAAAAIAAAAGihJbnZhbGlkIEN1cnJlbmN5IFJlcXVlc3QpSVNHbzQJ1gg1m5NvNAnWCEdDSVEuTkFTREFRR1M6QVROWC5JUV9NSU5PUklUWV9JTlRFUkVTVF9UT1RBTC4yMDAwLjcvMzEvMjAxOC5MRlIuRi5VU0QuSAEAAADcmWsBAgAAAAUwLjY0NAEIAAAABQAAAAExAQAAAAoxODg4NzAyOTgyAwAAAAMxNjACAAAABDEzMTIEAAAAATAHAAAACTcvMzEvMjAxOAgAAAAJMy8zMS8yMDE4CQAAAAEw1owROAgJ1ggkwppvNAnWCDVDSVEuTkFTREFRR1M6VFNSTy5JUV9EQV9DRi4yMDAwLjcvMzEvMjAxOC5MRlIuRi5VU0QuSAEAAABo1lgGAgAAAAYxMS4wMzEBCAAAAAUAAAABMQEAAAAKMTg4NjMzNzQ2NgMAAAADMTYwAgAAAAQyMTYwBAAAAAEwBwAAAAk3LzMxLzIwMTgIAAAACTMvMzEvMjAxOAkAAAABMJwL1TgICdYIJMKabzQJ1gg4Q0lRLk5BU0RBUUNNOlNSTkUuSVFfRUJJVERBLkNZMjAxNy43LzMxLzIwMTguTEZSLkYuVVNELkgBAAAASUOUAwIAAAAGNTkuMjUzAQgAAAAFAAAAATEBAAAACjE4Nzg2Nzc0NTYDAAAAAzE2MAIAAAAENDA1MQQAAAABMAcAAAAJNy8zMS8yMDE4CAAA</t>
  </si>
  <si>
    <t>AAoxMi8zMS8yMDE3CQAAAAEw1owROAgJ1ghzJJ1vNAnWCCRDSVEuRU5YVFBBOklQSC5JUV9CRVRBXzJZUi43LzE2LzIwMTgBAAAAmYAGAAIAAAAQMS4wOTU0OTQ2NjQ4ODI1MgApHJQQNQnWCHM5YBI1CdYIIUNJUS5JUVRSMjUzOTU0NDczLklRX1RSX0JVWUVSTkFNRQEAAACpCSMPAwAAAB1TdW5lc2lzIFBoYXJtYWNldXRpY2FscywgSW5jLgCys0lvNAnWCDWbk280CdYIO0NJUS5OQVNEQVFHUzpBTkFCLklRX1RPVEFMX1JFVi5DWTIwMTcuNy8xNi8yMDE4LkxGUi5GLlVTRC5IAQAAACFMsgECAAAAAjEwAQgAAAAFAAAAATEBAAAACjE4NzcwNjUyMzEDAAAAAzE2MAIAAAACMjgEAAAAATAHAAAACTcvMTYvMjAxOAgAAAAKMTIvMzEvMjAxNwkAAAABMMT/GxE1CdYIwptiEjUJ1ggnQ0lRLk5BU0RBUUdTOkVQWk0uSVFfQkVUQV8xWVIuNy8zMS8yMDE4AQAAAAMmPQMCAAAAEDEuMjE2MTc5MjQzNTk0ODIA1owROAgJ1ghzJJ1vNAnWCC5DSVEuTkFTREFRR006SU1NVS5JUV9NQVJLRVRDQVAuNy8xNi8yMDE4LlVTRC5IAQAAACBDBAACAAAACzQ1OTUuOTYzNzIxAQYAAAAFAAAAATEBAAAACjE4ODg1MjI0NDMDAAAAAzE2MAIAAAAGMTAwMDU0BAAAAAEwBwAAAAk3LzE2LzIwMThGnRkRNQnWCGhgZxI1CdYIOkNJUS5PVENQSzpNQlZYLklRX1JFVkVOVUVfRVNULkNZMjAyMS43LzE2LzIwMTguQ09OLkYuVVNELkgB</t>
  </si>
  <si>
    <t>AAAA2ESLAgMAAAAAAN6nfhA1CdYImBJZEjUJ1ghDQ0lRLk5BU0RBUUdNOklNTVUuSVFfRUJJVERBXzNZUl9BTk5fQ0FHUi4yMDAwLjcvMzEvMjAxOC5MRlIuRi5VU0QuSAEAAAAgQwQAAwAAAAJOTQEIAAAABQAAAAExAQAAAAoxODg4NTIzMzg0AwAAAAMxNjACAAAABDQyMjIEAAAAATAHAAAACTcvMzEvMjAxOAgAAAAJMy8zMS8yMDE4CQAAAAEwnAvVOAgJ1gjUX5hvNAnWCDZDSVEuTkFTREFRR1M6TksuSVFfRUJJVERBLkNZMjAxNy43LzMxLzIwMTguTEZSLkYuVVNELkgBAAAADX2hDwIAAAAHLTkzLjU1NAEIAAAABQAAAAExAQAAAAoxODc4MDEyNTk3AwAAAAMxNjACAAAABDQwNTEEAAAAATAHAAAACTcvMzEvMjAxOAgAAAAKMTIvMzEvMjAxNwkAAAABMNaMETgICdYIw4afbzQJ1gg/Q0lRLk5BU0RBUUdTOktVUkEuSVFfTkVUX1dPUktJTkdfQ0FQLjE5OTYuNy8zMS8yMDE4LkxGUi5GLlVTRC5IAQAAALjL2hACAAAABi0yLjY0MQEIAAAABQAAAAExAQAAAAoxODg3MzgyOTIyAwAAAAMxNjACAAAABDEzMTEEAAAAATAHAAAACTcvMzEvMjAxOAgAAAAJMy8zMS8yMDE3CQAAAAEw1owROAgJ1ghzJJ1vNAnWCDlDSVEuTkFTREFRQ006TVRFTS5JUV9UT1RBTF9SRVYuMjAwMC43LzMxLzIwMTguTEZSLkYuVVNELkgBAAAAmZupAQIAAAAFMS45OTIBCAAAAAUAAAABMQEAAAAKMTg4ODczMzAwNAMAAAADMTYwAgAA</t>
  </si>
  <si>
    <t>AAIyOAQAAAABMAcAAAAJNy8zMS8yMDE4CAAAAAkzLzMxLzIwMTgJAAAAATDIMLI3CAnWCBnpoW80CdYIPENJUS5OQVNEQVFHUzpKTkNFLklRX0VCSVREQV9FU1QuQ1kyMDIwLjcvMTYvMjAxOC5DT04uRi5VU0QuSAEAAADieZ4NAgAAAActMzguNDQ3AQ4AAAAFAAAAAjExAQAAAAEwAgAAAAoxMDAzNjI5MjYwAwAAAAYxMDAxODcEAAAAATIGAAAAATAHAAAAAzE2MAgAAAABMAkAAAABMQoAAAABMAsAAAALMTA4ODc0MTc0MjIMAAAAATcNAAAACTcvMTcvMjAxOBAAAAAJNy8xNi8yMDE4KRyUEDUJ1giYElkSNQnWCDtDSVEuTkFTREFRR1M6RlBSWC5JUV9QUkVGX0VRVUlUWS4yMDAwLjcvMzEvMjAxOC5MRlIuRi5VU0QuSAEAAAA3XTMAAwAAAAAA1owROAgJ1ggZ6aFvNAnWCC1DSVEuTkFTREFRQ006WklPUC5JUV9ESVZJREVORF9ZSUVMRC43LzMxLzIwMTgBAAAAs1GyAAMAAAAAANaMETgICdYIw4afbzQJ1gg4Q0lRLk5BU0RBUUNNOkNLUFQuSVFfR1JPU1NfTUFSR0lOLi43LzE2LzIwMTguTEZSLkYuVVNELkgBAAAAuFEWEQMAAAACTk0BCAAAAAUAAAABMQEAAAAKMTg4ODAwNzIyMwMAAAADMTYwAgAAAAQ0MDc0BAAAAAEwBwAAAAk3LzE2LzIwMTgIAAAACTMvMzEvMjAxOAkAAAABMCkclBA1CdYI5HRbEjUJ1ggnQ0lRLk5BU0RBUUNNOlNSTkUuSVFfQkVUQV81WVIuNy8zMS8yMDE4AQAAAElDlAMCAAAAEDIu</t>
  </si>
  <si>
    <t>MjM4NDQ2MDQ5MjkyODMA1owROAgJ1ghzJJ1vNAnWCD1DSVEuTkFTREFRR1M6TVJTTi5JUV9SRVZFTlVFX0VTVC5DWTIwMTguNy8zMS8yMDE4LkNPTi5GLlVTRC5IAQAAAObFGAACAAAABjE1LjM2OAEOAAAABQAAAAIxMQEAAAABMAIAAAAKMTAwMzgwMzI3NQMAAAAGMTAwMTgwBAAAAAEyBgAAAAEwBwAAAAMxNjAIAAAAATAJAAAAATEKAAAAATALAAAACzExMDQxNzkzMzY0DAAAAAE3DQAAAAg4LzEvMjAxOBAAAAAJNy8zMS8yMDE41owROAgJ1gjDhp9vNAnWCDhDSVEuTkFTREFRR1M6Q0FMQS5JUV9FQklUREEuQ1kyMDE2LjcvMzEvMjAxOC5MRlIuRi5VU0QuSAEAAAClJ4EGAgAAAActMzcuNzM3AQgAAAAFAAAAATEBAAAACjE4Nzc5NTU2MDEDAAAAAzE2MAIAAAAENDA1MQQAAAABMAcAAAAJNy8zMS8yMDE4CAAAAAoxMi8zMS8yMDE2CQAAAAEwyDCyNwgJ1gjdS6RvNAnWCDZDSVEuTkFTREFRR006WE5DUi5JUV9UT1RBTF9ERUJULi45LzE1LzIwMTcuTEZSLkYuVVNELkgBAAAAploLAAIAAAABMAEIAAAABQAAAAExAQAAAAoxODUyMjQyMzkwAwAAAAMxNjACAAAABDQxNzMEAAAAATAHAAAACTkvMTUvMjAxNwgAAAAJNi8zMC8yMDE3CQAAAAEwxP8bETUJ1ggS/mQSNQnWCD5DSVEuTkFTREFRR006QVJRTC5JUV9UT1RBTF9FUVVJVFkuQ1kyMDE3LjcvMzEvMjAxOC5MRlIuRi5VU0QuSAEAAAD2YQAAAgAAAAYy</t>
  </si>
  <si>
    <t>NC41MzYBCAAAAAUAAAABMQEAAAAKMTg3ODUwODY5OAMAAAADMTYwAgAAAAQxMjc1BAAAAAEwBwAAAAk3LzMxLzIwMTgIAAAACjEyLzMxLzIwMTcJAAAAATDWjBE4CAnWCHMknW80CdYIPUNJUS5OQVNEQVFHUzpTR0VOLklRX1JFVkVOVUVfRVNULkNZMjAxOC43LzE2LzIwMTguQ09OLkYuVVNELkgBAAAAYYUAAAIAAAAJNTk2Ljc4ODg4AQ4AAAAFAAAAAjExAQAAAAEwAgAAAAoxMDAwMTI0NzI2AwAAAAYxMDAxODAEAAAAATIGAAAAATAHAAAAAzE2MAgAAAABMAkAAAABMQoAAAABMAsAAAALMTA5Njc2NDE1NzAMAAAAATcNAAAACTcvMTcvMjAxOBAAAAAJNy8xNi8yMDE4xP8bETUJ1ghoYGcSNQnWCEdDSVEuTkFTREFRR1M6R1RIWC5JUV9NSU5PUklUWV9JTlRFUkVTVF9UT1RBTC4yMDAwLjcvMzEvMjAxOC5MRlIuRi5VU0QuSAEAAABlNGkIAwAAAAAAnAvVOAgJ1ggkwppvNAnWCDZDSVEuTkFTREFRR1M6Sk5DRS5JUV9UT1RBTF9ERUJULi43LzE2LzIwMTguTEZSLkYuVVNELkgBAAAA4nmeDQIAAAABMAEIAAAABQAAAAExAQAAAAoxODg4MTg2Mzc0AwAAAAMxNjACAAAABDQxNzMEAAAAATAHAAAACTcvMTYvMjAxOAgAAAAJMy8zMS8yMDE4CQAAAAEwKRyUEDUJ1gjkdFsSNQnWCCdDSVEuTkFTREFRR1M6TksuSVFfQlVTSU5FU1NfREVTQ1JJUFRJT04BAAAADX2hDwMAAADiCE5hbnRLd2VzdCwgSW5jLiwgYSBj</t>
  </si>
  <si>
    <t>bGluaWNhbC1zdGFnZSBpbW11bm90aGVyYXB5IGJpb3RlY2hub2xvZ3kgY29tcGFueSwgZGV2ZWxvcHMgaW1tdW5vdGhlcmFwZXV0aWMgdHJlYXRtZW50cyBmb3IgY2FuY2VyLCBpbmZlY3Rpb3VzIGRpc2Vhc2VzLCBhbmQgaW5mbGFtbWF0b3J5IGRpc2Vhc2VzIGluIHRoZSBVbml0ZWQgU3RhdGVzLiBUaGUgY29tcGFueSBkZXZlbG9wcyBhY3RpdmF0ZWQgbmF0dXJhbCBraWxsZXIgY2VsbCwgYSBuYXR1cmFsIGtpbGxlciBjZWxsLWxpbmUgYW5kIGdlbmV0aWNhbGx5IG1vZGlmaWVkIGRlcml2YXRpdmUgY2FwYWJsZSBvZiBraWxsaW5nIGNhbmNlciBhbmQgdmlyYWxseSBpbmZlY3RlZCBjZWxsczsgYW5kIE5BTlQgY2FuY2VyIHZhY2NpbmUsIGEgcGVyc29uYWxpemVkIHRoZXJhcHkgdGhhdCB1dGlsaXplcyBpdHMgb2ZmLXRoZS1zaGVsZiBuYXR1cmFsIGtpbGxlciBjZWxscy4gSXQgaXMgYWxzbyBkZXZlbG9waW5nIGhpZ2gtYWZmaW5pdHkgbmF0dXJhbCBraWxsZXIgcHJvZHVjdCBjYW5kaWRhdGVzIHByaW1hcmlseSBmb3IgdGhlIHRyZWF0bWVudCBvZiB2YXJpb3VzIGNhbmNlcnM7IGFuZCB0YXJnZXQgYWN0aXZhdGVkIG5hdHVyYWwga2lsbGVyIHByb2R1Y3QgY2FuZGlkYXRlcyB0byB0cmVhdCBoZW1hdG9sb2dpY2FsIG1hbGlnbmFuY2llcyBhbmQgc29saWQgdHVtb3JzLiBOYW50S3dlc3QsIElu</t>
  </si>
  <si>
    <t>Yy4gaGFzIGEgY28tZGV2ZWxvcG1lbnQgYWdyZWVtZW50IHdpdGggQWx0b3IgQmlvIFNjaWVuY2UgQ29ycG9yYXRpb24gdG8gY29sbGFib3JhdGUgb24gdGhlIGRldmVsb3BtZW50IG9mIHRoZXJhcGV1dGljIGFwcGxpY2F0aW9ucyBjb21iaW5pbmcgdGhlIGNvbXBhbnnigJlzIHByb3ByaWV0YXJ5IG5hdHVyYWwga2lsbGVyIGNlbGxzIHdpdGggQWx0b3IncyBBTFQtODAxIGFuZC9vciBBTFQtODAzIHByb2R1Y3RzLiBUaGUgY29tcGFueSB3YXMgZm9ybWVybHkga25vd24gYXMgQ29ua3dlc3QsIEluYy4gYW5kIGNoYW5nZWQgaXRzIG5hbWUgdG8gTmFudEt3ZXN0LCBJbmMuIGluIEp1bHkgMjAxNS4gTmFudEt3ZXN0LCBJbmMuIHdhcyBmb3VuZGVkIGluIDIwMDIgYW5kIGlzIGhlYWRxdWFydGVyZWQgaW4gU2FuIERpZWdvLCBDYWxpZm9ybmlhLgDWjBE4CAnWCEVr+oE0CdYIOENJUS5OQVNEQVFHUzpDVE1YLklRX1RPVEFMX0VRVUlUWS4uNy8xNi8yMDE4LkxGUi5GLlVTRC5IAQAAANw4mwMCAAAABjQ5LjY0NwEIAAAABQAAAAExAQAAAAoxODg3Njc1MzE2AwAAAAMxNjACAAAABDEyNzUEAAAAATAHAAAACTcvMTYvMjAxOAgAAAAJMy8zMS8yMDE4CQAAAAEwxP8bETUJ1gjCm2ISNQnWCDhDSVEuTkFTREFRR1M6QkdORS5JUV9UT1RBTF9FUVVJVFkuLjcvMTYvMjAxOC5MRlIuRi5VU0QuSAEAAADg5N0GAgAA</t>
  </si>
  <si>
    <t>AAgxMzU4LjcyMgEIAAAABQAAAAExAQAAAAoxODg3Njg4NTg4AwAAAAMxNjACAAAABDEyNzUEAAAAATAHAAAACTcvMTYvMjAxOAgAAAAJMy8zMS8yMDE4CQAAAAEwxP8bETUJ1ghoYGcSNQnWCDFDSVEuTkFTREFRQ006Q0tQVC5JUV9EQV9DRi4uNy8xNi8yMDE4LkxGUi5GLlVTRC5IAQAAALhRFhEDAAAAAAApHJQQNQnWCDDXXRI1CdYIO0NJUS5OQVNEQVFHUzpOSy5JUV9SRVZFTlVFX0VTVC5DWTIwMTkuNy8zMS8yMDE4LkNPTi5GLlVTRC5IAQAAAA19oQ8CAAAABDAuMDYBDgAAAAUAAAACMTEBAAAAATACAAAACjEwMDMxNjQ4MDYDAAAABjEwMDE4MAQAAAABMgYAAAABMAcAAAADMTYwCAAAAAEwCQAAAAExCgAAAAEwCwAAAAsxMDg5MTM1MjgwOAwAAAABNw0AAAAIOC8xLzIwMTgQAAAACTcvMzEvMjAxONaMETgICdYIw4afbzQJ1ghGQ0lRLk5BU0RBUUdTOlRTUk8uSVFfVE9UQUxfUkVWXzJZUl9BTk5fQ0FHUi4yMDAwLjcvMzEvMjAxOC5MRlIuRi5VU0QuSAEAAABo1lgGAgAAAAkxOTkxLjg3MjgBCAAAAAUAAAABMQEAAAAKMTg4NjMzNzQ2NgMAAAADMTYwAgAAAAQ0MjA3BAAAAAEwBwAAAAk3LzMxLzIwMTgIAAAACTMvMzEvMjAxOAkAAAABMJwL1TgICdYIJMKabzQJ1ggxQ0lRLklRVFIzMjE4NjUyOTcuSVFfVFJfVEFSR0VUX1JFVkVOVUVfRVNULi5VU0QuSAEAAABRRi8TAgAAAAAAWM8SDjUJ1ggMPoUO</t>
  </si>
  <si>
    <t>NQnWCDJDSVEuTkFTREFRR1M6U0dFTi5JUV9UT1RBTF9SRVYuQ1kyMDE2Li5MRlIuRi5VU0QuSAEAAABhhQAAAgAAAAc0MTguMTQ3AQgAAAAFAAAAATEBAAAACjE4NzQ2OTYxOTYDAAAAAzE2MAIAAAACMjgEAAAAATAHAAAACTgvMjMvMjAxOAgAAAAKMTIvMzEvMjAxNgkAAAABMEadGRE1CdYIRp0ZETUJ1gg0Q0lRLk5BU0RBUUdTOlNHRU4uSVFfUkVWRU5VRV9FU1QuQ1kyMDE4Li5DT04uRi5VU0QuSAEAAABhhQAAAgAAAAk2NTIuNzE1NTIBDgAAAAUAAAACMTEBAAAAATACAAAACjEwMDAxMjQ3MjYDAAAABjEwMDE4MAQAAAABMgYAAAABMAcAAAADMTYwCAAAAAEwCQAAAAExCgAAAAEwCwAAAAsxMTA1MjE1MDY1OQwAAAABNw0AAAAJOC8yNC8yMDE4EAAAAAk4LzIzLzIwMTjE/xsRNQnWCMT/GxE1CdYINENJUS5PVENQSzpOV0JPLklRX0VCSVRfTUFSR0lOLi43LzE2LzIwMTguTEZSLkYuVVNELkgBAAAAo3oUAAMAAAACTk0BCAAAAAUAAAABMQEAAAAKMTg4OTMwMjgyNAMAAAADMTYwAgAAAAQ0MDUzBAAAAAEwBwAAAAk3LzE2LzIwMTgIAAAACTMvMzEvMjAxOAkAAAABMCkclBA1CdYIczlgEjUJ1ggnQ0lRLk5BU0RBUUdNOkNSSVMuSVFfQkVUQV81WVIuNy8zMS8yMDE4AQAAABdqAAACAAAAETAuOTc5NjYwNDYwMzg4NDI4AMgwsjcICdYI3UukbzQJ1gglQ0lRLklRVFI0MjQzNDIwNDYuSVFfVFJfTUFKX01J</t>
  </si>
  <si>
    <t>Tl9TVEFLRQEAAAAe8koZAwAAAAhNYWpvcml0eQAMbRAONQnWCMDbgg41CdYIL0NJUS5JUVRSMzEyMTIyNTA0LklRX1RSX0lNUExJRURfRVZfRklOQUwuLlVTRC5IAQAAAIicmhICAAAACTYwLjA5OTg4NgBYzxIONQnWCMDbgg41CdYIJ0NJUS5OQVNEQVFHUzpDQUxBLklRX0JFVEFfMllSLjcvMTYvMjAxOAEAAAClJ4EGAgAAABAxLjc3MTk2NjE3MDE4MDU3ACkclBA1CdYI5HRbEjUJ1gghQ0lRLk5BU0RBUUdTOkNBTEEuSVFfQ09NUEFOWV9OQU1FAQAAAKUngQYDAAAAG0NhbGl0aGVyYSBCaW9zY2llbmNlcywgSW5jLgDIMLI3CAnWCB8VnQ41CdYINkNJUS5OQVNEQVFHUzpCR05FLklRX05FVF9XT1JLSU5HX0NBUC4xOTk2Li5MRlIuRi5VU0QuSAEAAADg5N0GAgAAAActMzguNjkxAQgAAAAFAAAAATEBAAAACjE4OTk5MDA2MTgDAAAAAzE2MAIAAAAEMTMxMQQAAAABMAcAAAAJOC8yMy8yMDE4CAAAAAk2LzMwLzIwMTcJAAAAATCcC9U4CAnWCJwL1TgICdYIOkNJUS5OQVNEQVFHTTpDUklTLklRX0VBUk5JTkdfQ08uMjAwMC43LzMxLzIwMTguTEZSLkYuVVNELkgBAAAAF2oAAAIAAAAHLTQ4LjMyMgEIAAAABQAAAAExAQAAAAoxODg2MjQ3NDIwAwAAAAMxNjACAAAAATcEAAAAATAHAAAACTcvMzEvMjAxOAgAAAAJMy8zMS8yMDE4CQAAAAEwyDCyNwgJ1gjdS6RvNAnWCB1DSVEuQVNYOklNVS5JUV9QRVJJT0RE</t>
  </si>
  <si>
    <t>QVRFX0lTLgEAAACYk6kABQAAAAoxMi8zMS8yMDE3ACkclBA1CdYIMNddEjUJ1gg/Q0lRLk5BU0RBUUdNOkFSUUwuSVFfTkVUX1dPUktJTkdfQ0FQLjIwMDAuNy8zMS8yMDE4LkxGUi5GLlVTRC5IAQAAAPZhAAACAAAABi02LjM1NgEIAAAABQAAAAExAQAAAAoxODg4Nzg4NzcwAwAAAAMxNjACAAAABDEzMTEEAAAAATAHAAAACTcvMzEvMjAxOAgAAAAJMy8zMS8yMDE4CQAAAAEw1owROAgJ1ghzJJ1vNAnWCCRDSVEuT1RDUEs6TUJWWC5JUV9CRVRBXzFZUi43LzE2LzIwMTgBAAAA2ESLAgIAAAARMC45MDQ0NTczNjMzMzc0MTcAIAqBEDUJ1giYElkSNQnWCENDSVEuTkFTREFRR1M6Q1RNWC5JUV9NSU5PUklUWV9JTlRFUkVTVF9UT1RBTC4uOS8xNS8yMDE3LkxGUi5GLlVTRC5IAQAAANw4mwMDAAAAAADE/xsRNQnWCMKbYhI1CdYIPENJUS5BU1g6SU1VLklRX1RPVEFMX1JFVl8yWVJfQU5OX0NBR1IuLjcvMTYvMjAxOC5MRlIuRi5VU0QuSAEAAACYk6kAAgAAAAcxOS4zMDMyAQgAAAAFAAAAATEBAAAACjE4NzczMDUzMjADAAAAATkCAAAABDQyMDcEAAAAATAHAAAACTcvMTYvMjAxOAgAAAAKMTIvMzEvMjAxNwkAAAABMCkclBA1CdYIMNddEjUJ1gg1Q0lRLk5BU0RBUUNNOlpJT1AuSVFfQ0FQRVguMTk5Mi43LzMxLzIwMTguTEZSLkYuVVNELkgBAAAAs1GyAAIAAAAGLTAuNTUyAQgAAAAFAAAAATEBAAAACjE4</t>
  </si>
  <si>
    <t>MzkzNDEwNjcDAAAAAzE2MAIAAAAEMjAyMQQAAAABMAcAAAAJNy8zMS8yMDE4CAAAAAkzLzMxLzIwMTYJAAAAATDWjBE4CAnWCMOGn280CdYIP0NJUS5OQVNEQVFHUzpNUlNOLklRX0VCSVREQV8zWVJfQU5OX0NBR1IuLjcvMTYvMjAxOC5MRlIuRi5VU0QuSAEAAADmxRgAAwAAAAAAKRyUEDUJ1ghzOWASNQnWCCtDSVEuT1RDUEs6TUJWWC5JUV9NQVJLRVRDQVAuOS8xNS8yMDE3LlVTRC5IAQAAANhEiwICAAAACDcuODAxODA4AQYAAAAFAAAAATEBAAAACjE4NTQyNjU1NjcDAAAAAzE2MAIAAAAGMTAwMDU0BAAAAAEwBwAAAAk5LzE1LzIwMTfep34QNQnWCJgSWRI1CdYIM0NJUS5OQVNEQVFHUzpGUFJYLklRX1BFUklPRERBVEVfSVMuLjcvMTYvMjAxOC5MRlIuRgEAAAA3XTMABQAAAAkzLzMxLzIwMTgAKRyUEDUJ1ghzOWASNQnWCCFDSVEuSVFUUjMyMTg2NTI5Ny5JUV9UUl9CVVlFUk5BTUUBAAAAUUYvEwMAAAARTWVyY2sgJiBDby4sIEluYy4AWM8SDjUJ1ggMPoUONQnWCCNDSVEuSVFUUjQwMzc5MTc2Ny5JUV9UUl9DTE9TRURfREFURQEAAACXXxEYBQAAAAk5LzI3LzIwMTYAWM8SDjUJ1gjA24IONQnWCDBDSVEuSVFUUjI1Mzk1NDQ3My5JUV9UUl9UQVJHRVRfRUJJVERBX0VTVC4uVVNELkgBAAAAqQkjDwIAAAAAALKzSW80CdYINZuTbzQJ1gg4Q0lRLk5BU0RBUUdTOkZQUlguSVFfRUJJVERBLkNZMjAx</t>
  </si>
  <si>
    <t>Ni43LzE2LzIwMTguTEZSLkYuVVNELkgBAAAAN10zAAIAAAAGLTk3LjQ3AQgAAAAFAAAAATEBAAAACjE4NzYxMzU5ODgDAAAAAzE2MAIAAAAENDA1MQQAAAABMAcAAAAJNy8xNi8yMDE4CAAAAAoxMi8zMS8yMDE2CQAAAAEwKRyUEDUJ1ghzOWASNQnWCDJDSVEuTkFTREFRR006QUZNRC5JUV9FQklUREEuLjcvMTYvMjAxOC5MRlIuRi5VU0QuSAEAAADb9wwAAgAAAAotMzMuODkzMDY0AQgAAAAFAAAAATEBAAAACjE4ODk4NjYwNDkDAAAAAzE2MAIAAAAENDA1MQQAAAABMAcAAAAJNy8xNi8yMDE4CAAAAAkzLzMxLzIwMTgJAAAAATApHJQQNQnWCDDXXRI1CdYIKkNJUS5JUVRSNTMzNjM5NTAxLklRX1RSX1RBUkdFVF9FQklULi5VU0QuSAEAAABNsc4fAgAAAActMjMuNjA2AQYAAAAFAAAAAjM3AQAAAAoxODUzOTQ3OTE2AgAAAAUyMTY3NQMAAAADMTYwBAAAAAEwBwAAAAgxLzEvMTkwMAxtEA41CdYIwNuCDjUJ1gg1Q0lRLk9UQ1BLOk5XQk8uSVFfR1JPU1NfTUFSR0lOLi43LzE2LzIwMTguTEZSLkYuVVNELkgBAAAAo3oUAAMAAAACTk0BCAAAAAUAAAABMQEAAAAKMTg4OTMwMjgyNAMAAAADMTYwAgAAAAQ0MDc0BAAAAAEwBwAAAAk3LzE2LzIwMTgIAAAACTMvMzEvMjAxOAkAAAABMCkclBA1CdYIczlgEjUJ1gggQ0lRLklRNDI2ODE1NjAuSVFfQ09NUEFOWV9USUNLRVIBAAAA2ESLAgMAAAAKT1RDUEs6TUJW</t>
  </si>
  <si>
    <t>WAAMbRAONQnWCB8VnQ41CdYIPUNJUS5OQVNEQVFDTTpaSU9QLklRX1JFVkVOVUVfRVNULkNZMjAxOC43LzMxLzIwMTguQ09OLkYuVVNELkgBAAAAs1GyAAIAAAAFNC45NTkBDgAAAAUAAAACMTEBAAAAATACAAAACjEwMDA3Njg4MjQDAAAABjEwMDE4MAQAAAABMgYAAAABMAcAAAADMTYwCAAAAAEwCQAAAAExCgAAAAEwCwAAAAsxMDkzMTUzMzk0NAwAAAABNw0AAAAIOC8xLzIwMTgQAAAACTcvMzEvMjAxONaMETgICdYIw4afbzQJ1gg1Q0lRLk5BU0RBUUdTOkVQWk0uSVFfQ0FQRVguMTk5Ni43LzMxLzIwMTguTEZSLkYuVVNELkgBAAAAAyY9AwIAAAAGLTAuNjcyAQgAAAAFAAAAATEBAAAACjE4ODcyNDYwNDkDAAAAAzE2MAIAAAAEMjAyMQQAAAABMAcAAAAJNy8zMS8yMDE4CAAAAAkzLzMxLzIwMTcJAAAAATDWjBE4CAnWCHMknW80CdYIPkNJUS5OQVNEQVFHUzpKTkNFLklRX1RPVEFMX0VRVUlUWS5DWTIwMTcuNy8xNi8yMDE4LkxGUi5GLlVTRC5IAQAAAOJ5ng0CAAAABzE2Ny4xMDkBCAAAAAUAAAABMQEAAAAKMTg3NzcxNjYxMwMAAAADMTYwAgAAAAQxMjc1BAAAAAEwBwAAAAk3LzE2LzIwMTgIAAAACjEyLzMxLzIwMTcJAAAAATDep34QNQnWCJgSWRI1CdYILkNJUS5JUVRSNDIyODg3NzAxLklRX1RSX1RBUkdFVF9TVE9DS1BSRU1JVU1fMVcBAAAAFcE0GQIAAAAAAAxtEA41CdYIwNuCDjUJ1gg6Q0lR</t>
  </si>
  <si>
    <t>Lk5BU0RBUUdNOkNSSVMuSVFfVE9UQUxfREVCVC4yMDAwLjcvMzEvMjAxOC5MRlIuRi5VU0QuSAEAAAAXagAAAgAAAAYzOS43NDkBCAAAAAUAAAABMQEAAAAKMTg4NjI0NzQyMAMAAAADMTYwAgAAAAQ0MTczBAAAAAEwBwAAAAk3LzMxLzIwMTgIAAAACTMvMzEvMjAxOAkAAAABMMgwsjcICdYI3UukbzQJ1ggrQ0lRLk5BU0RBUUdTOkJHTkUuSVFfTEFTVFNBTEVQUklDRS41LzUvMjAxNwEAAADg5N0GAgAAAAQzOS4zAJwL1TgICdYIgf2VbzQJ1ggjQ0lRLkFTWDpJTVUuSVFfQlVTSU5FU1NfREVTQ1JJUFRJT04BAAAAmJOpAAMAAACEB0ltdWdlbmUgTGltaXRlZCwgYW4gaW1tdW5vLW9uY29sb2d5IGJpb3BoYXJtYWNldXRpY2FsIGNvbXBhbnksIGVuZ2FnZXMgaW4gZGV2ZWxvcGluZyBIRVIyICt2ZSBnYXN0cmljIGFuZCBicmVhc3QgY2FuY2VyIGltbXVub3RoZXJhcGllcyBpbiBBdXN0cmFsaWEuIEl0cyBsZWFkIHByb2R1Y3QgaXMgSEVSLVZheHgsIGEgcHJvcHJpZXRhcnkgSEVSMiArdmUgY2FuY2VyIHZhY2NpbmUgdGhhdCBzdGltdWxhdGVzIGEgcG9seWNsb25hbCBhbnRpYm9keSByZXNwb25zZSB0byBIRVIyL25ldS4gVGhlIGNvbXBhbnnigJlzIEhFUi1WYXh4IGlzIGEgY2FuY2VyIGltbXVub3RoZXJhcHkgZGVzaWduZWQgdG8gdHJlYXQgdHVtb3JzIHRoYXQgb3Zlci1leHByZXNzIHRoZSBIRVIt</t>
  </si>
  <si>
    <t>Mi9uZXUgcmVjZXB0b3IsIHN1Y2ggYXMgZ2FzdHJpYywgYnJlYXN0LCBvdmFyaWFuLCBsdW5nLCBhbmQgcGFuY3JlYXRpYyBjYW5jZXJzLiBJdHMgSEVSLVZheHggaGFzIGNvbXBsZXRlZCBhIFBoYXNlIEkgc3R1ZHkgdG8gdHJlYXQgYnJlYXN0IGNhbmNlciwgYXMgd2VsbCBhcyBpbiBQaGFzZSBJYi9JSSBzdHVkeSBmb3IgZ2FzdHJpYyBjYW5jZXIuIFRoZSBjb21wYW55IGlzIGFsc28gZGV2ZWxvcGluZyBtaW1vdG9wZS1iYXNlZCBpbW11bm90aGVyYXBpZXMgYWdhaW5zdCB2YWxpZGF0ZWQgYW5kIG90aGVyIG9uY29sb2d5IHRhcmdldHMuIEl0IGhhcyBhbiBhZ3JlZW1lbnQgd2l0aCB0aGUgQmFrZXIgSURJIEhlYXJ0ICYgRGlhYmV0ZXMgSW5zdGl0dXRlIHRvIHJlc2VhcmNoLCBkZXZlbG9wLCBhbmQgY29tbWVyY2lhbGl6ZSBhIHBvcnRmb2xpbyBvZiBzbWFsbCBtb2xlY3VsZSBhcmdpbmluZSBtb2R1bGF0b3JzIGZvciBvbmNvbG9neS4gVGhlIGNvbXBhbnkgaXMgYmFzZWQgaW4gQ2FybHRvbiwgQXVzdHJhbGlhLgApHJQQNQnWCDDXXRI1CdYIPENJUS5OQVNEQVFHTTpMUFRYLklRX0VCSVREQV9FU1QuQ1kyMDE4LjcvMTYvMjAxOC5DT04uRi5VU0QuSAEAAAAMNgkHAwAAAAAAKRyUEDUJ1ggw110SNQnWCC5DSVEuTkFTREFRR1M6VFNSTy5JUV9NQVJLRVRDQVAuNy8zMS8yMDE4LlVTRC5IAQAAAGjW</t>
  </si>
  <si>
    <t>WAYCAAAACzE5MDkuNTA0Njk5AQYAAAAFAAAAATEBAAAACjE4ODYzMzY1NzkDAAAAAzE2MAIAAAAGMTAwMDU0BAAAAAEwBwAAAAk3LzMxLzIwMTicC9U4CAnWCCTCmm80CdYIPkNJUS5OQVNEQVFHUzpGUFJYLklRX1RPVEFMX0VRVUlUWS5DWTIwMTYuNy8xNi8yMDE4LkxGUi5GLlVTRC5IAQAAADddMwACAAAABzM5MS41NzUBCAAAAAUAAAABMQEAAAAKMTg3NjEzNTk4OAMAAAADMTYwAgAAAAQxMjc1BAAAAAEwBwAAAAk3LzE2LzIwMTgIAAAACjEyLzMxLzIwMTYJAAAAATApHJQQNQnWCHM5YBI1CdYIL0NJUS5JUVRSMzIxODY1Mjk3LklRX1RSX1RBUkdFVF9UT1RBTF9SRVYuLlVTRC5IAQAAAFFGLxMCAAAAAABYzxIONQnWCAw+hQ41CdYILUNJUS5OQVNEQVFHTTpGQVRFLklRX01BUktFVENBUC41LzUvMjAxNy5VU0QuSAEAAABoMVcCAgAAAAoxNzkuNjE3NDM2AQYAAAAFAAAAATEBAAAACjE4MzIxNjc4OTQDAAAAAzE2MAIAAAAGMTAwMDU0BAAAAAEwBwAAAAg1LzUvMjAxN9aMETgICdYIw4afbzQJ1gg1Q0lRLkFTWDpJTVUuSVFfVE9UQUxfUkVWLkNZMjAxNy43LzE2LzIwMTguTEZSLkYuVVNELkgBAAAAmJOpAAIAAAAHMC44ODE2OQEIAAAABQAAAAExAQAAAAoxODc3MzA1MzIwAwAAAAMxNjACAAAAAjI4BAAAAAEwBwAAAAk3LzE2LzIwMTgIAAAACjEyLzMxLzIwMTcJAAAAATApHJQQNQnWCDDXXRI1CdYI</t>
  </si>
  <si>
    <t>I0NJUS5JUVRSNTUxMTY2MjkyLklRX1RSX1RPVEFMX1NUT0NLAQAAAFQh2iACAAAAAAAMbRAONQnWCMDbgg41CdYIJ0NJUS5OQVNEQVFHUzpHVEhYLklRX0JFVEFfMllSLjcvMzEvMjAxOAEAAABlNGkIAgAAABAxLjA5OTcyNzU4NzA1NTYyAJwL1TgICdYIJMKabzQJ1gg0Q0lRLlhUUkE6TU9SLklRX1RPVEFMX0RFQlQuMjAwMC41LzUvMjAxNy5MRlIuRi5VU0QuSAEAAADfEQIAAgAAAAgwLjIzMzQxOQEIAAAABQAAAAExAQAAAAoxODM5OTQwNzIxAwAAAAMxNjACAAAABDQxNzMEAAAAATAHAAAACDUvNS8yMDE3CAAAAAkzLzMxLzIwMTcJAAAAATCcC9U4CAnWCNRfmG80CdYIIENJUS5JUVRSNDI0MzQyMDQ2LklRX1RSX0VBUk5PVVRTAQAAAB7yShkCAAAAAAAMbRAONQnWCMDbgg41CdYIOENJUS5OQVNEQVFHTTpBRk1ELklRX0VCSVREQS5DWTIwMTYuNy8xNi8yMDE4LkxGUi5GLlVTRC5IAQAAANv3DAACAAAACi0zMy40MzcxMzcBCAAAAAUAAAABMQEAAAAKMTg3OTE0NzY2MgMAAAADMTYwAgAAAAQ0MDUxBAAAAAEwBwAAAAk3LzE2LzIwMTgIAAAACjEyLzMxLzIwMTYJAAAAATApHJQQNQnWCDDXXRI1CdYIPENJUS5OQVNEQVFDTTpTUk5FLklRX1RPVEFMX0VRVUlUWS4xOTk2LjcvMzEvMjAxOC5MRlIuRi5VU0QuSAEAAABJQ5QDAgAAAAY2Mi4xMDYBCAAAAAUAAAABMQEAAAAKMTg4Nzk4OTgyOAMAAAADMTYw</t>
  </si>
  <si>
    <t>AgAAAAQxMjc1BAAAAAEwBwAAAAk3LzMxLzIwMTgIAAAACTMvMzEvMjAxNwkAAAABMNaMETgICdYIcySdbzQJ1gglQ0lRLk5BU0RBUUdTOktVUkEuSVFfRklSU1RQUklDSU5HREFURQEAAAC4y9oQBQAAAAk5LzE2LzIwMTUA1owROAgJ1ghzJJ1vNAnWCDVDSVEuWFRSQTpNT1IuSVFfRUFSTklOR19DTy4xOTk2LjcvMzEvMjAxOC5MRlIuRi5VU0QuSAEAAADfEQIAAgAAAAotNzIuOTQ0MjU4AQgAAAAFAAAAATEBAAAACjE4ODYxNTE2NDcDAAAAAzE2MAIAAAABNwQAAAABMAcAAAAJNy8zMS8yMDE4CAAAAAkzLzMxLzIwMTcJAAAAATCcC9U4CAnWCNRfmG80CdYIOENJUS5OQVNEQVFHUzpDVE1YLklRX0dST1NTX01BUkdJTi4uNy8xNi8yMDE4LkxGUi5GLlVTRC5IAQAAANw4mwMCAAAAAzEwMAEIAAAABQAAAAExAQAAAAoxODg3Njc1MzE2AwAAAAMxNjACAAAABDQwNzQEAAAAATAHAAAACTcvMTYvMjAxOAgAAAAJMy8zMS8yMDE4CQAAAAEwxP8bETUJ1gjCm2ISNQnWCC9DSVEuSVFUUjI1Mzk1NDQ3My5JUV9UUl9JTVBMSUVEX0VWX0ZJTkFMLi5VU0QuSAEAAACpCSMPAgAAAAAAsrNJbzQJ1gg1m5NvNAnWCDxDSVEuTkFTREFRR1M6RVBaTS5JUV9FQklUREFfRVNULkNZMjAyMC43LzMxLzIwMTguQ09OLkYuVVNELkgBAAAAAyY9AwMAAAAAANaMETgICdYIcySdbzQJ1ggwQ0lRLklRVFIzMTIxMjI1MDQuSVFfVFJf</t>
  </si>
  <si>
    <t>VEFSR0VUX0VCSVREQV9FU1QuLlVTRC5IAQAAAIicmhICAAAAAABYzxIONQnWCMDbgg41CdYIH0NJUS5OQVNEQVFHUzpCR05FLklRX1RFVi4uVVNELkgBAAAA4OTdBgIAAAALODc1MS42Mzg3ODQBBgAAAAUAAAABMQEAAAAKMTg5OTg5OTcxMwMAAAADMTYwAgAAAAYxMDAwNjAEAAAAATAHAAAACTgvMjIvMjAxOJwL1TgICdYInAvVOAgJ1gg7Q0lRLk5BU0RBUUNNOlNSTkUuSVFfRUJJVF9NQVJHSU4uMjAwMC43LzMxLzIwMTguTEZSLkYuVVNELkgBAAAASUOUAwIAAAAGMzYuMTgyAQgAAAAFAAAAATEBAAAACjE4ODc5ODk4MzEDAAAAAzE2MAIAAAAENDA1MwQAAAABMAcAAAAJNy8zMS8yMDE4CAAAAAkzLzMxLzIwMTgJAAAAATDWjBE4CAnWCHMknW80CdYILkNJUS5JUVRSNTUzNTQ4MDI1LklRX1RSX1RBUkdFVF9TVE9DS1BSRU1JVU1fMVcBAAAA+Xj+IAIAAAAHMTYxLjE5NAEGAAAABQAAAAI1NAEAAAAGMTAxMDU0AgAAAAk1NTM1NDgwMjUDAAAACTU1MzU2NDk3MQQAAAADMTYwBgAAAAVGYWxzZbKzSW80CdYIgf2VbzQJ1gg9Q0lRLk5BU0RBUUdTOkJHTkUuSVFfQ0FTSF9TVF9JTlZFU1QuMjAwMC41LzUvMjAxNy5MRlIuRi5VU0QuSAEAAADg5N0GAgAAAAczNjguMTc0AQgAAAAFAAAAATEBAAAACjE4MzI5NTA1MjMDAAAAAzE2MAIAAAAEMTAwMgQAAAABMAcAAAAINS81LzIwMTcIAAAACjEyLzMxLzIwMTYJ</t>
  </si>
  <si>
    <t>AAAAATCcC9U4CAnWCIH9lW80CdYIIUNJUS5JUVRSNDEzOTUzNjYxLklRX1RSX0JVWUVSTkFNRQEAAAB9bqwYAwAAAF5EYWluaXBwb24gU3VtaXRvbW8gUGhhcm1hIEFtZXJpY2EgSG9sZGluZ3MsIEluYy4gKG5rYTpTdW1pdG9tbyBEYWluaXBwb24gUGhhcm1hIEFtZXJpY2EsIEluYy4pALKzSW80CdYIgf2VbzQJ1gg/Q0lRLk9UQ1BLOk1CVlguSVFfVE9UQUxfUkVWXzJZUl9BTk5fQ0FHUi4uNy8xNi8yMDE4LkxGUi5GLlVTRC5IAQAAANhEiwIDAAAAAADep34QNQnWCJgSWRI1CdYIPENJUS5OQVNEQVFHUzpNUlNOLklRX0VBUk5JTkdfQ08uQ1kyMDE3LjcvMzEvMjAxOC5MRlIuRi5VU0QuSAEAAADmxRgAAgAAAActMzguNzA3AQgAAAAFAAAAATEBAAAACjE4ODA1NDczOTUDAAAAAzE2MAIAAAABNwQAAAABMAcAAAAJNy8zMS8yMDE4CAAAAAoxMi8zMS8yMDE3CQAAAAEw1owROAgJ1gjDhp9vNAnWCC5DSVEuTkFTREFRQ006QVZFTy5JUV9NQVJLRVRDQVAuOS8xNS8yMDE3LlVTRC5IAQAAAPQWHQACAAAACjQxOS45OTI3NjEBBgAAAAUAAAABMQEAAAAKMTg1MjU3MjU5NQMAAAADMTYwAgAAAAYxMDAwNTQEAAAAATAHAAAACTkvMTUvMjAxN0adGRE1CdYIczlgEjUJ1gglQ0lRLklRVFI0MDk5NTE4ODYuSVFfUFJJTUFSWV9JTkRVU1RSWQEAAACYs1wNAwAAAA1CaW90ZWNobm9sb2d5AAxtEA41CdYIwNuCDjUJ</t>
  </si>
  <si>
    <t>1ggnQ0lRLk5BU0RBUUdNOkNSVlMuSVFfQkVUQV8xWVIuNy8zMS8yMDE4AQAAAPSwphACAAAAEDEuMjUxNjE3NTMzODM2MTIA1owROAgJ1ggZ6aFvNAnWCD1DSVEuTkFTREFRR1M6QU5BQi5JUV9SRVZFTlVFX0VTVC5DWTIwMTguNy8xNi8yMDE4LkNPTi5GLlVTRC5IAQAAACFMsgECAAAAAzEuNQEOAAAABQAAAAIxMQEAAAABMAIAAAAKMTAwMzYyOTM3NAMAAAAGMTAwMTgwBAAAAAEyBgAAAAEwBwAAAAMxNjAIAAAAATAJAAAAATEKAAAAATALAAAACzEwODg3NTEzNDM3DAAAAAE3DQAAAAk3LzE3LzIwMTgQAAAACTcvMTYvMjAxOMT/GxE1CdYIwptiEjUJ1ggiQ0lRLklRVFI1NDc0MjM2ODAuSVFfVFJfVEFSR0VUTkFNRQEAAADABaEgAwAAAAxJZ255dGEsIEluYy4ADG0QDjUJ1gjA24IONQnWCCVDSVEuSVFUUjM3MTcxNTExOS5JUV9UUl9NQUpfTUlOX1NUQUtFAQAAAC/sJxYDAAAACE1ham9yaXR5AFjPEg41CdYIwNuCDjUJ1gggQ0lRLlhUUkE6TU9SLklRX0ZJUlNUUFJJQ0lOR0RBVEUBAAAA3xECAAUAAAAINi83LzE5OTkAnAvVOAgJ1gjUX5hvNAnWCCNDSVEuTkFTREFRR1M6QURYUy5JUV9QRVJJT0REQVRFX0lTLgEAAACe7HgABQAAAAk0LzMwLzIwMTgAKRyUEDUJ1gjkdFsSNQnWCChDSVEuTkFTREFRR1M6VFNSTy5JUV9URVYuNy8xNi8yMDE4LlVTRC5IAQAAAGjWWAYCAAAACzIxNjQuNTMyNDc5AQYA</t>
  </si>
  <si>
    <t>AAAFAAAAATEBAAAACjE4ODYzMzY1NzkDAAAAAzE2MAIAAAAGMTAwMDYwBAAAAAEwBwAAAAk3LzE2LzIwMThGnRkRNQnWCBL+ZBI1CdYIK0NJUS5JUVRSNDA4NDA3ODIyLklRX1RSX0lNUExJRURfRVZfRUJJVF9GV0QBAAAADs9XGAIAAAAAALKzSW80CdYIgf2VbzQJ1ggwQ0lRLi5JUV9SRVZFTlVFX0VTVC5DWTIwMjAuNy8zMS8yMDE4LkNPTi5GLlVTRC5IBQAAAAEAAAAIAAAAFChJbnZhbGlkIElkZW50aWZpZXIp9YQyRzQJ1gj1hDJHNAnWCD5DSVEuTkFTREFRR1M6TVJTTi5JUV9DQVNIX1NUX0lOVkVTVC4yMDAwLjcvMzEvMjAxOC5MRlIuRi5VU0QuSAEAAADmxRgAAgAAAAcxMDcuOTU5AQgAAAAFAAAAATEBAAAACjE4ODkwOTY2NTMDAAAAAzE2MAIAAAAEMTAwMgQAAAABMAcAAAAJNy8zMS8yMDE4CAAAAAkzLzMxLzIwMTgJAAAAATDWjBE4CAnWCMOGn280CdYIKENJUS5OQVNEQVFHUzpUU1JPLklRX1RFVi43LzMxLzIwMTguVVNELkgBAAAAaNZYBgIAAAALMTg1MC45NDE2OTkBBgAAAAUAAAABMQEAAAAKMTg4NjMzNjU3OQMAAAADMTYwAgAAAAYxMDAwNjAEAAAAATAHAAAACTcvMzEvMjAxOJwL1TgICdYIJMKabzQJ1gglQ0lRLklRVFIyNjM3MTg2NDcuSVFfUFJJTUFSWV9JTkRVU1RSWQEAAAA+8AEAAwAAAA1CaW90ZWNobm9sb2d5ALKzSW80CdYINZuTbzQJ1gg1Q0lRLk5BU0RBUUdNOkFGTUQuSVFf</t>
  </si>
  <si>
    <t>VE9UQUxfUkVWLi43LzE2LzIwMTguTEZSLkYuVVNELkgBAAAA2/cMAAIAAAAHMi44OTAyMwEIAAAABQAAAAExAQAAAAoxODg5ODY2MDQ5AwAAAAMxNjACAAAAAjI4BAAAAAEwBwAAAAk3LzE2LzIwMTgIAAAACTMvMzEvMjAxOAkAAAABMCkclBA1CdYIMNddEjUJ1gg0Q0lRLkVOWFRQQTpJUEguSVFfUFJFRl9FUVVJVFkuLjkvMTUvMjAxNy5MRlIuRi5VU0QuSAEAAACZgAYAAwAAAAAAKRyUEDUJ1ghzOWASNQnWCDZDSVEuTkFTREFRR1M6RlBSWC5JUV9UT1RBTF9ERUJULi45LzE1LzIwMTcuTEZSLkYuVVNELkgBAAAAN10zAAIAAAABMAEIAAAABQAAAAExAQAAAAoxODUyNDc1MDcyAwAAAAMxNjACAAAABDQxNzMEAAAAATAHAAAACTkvMTUvMjAxNwgAAAAJNi8zMC8yMDE3CQAAAAEwKRyUEDUJ1ghzOWASNQnWCCNDSVEuSVFUUjU1MTE2NjI5Mi5JUV9UUl9DTE9TRURfREFURQEAAABUIdogBQAAAAgzLzkvMjAxOAAMbRAONQnWCMDbgg41CdYIM0NJUS5PVENQSzpNQlZYLklRX0VBUk5JTkdfQ08uLjcvMTYvMjAxOC5MRlIuRi5VU0QuSAEAAADYRIsCAgAAAAotMTkuMDIwNjc5AQgAAAAFAAAAATEBAAAACjE4ODEyMTMyNDUDAAAAAzE2MAIAAAABNwQAAAABMAcAAAAJNy8xNi8yMDE4CAAAAAoxMi8zMS8yMDE3CQAAAAEw3qd+EDUJ1giYElkSNQnWCDxDSVEuTkFTREFRQ006QVZFTy5JUV9FQklUREFfRVNULkNZ</t>
  </si>
  <si>
    <t>MjAxOS43LzE2LzIwMTguQ09OLkYuVVNELkgBAAAA9BYdAAIAAAAFLTU1LjUBDgAAAAUAAAACMTEBAAAAATACAAAACjEwMDA3NDgwNzgDAAAABjEwMDE4NwQAAAABMgYAAAABMAcAAAADMTYwCAAAAAEwCQAAAAExCgAAAAEwCwAAAAsxMDQ4MTA5NDI5MgwAAAABNw0AAAAJNy8xNy8yMDE4EAAAAAk3LzE2LzIwMTjE/xsRNQnWCMKbYhI1CdYIHUNJUS5OQVNEQVFDTTpNVEVNLklRX0VYQ0hBTkdFAQAAAJmbqQEDAAAACE5hc2RhcUNNAMgwsjcICdYIGemhbzQJ1gg+Q0lRLk5BU0RBUUdTOktVUkEuSVFfVE9UQUxfRVFVSVRZLkNZMjAxNy43LzMxLzIwMTguTEZSLkYuVVNELkgBAAAAuMvaEAIAAAAGNzkuODY1AQgAAAAFAAAAATEBAAAACjE4NzgwMTI0NzgDAAAAAzE2MAIAAAAEMTI3NQQAAAABMAcAAAAJNy8zMS8yMDE4CAAAAAoxMi8zMS8yMDE3CQAAAAEw1owROAgJ1ghzJJ1vNAnWCDxDSVEuKElOVkFMSUQgSURFTlRJRklFUikuSVFfQ0FQRVguMjAwMC43LzMxLzIwMTguTEZSLkYuVVNELkgFAAAAAAAAAAgAAAAUKEludmFsaWQgSWRlbnRpZmllcinIMLI3CAnWCO02sG80CdYILUNJUS5OQVNEQVFHTTpBUlFMLklRX01BUktFVENBUC41LzUvMjAxNy5VU0QuSAEAAAD2YQAAAgAAAAk3Mi41Njk1MjkBBgAAAAUAAAABMQEAAAAKMTg0MTk4MzE2MQMAAAADMTYwAgAAAAYxMDAwNTQEAAAAATAHAAAACDUvNS8y</t>
  </si>
  <si>
    <t>MDE31owROAgJ1ghzJJ1vNAnWCDtDSVEuTkFTREFRR1M6QkdORS5JUV9QUkVGX0VRVUlUWS4yMDAwLjcvMzEvMjAxOC5MRlIuRi5VU0QuSAEAAADg5N0GAwAAAAAAnAvVOAgJ1giB/ZVvNAnWCDhDSVEuRU5YVFBBOklQSC5JUV9ORVRfV09SS0lOR19DQVAuLjcvMTYvMjAxOC5MRlIuRi5VU0QuSAEAAACZgAYAAgAAAAotNjEuNDI0MTExAQgAAAAFAAAAATEBAAAACjE4ODk1NTIxNjQDAAAAAzE2MAIAAAAEMTMxMQQAAAABMAcAAAAJNy8xNi8yMDE4CAAAAAoxMi8zMS8yMDE3CQAAAAEwKRyUEDUJ1ghzOWASNQnWCDlDSVEuTkFTREFRR1M6R1RIWC5JUV9UT1RBTF9SRVYuMTk5Mi43LzMxLzIwMTguTEZSLkYuVVNELkgBAAAAZTRpCAMAAAAAAJwL1TgICdYIJMKabzQJ1ggnQ0lRLk5BU0RBUUdTOktVUkEuSVFfUEVSSU9EREFURV9JUy4xMDAwAQAAALjL2hAFAAAACjEyLzMxLzIwMTcA1owROAgJ1ghzJJ1vNAnWCDhDSVEuTkFTREFRR1M6QkdORS5JUV9HUk9TU19NQVJHSU4uLjcvMTYvMjAxOC5MRlIuRi5VU0QuSAEAAADg5N0GAgAAAAgtMjcuNTExOAEIAAAABQAAAAExAQAAAAoxODg3Njg4NTg4AwAAAAMxNjACAAAABDQwNzQEAAAAATAHAAAACTcvMTYvMjAxOAgAAAAJMy8zMS8yMDE4CQAAAAEwxP8bETUJ1ghoYGcSNQnWCDpDSVEuTkFTREFRR1M6QkdORS5JUV9UT1RBTF9ERUJULjIwMDAuNy8zMS8yMDE4</t>
  </si>
  <si>
    <t>LkxGUi5GLlVTRC5IAQAAAODk3QYCAAAABzE3My42ODEBCAAAAAUAAAABMQEAAAAKMTg4NzY4ODU4OAMAAAADMTYwAgAAAAQ0MTczBAAAAAEwBwAAAAk3LzMxLzIwMTgIAAAACTMvMzEvMjAxOAkAAAABMJwL1TgICdYIgf2VbzQJ1gg2Q0lRLk5BU0RBUUdTOkFEWFMuSVFfRUFSTklOR19DTy4uNy8xNi8yMDE4LkxGUi5GLlVTRC5IAQAAAJ7seAACAAAACi04OS43ODYyODIBCAAAAAUAAAABMQEAAAAKMTg5Mjc4ODU0OAMAAAADMTYwAgAAAAE3BAAAAAEwBwAAAAk3LzE2LzIwMTgIAAAACTQvMzAvMjAxOAkAAAABMCkclBA1CdYI5HRbEjUJ1gg/Q0lRLk5BU0RBUUdTOkZQUlguSVFfTkVUX1dPUktJTkdfQ0FQLjE5OTYuNy8zMS8yMDE4LkxGUi5GLlVTRC5IAQAAADddMwACAAAABy0xNy40NjkBCAAAAAUAAAABMQEAAAAKMTg4NzQwMjIyNAMAAAADMTYwAgAAAAQxMzExBAAAAAEwBwAAAAk3LzMxLzIwMTgIAAAACTMvMzEvMjAxNwkAAAABMNaMETgICdYIGemhbzQJ1gg1Q0lRLk5BU0RBUUdTOktVUkEuSVFfQ0FQRVguMTk5Mi43LzMxLzIwMTguTEZSLkYuVVNELkgBAAAAuMvaEAIAAAAGLTAuMDU0AQgAAAAFAAAAATEBAAAACjE4NDIyODA3MTcDAAAAAzE2MAIAAAAEMjAyMQQAAAABMAcAAAAJNy8zMS8yMDE4CAAAAAkzLzMxLzIwMTYJAAAAATDWjBE4CAnWCHMknW80CdYINUNJUS5OQVNEQVFHUzpGUFJYLklR</t>
  </si>
  <si>
    <t>X0RBX0NGLjIwMDAuNy8zMS8yMDE4LkxGUi5GLlVTRC5IAQAAADddMwACAAAABTMuMTQ5AQgAAAAFAAAAATEBAAAACjE4ODc0MDIyMjcDAAAAAzE2MAIAAAAEMjE2MAQAAAABMAcAAAAJNy8zMS8yMDE4CAAAAAkzLzMxLzIwMTgJAAAAATDIMLI3CAnWCBnpoW80CdYIOUNJUS5OQVNEQVFDTTpTUk5FLklRX1RPVEFMX0RFQlQuMjAwMC41LzUvMjAxNy5MRlIuRi5VU0QuSAEAAABJQ5QDAgAAAAY0Ny4zMTYBCAAAAAUAAAABMQEAAAAKMTgzMzU2NjU5OQMAAAADMTYwAgAAAAQ0MTczBAAAAAEwBwAAAAg1LzUvMjAxNwgAAAAKMTIvMzEvMjAxNgkAAAABMNaMETgICdYIcySdbzQJ1gg8Q0lRLk5BU0RBUUdNOkZBVEUuSVFfR1JPU1NfTUFSR0lOLjIwMDAuNy8zMS8yMDE4LkxGUi5GLlVTRC5IAQAAAGgxVwIDAAAAAk5NAQgAAAAFAAAAATEBAAAACjE4ODg1MDA1MjcDAAAAAzE2MAIAAAAENDA3NAQAAAABMAcAAAAJNy8zMS8yMDE4CAAAAAkzLzMxLzIwMTgJAAAAATDWjBE4CAnWCMOGn280CdYIH0NJUS5OQVNEQVFHUzpTR0VOLklRX1RFVi4uVVNELkgBAAAAYYUAAAIAAAAMMTE2MDEuMTIwNjU0AQYAAAAFAAAAATEBAAAACjE4OTcyMzMyNTEDAAAAAzE2MAIAAAAGMTAwMDYwBAAAAAEwBwAAAAk4LzIyLzIwMThGnRkRNQnWCEadGRE1CdYIRkNJUS4oSU5WQUxJRCBJREVOVElGSUVSKS5JUV9ORVRfV09SS0lOR19D</t>
  </si>
  <si>
    <t>QVAuMjAwMC43LzMxLzIwMTguTEZSLkYuVVNELkgFAAAAAAAAAAgAAAAUKEludmFsaWQgSWRlbnRpZmllcinIMLI3CAnWCO02sG80CdYIJUNJUS5JUVRSNTMzNjM5NTAxLklRX1RSX0lNUExJRURfRVFfQlYBAAAATbHOHwIAAAAAAAxtEA41CdYIwNuCDjUJ1ggpQ0lRLk5BU0RBUUdTOlRTUk8uSVFfQlVTSU5FU1NfREVTQ1JJUFRJT04BAAAAaNZYBgMAAAD7ClRlc2FybywgSW5jLiwgYW4gb25jb2xvZ3ktZm9jdXNlZCBiaW9waGFybWFjZXV0aWNhbCBjb21wYW55LCBpZGVudGlmaWVzLCBhY3F1aXJlcywgZGV2ZWxvcHMsIGFuZCBjb21tZXJjaWFsaXplcyBjYW5jZXIgdGhlcmFwZXV0aWNzIGFuZCBvbmNvbG9neSBzdXBwb3J0aXZlIGNhcmUgcHJvZHVjdHMgaW4gdGhlIFVuaXRlZCBTdGF0ZXMuIEl0IG9mZmVycyBaRUpVTEEgKG5pcmFwYXJpYiksIGFuIG9yYWxseSBhY3RpdmUgYW5kIHBvdGVudCBwb2x5IHBvbHltZXJhc2UgaW5oaWJpdG9yIGZvciB0aGUgbWFpbnRlbmFuY2UgdHJlYXRtZW50IG9mIHdvbWVuIHdpdGggcmVjdXJyZW50IGVwaXRoZWxpYWwgb3ZhcmlhbiwgZmFsbG9waWFuIHR1YmUsIG9yIHByaW1hcnkgcGVyaXRvbmVhbCBjYW5jZXI7IGFuZCBWQVJVQkkgKHJvbGFwaXRhbnQpLCBhIG5ldXJva2luaW4tMSwgb3IgTkstMSwgcmVjZXB0b3IgYW50YWdvbmlzdCBmb3IgdGhlIHByZXZl</t>
  </si>
  <si>
    <t>bnRpb24gb2YgY2hlbW90aGVyYXB5IGluZHVjZWQgbmF1c2VhIGFuZCB2b21pdGluZy4gVGhlIGNvbXBhbnkgYWxzbyBkZXZlbG9wcyBOaXJhcGFyaWIgZm9yIHRoZSB0cmVhdG1lbnQgb2YgdmFyaW91cyB0dW1vcnMuIEluIGFkZGl0aW9uLCBpdCBpcyBkZXZlbG9waW5nIGltbXVub3RoZXJhcHkgYW50aWJvZHkgcHJvZHVjdCBjYW5kaWRhdGVzLCBpbmNsdWRpbmcgVFNSLTA0Miwgd2hpY2ggaXMgaW4gYSBwaGFzZSBJIGNsaW5pY2FsIHRyaWFsIHRhcmdldGluZyBwcm9ncmFtbWVkIGNlbGwgZGVhdGggcHJvdGVpbiAxOyBUU1ItMDIyIHRoYXQgaXMgaW4gcGhhc2UgSSBjbGluaWNhbCB0cmlhbCB0YXJnZXRpbmcgVC1jZWxsIGltbXVub2dsb2J1bGluIGRvbWFpbiBhbmQgbXVjaW4gZG9tYWluLTM7IGFuZCBUU1ItMDMzLCBhbiBhbnRpYm9keSBjYW5kaWRhdGUsIHdoaWNoIGlzIGluIHBoYXNlIEkgY2xpbmljYWwgdHJpYWwgdGFyZ2V0aW5nIGx5bXBob2N5dGUtYWN0aXZhdGlvbiBnZW5lLTMuIFRoZSBjb21wYW55IGhhcyBjb2xsYWJvcmF0aW9uIGFuZCBleGNsdXNpdmUgbGljZW5zZSBhZ3JlZW1lbnQgd2l0aCBBbmFwdHlzQmlvLCBJbmMuLCBhcyB3ZWxsIGFzIGNvbGxhYm9yYXRpb24gYWdyZWVtZW50cyB3aXRoIEphbnNzZW4gQmlvdGVjaCwgSW5jLiwgTWlsbGVubml1bSBQaGFybWFjZXV0aWNh</t>
  </si>
  <si>
    <t>bHMsIEluYy4sIFphaSBMYWIgKFNoYW5naGFpKSBDby4sIEx0ZCwgSmlhbmdzdSBIZW5ncnVpIE1lZGljaW5lIENvLiwgTHRkLiwgTWVyY2sgU2hhcnAgJiBEb2htZSBCLlYuLCBhbmQgSmlhbmdzdSBIZW5ncnVpIE1lZGljaW5lIENvLiwgTHRkLiwgYXMgd2VsbCBhcyBHZW5lbnRlY2guIFRlc2FybywgSW5jLiB3YXMgZm91bmRlZCBpbiAyMDEwIGFuZCBpcyBoZWFkcXVhcnRlcmVkIGluIFdhbHRoYW0sIE1hc3NhY2h1c2V0dHMuAJwL1TgICdYID2WMDjUJ1ggaQ0lRLk9UQ1BLOk5XQk8uSVFfRVhDSEFOR0UBAAAAo3oUAAMAAAAFT1RDUEsAKRyUEDUJ1ghzOWASNQnWCDlDSVEuTkFTREFRR1M6QVROWC5JUV9UT1RBTF9SRVYuMjAwMC43LzMxLzIwMTguTEZSLkYuVVNELkgBAAAA3JlrAQIAAAAGNzEuMjk4AQgAAAAFAAAAATEBAAAACjE4ODg3MDI5ODIDAAAAAzE2MAIAAAACMjgEAAAAATAHAAAACTcvMzEvMjAxOAgAAAAJMy8zMS8yMDE4CQAAAAEw1owROAgJ1ggkwppvNAnWCCJDSVEuSVFUUjU0ODMzODAyMC5JUV9UUl9UT1RBTF9DQVNIAQAAAGT5riACAAAAAjEyAQYAAAAFAAAAAjU0AQAAAAYxMDEwNTYCAAAACTU0ODMzODAyMAMAAAAJNTQ4MzQwOTg1BAAAAAMxNjAGAAAABUZhbHNlDG0QDjUJ1gjA24IONQnWCDVDSVEuTkFTREFRR1M6S1VSQS5JUV9EQV9DRi4yMDAwLjcvMzEvMjAxOC5MRlIuRi5V</t>
  </si>
  <si>
    <t>U0QuSAEAAAC4y9oQAgAAAAUwLjAyNwEIAAAABQAAAAExAQAAAAoxODg3MzgyOTM3AwAAAAMxNjACAAAABDIxNjAEAAAAATAHAAAACTcvMzEvMjAxOAgAAAAJMy8zMS8yMDE4CQAAAAEw1owROAgJ1ghzJJ1vNAnWCEdDSVEuTkFTREFRR1M6QkdORS5JUV9NSU5PUklUWV9JTlRFUkVTVF9UT1RBTC4yMDAwLjcvMzEvMjAxOC5MRlIuRi5VU0QuSAEAAADg5N0GAgAAAAYxNC4zNDEBCAAAAAUAAAABMQEAAAAKMTg4NzY4ODU4OAMAAAADMTYwAgAAAAQxMzEyBAAAAAEwBwAAAAk3LzMxLzIwMTgIAAAACTMvMzEvMjAxOAkAAAABMJwL1TgICdYIgf2VbzQJ1gglQ0lRLklRVFI1NTAyNTkzOTcuSVFfVFJfSU1QTElFRF9FUV9CVgEAAADFSswgAgAAAAg5LjYxNDM1NwEGAAAABQAAAAI1NAEAAAAGMTAyMDk3AgAAAAk1NTAyNTkzOTcDAAAACTU1MDI2NDU2NAQAAAADMTYwBgAAAAVGYWxzZQxtEA41CdYId3mADjUJ1ggjQ0lRLi5JUV9UUl9UQVJHRVRfRUJJVERBX0VTVC4uVVNELkgFAAAAAAAAAAgAAAAUKEludmFsaWQgSWRlbnRpZmllcimcC9U4CAnWCHd5gA41CdYIK0NJUS5JUVRSNDA4NDA3ODIyLklRX1RSX1RPVEFMX0dST1NTX1RWLi5VU0QBAAAADs9XGAIAAAAKMTk1LjgzMTEyOQEGAAAABQAAAAI1NAEAAAAGMTAyMDg4AgAAAAk0MDg0MDc4MjIDAAAACTQwODQxMDU0MQQAAAADMTYwBgAAAAVGYWxzZbKzSW80</t>
  </si>
  <si>
    <t>CdYIgf2VbzQJ1ggpQ0lRLklRVFI1NDc0MjM2ODAuSVFfVFJfSU1QTElFRF9FUV9OSV9MVE0BAAAAwAWhIAMAAAACTk0ADG0QDjUJ1gjA24IONQnWCDxDSVEuTkFTREFRR1M6QU5BQi5JUV9FQklUREFfRVNULkNZMjAxOC43LzE2LzIwMTguQ09OLkYuVVNELkgBAAAAIUyyAQMAAAAAAMT/GxE1CdYIwptiEjUJ1ggjQ0lRLk5BU0RBUUdTOkJHTkUuSVFfUEVSSU9EREFURV9JUy4BAAAA4OTdBgUAAAAJNi8zMC8yMDE4AMT/GxE1CdYIaGBnEjUJ1gg/Q0lRLk5BU0RBUUdTOkFEWFMuSVFfRUJJVERBXzJZUl9BTk5fQ0FHUi4uNy8xNi8yMDE4LkxGUi5GLlVTRC5IAQAAAJ7seAADAAAAAk5NAQgAAAAFAAAAATEBAAAACjE4OTI3ODg1NDgDAAAAAzE2MAIAAAAENDIwOQQAAAABMAcAAAAJNy8xNi8yMDE4CAAAAAk0LzMwLzIwMTgJAAAAATApHJQQNQnWCOR0WxI1CdYIO0NJUS5OQVNEQVFHUzpTR0VOLklRX05FVF9XT1JLSU5HX0NBUC4uNy8xNi8yMDE4LkxGUi5GLlVTRC5IAQAAAGGFAAACAAAABjY2LjU5OAEIAAAABQAAAAExAQAAAAoxODg0ODkyODUyAwAAAAMxNjACAAAABDEzMTEEAAAAATAHAAAACTcvMTYvMjAxOAgAAAAJMy8zMS8yMDE4CQAAAAEwxP8bETUJ1ghoYGcSNQnWCCpDSVEuSVFUUjI1Mzk1NDQ3My5JUV9UUl9UQVJHRVRfRUJJVC4uVVNELkgBAAAAqQkjDwIAAAAAALKzSW80CdYINZuTbzQJ1ggu</t>
  </si>
  <si>
    <t>Q0lRLi5JUV9UT1RBTF9SRVYuQ1kyMDE2LjcvMzEvMjAxOC5MRlIuRi5VU0QuSAUAAAABAAAACAAAABQoSW52YWxpZCBJZGVudGlmaWVyKfWEMkc0CdYI9YQyRzQJ1ggnQ0lRLk5BU0RBUUdTOkJHTkUuSVFfQkVUQV8xWVIuNy8zMS8yMDE4AQAAAODk3QYCAAAAETAuOTQxMjUwNzU4MTEzMzUyAJwL1TgICdYIgf2VbzQJ1gg6Q0lRLk5BU0RBUUdTOkNBTEEuSVFfRUFSTklOR19DTy4yMDAwLjcvMzEvMjAxOC5MRlIuRi5VU0QuSAEAAAClJ4EGAgAAAActMzUuNDQ1AQgAAAAFAAAAATEBAAAACjE4ODc5ODAzMDUDAAAAAzE2MAIAAAABNwQAAAABMAcAAAAJNy8zMS8yMDE4CAAAAAkzLzMxLzIwMTgJAAAAATDIMLI3CAnWCN1LpG80CdYIPkNJUS5OQVNEQVFHTTpJTU1VLklRX1RPVEFMX0VRVUlUWS5DWTIwMTcuNy8xNi8yMDE4LkxGUi5GLlVTRC5IAQAAACBDBAACAAAACTE2LjQ0OTE4NwEIAAAABQAAAAExAQAAAAoxODczNDkzNTI4AwAAAAMxNjACAAAABDEyNzUEAAAAATAHAAAACTcvMTYvMjAxOAgAAAAKMTIvMzEvMjAxNwkAAAABMMT/GxE1CdYIEv5kEjUJ1gg8Q0lRLk5BU0RBUUdTOkZQUlguSVFfRUJJVERBX0VTVC5DWTIwMjAuNy8xNi8yMDE4LkNPTi5GLlVTRC5IAQAAADddMwACAAAACC0yNTcuNjQ5AQ4AAAAFAAAAAjExAQAAAAEwAgAAAAoxMDAxOTU2MzU0AwAAAAYxMDAxODcEAAAAATIGAAAAATAH</t>
  </si>
  <si>
    <t>AAAAAzE2MAgAAAABMAkAAAABMQoAAAABMAsAAAALMTA5Mjc5ODA0MDMMAAAAATcNAAAACTcvMTcvMjAxOBAAAAAJNy8xNi8yMDE4KRyUEDUJ1ghzOWASNQnWCCJDSVEuSVFUUjQwODQwNzgyMi5JUV9UUl9QQ1RfU09VR0hUAQAAAA7PVxgCAAAAAzEwMAEGAAAABQAAAAI1NAEAAAAGMTAxMDI0AgAAAAk0MDg0MDc4MjIDAAAACTQwODQxMDU0MQQAAAADMTYwBgAAAARUcnVlsrNJbzQJ1giB/ZVvNAnWCB5DSVEuT1RDUEs6TUJWWC5JUV9DT01QQU5ZX05BTUUBAAAA2ESLAgMAAAAiTWFiVmF4IFRoZXJhcGV1dGljcyBIb2xkaW5ncywgSW5jLgDep34QNQnWCJgSWRI1CdYIPkNJUS5OQVNEQVFHTTpBUlJZLklRX0NBU0hfU1RfSU5WRVNULjIwMDAuNy8zMS8yMDE4LkxGUi5GLlVTRC5IAQAAAPhhAAACAAAABjQzOC40MQEIAAAABQAAAAExAQAAAAoxODg4NDcwNjc2AwAAAAMxNjACAAAABDEwMDIEAAAAATAHAAAACTcvMzEvMjAxOAgAAAAJMy8zMS8yMDE4CQAAAAEwnAvVOAgJ1gjUX5hvNAnWCDlDSVEuTkFTREFRQ006Q0tQVC5JUV9FQklUREFfTUFSR0lOLi43LzE2LzIwMTguTEZSLkYuVVNELkgBAAAAuFEWEQMAAAAAACkclBA1CdYI5HRbEjUJ1gguQ0lRLklRVFI1NDgzMzgwMjAuSVFfVFJfVEFSR0VUX1NUT0NLUFJFTUlVTV8xTQEAAABk+a4gAgAAAAAADG0QDjUJ1gjA24IONQnWCD5DSVEuTkFTREFRR006</t>
  </si>
  <si>
    <t>Q1JJUy5JUV9UT1RBTF9FUVVJVFkuQ1kyMDE2LjcvMzEvMjAxOC5MRlIuRi5VU0QuSAEAAAAXagAAAgAAAAYyOS4yNjYBCAAAAAUAAAABMQEAAAAKMTg3ODAxMTY1NAMAAAADMTYwAgAAAAQxMjc1BAAAAAEwBwAAAAk3LzMxLzIwMTgIAAAACjEyLzMxLzIwMTYJAAAAATDIMLI3CAnWCN1LpG80CdYIIkNJUS5JUVRSNTQ3NDIzNjgwLklRX1RSX1RPVEFMX0NBU0gBAAAAwAWhIAIAAAAKMTgzMS4xNTM3NwEGAAAABQAAAAI1NAEAAAAGMTAxMDU2AgAAAAk1NDc0MjM2ODADAAAACTU0NzQzMzA2NQQAAAADMTYwBgAAAAVGYWxzZQxtEA41CdYIwNuCDjUJ1gg8Q0lRLk5BU0RBUUdNOk5MTksuSVFfRUJJVERBX0VTVC5DWTIwMTkuNy8xNi8yMDE4LkNPTi5GLlVTRC5IAQAAAJV7jAACAAAACS03MS4wMzA5MwEOAAAABQAAAAIxMQEAAAABMAIAAAAKMTAwMTQyNTA5MgMAAAAGMTAwMTg3BAAAAAEyBgAAAAEwBwAAAAMxNjAIAAAAATAJAAAAATEKAAAAATALAAAACzEwODY0Mjk5Nzk4DAAAAAE3DQAAAAk3LzE3LzIwMTgQAAAACTcvMTYvMjAxOCkclBA1CdYI5HRbEjUJ1gg4Q0lRLk5BU0RBUUdTOlBCWUkuSVFfRUJJVERBLkNZMjAxNy43LzE2LzIwMTguTEZSLkYuVVNELkgBAAAAAmqsBwIAAAAILTI4OS41NzkBCAAAAAUAAAABMQEAAAAKMTg3ODA2MzM0NAMAAAADMTYwAgAAAAQ0MDUxBAAAAAEwBwAAAAk3LzE2LzIw</t>
  </si>
  <si>
    <t>MTgIAAAACjEyLzMxLzIwMTcJAAAAATDE/xsRNQnWCBL+ZBI1CdYIP0NJUS5OQVNEQVFHTTpBRk1ELklRX0VCSVREQV81WVJfQU5OX0NBR1IuLjcvMTYvMjAxOC5MRlIuRi5VU0QuSAEAAADb9wwAAwAAAAAAKRyUEDUJ1ggw110SNQnWCCZDSVEuT1RDUEs6TUJWWC5JUV9CVVNJTkVTU19ERVNDUklQVElPTgEAAADYRIsCAwAAAOMMTWFiVmF4IFRoZXJhcGV1dGljcyBIb2xkaW5ncywgSW5jLiwgYSBjbGluaWNhbCBzdGFnZSBiaW9waGFybWFjZXV0aWNhbCBjb21wYW55LCBkaXNjb3ZlcnMsIGRldmVsb3BzLCBhbmQgY29tbWVyY2lhbGl6ZXMgcHJvcHJpZXRhcnkgaHVtYW4gbW9ub2Nsb25hbCBhbnRpYm9keSBwcm9kdWN0cyBhbmQgdmFjY2luZXMgZm9yIHRoZSB0cmVhdG1lbnQgb2YgdmFyaW91cyBjYW5jZXJzLiBUaGUgY29tcGFueSBoYXMgYSBwaXBlbGluZSBvZiBodW1hbiBtb25vY2xvbmFsIGFudGlib2R5IHByb2R1Y3RzIGJhc2VkIG9uIHRoZSBwcm90ZWN0aXZlIGltbXVuZSByZXNwb25zZXMgZ2VuZXJhdGVkIGJ5IHBhdGllbnRzIHdobyBoYXZlIGJlZW4gaW1tdW5pemVkIGFnYWluc3QgdGFyZ2V0ZWQgY2FuY2Vycy4gSXRzIGxlYWQgY2FuY2VyIHZhY2NpbmVzIHRhcmdldGluZyByZWN1cnJlbnQgc2FyY29tYSBhbmQgb3ZhcmlhbiBjYW5jZXIgYXJlIGluIHByb29mIG9mIGNvbmNlcHQgUGhh</t>
  </si>
  <si>
    <t>c2UgSUkgbXVsdGktY2VudGVyIGNsaW5pY2FsIHRyaWFscy4gVGhlIGNvbXBhbnnigJlzIHByb2R1Y3QgY2FuZGlkYXRlcyBpbmNsdWRlIE1WVC01ODczLCBhIHRoZXJhcGV1dGljIGFudGlib2R5IHRoYXQgaXMgaW4gUGhhc2UgSSBjbGluaWNhbCB0cmlhbCBmb3IgcGF0aWVudHMgd2l0aCBhZHZhbmNlZCBvciBtZXRhc3RhdGljIGFkZW5vY2FyY2lub21hIG9mIHRoZSBwYW5jcmVhcyAoUERBQykgYW5kIG90aGVyIENBMTktOSBwb3NpdGl2ZSBtYWxpZ25hbmNpZXM7IGFuZCBNVlQtMjE2MywgYW4gaW1tdW5vLXBvc2l0cm9uIGVtaXNzaW9uIHRvbW9ncmFwaHkgKFBFVCkgaW1hZ2luZyBhZ2VudCwgd2hpY2ggaXMgaW4gUGhhc2UgSSBjbGluaWNhbCB0cmlhbCBkZXNpZ25lZCB0byBldmFsdWF0ZSBhIG5leHQgZ2VuZXJhdGlvbiBkaWFnbm9zdGljIFBFVCBpbWFnaW5nIGFnZW50IGluIHBhdGllbnRzIHdpdGggUERBQyBvciBvdGhlciBDQTE5LTkgcG9zaXRpdmUgbWFsaWduYW5jaWVzLiBJdHMgcHJvZHVjdCBjYW5kaWRhdGVzIGFsc28gY29tcHJpc2UgTVZULTEwNzUsIGEgcmFkaW9pbW11bm90aGVyYXB5IGFnZW50IHRoYXQgY29tYmluZXMgdGhlIGNvbXBhbnnigJlzIEh1TWFiLTVCMSBhbnRpYm9keSB3aXRoIHRoZSByYWRpb3BoYXJtYWNldXRpY2FsICgxNzcpIEx1dGV0aXVtIHRvIHRyZWF0IHBh</t>
  </si>
  <si>
    <t>bmNyZWF0aWMgY2FuY2VyLiBUaGUgY29tcGFueSBoYXMgdmFyaW91cyByZXNlYXJjaCBhZ3JlZW1lbnRzIGFuZCBjb2xsYWJvcmF0aW9ucyB3aXRoIE1lbW9yaWFsIFNsb2FuIEtldHRlcmluZyBDYW5jZXIgQ2VudGVyOyBhIGxpY2Vuc2luZyBhZ3JlZW1lbnQgd2l0aCBMaWZlIFRlY2hub2xvZ2llcyBDb3Jwb3JhdGlvbjsgYSByZXNlYXJjaCBjb2xsYWJvcmF0aW9uIGFncmVlbWVudCB3aXRoIFJvY2tlZmVsbGVyIFVuaXZlcnNpdHkncyBMYWJvcmF0b3J5IG9mIE1vbGVjdWxhciBHZW5ldGljcyBhbmQgSW1tdW5vbG9neTsgYW5kIGEgZGV2ZWxvcG1lbnQgYW5kIG1hbnVmYWN0dXJpbmcgc2VydmljZXMgYWdyZWVtZW50IHdpdGggUGF0aGVvbi4gTWFiVmF4IFRoZXJhcGV1dGljcyBIb2xkaW5ncywgSW5jLiB3YXMgZm91bmRlZCBpbiAyMDA2IGFuZCBpcyBiYXNlZCBpbiBTYW4gRGllZ28sIENhbGlmb3JuaWEuAN6nfhA1CdYImBJZEjUJ1ghCQ0lRLk5BU0RBUUdNOkFGTUQuSVFfVE9UQUxfUkVWXzNZUl9BTk5fQ0FHUi4uNy8xNi8yMDE4LkxGUi5GLlVTRC5IAQAAANv3DAACAAAACC0yNS44ODczAQgAAAAFAAAAATEBAAAACjE4ODk4NjYwNDkDAAAAAjUwAgAAAAQ0MjIwBAAAAAEwBwAAAAk3LzE2LzIwMTgIAAAACTMvMzEvMjAxOAkAAAABMCkclBA1CdYIMNddEjUJ1gg8Q0lRLk5BU0RBUUdNOkxQVFgu</t>
  </si>
  <si>
    <t>SVFfRUFSTklOR19DTy5DWTIwMTYuNy8xNi8yMDE4LkxGUi5GLlVTRC5IAQAAAAw2CQcCAAAABy0yNS42MzIBCAAAAAUAAAABMQEAAAAKMTg3NTU1OTkzOQMAAAADMTYwAgAAAAE3BAAAAAEwBwAAAAk3LzE2LzIwMTgIAAAACjEyLzMxLzIwMTYJAAAAATApHJQQNQnWCDDXXRI1CdYILENJUS5BU1g6SU1VLklRX0VCSVREQS4uNy8xNi8yMDE4LkxGUi5GLlVTRC5IAQAAAJiTqQACAAAACS0yLjA2NjYyNAEIAAAABQAAAAExAQAAAAoxODc3MzA1MzIwAwAAAAMxNjACAAAABDQwNTEEAAAAATAHAAAACTcvMTYvMjAxOAgAAAAKMTIvMzEvMjAxNwkAAAABMCkclBA1CdYIMNddEjUJ1ggiQ0lRLklRVFIzMTQ4MjkyMzYuSVFfVFJfVEFSR0VUTkFNRQEAAAC06cMSAwAAABdBZG11bmUgVGhlcmFwZXV0aWNzIExMQwBYzxIONQnWCMDbgg41CdYIOENJUS5OQVNEQVFHTTpMUFRYLklRX0dST1NTX01BUkdJTi4uNy8xNi8yMDE4LkxGUi5GLlVTRC5IAQAAAAw2CQcDAAAAAAApHJQQNQnWCDDXXRI1CdYIL0NJUS5JUVRSMzE0ODI5MjM2LklRX1RSX1RBUkdFVF9UT1RBTF9SRVYuLlVTRC5IAQAAALTpwxICAAAAAABYzxIONQnWCMDbgg41CdYILkNJUS5JUVRSMzIxODY1Mjk3LklRX1RSX1RBUkdFVF9TVE9DS1BSRU1JVU1fMU0BAAAAUUYvEwIAAAAAAFjPEg41CdYIDD6FDjUJ1ggrQ0lRLklRVFIzMDc4NjM5ODQuSVFfVFJf</t>
  </si>
  <si>
    <t>VE9UQUxfR1JPU1NfVFYuLlVTRAEAAACwoVkSAgAAAAM2MDUBBgAAAAUAAAACNTQBAAAABjEwMjA4OAIAAAAJMzA3ODYzOTg0AwAAAAkzMDc4NjQyODAEAAAAAzE2MAYAAAAFRmFsc2VYzxIONQnWCMDbgg41CdYIPENJUS5OQVNEQVFHUzpTR0VOLklRX0VCSVREQV9FU1QuQ1kyMDIwLjcvMTYvMjAxOC5DT04uRi5VU0QuSAEAAABhhQAAAgAAAActMTguMDg1AQ4AAAAFAAAAAjExAQAAAAEwAgAAAAoxMDAwMTI0NzI4AwAAAAYxMDAxODcEAAAAATIGAAAAATAHAAAAAzE2MAgAAAABMAkAAAABMQoAAAABMAsAAAALMTA4NTE0ODUwNjEMAAAAATcNAAAACTcvMTcvMjAxOBAAAAAJNy8xNi8yMDE4xP8bETUJ1ghoYGcSNQnWCD1DSVEuTkFTREFRR006QVJSWS5JUV9DQVNIX1NUX0lOVkVTVC4yMDAwLjUvNS8yMDE3LkxGUi5GLlVTRC5IAQAAAPhhAAACAAAABzIxMy45MzIBCAAAAAUAAAABMQEAAAAKMTgyNjgzODI1NgMAAAADMTYwAgAAAAQxMDAyBAAAAAEwBwAAAAg1LzUvMjAxNwgAAAAKMTIvMzEvMjAxNgkAAAABMJwL1TgICdYIJMKabzQJ1gglQ0lRLklRVFIyNDU4MzEwMDcuSVFfVFJfTUFKX01JTl9TVEFLRQEAAABfFacOAwAAAAhNYWpvcml0eQCys0lvNAnWCIH9lW80CdYIJ0NJUS5OQVNEQVFHUzpDVE1YLklRX0JFVEFfMVlSLjcvMTYvMjAxOAEAAADcOJsDAgAAABEwLjQ5ODc0NzU0MDQyNDQ2OADE/xsR</t>
  </si>
  <si>
    <t>NQnWCMKbYhI1CdYIOENJUS5OQVNEQVFHTTpYTkNSLklRX0dST1NTX01BUkdJTi4uNy8xNi8yMDE4LkxGUi5GLlVTRC5IAQAAAKZaCwACAAAACS0xNTcuMDg5MQEIAAAABQAAAAExAQAAAAoxODg3MTI1ODU1AwAAAAMxNjACAAAABDQwNzQEAAAAATAHAAAACTcvMTYvMjAxOAgAAAAJMy8zMS8yMDE4CQAAAAEwxP8bETUJ1ggS/mQSNQnWCClDSVEuTkFTREFRR1M6QU5BQi5JUV9CVVNJTkVTU19ERVNDUklQVElPTgEAAAAhTLIBAwAAAI8KQW5hcHR5c0JpbywgSW5jLiwgYSBjbGluaWNhbCBzdGFnZSBiaW90ZWNobm9sb2d5IGNvbXBhbnksIGVuZ2FnZXMgaW4gZGV2ZWxvcGluZyBhbnRpYm9keSBwcm9kdWN0IGNhbmRpZGF0ZXMgZm9jdXNlZCBvbiB1bm1ldCBtZWRpY2FsIG5lZWRzIGluIGluZmxhbW1hdGlvbi4gVGhlIGNvbXBhbnnigJlzIHByb3ByaWV0YXJ5IGFudGktaW5mbGFtbWF0b3J5IHBpcGVsaW5lIGluY2x1ZGVzIEFOQjAyMCwgYW4gYW50aS1pbnRlcmxldWtpbi0zMyBhbnRpYm9keSBmb3IgdGhlIHRyZWF0bWVudCBvZiBtb2RlcmF0ZS10by1zZXZlcmUgYWR1bHQgYXRvcGljIGRlcm1hdGl0aXMsIHNldmVyZSBhZHVsdCBwZWFudXQgYWxsZXJneSwgYW5kIHNldmVyZSBhZHVsdCBlb3Npbm9waGlsaWMgYXN0aG1hOyBBTkIwMTksIGFuIGFudGktaW50ZXJsZXVraW4tMzZSIGFudGlib2R5IGZv</t>
  </si>
  <si>
    <t>ciB0aGUgdHJlYXRtZW50IG9mIHJhcmUgaW5mbGFtbWF0b3J5IGRpc2Vhc2VzLCBpbmNsdWRpbmcgZ2VuZXJhbGl6ZWQgcHVzdHVsYXIgcHNvcmlhc2lzIGFuZCBwYWxtby1wbGFudGFyIHB1c3R1bGFyIHBzb3JpYXNpczsgYW5kIGEgcG9ydGZvbGlvIG9mIGNoZWNrcG9pbnQgcmVjZXB0b3IgYWdvbmlzdCBhbnRpYm9kaWVzIGZvciB0aGUgdHJlYXRtZW50IG9mIGNlcnRhaW4gYXV0b2ltbXVuZSBkaXNlYXNlcy4gSXQgYWxzbyBoYXMgYW4gaW1tdW5vLW9uY29sb2d5IHBhcnRuZXJzaGlwIHdpdGggVEVTQVJPLCBJbmMuIGFuZCBURVNBUk8gRGV2ZWxvcG1lbnQsIEluYy4gdG8gZGV2ZWxvcCBhbmQgY29tbWVyY2lhbGl6ZSBtb25vc3BlY2lmaWMgYW50aWJvZHkgcHJvZHVjdCBjYW5kaWRhdGVzIHRhcmdldGluZyBUSU0tMyAoVFNSLTAyMiksIExBRy0zIChUU1ItMDMzKSwgYW5kIFBELTEgKFRTUi0wNDIpLCBhcyB3ZWxsIGFzIGEgYmlzcGVjaWZpYyBhbnRpYm9keSBwcm9kdWN0IGNhbmRpZGF0ZSB0YXJnZXRpbmcgUEQtMSBhbmQgTEFHLTM7IGFuZCBhbiBpbmZsYW1tYXRpb24gcGFydG5lcnNoaXAgd2l0aCBDZWxnZW5lIENvcnBvcmF0aW9uIHRvIGRldmVsb3AgYW4gYW50aS1QRC0xIGFnb25pc3QgYW50aWJvZHkgKENDLTkwMDA2KSB0aGF0IGlzIGluIFBoYXNlIDEgdHJpYWwuIFRoZSBjb21wYW55</t>
  </si>
  <si>
    <t>IHdhcyBmb3JtZXJseSBrbm93biBhcyBBbmFwdHlzIEJpb3NjaWVuY2VzLCBJbmMuIGFuZCBjaGFuZ2VkIGl0cyBuYW1lIHRvIEFuYXB0eXNCaW8sIEluYy4gaW4gSnVseSAyMDA2LiBBbmFwdHlzQmlvLCBJbmMuIHdhcyBmb3VuZGVkIGluIDIwMDUgYW5kIGlzIGJhc2VkIGluIFNhbiBEaWVnbywgQ2FsaWZvcm5pYS4ARp0ZETUJ1gjCm2ISNQnWCDZDSVEuTkFTREFRR006SU1NVS5JUV9FQklUREEuMTk5Mi43LzMxLzIwMTguTEZSLkYuVVNELkgBAAAAIEMEAAIAAAAKLTU0Ljg4NjIyNAEIAAAABQAAAAExAQAAAAoxODQxMTcxMjI0AwAAAAMxNjACAAAABDQwNTEEAAAAATAHAAAACTcvMzEvMjAxOAgAAAAJMy8zMS8yMDE2CQAAAAEwnAvVOAgJ1gjUX5hvNAnWCDRDSVEuQVNYOklNVS5JUV9DQVNIX1NUX0lOVkVTVC4uOS8xNS8yMDE3LkxGUi5GLlVTRC5IAQAAAJiTqQACAAAACDMuNjk0NDIxAQgAAAAFAAAAATEBAAAACjE4NTY4NTEyMzgDAAAAAzE2MAIAAAAEMTAwMgQAAAABMAcAAAAJOS8xNS8yMDE3CAAAAAk2LzMwLzIwMTcJAAAAATApHJQQNQnWCDDXXRI1CdYIJUNJUS5JUVRSNTYxNjA2MzY1LklRX1BSSU1BUllfSU5EVVNUUlkBAAAAODneCgMAAAANQmlvdGVjaG5vbG9neQBJU0dvNAnWCDWbk280CdYIIkNJUS5JUVRSMzIxODY1Mjk3LklRX1RSX1RPVEFMX0NBU0gBAAAAUUYvEwIAAAAAAFjPEg41</t>
  </si>
  <si>
    <t>CdYIDD6FDjUJ1ggpQ0lRLk5BU0RBUUdTOlNHRU4uSVFfQlVTSU5FU1NfREVTQ1JJUFRJT04BAAAAYYUAAAMAAACSDVNlYXR0bGUgR2VuZXRpY3MsIEluYy4sIGEgYmlvdGVjaG5vbG9neSBjb21wYW55LCBmb2N1c2VzIG9uIHRoZSBkZXZlbG9wbWVudCBhbmQgY29tbWVyY2lhbGl6YXRpb24gb2YgdGFyZ2V0ZWQgdGhlcmFwaWVzIGZvciB0aGUgdHJlYXRtZW50IG9mIGNhbmNlciB3b3JsZHdpZGUuIEl0IG1hcmtldHMgQURDRVRSSVMsIGFuIGFudGlib2R5LWRydWcgY29uanVnYXRlIGZvciB0aGUgdHJlYXRtZW50IG9mIHJlbGFwc2VkIEhvZGdraW4gbHltcGhvbWEgYW5kIHJlbGFwc2VkIHN5c3RlbWljIGFuYXBsYXN0aWMgbGFyZ2UgY2VsbCBseW1waG9tYS4gVGhlIGNvbXBhbnkgYWxzbyBkZXZlbG9wcyBlbmZvcnR1bWFiIHZlZG90aW4sIHdoaWNoIGlzIGluIFBoYXNlIDEgY2xpbmljYWwgdHJpYWwgZm9yIE5lY3Rpbi00LXBvc2l0aXZlIHNvbGlkIHR1bW9ycywgaW5jbHVkaW5nIGJsYWRkZXIgY2FuY2VyOyBhbmQgdGlzb3R1bWFiIHZlZG90aW4gdGhhdCBpcyBpbiBQaGFzZSBJSSBjbGluaWNhbCB0cmlhbCBmb3IgcGF0aWVudHMgd2l0aCBjZXJ2aWNhbCBjYW5jZXIgYW5kIHNvbGlkIHR1bW9ycy4gSW4gYWRkaXRpb24sIGl0IGNvbmR1Y3RzIHBoYXNlIDMgY2xpbmljYWwgdHJpYWxzIG9mIEFE</t>
  </si>
  <si>
    <t>Q0VUUklTIHdoaWNoIGluY2x1ZGVzIEVDSEVMT04tMSBmb3IgcGF0aWVudHMgd2l0aCBuZXdseSBkaWFnbm9zZWQgYWR2YW5jZWQgc3RhZ2UgY2xhc3NpY2FsIEhvZGdraW4gbHltcGhvbWE7IEVDSEVMT04tMiBmb3IgcGF0aWVudHMgd2l0aCBuZXdseSBkaWFnbm9zZWQgQ0QzMC1leHByZXNzaW5nIE1UQ0w7IGFuZCB0aGUgQ0hFQ0tNQVRFIDgxMiBmb3IgcGF0aWVudHMgd2l0aCByZWxhcHNlZCBvciByZWZyYWN0b3J5IG9yIHRyYW5zcGxhbnQtaW5lbGlnaWJsZSwgYW5kIGFkdmFuY2VkIGNsYXNzaWNhbCBIb2Rna2luIGx5bXBob21hLiBGdXJ0aGVyLCB0aGUgY29tcGFueeKAmXMgZWFybGllciBzdGFnZSBjbGluaWNhbCBwaXBlbGluZSBpbmNsdWRlcyBzaXggb3RoZXIgQURDIHByb2dyYW1zIGNvbnNpc3Rpbmcgb2YgbGFkaXJhdHV6dW1hYiB2ZWRvdGluLCBkZW5pbnR1enVtYWIgbWFmb2RvdGluLCBTR04tQ0QxOUIsIFNHTi1DRDEyM0EsIFNHTi1DRDMzQSwgYW5kIFNHTi1DRDM1MkEsIGFzIHdlbGwgYXMgdHdvIGltbXVuby1vbmNvbG9neSBhZ2VudHMsIGluY2x1ZGluZyBTRUEtQ0Q0MCBhbmQgU0dOLTJGRi4gSXQgaGFzIGNvbGxhYm9yYXRpb25zIGZvciBpdHMgQURDIHRlY2hub2xvZ3kgd2l0aCB2YXJpb3VzIGJpb3RlY2hub2xvZ3kgYW5kIHBoYXJtYWNldXRpY2FsIGNvbXBhbmllcywgaW5j</t>
  </si>
  <si>
    <t>bHVkaW5nIEFiYlZpZSBCaW90ZWNobm9sb2d5IEx0ZC47IEJheWVyIFBoYXJtYSBBRzsgQ2VsbGRleCBUaGVyYXBldXRpY3MsIEluYy47IEdlbmVudGVjaCwgSW5jLjsgR2xheG9TbWl0aEtsaW5lIExMQzsgUGZpemVyLCBJbmMuLCBQU01BIERldmVsb3BtZW50IENvbXBhbnkgTExDOyBUYWtlZGEgUGhhcm1hY2V1dGljYWwgQ29tcGFueSBMaW1pdGVkLCBVbnVtIFRoZXJhcGV1dGljcywgSW5jLiwgYW5kIEdlbm1hYiBBL1MsIGFzIHdlbGwgYXMgaGFzIGNvLWRldmVsb3BtZW50IGFncmVlbWVudCB3aXRoIEFnZW5zeXMsIEluYy4gU2VhdHRsZSBHZW5ldGljcywgSW5jLiB3YXMgZm91bmRlZCBpbiAxOTk4IGFuZCBpcyBoZWFkcXVhcnRlcmVkIGluIEJvdGhlbGwsIFdhc2hpbmd0b24uAEadGRE1CdYIaGBnEjUJ1gg7Q0lRLk5BU0RBUUdTOkZQUlguSVFfVE9UQUxfUkVWLkNZMjAxNi43LzMxLzIwMTguTEZSLkYuVVNELkgBAAAAN10zAAIAAAAGMzAuNjkxAQgAAAAFAAAAATEBAAAACjE4NzYxMzU5ODgDAAAAAzE2MAIAAAACMjgEAAAAATAHAAAACTcvMzEvMjAxOAgAAAAKMTIvMzEvMjAxNgkAAAABMNaMETgICdYIGemhbzQJ1gglQ0lRLklRVFI0MzE4NDE1ODEuSVFfUFJJTUFSWV9JTkRVU1RSWQEAAABvBOYOAwAAAA1CaW90ZWNobm9sb2d5AAxtEA41CdYIDD6FDjUJ1gg3Q0lRLkVOWFRQQTpJUEguSVFf</t>
  </si>
  <si>
    <t>Q0FTSF9TVF9JTlZFU1QuLjkvMTUvMjAxNy5MRlIuRi5VU0QuSAEAAACZgAYAAgAAAAoyMDguNjg1NzM4AQgAAAAFAAAAATEBAAAACjE4Mzc5NjIyNDIDAAAAAzE2MAIAAAAEMTAwMgQAAAABMAcAAAAJOS8xNS8yMDE3CAAAAAoxMi8zMS8yMDE2CQAAAAEwKRyUEDUJ1ghzOWASNQnWCDRDSVEuTkFTREFRR1M6U0dFTi5JUV9SRVZFTlVFX0VTVC5DWTIwMjEuLkNPTi5GLlVTRC5IAQAAAGGFAAACAAAACTE1NjQuNjk2NQEOAAAABQAAAAIxMQEAAAABMAIAAAAKMTAwMTAxMDQ1NQMAAAAGMTAwMTgwBAAAAAEyBgAAAAEwBwAAAAMxNjAIAAAAATAJAAAAATEKAAAAATALAAAACzExMDUyMTUwNTUxDAAAAAE3DQAAAAk4LzI0LzIwMTgQAAAACTgvMjMvMjAxOMT/GxE1CdYIxP8bETUJ1ggyQ0lRLk5BU0RBUUdTOkJHTkUuSVFfUFJFRl9FUVVJVFkuMjAwMC4uTEZSLkYuVVNELkgBAAAA4OTdBgMAAAAAAJwL1TgICdYInAvVOAgJ1ghGQ0lRLk5BU0RBUUdTOkdUSFguSVFfTUlOT1JJVFlfSU5URVJFU1RfVE9UQUwuMjAwMC41LzUvMjAxNy5MRlIuRi5VU0QuSAEAAABlNGkIAwAAAAAA1owROAgJ1ggkwppvNAnWCDZDSVEuTkFTREFRR1M6RlBSWC5JUV9FQklUREEuMTk5Ni43LzMxLzIwMTguTEZSLkYuVVNELkgBAAAAN10zAAIAAAAILTExMS4wNDgBCAAAAAUAAAABMQEAAAAKMTg4NzQwMjIyNAMAAAADMTYwAgAAAAQ0</t>
  </si>
  <si>
    <t>MDUxBAAAAAEwBwAAAAk3LzMxLzIwMTgIAAAACTMvMzEvMjAxNwkAAAABMNaMETgICdYIGemhbzQJ1gg8Q0lRLk5BU0RBUUdTOk1HTlguSVFfRUFSTklOR19DTy5DWTIwMTYuNy8xNi8yMDE4LkxGUi5GLlVTRC5IAQAAAE8rCQACAAAABy01OC41MjgBCAAAAAUAAAABMQEAAAAKMTg3NjEzNTE1NwMAAAADMTYwAgAAAAE3BAAAAAEwBwAAAAk3LzE2LzIwMTgIAAAACjEyLzMxLzIwMTYJAAAAATDE/xsRNQnWCMKbYhI1CdYIIkNJUS5YVFJBOk1PUi5JUV9CRVRBXzVZUi43LzMxLzIwMTgBAAAA3xECAAIAAAARMC45ODEzNDI2MzkzMjAwNDIAnAvVOAgJ1gjUX5hvNAnWCDNDSVEuKElOVkFMSUQgSURFTlRJRklFUikuSVFfTEFTVFNBTEVQUklDRS45LzE1LzIwMTcFAAAAAAAAAAgAAAAUKEludmFsaWQgSWRlbnRpZmllcinep34QNQnWCJgSWRI1CdYIKUNJUS5JUVRSMzAyODY2NjI3LklRX1RSX0lNUExJRURfRVFfTklfTFRNAQAAAMNgDRICAAAAAABYzxIONQnWCAw+hQ41CdYILkNJUS5JUVRSMzcxNzE1MTE5LklRX1RSX1RBUkdFVF9TVE9DS1BSRU1JVU1fMU0BAAAAL+wnFgIAAAAAAFjPEg41CdYIwNuCDjUJ1gg7Q0lRLk5BU0RBUUdTOkFUTlguSVFfVE9UQUxfUkVWLkNZMjAxNi43LzMxLzIwMTguTEZSLkYuVVNELkgBAAAA3JlrAQIAAAAGMjAuNTUxAQgAAAAFAAAAATEBAAAACjE4Nzk5MDc2MTkDAAAAAzE2</t>
  </si>
  <si>
    <t>MAIAAAACMjgEAAAAATAHAAAACTcvMzEvMjAxOAgAAAAKMTIvMzEvMjAxNgkAAAABMNaMETgICdYIJMKabzQJ1ghBQ0lRLihJTlZBTElEIElERU5USUZJRVIpLklRX1RPVEFMX0RFQlQuMjAwMC43LzMxLzIwMTguTEZSLkYuVVNELkgFAAAAAAAAAAgAAAAUKEludmFsaWQgSWRlbnRpZmllcinIMLI3CAnWCO02sG80CdYIOENJUS5OQVNEQVFHUzpBTkFCLklRX0VCSVREQS5DWTIwMTcuNy8xNi8yMDE4LkxGUi5GLlVTRC5IAQAAACFMsgECAAAABy0yOC41OTgBCAAAAAUAAAABMQEAAAAKMTg3NzA2NTIzMQMAAAADMTYwAgAAAAQ0MDUxBAAAAAEwBwAAAAk3LzE2LzIwMTgIAAAACjEyLzMxLzIwMTcJAAAAATDE/xsRNQnWCMKbYhI1CdYINUNJUS5OQVNEQVFDTTpNVEVNLklRX0NBUEVYLjE5OTIuNy8zMS8yMDE4LkxGUi5GLlVTRC5IAQAAAJmbqQEDAAAAAADIMLI3CAnWCBnpoW80CdYIMUNJUS5JUVRSNTMzMzg1NzQ0LklRX1RSX1RBUkdFVF9SRVZFTlVFX0VTVC4uVVNELkgBAAAAENLKHwIAAAAAAAxtEA41CdYIwNuCDjUJ1gg+Q0lRLk5BU0RBUUNNOlpJT1AuSVFfVE9UQUxfRVFVSVRZLkNZMjAxNi43LzMxLzIwMTguTEZSLkYuVVNELkgBAAAAs1GyAAIAAAAGNDguMDIzAQgAAAAFAAAAATEBAAAACjE4NzcyMDQ0MTYDAAAAAzE2MAIAAAAEMTI3NQQAAAABMAcAAAAJNy8zMS8yMDE4CAAAAAoxMi8zMS8yMDE2</t>
  </si>
  <si>
    <t>CQAAAAEw1owROAgJ1gjDhp9vNAnWCCFDSVEuSVFUUjQyMjg4NzcwMS5JUV9UUl9CVVlFUk5BTUUBAAAAFcE0GQMAAAAUSGVhdCBCaW9sb2dpY3MsIEluYy4ADG0QDjUJ1gjA24IONQnWCENDSVEuTkFTREFRR006Q1JJUy5JUV9FQklUREFfM1lSX0FOTl9DQUdSLjIwMDAuNy8zMS8yMDE4LkxGUi5GLlVTRC5IAQAAABdqAAADAAAAAk5NAQgAAAAFAAAAATEBAAAACjE4ODYyNDc0MjADAAAAAzE2MAIAAAAENDIyMgQAAAABMAcAAAAJNy8zMS8yMDE4CAAAAAkzLzMxLzIwMTgJAAAAATDIMLI3CAnWCN1LpG80CdYIF0NJUS5BU1g6SU1VLklRX0VYQ0hBTkdFAQAAAJiTqQADAAAAA0FTWAApHJQQNQnWCDDXXRI1CdYII0NJUS5JUVRSMzE0ODI5MjM2LklRX1RSX0NMT1NFRF9EQVRFAQAAALTpwxIFAAAACjEwLzE2LzIwMTUAWM8SDjUJ1gjA24IONQnWCDVDSVEuTkFTREFRR006SU1NVS5JUV9UT1RBTF9SRVYuLjcvMTYvMjAxOC5MRlIuRi5VU0QuSAEAAAAgQwQAAgAAAAgyLjQxMTgzNQEIAAAABQAAAAExAQAAAAoxODg4NTIzMzg0AwAAAAMxNjACAAAAAjI4BAAAAAEwBwAAAAk3LzE2LzIwMTgIAAAACTMvMzEvMjAxOAkAAAABMMT/GxE1CdYIaGBnEjUJ1gg3Q0lRLk5BU0RBUUdNOklNTVUuSVFfUFJFRl9FUVVJVFkuLjcvMTYvMjAxOC5MRlIuRi5VU0QuSAEAAAAgQwQAAwAAAAAAxP8bETUJ1ghoYGcSNQnWCDhD</t>
  </si>
  <si>
    <t>SVEuTkFTREFRR006SU1NVS5JUV9FQklUREEuQ1kyMDE2LjcvMTYvMjAxOC5MRlIuRi5VU0QuSAEAAAAgQwQAAgAAAAotNTguNjQ3NDQ4AQgAAAAFAAAAATEBAAAACjE4NzM0OTM0OTEDAAAAAzE2MAIAAAAENDA1MQQAAAABMAcAAAAJNy8xNi8yMDE4CAAAAAoxMi8zMS8yMDE2CQAAAAEwxP8bETUJ1ggS/mQSNQnWCCdDSVEuTkFTREFRR1M6R1RIWC5JUV9CRVRBXzVZUi43LzMxLzIwMTgBAAAAZTRpCAMAAAAAAJwL1TgICdYIJMKabzQJ1gg4Q0lRLk9UQ1BLOk5XQk8uSVFfVE9UQUxfUkVWLkNZMjAxNi43LzE2LzIwMTguTEZSLkYuVVNELkgBAAAAo3oUAAIAAAAFMC42MjMBCAAAAAUAAAABMQEAAAAKMTg4MzI0OTA2NQMAAAADMTYwAgAAAAIyOAQAAAABMAcAAAAJNy8xNi8yMDE4CAAAAAoxMi8zMS8yMDE2CQAAAAEwKRyUEDUJ1ghzOWASNQnWCEZDSVEuTkFTREFRQ006WklPUC5JUV9NSU5PUklUWV9JTlRFUkVTVF9UT1RBTC4yMDAwLjUvNS8yMDE3LkxGUi5GLlVTRC5IAQAAALNRsgADAAAAAADWjBE4CAnWCMOGn280CdYIMENJUS5JUVRSNDEzOTUzNjYxLklRX1RSX1RBUkdFVF9FQklUREFfRVNULi5VU0QuSAEAAAB9bqwYAgAAAAAAsrNJbzQJ1giB/ZVvNAnWCCRDSVEuLklRX1RSX1RBUkdFVF9SRVZFTlVFX0VTVC4uVVNELkgFAAAAAAAAAAgAAAAUKEludmFsaWQgSWRlbnRpZmllcimcC9U4CAnWCHd5</t>
  </si>
  <si>
    <t>gA41CdYIPENJUS5OQVNEQVFHTTpDUklTLklRX0VCSVREQV9FU1QuQ1kyMDE5LjcvMzEvMjAxOC5DT04uRi5VU0QuSAEAAAAXagAAAwAAAAAAyDCyNwgJ1gjdS6RvNAnWCD9DSVEuTkFTREFRR006WE5DUi5JUV9FQklUREFfM1lSX0FOTl9DQUdSLi43LzE2LzIwMTguTEZSLkYuVVNELkgBAAAAploLAAMAAAACTk0BCAAAAAUAAAABMQEAAAAKMTg4NzEyNTg1NQMAAAADMTYwAgAAAAQ0MjIyBAAAAAEwBwAAAAk3LzE2LzIwMTgIAAAACTMvMzEvMjAxOAkAAAABMMT/GxE1CdYIEv5kEjUJ1gg4Q0lRLk5BU0RBUUdTOlRTUk8uSVFfRUJJVERBLkNZMjAxNi43LzMxLzIwMTguTEZSLkYuVVNELkgBAAAAaNZYBgIAAAAILTMzNS42NDkBCAAAAAUAAAABMQEAAAAKMTg3NzIyNjI4NAMAAAADMTYwAgAAAAQ0MDUxBAAAAAEwBwAAAAk3LzMxLzIwMTgIAAAACjEyLzMxLzIwMTYJAAAAATCcC9U4CAnWCCTCmm80CdYIM0NJUS5OQVNEQVFDTTpBVkVPLklRX1BFUklPRERBVEVfSVMuLjcvMTYvMjAxOC5MRlIuRgEAAAD0Fh0ABQAAAAkzLzMxLzIwMTgAxP8bETUJ1gjCm2ISNQnWCDBDSVEuLklRX1JFVkVOVUVfRVNULkNZMjAxOC43LzMxLzIwMTguQ09OLkYuVVNELkgFAAAAAQAAAAgAAAAUKEludmFsaWQgSWRlbnRpZmllcin1hDJHNAnWCPWEMkc0CdYILUNJUS5OQVNEQVFHUzpGUFJYLklRX01BUktFVENBUC41LzUvMjAx</t>
  </si>
  <si>
    <t>Ny5VU0QuSAEAAAA3XTMAAgAAAAk4NTcuNTMyMDUBBgAAAAUAAAABMQEAAAAKMTg0MDU2NDU5OQMAAAADMTYwAgAAAAYxMDAwNTQEAAAAATAHAAAACDUvNS8yMDE3yDCyNwgJ1ggZ6aFvNAnWCDZDSVEuTkFTREFRQ006WklPUC5JUV9FQklUREEuMTk5Mi43LzMxLzIwMTguTEZSLkYuVVNELkgBAAAAs1GyAAIAAAAILTEyMC45MDYBCAAAAAUAAAABMQEAAAAKMTgzOTM0MTA2NwMAAAADMTYwAgAAAAQ0MDUxBAAAAAEwBwAAAAk3LzMxLzIwMTgIAAAACTMvMzEvMjAxNgkAAAABMNaMETgICdYIw4afbzQJ1ggsQ0lRLklRVFIyNDU4MzEwMDcuSVFfVFJfVE9UQUxfR1JPU1NfVFYuVVNELkgFAAAAAAAAAAgAAAAaKEludmFsaWQgQ3VycmVuY3kgUmVxdWVzdClJU0dvNAnWCIH9lW80CdYIIUNJUS5PVENQSzpNQlZYLklRX0VGRkVDVF9UQVhfUkFURQEAAADYRIsCAwAAAAAA3qd+EDUJ1giYElkSNQnWCChDSVEuWFRSQTpNT1IuSVFfRElWSURFTkRfWUlFTEQuNy8zMS8yMDE4AQAAAN8RAgADAAAAAACcC9U4CAnWCNRfmG80CdYIPUNJUS5OQVNEQVFHUzpUU1JPLklRX1JFVkVOVUVfRVNULkNZMjAyMC43LzMxLzIwMTguQ09OLkYuVVNELkgBAAAAaNZYBgIAAAAJNjYyLjQxMjgzAQ4AAAAFAAAAAjExAQAAAAEwAgAAAAoxMDAxNTgwMzUwAwAAAAYxMDAxODAEAAAAATIGAAAAATAHAAAAAzE2MAgAAAABMAkAAAABMQoA</t>
  </si>
  <si>
    <t>AAABMAsAAAALMTA5ODExMzcwNzQMAAAAATcNAAAACDgvMS8yMDE4EAAAAAk3LzMxLzIwMTicC9U4CAnWCCTCmm80CdYIKUNJUS5JUVRSNDA4NDA3ODIyLklRX0JVU0lORVNTX0RFU0NSSVBUSU9OAQAAAODOVxgDAAAAnwdBcyBvZiBOb3ZlbWJlciAyMDE2LCBTdWJzdGFudGlhbGx5IEFsbCBBc3NldHMgb2YgVGV0cmFsb2dpYyBQaGFybWFjZXV0aWNhbHMgQ29ycG9yYXRpb24gd2VyZSBhY3F1aXJlZCBieSBNZWRpdmlyIEFCLiBTdWJzdGFudGlhbGx5IEFsbCBBc3NldHMgb2YgVGV0cmFsb2dpYyBQaGFybWFjZXV0aWNhbHMgQ29ycG9yYXRpb24sIGEgY2xpbmljYWwtc3RhZ2UgYmlvcGhhcm1hY2V1dGljYWwgY29tcGFueSwgZm9jdXNlcyBvbiBkaXNjb3ZlcmluZyBhbmQgZGV2ZWxvcGluZyBzbWFsbCBtb2xlY3VsZSB0aGVyYXBldXRpY3MgaW4gb25jb2xvZ3kgYW5kIGluZmVjdGlvdXMgZGlzZWFzZXMuIEl0IGhhcyB0d28gY2xpbmljYWwtc3RhZ2UgcHJvZHVjdCBjYW5kaWRhdGVzIGluIGRldmVsb3BtZW50LCBzdWNoIGFzIGJpcmluYXBhbnQgYW5kIFNIQVBFLiBCaXJpbmFwYW50IGlzIGEgc21hbGwgbW9sZWN1bGUgdGhlcmFwZXV0aWMgdGhhdCBtaW1pY3MgU2Vjb25kIE1pdG9jaG9uZHJpYWwgQWN0aXZhdG9yIG9mIENhc3Bhc2VzLW1pbWV0aWMsIHdoaWNoIGxlYWRzIHRvIGFwb3B0b3NpcyBv</t>
  </si>
  <si>
    <t>ciBjZWxsLWRlYXRoIGluIGRhbWFnZWQgY2VsbHMuIFNIQVBFIGlzIGl0cyBwcm9wcmlldGFyeSBoaXN0b25lIGRlYWNldHlsYXNlIGluaGliaXRvciBmb3IgdG9waWNhbCB1c2UgZm9yIHRoZSB0cmVhdG1lbnQgb2YgZWFybHktc3RhZ2UgY3V0YW5lb3VzIFQtY2VsbCBseW1waG9tYS4gVGV0cmFMb2dpYyBQaGFybWFjZXV0aWNhbHMgQ29ycG9yYXRpb24gaGFzIHJlc2VhcmNoIGNvbGxhYm9yYXRpb24gd2l0aCBXYWx0ZXIgYW5kIEVsaXphIEhhbGwgSW5zdGl0dXRlIG9mIE1lZGljYWwgUmVzZWFyY2ggdG8gZXhhbWluZSBTTUFDLW1pbWV0aWNzLCBpbmNsdWRpbmcgYmlyaW5hcGFudCBpbiB0aGUgdHJlYXRtZW50IG9mIGluZmVjdGlvdXMgZGlzZWFzZS4AsrNJbzQJ1giB/ZVvNAnWCCVDSVEuTkFTREFRQ006QVZFTy5JUV9GSVJTVFBSSUNJTkdEQVRFAQAAAPQWHQAFAAAACTMvMTIvMjAxMABGnRkRNQnWCMKbYhI1CdYIQ0NJUS5OQVNEQVFHUzpQQllJLklRX01JTk9SSVRZX0lOVEVSRVNUX1RPVEFMLi43LzE2LzIwMTguTEZSLkYuVVNELkgBAAAAAmqsBwMAAAAAAMT/GxE1CdYIEv5kEjUJ1ggiQ0lRLklRVFI0MDM3OTE3NjcuSVFfVFJfVE9UQUxfQ0FTSAEAAACXXxEYAgAAAAo2MjMuMDc1MDI4AQYAAAAFAAAAAjU0AQAAAAYxMDEwNTYCAAAACTQwMzc5MTc2NwMAAAAJNDAzNzkyMTA5BAAAAAMxNjAG</t>
  </si>
  <si>
    <t>AAAABUZhbHNlWM8SDjUJ1gjA24IONQnWCCdDSVEuTkFTREFRR1M6QkdORS5JUV9QRVJJT0REQVRFX0lTLjEwMDABAAAA4OTdBgUAAAAKMTIvMzEvMjAxNwCcC9U4CAnWCIH9lW80CdYIKENJUS5OQVNEQVFHTTpMUFRYLklRX1RFVi43LzE2LzIwMTguVVNELkgBAAAADDYJBwIAAAAJODguMjU2NzI3AQYAAAAFAAAAATEBAAAACjE4OTAxNjM0NzEDAAAAAzE2MAIAAAAGMTAwMDYwBAAAAAEwBwAAAAk3LzE2LzIwMTgpHJQQNQnWCDDXXRI1CdYIMENJUS5JUVRSMzcxNzE1MTE5LklRX1RSX1RBUkdFVF9FQklUREFfRVNULi5VU0QuSAEAAAAv7CcWAgAAAAAAWM8SDjUJ1gjA24IONQnWCDxDSVEuTkFTREFRR006RkFURS5JUV9FQklUREFfRVNULkNZMjAxOS43LzMxLzIwMTguQ09OLkYuVVNELkgBAAAAaDFXAgMAAAAAANaMETgICdYIw4afbzQJ1ghDQ0lRLihJTlZBTElEIElERU5USUZJRVIpLklRX0VCSVREQV9FU1QuQ1kyMDE5LjcvMzEvMjAxOC5DT04uRi5VU0QuSAUAAAAAAAAACAAAABQoSW52YWxpZCBJZGVudGlmaWVyKcgwsjcICdYI7TawbzQJ1ggoQ0lRLk5BU0RBUUdNOklNTVUuSVFfVEVWLjcvMzEvMjAxOC5VU0QuSAEAAAAgQwQAAgAAAAs0MTYwLjQxNjEwMgEGAAAABQAAAAExAQAAAAoxODg4NTIyNDQzAwAAAAMxNjACAAAABjEwMDA2MAQAAAABMAcAAAAJNy8zMS8yMDE4nAvVOAgJ1gjUX5hvNAnW</t>
  </si>
  <si>
    <t>CClDSVEuSVFUUjI3MzUwNzE4NS5JUV9UUl9JTVBMSUVEX0VRX05JX0xUTQEAAABxY00QAwAAAAJOTQCys0lvNAnWCIH9lW80CdYIPENJUS5OQVNEQVFHUzpDQUxBLklRX0VBUk5JTkdfQ08uQ1kyMDE3LjcvMTYvMjAxOC5MRlIuRi5VU0QuSAEAAAClJ4EGAgAAAActMjcuODI2AQgAAAAFAAAAATEBAAAACjE4Nzc5NTU3MDcDAAAAAzE2MAIAAAABNwQAAAABMAcAAAAJNy8xNi8yMDE4CAAAAAoxMi8zMS8yMDE3CQAAAAEwKRyUEDUJ1gjkdFsSNQnWCDxDSVEuT1RDUEs6TldCTy5JUV9FQklUREFfNVlSX0FOTl9DQUdSLi43LzE2LzIwMTguTEZSLkYuVVNELkgBAAAAo3oUAAMAAAACTk0BCAAAAAUAAAABMQEAAAAKMTg4OTMwMjgyNAMAAAADMTYwAgAAAAQ0MjM1BAAAAAEwBwAAAAk3LzE2LzIwMTgIAAAACTMvMzEvMjAxOAkAAAABMCkclBA1CdYIMNddEjUJ1gg9Q0lRLihJTlZBTElEIElERU5USUZJRVIpLklRX0VCSVREQS4yMDAwLjcvMzEvMjAxOC5MRlIuRi5VU0QuSAUAAAAAAAAACAAAABQoSW52YWxpZCBJZGVudGlmaWVyKcgwsjcICdYI7TawbzQJ1ghGQ0lRLihJTlZBTElEIElERU5USUZJRVIpLklRX05FVF9XT1JLSU5HX0NBUC4xOTk2LjcvMzEvMjAxOC5MRlIuRi5VU0QuSAUAAAAAAAAACAAAABQoSW52YWxpZCBJZGVudGlmaWVyKcgwsjcICdYI7TawbzQJ1gg1Q0lRLk5BU0RBUUdTOkVQWk0uSVFf</t>
  </si>
  <si>
    <t>REFfQ0YuMjAwMC43LzMxLzIwMTguTEZSLkYuVVNELkgBAAAAAyY9AwIAAAAFMS41ODkBCAAAAAUAAAABMQEAAAAKMTg4NzI0NjA3NwMAAAADMTYwAgAAAAQyMTYwBAAAAAEwBwAAAAk3LzMxLzIwMTgIAAAACTMvMzEvMjAxOAkAAAABMNaMETgICdYIcySdbzQJ1ggnQ0lRLk5BU0RBUUdTOkNBTEEuSVFfQkVUQV81WVIuNy8zMS8yMDE4AQAAAKUngQYCAAAAEDIuMzc1NDA2OTM4MTg2MTQAyDCyNwgJ1gjdS6RvNAnWCDtDSVEuTkFTREFRR006WE5DUi5JUV9UT1RBTF9SRVYuQ1kyMDE3LjcvMTYvMjAxOC5MRlIuRi5VU0QuSAEAAACmWgsAAgAAAAYzNS43MTEBCAAAAAUAAAABMQEAAAAKMTg3Njk4NDU1MgMAAAADMTYwAgAAAAIyOAQAAAABMAcAAAAJNy8xNi8yMDE4CAAAAAoxMi8zMS8yMDE3CQAAAAEwxP8bETUJ1ggS/mQSNQnWCCxDSVEuSVFUUjMwNzg2Mzk4NC5JUV9UUl9UQVJHRVRfRUJJVERBLi5VU0QuSAEAAACwoVkSAgAAAAAAWM8SDjUJ1gjA24IONQnWCDtDSVEuT1RDUEs6TldCTy5JUV9UT1RBTF9FUVVJVFkuQ1kyMDE2LjcvMTYvMjAxOC5MRlIuRi5VU0QuSAEAAACjehQAAgAAAActMjYuNDk5AQgAAAAFAAAAATEBAAAACjE4ODMyNDkwNjUDAAAAAzE2MAIAAAAEMTI3NQQAAAABMAcAAAAJNy8xNi8yMDE4CAAAAAoxMi8zMS8yMDE2CQAAAAEwKRyUEDUJ1ggw110SNQnWCDpDSVEuTkFTREFRR1M6</t>
  </si>
  <si>
    <t>QkdORS5JUV9DQVNIX1NUX0lOVkVTVC4uOS8xNS8yMDE3LkxGUi5GLlVTRC5IAQAAAODk3QYCAAAABjQwNy40MwEIAAAABQAAAAExAQAAAAoxODUyNzAwNTY0AwAAAAMxNjACAAAABDEwMDIEAAAAATAHAAAACTkvMTUvMjAxNwgAAAAJNi8zMC8yMDE3CQAAAAEwxP8bETUJ1ghoYGcSNQnWCDdDSVEuTkFTREFRR006SU1NVS5JUV9QUkVGX0VRVUlUWS4uOS8xNS8yMDE3LkxGUi5GLlVTRC5IAQAAACBDBAACAAAABDAuMDEBCAAAAAUAAAABMQEAAAAKMTg1NDM4MjMxNAMAAAADMTYwAgAAAAQxMDA1BAAAAAEwBwAAAAk5LzE1LzIwMTcIAAAACTYvMzAvMjAxNwkAAAABMMT/GxE1CdYIEv5kEjUJ1ggnQ0lRLk5BU0RBUUdNOkFSUlkuSVFfQkVUQV81WVIuNy8zMS8yMDE4AQAAAPhhAAACAAAAEDEuMjYyMjQzMTY2MTgyNjYAnAvVOAgJ1ggkwppvNAnWCDhDSVEuTkFTREFRR1M6RlBSWC5JUV9FQklUREEuQ1kyMDE3LjcvMTYvMjAxOC5MRlIuRi5VU0QuSAEAAAA3XTMAAgAAAAgtMTQ4Ljg4OQEIAAAABQAAAAExAQAAAAoxODc2MTM1OTkxAwAAAAMxNjACAAAABDQwNTEEAAAAATAHAAAACTcvMTYvMjAxOAgAAAAKMTIvMzEvMjAxNwkAAAABMCkclBA1CdYIczlgEjUJ1ggnQ0lRLk5BU0RBUUNNOkFWRU8uSVFfQkVUQV8yWVIuNy8xNi8yMDE4AQAAAPQWHQACAAAAETAuNTE1NTM4OTk0NzIyODA0AMT/GxE1CdYIwpti</t>
  </si>
  <si>
    <t>EjUJ1gg4Q0lRLk5BU0RBUUdTOlNHRU4uSVFfVE9UQUxfRVFVSVRZLi43LzE2LzIwMTguTEZSLkYuVVNELkgBAAAAYYUAAAIAAAAIMTI3OS4zMzcBCAAAAAUAAAABMQEAAAAKMTg4NDg5Mjg1MgMAAAADMTYwAgAAAAQxMjc1BAAAAAEwBwAAAAk3LzE2LzIwMTgIAAAACTMvMzEvMjAxOAkAAAABMMT/GxE1CdYIaGBnEjUJ1gg2Q0lRLk5BU0RBUUdNOkFGTUQuSVFfRUFSTklOR19DTy4uNy8xNi8yMDE4LkxGUi5GLlVTRC5IAQAAANv3DAACAAAACi0zNy43ODYxMjgBCAAAAAUAAAABMQEAAAAKMTg4OTg2NjA0OQMAAAADMTYwAgAAAAE3BAAAAAEwBwAAAAk3LzE2LzIwMTgIAAAACTMvMzEvMjAxOAkAAAABMCkclBA1CdYIMNddEjUJ1gg9Q0lRLk5BU0RBUUdTOkpOQ0UuSVFfUkVWRU5VRV9FU1QuQ1kyMDE5LjcvMTYvMjAxOC5DT04uRi5VU0QuSAEAAADieZ4NAgAAAAg2Ny42MDI2NwEOAAAABQAAAAIxMQEAAAABMAIAAAAKMTAwMzYyOTIwMgMAAAAGMTAwMTgwBAAAAAEyBgAAAAEwBwAAAAMxNjAIAAAAATAJAAAAATEKAAAAATALAAAACzEwOTQ1NTcwMzU4DAAAAAE3DQAAAAk3LzE3LzIwMTgQAAAACTcvMTYvMjAxOCkclBA1CdYI5HRbEjUJ1ggsQ0lRLklRVFIyNDU4MzEwMDcuSVFfVFJfVEFSR0VUX0VCSVREQS4uVVNELkgBAAAAXxWnDgIAAAAGLTAuMzU0AQYAAAAFAAAAAjM3AQAAAAoxNjMwMjk2OTcyAgAA</t>
  </si>
  <si>
    <t>AAUyMTY3NwMAAAADMTYwBAAAAAEwBwAAAAgxLzEvMTkwMLKzSW80CdYIgf2VbzQJ1gg7Q0lRLk5BU0RBUUNNOlpJT1AuSVFfVE9UQUxfUkVWLkNZMjAxNi43LzMxLzIwMTguTEZSLkYuVVNELkgBAAAAs1GyAAIAAAAFNi44NjEBCAAAAAUAAAABMQEAAAAKMTg3NzIwNDQxNgMAAAADMTYwAgAAAAIyOAQAAAABMAcAAAAJNy8zMS8yMDE4CAAAAAoxMi8zMS8yMDE2CQAAAAEw1owROAgJ1gjDhp9vNAnWCChDSVEuTkFTREFRR1M6Q0FMQS5JUV9URVYuNy8zMS8yMDE4LlVTRC5IAQAAAKUngQYCAAAACDguNTQ0ODUyAQYAAAAFAAAAATEBAAAACjE4ODc5Nzk3MDcDAAAAAzE2MAIAAAAGMTAwMDYwBAAAAAEwBwAAAAk3LzMxLzIwMTjIMLI3CAnWCN1LpG80CdYIIENJUS5JUTExMTEzMzY4LklRX0NPTVBBTllfVElDS0VSAQAAAJiTqQADAAAAB0FTWDpJTVUADG0QDjUJ1gh/UJgONQnWCChDSVEuTkFTREFRR1M6QU5BQi5JUV9URVYuNy8xNi8yMDE4LlVTRC5IAQAAACFMsgECAAAACzE0MzguNjczNzY5AQYAAAAFAAAAATEBAAAACjE4ODc0MDAwMjEDAAAAAzE2MAIAAAAGMTAwMDYwBAAAAAEwBwAAAAk3LzE2LzIwMThGnRkRNQnWCBL+ZBI1CdYIKUNJUS5FTlhUUEE6SVBILklRX0xBU1RTQUxFUFJJQ0UuOS8xNS8yMDE3AQAAAJmABgACAAAABzEzLjI3OTEAKRyUEDUJ1ghzOWASNQnWCDZDSVEuTkFTREFRR1M6TVJT</t>
  </si>
  <si>
    <t>Ti5JUV9UT1RBTF9ERUJULi43LzE2LzIwMTguTEZSLkYuVVNELkgBAAAA5sUYAAIAAAABMAEIAAAABQAAAAExAQAAAAoxODg5MDk2NjUzAwAAAAMxNjACAAAABDQxNzMEAAAAATAHAAAACTcvMTYvMjAxOAgAAAAJMy8zMS8yMDE4CQAAAAEwxP8bETUJ1ghzOWASNQnWCD1DSVEuTkFTREFRR006TFBUWC5JUV9SRVZFTlVFX0VTVC5DWTIwMTkuNy8xNi8yMDE4LkNPTi5GLlVTRC5IAQAAAAw2CQcCAAAAATABDgAAAAUAAAACMTEBAAAAATACAAAACjEwMDM2Mzk1NTIDAAAABjEwMDE4MAQAAAABMgYAAAABMAcAAAADMTYwCAAAAAEwCQAAAAExCgAAAAEwCwAAAAsxMDkzNTQzOTI3MgwAAAABNw0AAAAJNy8xNy8yMDE4EAAAAAk3LzE2LzIwMTgpHJQQNQnWCDDXXRI1CdYILENJUS5JUVRSNTYxNjA2MzY1LklRX1RSX1RPVEFMX0dST1NTX1RWLlVTRC5IBQAAAAAAAAAIAAAAGihJbnZhbGlkIEN1cnJlbmN5IFJlcXVlc3QpSVNHbzQJ1gg1m5NvNAnWCCJDSVEuSVFUUjU1MzU0ODAyNS5JUV9UUl9QQ1RfU09VR0hUAQAAAPl4/iACAAAAAzEwMAEGAAAABQAAAAI1NAEAAAAGMTAxMDI0AgAAAAk1NTM1NDgwMjUDAAAACTU1MzU2NDk3MQQAAAADMTYwBgAAAARUcnVlsrNJbzQJ1giB/ZVvNAnWCDxDSVEuTkFTREFRR006Q1JWUy5JUV9FQVJOSU5HX0NPLkNZMjAxNi43LzMxLzIwMTguTEZSLkYuVVNELkgBAAAA9LCmEAIA</t>
  </si>
  <si>
    <t>AAAHLTM2LjM3NQEIAAAABQAAAAExAQAAAAoxODc3MjIwNzkzAwAAAAMxNjACAAAAATcEAAAAATAHAAAACTcvMzEvMjAxOAgAAAAKMTIvMzEvMjAxNgkAAAABMNaMETgICdYIGemhbzQJ1gg9Q0lRLk5BU0RBUUdTOkNUTVguSVFfUkVWRU5VRV9FU1QuQ1kyMDE4LjcvMTYvMjAxOC5DT04uRi5VU0QuSAEAAADcOJsDAgAAAAg2Ny42MDU3MQEOAAAABQAAAAIxMQEAAAABMAIAAAAKMTAwMzIxNTk2OAMAAAAGMTAwMTgwBAAAAAEyBgAAAAEwBwAAAAMxNjAIAAAAATAJAAAAATEKAAAAATALAAAACzEwOTUxMjMxNTY1DAAAAAE3DQAAAAk3LzE3LzIwMTgQAAAACTcvMTYvMjAxOMT/GxE1CdYIwptiEjUJ1ggrQ0lRLklRVFIyNTM5NTQ0NzMuSVFfVFJfVE9UQUxfR1JPU1NfVFYuLlVTRAEAAACpCSMPAgAAAAAAsrNJbzQJ1gg1m5NvNAnWCDdDSVEuT1RDUEs6TUJWWC5JUV9DQVNIX1NUX0lOVkVTVC4uNy8xNi8yMDE4LkxGUi5GLlVTRC5IAQAAANhEiwICAAAABzAuODg1NzEBCAAAAAUAAAABMQEAAAAKMTg4MTIxMzI0NQMAAAADMTYwAgAAAAQxMDAyBAAAAAEwBwAAAAk3LzE2LzIwMTgIAAAACjEyLzMxLzIwMTcJAAAAATDep34QNQnWCJgSWRI1CdYIPENJUS5OQVNEQVFHUzpKTkNFLklRX0VBUk5JTkdfQ08uQ1kyMDE3LjcvMTYvMjAxOC5MRlIuRi5VU0QuSAEAAADieZ4NAgAAAActMTYuNDQzAQgAAAAFAAAAATEB</t>
  </si>
  <si>
    <t>AAAACjE4Nzc3MTY2MTMDAAAAAzE2MAIAAAABNwQAAAABMAcAAAAJNy8xNi8yMDE4CAAAAAoxMi8zMS8yMDE3CQAAAAEw3qd+EDUJ1giYElkSNQnWCC1DSVEuTkFTREFRR1M6Q0FMQS5JUV9ESVZJREVORF9ZSUVMRC43LzE2LzIwMTgBAAAApSeBBgMAAAAAACkclBA1CdYI5HRbEjUJ1ghGQ0lRLk5BU0RBUUdTOkZQUlguSVFfVE9UQUxfUkVWXzVZUl9BTk5fQ0FHUi4yMDAwLjcvMzEvMjAxOC5MRlIuRi5VU0QuSAEAAAA3XTMAAgAAAAY0MS42MTgBCAAAAAUAAAABMQEAAAAKMTg4NzQwMjIyNwMAAAADMTYwAgAAAAQ0MjMzBAAAAAEwBwAAAAk3LzMxLzIwMTgIAAAACTMvMzEvMjAxOAkAAAABMMgwsjcICdYIGemhbzQJ1ghEQ0lRLihJTlZBTElEIElERU5USUZJRVIpLklRX0NBU0hfU1RfSU5WRVNULjIwMDAuNS81LzIwMTcuTEZSLkYuVVNELkgFAAAAAAAAAAgAAAAUKEludmFsaWQgSWRlbnRpZmllcinIMLI3CAnWCO02sG80CdYIP0NJUS5OQVNEQVFHUzpDQUxBLklRX05FVF9XT1JLSU5HX0NBUC4yMDAwLjcvMzEvMjAxOC5MRlIuRi5VU0QuSAEAAAClJ4EGAgAAAActMjQuNzQyAQgAAAAFAAAAATEBAAAACjE4ODc5ODAzMDUDAAAAAzE2MAIAAAAEMTMxMQQAAAABMAcAAAAJNy8zMS8yMDE4CAAAAAkzLzMxLzIwMTgJAAAAATDIMLI3CAnWCN1LpG80CdYIQUNJUS4oSU5WQUxJRCBJREVOVElGSUVSKS5JUV9F</t>
  </si>
  <si>
    <t>QVJOSU5HX0NPLjIwMDAuNy8zMS8yMDE4LkxGUi5GLlVTRC5IBQAAAAAAAAAIAAAAFChJbnZhbGlkIElkZW50aWZpZXIpyDCyNwgJ1gjtNrBvNAnWCDdDSVEuWFRSQTpNT1IuSVFfVE9UQUxfRVFVSVRZLjE5OTYuNy8zMS8yMDE4LkxGUi5GLlVTRC5IAQAAAN8RAgACAAAACjQyOS40MDkyODQBCAAAAAUAAAABMQEAAAAKMTg4NjE1MTY0NwMAAAADMTYwAgAAAAQxMjc1BAAAAAEwBwAAAAk3LzMxLzIwMTgIAAAACTMvMzEvMjAxNwkAAAABMJwL1TgICdYI1F+YbzQJ1gg6Q0lRLkVOWFRQQTpJUEguSVFfUkVWRU5VRV9FU1QuQ1kyMDE5LjcvMTYvMjAxOC5DT04uRi5VU0QuSAEAAACZgAYAAgAAABAxMjguNTM1Njg2NzI4MjE3AQ4AAAAFAAAAAjExAQAAAAEwAgAAAAoxMDAxNjQzMzkyAwAAAAYxMDAxODAEAAAAATMGAAAAATAHAAAAAzE2MAgAAAABMAkAAAABMQoAAAABMAsAAAALMTA5NTM4NDIzODkMAAAAATcNAAAACTcvMTcvMjAxOBAAAAAJNy8xNi8yMDE4KRyUEDUJ1ghzOWASNQnWCD9DSVEuRU5YVFBBOklQSC5JUV9UT1RBTF9SRVZfMllSX0FOTl9DQUdSLi43LzE2LzIwMTguTEZSLkYuVVNELkgBAAAAmYAGAAIAAAAGMzIuMzQyAQgAAAAFAAAAATEBAAAACjE4ODk1NTIxNjQDAAAAAjUwAgAAAAQ0MjA3BAAAAAEwBwAAAAk3LzE2LzIwMTgIAAAACjEyLzMxLzIwMTcJAAAAATApHJQQNQnWCHM5YBI1CdYI</t>
  </si>
  <si>
    <t>RkNJUS5OQVNEQVFHUzpGUFJYLklRX1RPVEFMX1JFVl8yWVJfQU5OX0NBR1IuMjAwMC43LzMxLzIwMTguTEZSLkYuVVNELkgBAAAAN10zAAIAAAAILTU5Ljc2MDcBCAAAAAUAAAABMQEAAAAKMTg4NzQwMjIyNwMAAAADMTYwAgAAAAQ0MjA3BAAAAAEwBwAAAAk3LzMxLzIwMTgIAAAACTMvMzEvMjAxOAkAAAABMMgwsjcICdYIGemhbzQJ1ghDQ0lRLihJTlZBTElEIElERU5USUZJRVIpLklRX0VCSVREQV9FU1QuQ1kyMDE4LjcvMTYvMjAxOC5DT04uRi5VU0QuSAUAAAAAAAAACAAAABQoSW52YWxpZCBJZGVudGlmaWVyKSAKgRA1CdYImBJZEjUJ1gg3Q0lRLkFTWDpJTVUuSVFfUkVWRU5VRV9FU1QuQ1kyMDIxLjcvMTYvMjAxOC5DT04uRi5VU0QuSAEAAACYk6kAAwAAAAAAKRyUEDUJ1ggw110SNQnWCCdDSVEuTkFTREFRR1M6VFNSTy5JUV9CRVRBXzFZUi43LzE2LzIwMTgBAAAAaNZYBgIAAAAQMS4wMTU1MjQwNzQ2OTg2MQDE/xsRNQnWCBL+ZBI1CdYINkNJUS5OQVNEQVFDTTpNVEVNLklRX0VCSVREQS4yMDAwLjcvMzEvMjAxOC5MRlIuRi5VU0QuSAEAAACZm6kBAgAAAActMjMuNzcyAQgAAAAFAAAAATEBAAAACjE4ODg3MzMwMDQDAAAAAzE2MAIAAAAENDA1MQQAAAABMAcAAAAJNy8zMS8yMDE4CAAAAAkzLzMxLzIwMTgJAAAAATDIMLI3CAnWCBnpoW80CdYIO0NJUS5OQVNEQVFHTTpDUlZTLklRX0VCSVRf</t>
  </si>
  <si>
    <t>TUFSR0lOLjIwMDAuNy8zMS8yMDE4LkxGUi5GLlVTRC5IAQAAAPSwphADAAAAAADWjBE4CAnWCBnpoW80CdYIKUNJUS5JUVRSNDMxODQxNTgxLklRX0JVU0lORVNTX0RFU0NSSVBUSU9OAQAAAG8E5g4DAAAA3QVUcnVlIE5vcnRoIFRoZXJhcGV1dGljcywgSW5jLiwgYSBiaW90ZWNobm9sb2d5IGNvbXBhbnksIGRldmVsb3BzIHRoZXJhcGllcyB0aGF0IHRhcmdldCB0aGUgY29tcGxlbWVudCBwYXRod2F5IG9mIHRoZSBpbW11bmUgc3lzdGVtIHRvIGFkZHJlc3MgZnVuZGFtZW50YWwgbWVjaGFuaXNtcyBpbiByYXJlIGRpc2Vhc2VzLiBJdHMgVE5UMDA5IGlzIGEgbW9ub2Nsb25hbCBhbnRpYm9keSB0aGF0IHNlbGVjdGl2ZWx5IGluaGliaXRzIHRoZSBjbGFzc2ljYWwgY29tcGxlbWVudCBwYXRod2F5IGZvciB0aGUgdHJlYXRtZW50IG9mIGNvbGQgYWdnbHV0aW5pbiBkaXNlYXNlLCB3YXJtIGF1dG9pbW11bmUgaGVtb2x5dGljIGFuZW1pYSwgYW50aWJvZHktbWVkaWNhdGVkIHJlamVjdGlvbiwgYnVsbG91cyBwZW1waGlnb2lkLCBhbmQgb3RoZXIgcmFyZSBkaXNlYXNlcy4gVGhlIGNvbXBhbnkgaXMgYWxzbyBpbnZlc3RpZ2F0aW5nIG90aGVyIHRyZWF0bWVudCBvcHRpb25zIGZvciBhIHJhbmdlIG9mIGNsYXNzaWNhbCBjb21wbGVtZW50LW1lZGlhdGVkIGRpc2Vhc2VzLiBUcnVlIE5vcnRoIFRoZXJh</t>
  </si>
  <si>
    <t>cGV1dGljcyB3YXMgZm91bmRlZCBpbiAyMDEzIGFuZCBpcyBiYXNlZCBpbiBTb3V0aCBTYW4gRnJhbmNpc2NvLCBDYWxpZm9ybmlhLiBBcyBvZiBKdW5lIDI4LCAyMDE3LCBUcnVlIE5vcnRoIFRoZXJhcGV1dGljcywgSW5jLiBvcGVyYXRlcyBhcyBhIHN1YnNpZGlhcnkgb2YgQmlvdmVyYXRpdiBJbmMuAAxtEA41CdYIDD6FDjUJ1gg1Q0lRLk5BU0RBUUNNOk1URU0uSVFfQ0FQRVguMTk5Ni43LzMxLzIwMTguTEZSLkYuVVNELkgBAAAAmZupAQIAAAAJLTAuMDkzNjk3AQgAAAAFAAAAATEBAAAACjE4ODg3MzMwMDIDAAAAAzE2MAIAAAAEMjAyMQQAAAABMAcAAAAJNy8zMS8yMDE4CAAAAAkzLzMxLzIwMTcJAAAAATDIMLI3CAnWCBnpoW80CdYIR0NJUS5OQVNEQVFDTTpTUk5FLklRX01JTk9SSVRZX0lOVEVSRVNUX1RPVEFMLjIwMDAuNy8zMS8yMDE4LkxGUi5GLlVTRC5IAQAAAElDlAMCAAAABTYuMDY4AQgAAAAFAAAAATEBAAAACjE4ODc5ODk4MzEDAAAAAzE2MAIAAAAEMTMxMgQAAAABMAcAAAAJNy8zMS8yMDE4CAAAAAkzLzMxLzIwMTgJAAAAATDWjBE4CAnWCHMknW80CdYILkNJUS4uSVFfUFJFRl9FUVVJVFkuMjAwMC43LzMxLzIwMTguTEZSLkYuVVNELkgFAAAAAQAAAAgAAAAUKEludmFsaWQgSWRlbnRpZmllcin1hDJHNAnWCPWEMkc0CdYILENJUS5OQVNEQVFHTTpBRk1ELklRX0xBU1RTQUxFUFJJ</t>
  </si>
  <si>
    <t>Q0UuOS8xNS8yMDE3AQAAANv3DAACAAAABDIuMjUAKRyUEDUJ1ggw110SNQnWCERDSVEuKElOVkFMSUQgSURFTlRJRklFUikuSVFfUkVWRU5VRV9FU1QuQ1kyMDE5LjcvMTYvMjAxOC5DT04uRi5VU0QuSAUAAAAAAAAACAAAABQoSW52YWxpZCBJZGVudGlmaWVyKSAKgRA1CdYImBJZEjUJ1gg1Q0lRLk5BU0RBUUdTOkZQUlguSVFfVE9UQUxfUkVWLi43LzE2LzIwMTguTEZSLkYuVVNELkgBAAAAN10zAAIAAAAGNjEuODU5AQgAAAAFAAAAATEBAAAACjE4ODc0MDIyMjcDAAAAAzE2MAIAAAACMjgEAAAAATAHAAAACTcvMTYvMjAxOAgAAAAJMy8zMS8yMDE4CQAAAAEwKRyUEDUJ1ghzOWASNQnWCC9DSVEuLklRX1RPVEFMX0VRVUlUWS4xOTk2LjcvMzEvMjAxOC5MRlIuRi5VU0QuSAUAAAABAAAACAAAABQoSW52YWxpZCBJZGVudGlmaWVyKfWEMkc0CdYI9YQyRzQJ1gg+Q0lRLk5BU0RBUUdNOlhOQ1IuSVFfVE9UQUxfRVFVSVRZLkNZMjAxNi43LzE2LzIwMTguTEZSLkYuVVNELkgBAAAAploLAAIAAAAHMzEzLjk1NAEIAAAABQAAAAExAQAAAAoxODc2OTg0NTIzAwAAAAMxNjACAAAABDEyNzUEAAAAATAHAAAACTcvMTYvMjAxOAgAAAAKMTIvMzEvMjAxNgkAAAABMMT/GxE1CdYIEv5kEjUJ1ggwQ0lRLk5BU0RBUUdNOklNTVUuSVFfTEFTVFNBTEVQUklDRS43LzMxLzIwMTguVVNEAQAAACBDBAACAAAABTIzLjkz</t>
  </si>
  <si>
    <t>AJwL1TgICdYI1F+YbzQJ1gg/Q0lRLihJTlZBTElEIElERU5USUZJRVIpLklRX0VCSVREQS5DWTIwMTYuNy8xNi8yMDE4LkxGUi5GLlVTRC5IBQAAAAAAAAAIAAAAFChJbnZhbGlkIElkZW50aWZpZXIp3qd+EDUJ1giYElkSNQnWCDdDSVEuTkFTREFRR1M6VFNSTy5JUV9QUkVGX0VRVUlUWS4uOS8xNS8yMDE3LkxGUi5GLlVTRC5IAQAAAGjWWAYDAAAAAADE/xsRNQnWCBL+ZBI1CdYIKUNJUS4uSVFfRUJJVERBLjE5OTYuNy8zMS8yMDE4LkxGUi5GLlVTRC5IBQAAAAEAAAAIAAAAFChJbnZhbGlkIElkZW50aWZpZXIp9YQyRzQJ1gj1hDJHNAnWCCNDSVEuLklRX0xBU1RTQUxFUFJJQ0UuNy8zMS8yMDE4LlVTRAUAAAABAAAACAAAABQoSW52YWxpZCBJZGVudGlmaWVyKfWEMkc0CdYI9YQyRzQJ1ggTQ0lRLi5JUV9UUl9FQVJOT1VUUwUAAAAAAAAACAAAABQoSW52YWxpZCBJZGVudGlmaWVyKZwL1TgICdYId3mADjUJ1gg2Q0lRLk5BU0RBUUdTOk1SU04uSVFfVE9UQUxfREVCVC4uOS8xNS8yMDE3LkxGUi5GLlVTRC5IAQAAAObFGAACAAAAATABCAAAAAUAAAABMQEAAAAKMTg1MzM1NDA1NgMAAAADMTYwAgAAAAQ0MTczBAAAAAEwBwAAAAk5LzE1LzIwMTcIAAAACTYvMzAvMjAxNwkAAAABMCkclBA1CdYIczlgEjUJ1gglQ0lRLklRVFI0MDk5NTE4ODYuSVFfVFJfSU1QTElFRF9FUV9CVgEAAACOXm8YAgAAAAAA</t>
  </si>
  <si>
    <t>DG0QDjUJ1gjA24IONQnWCCVDSVEuSVFUUjQwNzc2MDY5Mi5JUV9UUl9JTVBMSUVEX0VRX0JWAQAAADTvTRgCAAAAAAAMbRAONQnWCAw+hQ41CdYIPENJUS5OQVNEQVFHTTpJTU1VLklRX1RPVEFMX0VRVUlUWS4xOTk2LjcvMzEvMjAxOC5MRlIuRi5VU0QuSAEAAAAgQwQAAgAAAAstMTMxLjkxOTAyMwEIAAAABQAAAAExAQAAAAoxODg4NTIzMzkyAwAAAAMxNjACAAAABDEyNzUEAAAAATAHAAAACTcvMzEvMjAxOAgAAAAJMy8zMS8yMDE3CQAAAAEwnAvVOAgJ1gjUX5hvNAnWCCdDSVEuTkFTREFRR1M6TUdOWC5JUV9CRVRBXzVZUi43LzE2LzIwMTgBAAAATysJAAIAAAAQMi40NjQ4MTI3MDk4OTY3NQDE/xsRNQnWCMKbYhI1CdYIO0NJUS5OQVNEQVFDTTpBVkVPLklRX1RPVEFMX1JFVi5DWTIwMTYuNy8xNi8yMDE4LkxGUi5GLlVTRC5IAQAAAPQWHQACAAAABTIuNTE1AQgAAAAFAAAAATEBAAAACjE4NzgwODI2NTADAAAAAzE2MAIAAAACMjgEAAAAATAHAAAACTcvMTYvMjAxOAgAAAAKMTIvMzEvMjAxNgkAAAABMMT/GxE1CdYIwptiEjUJ1gg2Q0lRLk5BU0RBUUdTOkJHTkUuSVFfTkVUX1dPUktJTkdfQ0FQLjIwMDAuLkxGUi5GLlVTRC5IAQAAAODk3QYCAAAABy0zMC4yODkBCAAAAAUAAAABMQEAAAAKMTg5OTkwMDYzMQMAAAADMTYwAgAAAAQxMzExBAAAAAEwBwAAAAk4LzIzLzIwMTgIAAAACTYvMzAvMjAx</t>
  </si>
  <si>
    <t>OAkAAAABMJwL1TgICdYInAvVOAgJ1gguQ0lRLklRVFI0MTE4NzEwODIuSVFfVFJfVEFSR0VUX1NUT0NLUFJFTUlVTV8xVwEAAABqp4wYAgAAAAAAsrNJbzQJ1gg1m5NvNAnWCDNDSVEuTkFTREFRR1M6U0dFTi5JUV9QRVJJT0REQVRFX0lTLi43LzE2LzIwMTguTEZSLkYBAAAAYYUAAAUAAAAJMy8zMS8yMDE4AEadGRE1CdYIaGBnEjUJ1ggpQ0lRLk5BU0RBUUNNOkNLUFQuSVFfQlVTSU5FU1NfREVTQ1JJUFRJT04BAAAAuFEWEQMAAADuCENoZWNrcG9pbnQgVGhlcmFwZXV0aWNzLCBJbmMuLCBhbiBpbW11bm8tb25jb2xvZ3kgYmlvcGhhcm1hY2V1dGljYWwgY29tcGFueSwgZm9jdXNlcyBvbiB0aGUgYWNxdWlzaXRpb24sIGRldmVsb3BtZW50LCBhbmQgY29tbWVyY2lhbGl6YXRpb24gb2Ygbm92ZWwgdHJlYXRtZW50cyBmb3IgcGF0aWVudHMgd2l0aCBzb2xpZCB0dW1vciBjYW5jZXJzLiBUaGUgY29tcGFueeKAmXMgcHJvZHVjdHMgaW5jbHVkZSBDSy0zMDEgaW4gUGhhc2UgSSBjbGluaWNhbCB0cmlhbHMgZm9yIHRoZSB0cmVhdG1lbnQgb2Ygbm9uLXNtYWxsIGNlbGwgbHVuZyBjYW5jZXIgKE5TQ0xDKTsgYW5kIENLLTEwMSBpbiB0aGUgUGhhc2UgMSBwb3J0aW9uIG9mIGEgUGhhc2UgMS8yIGNsaW5pY2FsIHRyaWFsIGZvciB0aGUgdHJlYXRtZW50IG9mIGVwaWRlcm1hbCBncm93dGggZmFjdG9yIHJl</t>
  </si>
  <si>
    <t>Y2VwdG9yIChFR0ZSKSBtdXRhdGlvbi1wb3NpdGl2ZSBOU0NMQy4gSXRzIHBpcGVsaW5lIGNvbnNpc3RzIG9mIGdsdWNvY29ydGljb2lkLWluZHVjZWQgVE5GUi1yZWxhdGVkIHByb3RlaW47IGFuZCBjYXJib25pYyBhbmh5ZHJhc2UgSVguIFRoZSBjb21wYW55IGlzIGFsc28gZGV2ZWxvcGluZyB0aHJlZSBvcmFsLCBzbWFsbC1tb2xlY3VsZSwgdGFyZ2V0ZWQgYW50aS1jYW5jZXIgYWdlbnRzIHRoYXQgaW5oaWJpdCBlcGlkZXJtYWwgZ3Jvd3RoLWZhY3RvciByZWNlcHRvciBtdXRhdGlvbnMsIHRoZSBicm9tb2RvbWFpbiBhbmQgZXh0cmEtdGVybWluYWwgcHJvdGVpbiwgYW5kIHBvbHkgcG9seW1lcmFzZS4gQ2hlY2twb2ludCBUaGVyYXBldXRpY3MsIEluYy4gaGFzIGEgY29sbGFib3JhdGlvbiBhZ3JlZW1lbnQgd2l0aCBURyBUaGVyYXBldXRpY3MsIEluYy4gdG8gZGV2ZWxvcCBhbmQgY29tbWVyY2lhbGl6ZSB0aGUgQW50aS1QRC1MMSBhbmQgQW50aS1HSVRSIGFudGlib2R5IHJlc2VhcmNoIHByb2dyYW1zIGluIHRoZSBmaWVsZCBvZiBoZW1hdG9sb2dpY2FsIG1hbGlnbmFuY2llcy4gVGhlIGNvbXBhbnkgd2FzIGZvdW5kZWQgaW4gMjAxNCBhbmQgaXMgYmFzZWQgaW4gTmV3IFlvcmssIE5ldyBZb3JrLiBDaGVja3BvaW50IFRoZXJhcGV1dGljcywgSW5jLiBpcyBhIHN1YnNpZGlhcnkgb2YgRm9y</t>
  </si>
  <si>
    <t>dHJlc3MgQmlvdGVjaCwgSW5jLgApHJQQNQnWCOR0WxI1CdYINkNJUS5YVFJBOk1PUi5JUV9UT1RBTF9SRVYuQ1kyMDE3LjcvMzEvMjAxOC5MRlIuRi5VU0QuSAEAAADfEQIAAgAAAAk4MC4yMDAzMzYBCAAAAAUAAAABMQEAAAAKMTg3ODMyMzE1NwMAAAADMTYwAgAAAAIyOAQAAAABMAcAAAAJNy8zMS8yMDE4CAAAAAoxMi8zMS8yMDE3CQAAAAEwnAvVOAgJ1gjUX5hvNAnWCDpDSVEuTkFTREFRR1M6TksuSVFfRUFSTklOR19DTy5DWTIwMTYuNy8zMS8yMDE4LkxGUi5GLlVTRC5IAQAAAA19oQ8CAAAACC0xMjAuODA5AQgAAAAFAAAAATEBAAAACjE4NzgwMTI1NzgDAAAAAzE2MAIAAAABNwQAAAABMAcAAAAJNy8zMS8yMDE4CAAAAAoxMi8zMS8yMDE2CQAAAAEw1owROAgJ1ggZ6aFvNAnWCB1DSVEuTkFTREFRR1M6RlBSWC5JUV9FWENIQU5HRQEAAAA3XTMAAwAAAAhOYXNkYXFHUwDWjBE4CAnWCOOLkw41CdYIO0NJUS5OQVNEQVFHUzpDQUxBLklRX0VCSVRfTUFSR0lOLjIwMDAuNy8zMS8yMDE4LkxGUi5GLlVTRC5IAQAAAKUngQYCAAAACS0xNDAuMDM0MQEIAAAABQAAAAExAQAAAAoxODg3OTgwMzA1AwAAAAMxNjACAAAABDQwNTMEAAAAATAHAAAACTcvMzEvMjAxOAgAAAAJMy8zMS8yMDE4CQAAAAEwyDCyNwgJ1gjdS6RvNAnWCDZDSVEuQVNYOklNVS5JUV9FQklUREFfRVNULkNZMjAxOC43LzE2LzIwMTgu</t>
  </si>
  <si>
    <t>Q09OLkYuVVNELkgBAAAAmJOpAAMAAAAAACkclBA1CdYIMNddEjUJ1ggoQ0lRLk5BU0RBUUNNOlpJT1AuSVFfVEVWLjcvMzEvMjAxOC5VU0QuSAEAAACzUbIAAgAAAAo0NjIuNzc1ODQzAQYAAAAFAAAAATEBAAAACjE4ODc5NzIyMDEDAAAAAzE2MAIAAAAGMTAwMDYwBAAAAAEwBwAAAAk3LzMxLzIwMTjWjBE4CAnWCMOGn280CdYIO0NJUS5OQVNEQVFHUzpUU1JPLklRX1RPVEFMX1JFVi5DWTIwMTYuNy8xNi8yMDE4LkxGUi5GLlVTRC5IAQAAAGjWWAYCAAAABjU4LjAxOAEIAAAABQAAAAExAQAAAAoxODc3MjI2Mjg0AwAAAAMxNjACAAAAAjI4BAAAAAEwBwAAAAk3LzE2LzIwMTgIAAAACjEyLzMxLzIwMTYJAAAAATDE/xsRNQnWCBL+ZBI1CdYIRkNJUS5OQVNEQVFHUzpDQUxBLklRX01JTk9SSVRZX0lOVEVSRVNUX1RPVEFMLjIwMDAuNS81LzIwMTcuTEZSLkYuVVNELkgBAAAApSeBBgMAAAAAAMgwsjcICdYI3UukbzQJ1gg2Q0lRLk5BU0RBUUdTOlRTUk8uSVFfRUFSTklOR19DTy4uNy8xNi8yMDE4LkxGUi5GLlVTRC5IAQAAAGjWWAYCAAAACC01MjIuMjE3AQgAAAAFAAAAATEBAAAACjE4ODYzMzc0NjYDAAAAAzE2MAIAAAABNwQAAAABMAcAAAAJNy8xNi8yMDE4CAAAAAkzLzMxLzIwMTgJAAAAATDE/xsRNQnWCBL+ZBI1CdYIO0NJUS5OQVNEQVFDTTpBVkVPLklRX1RPVEFMX1JFVi5DWTIwMTcuNy8xNi8y</t>
  </si>
  <si>
    <t>MDE4LkxGUi5GLlVTRC5IAQAAAPQWHQACAAAABTcuNTc5AQgAAAAFAAAAATEBAAAACjE4NzgwODI2NTMDAAAAAzE2MAIAAAACMjgEAAAAATAHAAAACTcvMTYvMjAxOAgAAAAKMTIvMzEvMjAxNwkAAAABMMT/GxE1CdYIwptiEjUJ1gg8Q0lRLk5BU0RBUUdNOkZBVEUuSVFfRUJJVERBX0VTVC5DWTIwMTguNy8zMS8yMDE4LkNPTi5GLlVTRC5IAQAAAGgxVwIDAAAAAADWjBE4CAnWCMOGn280CdYIPkNJUS5OQVNEQVFHTTpDUlZTLklRX1RPVEFMX0VRVUlUWS5DWTIwMTcuNy8zMS8yMDE4LkxGUi5GLlVTRC5IAQAAAPSwphACAAAABjg0LjgzNQEIAAAABQAAAAExAQAAAAoxODc3MjIwODA1AwAAAAMxNjACAAAABDEyNzUEAAAAATAHAAAACTcvMzEvMjAxOAgAAAAKMTIvMzEvMjAxNwkAAAABMNaMETgICdYIGemhbzQJ1gg+Q0lRLk5BU0RBUUdNOklNTVUuSVFfQ0FTSF9TVF9JTlZFU1QuMjAwMC43LzMxLzIwMTguTEZSLkYuVVNELkgBAAAAIEMEAAIAAAAKMzU4Ljc5MjY3OAEIAAAABQAAAAExAQAAAAoxODg4NTIzMzg0AwAAAAMxNjACAAAABDEwMDIEAAAAATAHAAAACTcvMzEvMjAxOAgAAAAJMy8zMS8yMDE4CQAAAAEwnAvVOAgJ1gjUX5hvNAnWCCVDSVEuSVFUUjQwODQwNzgyMi5JUV9UUl9NQUpfTUlOX1NUQUtFAQAAAA7PVxgDAAAACE1ham9yaXR5ALKzSW80CdYIgf2VbzQJ1ggnQ0lRLk5BU0RBUUdTOkFE</t>
  </si>
  <si>
    <t>WFMuSVFfQkVUQV81WVIuNy8xNi8yMDE4AQAAAJ7seAACAAAAEDEuNzA4NjEwMDczNjE3ODgAKRyUEDUJ1gjkdFsSNQnWCC1DSVEuTkFTREFRR006TkxOSy5JUV9ESVZJREVORF9ZSUVMRC43LzE2LzIwMTgBAAAAlXuMAAMAAAAAACkclBA1CdYI5HRbEjUJ1ghEQ0lRLihJTlZBTElEIElERU5USUZJRVIpLklRX1JFVkVOVUVfRVNULkNZMjAxOC43LzMxLzIwMTguQ09OLkYuVVNELkgFAAAAAAAAAAgAAAAUKEludmFsaWQgSWRlbnRpZmllcinIMLI3CAnWCO02sG80CdYIP0NJUS5OQVNEQVFHTTpMUFRYLklRX0VCSVREQV8yWVJfQU5OX0NBR1IuLjcvMTYvMjAxOC5MRlIuRi5VU0QuSAEAAAAMNgkHAwAAAAAAKRyUEDUJ1ggw110SNQnWCDpDSVEuTkFTREFRR006QVJRTC5JUV9FQVJOSU5HX0NPLjE5OTIuNy8zMS8yMDE4LkxGUi5GLlVTRC5IAQAAAPZhAAACAAAABy0xNC4yMDQBCAAAAAUAAAABMQEAAAAKMTg0MTk5MjU2OQMAAAADMTYwAgAAAAE3BAAAAAEwBwAAAAk3LzMxLzIwMTgIAAAACTMvMzEvMjAxNgkAAAABMNaMETgICdYIcySdbzQJ1ggwQ0lRLk5BU0RBUUdTOkJHTkUuSVFfTklfTUFSR0lOLjIwMDAuLkxGUi5GLlVTRC5IAQAAAODk3QYCAAAACC03Mi40NDY2AQgAAAAFAAAAATEBAAAACjE4OTk5MDA2MzEDAAAAAzE2MAIAAAAENDA5NAQAAAABMAcAAAAJOC8yMy8yMDE4CAAAAAk2LzMwLzIwMTgJ</t>
  </si>
  <si>
    <t>AAAAATCcC9U4CAnWCJwL1TgICdYIPkNJUS5OQVNEQVFHUzpCR05FLklRX01JTk9SSVRZX0lOVEVSRVNUX1RPVEFMLjIwMDAuLkxGUi5GLlVTRC5IAQAAAODk3QYCAAAABjEzLjQ3MQEIAAAABQAAAAExAQAAAAoxODk5OTAwNjMxAwAAAAMxNjACAAAABDEzMTIEAAAAATAHAAAACTgvMjMvMjAxOAgAAAAJNi8zMC8yMDE4CQAAAAEwnAvVOAgJ1gicC9U4CAnWCD1DSVEuKElOVkFMSUQgSURFTlRJRklFUikuSVFfRUJJVERBLjE5OTIuNy8zMS8yMDE4LkxGUi5GLlVTRC5IBQAAAAAAAAAIAAAAFChJbnZhbGlkIElkZW50aWZpZXIpyDCyNwgJ1gjtNrBvNAnWCClDSVEuSVEzNjE4Mzg0MC5JUV9MQVNUU0FMRVBSSUNFLjcvMTYvMjAxOAEAAAAgHygCAgAAAAMyLjkADG0QDjUJ1ggMPoUONQnWCCxDSVEuTkFTREFRR006SU1NVS5JUV9MQVNUU0FMRVBSSUNFLjkvMTUvMjAxNwEAAAAgQwQAAgAAAAUxMS4yOQBGnRkRNQnWCBL+ZBI1CdYIN0NJUS5OQVNEQVFDTTpaSU9QLklRX1BFUklPRERBVEVfSVMuMjAwMC43LzMxLzIwMTguTEZSLkYBAAAAs1GyAAUAAAAJMy8zMS8yMDE4ANaMETgICdYIw4afbzQJ1ggwQ0lRLklRVFIzMTQ4MjkyMzYuSVFfVFJfVEFSR0VUX0VCSVREQV9FU1QuLlVTRC5IAQAAALTpwxICAAAAAABYzxIONQnWCMDbgg41CdYIKUNJUS5JUTM2MTgzODM3LklRX0xBU1RTQUxFUFJJQ0UuNy8zMS8y</t>
  </si>
  <si>
    <t>MDE4AQAAAB0fKAICAAAABDIuOTYASVNHbzQJ1giB/ZVvNAnWCDpDSVEuTkFTREFRR1M6TVJTTi5JUV9FQVJOSU5HX0NPLjE5OTYuNy8zMS8yMDE4LkxGUi5GLlVTRC5IAQAAAObFGAACAAAABy0xNi40MDUBCAAAAAUAAAABMQEAAAAKMTg4OTA5NjU5NwMAAAADMTYwAgAAAAE3BAAAAAEwBwAAAAk3LzMxLzIwMTgIAAAACTMvMzEvMjAxNwkAAAABMNaMETgICdYIw4afbzQJ1gg6Q0lRLk5BU0RBUUdNOlhOQ1IuSVFfQ0FTSF9TVF9JTlZFU1QuLjcvMTYvMjAxOC5MRlIuRi5VU0QuSAEAAACmWgsAAgAAAAY0NjIuNDEBCAAAAAUAAAABMQEAAAAKMTg4NzEyNTg1NQMAAAADMTYwAgAAAAQxMDAyBAAAAAEwBwAAAAk3LzE2LzIwMTgIAAAACTMvMzEvMjAxOAkAAAABMMT/GxE1CdYIEv5kEjUJ1ggzQ0lRLlhUUkE6TU9SLklRX0VCSVREQS5DWTIwMTcuNy8zMS8yMDE4LkxGUi5GLlVTRC5IAQAAAN8RAgACAAAACi02NC42NTc2OTEBCAAAAAUAAAABMQEAAAAKMTg3ODMyMzE1NwMAAAADMTYwAgAAAAQ0MDUxBAAAAAEwBwAAAAk3LzMxLzIwMTgIAAAACjEyLzMxLzIwMTcJAAAAATCcC9U4CAnWCNRfmG80CdYIO0NJUS5OQVNEQVFDTTpNVEVNLklRX1RPVEFMX1JFVi5DWTIwMTcuNy8zMS8yMDE4LkxGUi5GLlVTRC5IAQAAAJmbqQECAAAABTMuMzk1AQgAAAAFAAAAATEBAAAACjE4ODExMTg4MTADAAAAAzE2MAIAAAAC</t>
  </si>
  <si>
    <t>MjgEAAAAATAHAAAACTcvMzEvMjAxOAgAAAAKMTIvMzEvMjAxNwkAAAABMMgwsjcICdYIGemhbzQJ1ggvQ0lRLklRVFIzNzE3MTUxMTkuSVFfVFJfVEFSR0VUX1RPVEFMX1JFVi4uVVNELkgBAAAAL+wnFgIAAAAAAFjPEg41CdYIwNuCDjUJ1ggjQ0lRLklRVFI1NTM1NDgwMjUuSVFfVFJfVE9UQUxfU1RPQ0sBAAAA+Xj+IAIAAAAAALKzSW80CdYIgf2VbzQJ1gg4Q0lRLk5BU0RBUUdTOlBCWUkuSVFfRUJJVERBLkNZMjAxNi43LzE2LzIwMTguTEZSLkYuVVNELkgBAAAAAmqsBwIAAAAILTI3NS40NDcBCAAAAAUAAAABMQEAAAAKMTg3ODA2MzMzMAMAAAADMTYwAgAAAAQ0MDUxBAAAAAEwBwAAAAk3LzE2LzIwMTgIAAAACjEyLzMxLzIwMTYJAAAAATDE/xsRNQnWCBL+ZBI1CdYILkNJUS5OQVNEQVFHUzpTR0VOLklRX1BSRUZfRVFVSVRZLi4uTEZSLkYuVVNELkgBAAAAYYUAAAMAAAAAAEadGRE1CdYIRp0ZETUJ1gg8Q0lRLk5BU0RBUUdTOkVQWk0uSVFfRUFSTklOR19DTy5DWTIwMTcuNy8zMS8yMDE4LkxGUi5GLlVTRC5IAQAAAAMmPQMCAAAACC0xMzQuMzA5AQgAAAAFAAAAATEBAAAACjE4NzgwODEwNjQDAAAAAzE2MAIAAAABNwQAAAABMAcAAAAJNy8zMS8yMDE4CAAAAAoxMi8zMS8yMDE3CQAAAAEw1owROAgJ1ghzJJ1vNAnWCCtDSVEuSVFUUjUzNTcxOTk5OC5JUV9UUl9JTVBMSUVEX0VWX0VCSVRfRldE</t>
  </si>
  <si>
    <t>AQAAAD5w7h8DAAAAAk5NALKzSW80CdYIgf2VbzQJ1gggQ0lRLklRMzYxODM4MTMuSVFfTEFTVFNBTEVQUklDRS4BAAAABR8oAgIAAAAEMS45NQCcC9U4CAnWCHd5gA41CdYIPENJUS5OQVNEQVFHUzpCR05FLklRX0VBUk5JTkdfQ08uQ1kyMDE2LjcvMzEvMjAxOC5MRlIuRi5VU0QuSAEAAADg5N0GAgAAAAgtMTE5LjIxNwEIAAAABQAAAAExAQAAAAoxODk5ODgxMjA0AwAAAAMxNjACAAAAATcEAAAAATAHAAAACTcvMzEvMjAxOAgAAAAKMTIvMzEvMjAxNgkAAAABMJwL1TgICdYIgf2VbzQJ1gggQ0lRLklRMzYxODM4MTkuSVFfTEFTVFNBTEVQUklDRS4BAAAACx8oAgIAAAAEMi4yNACcC9U4CAnWCHd5gA41CdYIIkNJUS5JUVRSNTUzNTQ4MDI1LklRX1RSX1RBUkdFVE5BTUUBAAAA+Xj+IAMAAAASVmlyYWx5dGljcyBMaW1pdGVkALKzSW80CdYIgf2VbzQJ1ggtQ0lRLk5BU0RBUUdTOkNBTEEuSVFfRElWSURFTkRfWUlFTEQuNy8zMS8yMDE4AQAAAKUngQYDAAAAAADIMLI3CAnWCN1LpG80CdYIHkNJUS5JUTM2MTgzODM0LklRX0NPTVBBTllfTkFNRQEAAAAaHygCAwAAADFVbml0ZWQgU3RhdGVzIFRyZWFzdXJ5IENvbnN0YW50IE1hdHVyaXR5IC0gNyBZZWFyAAxtEA41CdYId3mADjUJ1gglQ0lRLk5BU0RBUUdTOk5LLklRX0JFVEFfMllSLjcvMzEvMjAxOAEAAAANfaEPAgAAABAxLjgzMDUxNTMzNzQ3MTEx</t>
  </si>
  <si>
    <t>ANaMETgICdYIGemhbzQJ1gg4Q0lRLk5BU0RBUUdNOk5MTksuSVFfRUJJVERBLkNZMjAxNy43LzE2LzIwMTguTEZSLkYuVVNELkgBAAAAlXuMAAIAAAAHLTY5Ljc3NAEIAAAABQAAAAExAQAAAAoxODc3Mjk4ODEzAwAAAAMxNjACAAAABDQwNTEEAAAAATAHAAAACTcvMTYvMjAxOAgAAAAKMTIvMzEvMjAxNwkAAAABMCkclBA1CdYI5HRbEjUJ1ggnQ0lRLk5BU0RBUUNNOkFWRU8uSVFfQkVUQV81WVIuNy8xNi8yMDE4AQAAAPQWHQACAAAAEDEuNjE3MDM2MzUwOTg5NTcAxP8bETUJ1gjCm2ISNQnWCD1DSVEuTkFTREFRR006RkFURS5JUV9SRVZFTlVFX0VTVC5DWTIwMTguNy8zMS8yMDE4LkNPTi5GLlVTRC5IAQAAAGgxVwICAAAABDMuNjgBDgAAAAUAAAACMTEBAAAAATACAAAACjEwMDE5Njc0MzgDAAAABjEwMDE4MAQAAAABMgYAAAABMAcAAAADMTYwCAAAAAEwCQAAAAExCgAAAAEwCwAAAAsxMDk4NTcxNjEzMgwAAAABNw0AAAAIOC8xLzIwMTgQAAAACTcvMzEvMjAxONaMETgICdYIw4afbzQJ1gg7Q0lRLk5BU0RBUUdTOkNBTEEuSVFfVE9UQUxfUkVWLkNZMjAxNy43LzMxLzIwMTguTEZSLkYuVVNELkgBAAAApSeBBgIAAAAGMjUuOTU1AQgAAAAFAAAAATEBAAAACjE4Nzc5NTU3MDcDAAAAAzE2MAIAAAACMjgEAAAAATAHAAAACTcvMzEvMjAxOAgAAAAKMTIvMzEvMjAxNwkAAAABMMgwsjcICdYI3UukbzQJ</t>
  </si>
  <si>
    <t>1ggsQ0lRLklRVFI1MzMzODU3NDQuSVFfVFJfVEFSR0VUX0VCSVREQS4uVVNELkgBAAAAENLKHwIAAAAAAAxtEA41CdYIwNuCDjUJ1ghCQ0lRLk5BU0RBUUdNOk5MTksuSVFfVE9UQUxfUkVWXzVZUl9BTk5fQ0FHUi4uNy8xNi8yMDE4LkxGUi5GLlVTRC5IAQAAAJV7jAACAAAABzg4LjIxMDMBCAAAAAUAAAABMQEAAAAKMTg4ODM1NDIwNwMAAAADMTYwAgAAAAQ0MjMzBAAAAAEwBwAAAAk3LzE2LzIwMTgIAAAACTMvMzEvMjAxOAkAAAABMCkclBA1CdYI5HRbEjUJ1ggiQ0lRLklRVFI0MjQzNDIwNDYuSVFfVFJfUENUX1NPVUdIVAEAAAAe8koZAgAAAAMxMDABBgAAAAUAAAACNTQBAAAABjEwMTAyNAIAAAAJNDI0MzQyMDQ2AwAAAAk0MjQzNDI2NTgEAAAAAzE2MAYAAAAEVHJ1ZQxtEA41CdYIwNuCDjUJ1gg5Q0lRLkFTWDpJTVUuSVFfRUJJVERBXzJZUl9BTk5fQ0FHUi4uNy8xNi8yMDE4LkxGUi5GLlVTRC5IAQAAAJiTqQADAAAAAAApHJQQNQnWCDDXXRI1CdYIIUNJUS5JUVRSNTQ3NDIzNjgwLklRX1RSX0JVWUVSTkFNRQEAAADABaEgAwAAABRSb2NoZSBIb2xkaW5ncywgSW5jLgAMbRAONQnWCMDbgg41CdYIOENJUS5OQVNEQVFHTTpBUlFMLklRX0VCSVREQS5DWTIwMTcuNy8zMS8yMDE4LkxGUi5GLlVTRC5IAQAAAPZhAAACAAAABy0yNi45NTQBCAAAAAUAAAABMQEAAAAKMTg3ODUwODY5OAMAAAADMTYw</t>
  </si>
  <si>
    <t>AgAAAAQ0MDUxBAAAAAEwBwAAAAk3LzMxLzIwMTgIAAAACjEyLzMxLzIwMTcJAAAAATDWjBE4CAnWCHMknW80CdYISkNJUS4oSU5WQUxJRCBJREVOVElGSUVSKS5JUV9FQklUREFfMllSX0FOTl9DQUdSLjIwMDAuNy8zMS8yMDE4LkxGUi5GLlVTRC5IBQAAAAAAAAAIAAAAFChJbnZhbGlkIElkZW50aWZpZXIpyDCyNwgJ1gjtNrBvNAnWCDxDSVEuTkFTREFRR1M6TVJTTi5JUV9FQklUREFfRVNULkNZMjAxOS43LzMxLzIwMTguQ09OLkYuVVNELkgBAAAA5sUYAAIAAAAHLTQ4LjIwMgEOAAAABQAAAAIxMQEAAAABMAIAAAAKMTAwMzgwMzI4MAMAAAAGMTAwMTg3BAAAAAEyBgAAAAEwBwAAAAMxNjAIAAAAATAJAAAAATEKAAAAATALAAAACzEwOTgxNDE1NjI0DAAAAAE3DQAAAAg4LzEvMjAxOBAAAAAJNy8zMS8yMDE41owROAgJ1gjDhp9vNAnWCCdDSVEuTkFTREFRR006QVJSWS5JUV9QRVJJT0REQVRFX0lTLjEwMDABAAAA+GEAAAUAAAAJNi8zMC8yMDE4AJwL1TgICdYI1F+YbzQJ1gglQ0lRLklRVFIzMjE4NjUyOTcuSVFfUFJJTUFSWV9JTkRVU1RSWQEAAAB+RS8TAwAAACBMaWZlIFNjaWVuY2VzIFRvb2xzIGFuZCBTZXJ2aWNlcwAMbRAONQnWCAw+hQ41CdYIOkNJUS5PVENQSzpOV0JPLklRX1JFVkVOVUVfRVNULkNZMjAyMS43LzE2LzIwMTguQ09OLkYuVVNELkgBAAAAo3oUAAMAAAAAACkclBA1CdYIczlg</t>
  </si>
  <si>
    <t>EjUJ1gg3Q0lRLk5BU0RBUUdTOkZQUlguSVFfUEVSSU9EREFURV9JUy4yMDAwLjcvMzEvMjAxOC5MRlIuRgEAAAA3XTMABQAAAAkzLzMxLzIwMTgA1owROAgJ1ggZ6aFvNAnWCEJDSVEuTkFTREFRR1M6U0dFTi5JUV9UT1RBTF9SRVZfM1lSX0FOTl9DQUdSLi43LzE2LzIwMTguTEZSLkYuVVNELkgBAAAAYYUAAAIAAAAHMTkuNTUxNQEIAAAABQAAAAExAQAAAAoxODg0ODkyODUyAwAAAAMxNjACAAAABDQyMjAEAAAAATAHAAAACTcvMTYvMjAxOAgAAAAJMy8zMS8yMDE4CQAAAAEwxP8bETUJ1ghoYGcSNQnWCC5DSVEuTkFTREFRR006RkFURS5JUV9NQVJLRVRDQVAuNy8zMS8yMDE4LlVTRC5IAQAAAGgxVwICAAAACjQ3Mi4wMjU5MjMBBgAAAAUAAAABMQEAAAAKMTg4ODQ5Nzg5MgMAAAADMTYwAgAAAAYxMDAwNTQEAAAAATAHAAAACTcvMzEvMjAxONaMETgICdYIw4afbzQJ1ghBQ0lRLihJTlZBTElEIElERU5USUZJRVIpLklRX0VBUk5JTkdfQ08uMTk5Ni43LzMxLzIwMTguTEZSLkYuVVNELkgFAAAAAAAAAAgAAAAUKEludmFsaWQgSWRlbnRpZmllcinIMLI3CAnWCO02sG80CdYIPENJUS5OQVNEQVFHUzpGUFJYLklRX0dST1NTX01BUkdJTi4yMDAwLjcvMzEvMjAxOC5MRlIuRi5VU0QuSAEAAAA3XTMAAgAAAAktMTU5Ljc4NDMBCAAAAAUAAAABMQEAAAAKMTg4NzQwMjIyNwMAAAADMTYwAgAAAAQ0MDc0BAAA</t>
  </si>
  <si>
    <t>AAEwBwAAAAk3LzMxLzIwMTgIAAAACTMvMzEvMjAxOAkAAAABMNaMETgICdYIGemhbzQJ1ggdQ0lRLk5BU0RBUUNNOkNLUFQuSVFfRVhDSEFOR0UBAAAAuFEWEQMAAAAITmFzZGFxQ00AKRyUEDUJ1ggw110SNQnWCDhDSVEuTkFTREFRR1M6Q0FMQS5JUV9FQklUREEuQ1kyMDE3LjcvMTYvMjAxOC5MRlIuRi5VU0QuSAEAAAClJ4EGAgAAAActMjkuMzIxAQgAAAAFAAAAATEBAAAACjE4Nzc5NTU3MDcDAAAAAzE2MAIAAAAENDA1MQQAAAABMAcAAAAJNy8xNi8yMDE4CAAAAAoxMi8zMS8yMDE3CQAAAAEwKRyUEDUJ1gjkdFsSNQnWCDVDSVEuTkFTREFRR006QVJSWS5JUV9DQVBFWC4xOTk2LjcvMzEvMjAxOC5MRlIuRi5VU0QuSAEAAAD4YQAAAgAAAAUtMy43NAEIAAAABQAAAAExAQAAAAoxODg4NDcwNjU2AwAAAAMxNjACAAAABDIwMjEEAAAAATAHAAAACTcvMzEvMjAxOAgAAAAJMy8zMS8yMDE3CQAAAAEwnAvVOAgJ1gjUX5hvNAnWCC5DSVEuTkFTREFRR1M6UEJZSS5JUV9NQVJLRVRDQVAuOS8xNS8yMDE3LlVTRC5IAQAAAAJqrAcCAAAACzM4MDQuMjcyMjkzAQYAAAAFAAAAATEBAAAACjE4NTI5OTM1NjMDAAAAAzE2MAIAAAAGMTAwMDU0BAAAAAEwBwAAAAk5LzE1LzIwMTdGnRkRNQnWCBL+ZBI1CdYIJENJUS5FTlhUUEE6SVBILklRX0JFVEFfMVlSLjcvMTYvMjAxOAEAAACZgAYAAgAAABAxLjE2OTMyMTQ5</t>
  </si>
  <si>
    <t>MTY1NTY4ACkclBA1CdYIczlgEjUJ1gg8Q0lRLk5BU0RBUUNNOlNSTkUuSVFfRUFSTklOR19DTy5DWTIwMTYuNy8zMS8yMDE4LkxGUi5GLlVTRC5IAQAAAElDlAMCAAAABy02My45MzcBCAAAAAUAAAABMQEAAAAKMTg3ODY3NzQ1MwMAAAADMTYwAgAAAAE3BAAAAAEwBwAAAAk3LzMxLzIwMTgIAAAACjEyLzMxLzIwMTYJAAAAATDWjBE4CAnWCHMknW80CdYIN0NJUS5OQVNEQVFHTTpMUFRYLklRX0VCSVRfTUFSR0lOLi43LzE2LzIwMTguTEZSLkYuVVNELkgBAAAADDYJBwMAAAAAACkclBA1CdYIMNddEjUJ1ggzQ0lRLk9UQ1BLOk1CVlguSVFfVE9UQUxfREVCVC4uOS8xNS8yMDE3LkxGUi5GLlVTRC5IAQAAANhEiwICAAAACDQuMDI4MzQ3AQgAAAAFAAAAATEBAAAACjE4NTQyNjU3NjMDAAAAAzE2MAIAAAAENDE3MwQAAAABMAcAAAAJOS8xNS8yMDE3CAAAAAk2LzMwLzIwMTcJAAAAATDep34QNQnWCJgSWRI1CdYIO0NJUS5OQVNEQVFHUzpBVE5YLklRX0VCSVRfTUFSR0lOLjIwMDAuNy8zMS8yMDE4LkxGUi5GLlVTRC5IAQAAANyZawECAAAACS0xMTYuOTk2MgEIAAAABQAAAAExAQAAAAoxODg4NzAyOTgyAwAAAAMxNjACAAAABDQwNTMEAAAAATAHAAAACTcvMzEvMjAxOAgAAAAJMy8zMS8yMDE4CQAAAAEw1owROAgJ1ggkwppvNAnWCDZDSVEuTkFTREFRR1M6QURYUy5JUV9UT1RBTF9ERUJULi45LzE1LzIw</t>
  </si>
  <si>
    <t>MTcuTEZSLkYuVVNELkgBAAAAnux4AAIAAAABMAEIAAAABQAAAAExAQAAAAoxODU4ODY5ODk3AwAAAAMxNjACAAAABDQxNzMEAAAAATAHAAAACTkvMTUvMjAxNwgAAAAJNy8zMS8yMDE3CQAAAAEwKRyUEDUJ1gjkdFsSNQnWCCVDSVEuSVFUUjUzNTcxOTk5OC5JUV9UUl9JTVBMSUVEX0VRX0JWAQAAAD5w7h8CAAAACTE0LjY2NDc1OQEGAAAABQAAAAI1NAEAAAAGMTAyMDk3AgAAAAk1MzU3MTk5OTgDAAAACTUzNTcyNDgxMwQAAAADMTYwBgAAAAVGYWxzZbKzSW80CdYIgf2VbzQJ1ggzQ0lRLk5BU0RBUUNNOkNLUFQuSVFfUEVSSU9EREFURV9JUy4uNy8xNi8yMDE4LkxGUi5GAQAAALhRFhEFAAAACTMvMzEvMjAxOAApHJQQNQnWCDDXXRI1CdYILkNJUS5JUVRSNTMzNjM5NTAxLklRX1RSX1RBUkdFVF9TVE9DS1BSRU1JVU1fMVcBAAAATbHOHwIAAAAAAAxtEA41CdYIwNuCDjUJ1gg8Q0lRLk5BU0RBUUdTOk1HTlguSVFfRUJJVERBX0VTVC5DWTIwMTkuNy8xNi8yMDE4LkNPTi5GLlVTRC5IAQAAAE8rCQACAAAACS0xNTIuODMzNwEOAAAABQAAAAIxMQEAAAABMAIAAAAKMTAwMTk3MjkzMAMAAAAGMTAwMTg3BAAAAAEyBgAAAAEwBwAAAAMxNjAIAAAAATAJAAAAATEKAAAAATALAAAACzEwOTExMTA0MjUzDAAAAAE3DQAAAAk3LzE3LzIwMTgQAAAACTcvMTYvMjAxOMT/GxE1CdYIwptiEjUJ1gg8Q0lRLk5BU0RB</t>
  </si>
  <si>
    <t>UUdTOlRTUk8uSVFfVE9UQUxfRVFVSVRZLjE5OTIuNy8zMS8yMDE4LkxGUi5GLlVTRC5IAQAAAGjWWAYCAAAABzE2MC45NjQBCAAAAAUAAAABMQEAAAAKMTg0MDkzNDY2MwMAAAADMTYwAgAAAAQxMjc1BAAAAAEwBwAAAAk3LzMxLzIwMTgIAAAACTMvMzEvMjAxNgkAAAABMJwL1TgICdYIJMKabzQJ1gg4Q0lRLk5BU0RBUUdNOklNTVUuSVFfRUJJVERBLkNZMjAxNy43LzE2LzIwMTguTEZSLkYuVVNELkgBAAAAIEMEAAIAAAAKLTkxLjg3NjU5NAEIAAAABQAAAAExAQAAAAoxODczNDkzNTI4AwAAAAMxNjACAAAABDQwNTEEAAAAATAHAAAACTcvMTYvMjAxOAgAAAAKMTIvMzEvMjAxNwkAAAABMMT/GxE1CdYIEv5kEjUJ1gg+Q0lRLk5BU0RBUUdTOkFOQUIuSVFfVE9UQUxfRVFVSVRZLkNZMjAxNi43LzE2LzIwMTguTEZSLkYuVVNELkgBAAAAIUyyAQIAAAAGNDIuNTA5AQgAAAAFAAAAATEBAAAACjE4NzcwNjUxOTYDAAAAAzE2MAIAAAAEMTI3NQQAAAABMAcAAAAJNy8xNi8yMDE4CAAAAAoxMi8zMS8yMDE2CQAAAAEwxP8bETUJ1gjCm2ISNQnWCDZDSVEuTkFTREFRR1M6S1VSQS5JUV9FQklUREEuMTk5Ni43LzMxLzIwMTguTEZSLkYuVVNELkgBAAAAuMvaEAIAAAAHLTI4Ljk0OQEIAAAABQAAAAExAQAAAAoxODg3MzgyOTIyAwAAAAMxNjACAAAABDQwNTEEAAAAATAHAAAACTcvMzEvMjAxOAgAAAAJMy8zMS8y</t>
  </si>
  <si>
    <t>MDE3CQAAAAEw1owROAgJ1ghzJJ1vNAnWCDxDSVEuTkFTREFRQ006Q0tQVC5JUV9FQklUREFfRVNULkNZMjAxOC43LzE2LzIwMTguQ09OLkYuVVNELkgBAAAAuFEWEQIAAAAFLTM1LjMBDgAAAAUAAAACMTEBAAAAATACAAAACjEwMDM2NjU1OTcDAAAABjEwMDE4NwQAAAABMgYAAAABMAcAAAADMTYwCAAAAAEwCQAAAAExCgAAAAEwCwAAAAsxMDg3ODcwMDQ1NgwAAAABNw0AAAAJNy8xNy8yMDE4EAAAAAk3LzE2LzIwMTgpHJQQNQnWCDDXXRI1CdYIOENJUS5BU1g6SU1VLklRX1RPVEFMX0VRVUlUWS5DWTIwMTYuNy8xNi8yMDE4LkxGUi5GLlVTRC5IAQAAAJiTqQACAAAACDYuNzgyMjM4AQgAAAAFAAAAATEBAAAACjE4NzczMDU4NzMDAAAAAzE2MAIAAAAEMTI3NQQAAAABMAcAAAAJNy8xNi8yMDE4CAAAAAoxMi8zMS8yMDE2CQAAAAEwKRyUEDUJ1ggw110SNQnWCDVDSVEuTkFTREFRR1M6RVBaTS5JUV9DQVBFWC4xOTkyLjcvMzEvMjAxOC5MRlIuRi5VU0QuSAEAAAADJj0DAgAAAAUtMC4wOQEIAAAABQAAAAExAQAAAAoxODQwNjMwMzk0AwAAAAMxNjACAAAABDIwMjEEAAAAATAHAAAACTcvMzEvMjAxOAgAAAAJMy8zMS8yMDE2CQAAAAEw1owROAgJ1ghzJJ1vNAnWCERDSVEuKElOVkFMSUQgSURFTlRJRklFUikuSVFfUkVWRU5VRV9FU1QuQ1kyMDIxLjcvMTYvMjAxOC5DT04uRi5VU0QuSAUAAAAAAAAACAAA</t>
  </si>
  <si>
    <t>ABQoSW52YWxpZCBJZGVudGlmaWVyKSAKgRA1CdYImBJZEjUJ1ggwQ0lRLk5BU0RBUUdTOkFOQUIuSVFfTEFTVFNBTEVQUklDRS43LzE2LzIwMTguVVNEAQAAACFMsgECAAAABTcxLjIyAEadGRE1CdYIEv5kEjUJ1gg6Q0lRLk5BU0RBUUdTOktVUkEuSVFfRUFSTklOR19DTy4xOTk2LjcvMzEvMjAxOC5MRlIuRi5VU0QuSAEAAAC4y9oQAgAAAActMjguNDY3AQgAAAAFAAAAATEBAAAACjE4ODczODI5MjIDAAAAAzE2MAIAAAABNwQAAAABMAcAAAAJNy8zMS8yMDE4CAAAAAkzLzMxLzIwMTcJAAAAATDWjBE4CAnWCHMknW80CdYIMUNJUS5OQVNEQVFHTTpYTkNSLklRX0RBX0NGLi43LzE2LzIwMTguTEZSLkYuVVNELkgBAAAAploLAAIAAAAEMi4zNQEIAAAABQAAAAExAQAAAAoxODg3MTI1ODU1AwAAAAMxNjACAAAABDIxNjAEAAAAATAHAAAACTcvMTYvMjAxOAgAAAAJMy8zMS8yMDE4CQAAAAEwxP8bETUJ1ggS/mQSNQnWCDpDSVEuTkFTREFRR006Q1JWUy5JUV9FQVJOSU5HX0NPLjE5OTIuNy8zMS8yMDE4LkxGUi5GLlVTRC5IAQAAAPSwphACAAAABy0zNS43NjkBCAAAAAUAAAABMQEAAAAKMTg0MDExNjE1NAMAAAADMTYwAgAAAAE3BAAAAAEwBwAAAAk3LzMxLzIwMTgIAAAACTMvMzEvMjAxNgkAAAABMNaMETgICdYIGemhbzQJ1ggkQ0lRLk5BU0RBUUdNOkNSSVMuSVFfRUZGRUNUX1RBWF9SQVRFAQAAABdq</t>
  </si>
  <si>
    <t>AAADAAAAAADIMLI3CAnWCN1LpG80CdYIHkNJUS5PVENQSzpOV0JPLklRX0NPTVBBTllfTkFNRQEAAACjehQAAwAAAB9Ob3J0aHdlc3QgQmlvdGhlcmFwZXV0aWNzLCBJbmMuACkclBA1CdYIczlgEjUJ1ghBQ0lRLlhUUkE6TU9SLklRX1RPVEFMX1JFVl81WVJfQU5OX0NBR1IuMjAwMC43LzMxLzIwMTguTEZSLkYuVVNELkgBAAAA3xECAAIAAAAGMC4yMDM0AQgAAAAFAAAAATEBAAAACjE4ODYxNTE2NDgDAAAAAjUwAgAAAAQ0MjMzBAAAAAEwBwAAAAk3LzMxLzIwMTgIAAAACTMvMzEvMjAxOAkAAAABMJwL1TgICdYI1F+YbzQJ1ghHQ0lRLk5BU0RBUUNNOlpJT1AuSVFfTUlOT1JJVFlfSU5URVJFU1RfVE9UQUwuMjAwMC43LzMxLzIwMTguTEZSLkYuVVNELkgBAAAAs1GyAAMAAAAAANaMETgICdYIw4afbzQJ1ggfQ0lRLklRNzkyNDg5NC5JUV9DT01QQU5ZX1RJQ0tFUgEAAACe7HgAAwAAAA1OYXNkYXFHUzpBRFhTAAxtEA41CdYIzLKaDjUJ1gg7Q0lRLk5BU0RBUUdTOkJHTkUuSVFfRUJJVF9NQVJHSU4uMjAwMC43LzMxLzIwMTguTEZSLkYuVVNELkgBAAAA4OTdBgIAAAAILTU4LjIxNTUBCAAAAAUAAAABMQEAAAAKMTg4NzY4ODU4OAMAAAADMTYwAgAAAAQ0MDUzBAAAAAEwBwAAAAk3LzMxLzIwMTgIAAAACTMvMzEvMjAxOAkAAAABMJwL1TgICdYIgf2VbzQJ1ghHQ0lRLk5BU0RBUUdNOkFSUUwuSVFfTUlO</t>
  </si>
  <si>
    <t>T1JJVFlfSU5URVJFU1RfVE9UQUwuMjAwMC43LzMxLzIwMTguTEZSLkYuVVNELkgBAAAA9mEAAAMAAAAAANaMETgICdYIcySdbzQJ1gg5Q0lRLk5BU0RBUUdTOkNBTEEuSVFfRUJJVERBX01BUkdJTi4uNy8xNi8yMDE4LkxGUi5GLlVTRC5IAQAAAKUngQYCAAAACS0xMzguNTE2NgEIAAAABQAAAAExAQAAAAoxODg3OTgwMzA1AwAAAAMxNjACAAAABDQwNDcEAAAAATAHAAAACTcvMTYvMjAxOAgAAAAJMy8zMS8yMDE4CQAAAAEwKRyUEDUJ1gjkdFsSNQnWCCNDSVEuSVFUUjU1MDI1OTM5Ny5JUV9UUl9DTE9TRURfREFURQEAAADFSswgBQAAAAgzLzYvMjAxOAAMbRAONQnWCHd5gA41CdYIKUNJUS5OQVNEQVFHTTpGQVRFLklRX0JVU0lORVNTX0RFU0NSSVBUSU9OAQAAAGgxVwIDAAAAjg1GYXRlIFRoZXJhcGV1dGljcywgSW5jLiwgYSBjbGluaWNhbC1zdGFnZSBiaW9waGFybWFjZXV0aWNhbCBjb21wYW55LCBkZXZlbG9wcyBwcm9ncmFtbWVkIGNlbGx1bGFyIGltbXVub3RoZXJhcGllcyBmb3IgY2FuY2VyIGFuZCBpbW11bmUgZGlzb3JkZXJzIHdvcmxkd2lkZS4gSXRzIGltbXVuby1vbmNvbG9neSBwcm9kdWN0IGNhbmRpZGF0ZXMgaW5jbHVkZSBGQVRFLU5LMTAwLCBhIG5hdHVyYWwga2lsbGVyIChOSykgY2VsbCBjYW5jZXIgaW1tdW5vdGhlcmFweSB0aGF0IGNvbnNpc3RzIG9mIGFkYXB0aXZlIG1lbW9y</t>
  </si>
  <si>
    <t>eSBOSyBjZWxsczsgRlQ1MDAgaW5kdWNlZCBwbHVyaXBvdGVudCBzdGVtIGNlbGxzIChpUFNDKS1kZXJpdmVkIE5LIGNlbGwgcHJvZHVjdCBjYW5kaWRhdGUgZm9yIHRoZSB0cmVhdG1lbnQgb2YgYWR2YW5jZWQgc29saWQgdHVtb3JzOyBGVDUxNiBlbmdpbmVlcmVkIGlQU0MtZGVyaXZlZCBOSyBjZWxsIHByb2R1Y3QgY2FuZGlkYXRlIGZvciB0aGUgdHJlYXRtZW50IG9mIGhlbWF0b2xvZ2ljL3NvbGlkIHR1bW9yczsgYW5kIEZUODE5IGVuZ2luZWVyZWQgY2hpbWVyaWMgYW50aWdlbiByZWNlcHRvciAxOSBpUFNDLWRlcml2ZWQgVC1jZWxsIHByb2R1Y3QgY2FuZGlkYXRlIGZvciBoZW1hdG9sb2dpYy9zb2xpZCB0dW1vcnMuIFRoZSBjb21wYW554oCZcyBpbW11bm8tcmVndWxhdGlvbiBwcm9kdWN0IGNhbmRpZGF0ZXMgY29tcHJpc2UgUHJvVG11bmUsIGFuIGludmVzdGlnYXRpb25hbCBwcm9ncmFtbWVkIGNlbGx1bGFyIGltbXVub3RoZXJhcHkgZm9yIHVzZSBhcyBhIG5leHQtZ2VuZXJhdGlvbiBhbGxvZ2VuZWljIGhlbWF0b3BvaWV0aWMgY2VsbCB0cmFuc3BsYW50YXRpb24gY2VsbCBncmFmdDsgVG9sZXJhQ3l0ZSBmb3IgdGhlIHRyZWF0bWVudCBvZiBhdXRvaW1tdW5lIGFuZCBpbmZsYW1tYXRvcnkgZGlzZWFzZXM7IGFuZCBGVDMwMCBpUFNDLWRlcml2ZWQgbXllbG9pZCBkZXJpdmVkIHN1cHBy</t>
  </si>
  <si>
    <t>ZXNzb3IgY2VsbCBwcm9kdWN0IGNhbmRpZGF0ZSBmb3IgdGhlIHRyZWF0bWVudCBvZiBhdXRvaW1tdW5lIGRpc2Vhc2VzLiBGYXRlIFRoZXJhcGV1dGljcywgSW5jLiBoYXMgYSByZXNlYXJjaCBjb2xsYWJvcmF0aW9uIGFuZCBsaWNlbnNlIGFncmVlbWVudCB3aXRoIE1lbW9yaWFsIFNsb2FuIEtldHRlcmluZyBDYW5jZXIgQ2VudGVyIHRvIGRldmVsb3Agb2ZmLXRoZS1zaGVsZiBlbmdpbmVlcmVkIFQtY2VsbCBwcm9kdWN0IGNhbmRpZGF0ZXM7IGEgcmVzZWFyY2ggY29sbGFib3JhdGlvbiBwYXJ0bmVyc2hpcCB3aXRoIHRoZSBVbml2ZXJzaXR5IG9mIENhbGlmb3JuaWEgU2FuIERpZWdvIHRvIGRldmVsb3Agb2ZmLXRoZS1zaGVsZiBjaGltZXJpYyBhbnRpZ2VuIHJlY2VwdG9yLXRhcmdldGVkIG5hdHVyYWwga2lsbGVyIGNlbGwgY2FuY2VyIGltbXVub3RoZXJhcGllcy4gSXQgYWxzbyBoYXMgYSBzdHJhdGVnaWMgcmVzZWFyY2ggY29sbGFib3JhdGlvbiBhbmQgbGljZW5zZSBhZ3JlZW1lbnQgd2l0aCBKdW5vIFRoZXJhcGV1dGljcywgSW5jLiB0byBpZGVudGlmeSBzbWFsbCBtb2xlY3VsZSBtb2R1bGF0b3JzIHRoYXQgZW5oYW5jZSB0aGUgZnVuY3Rpb24gb2YgVCBjZWxscy4gRmF0ZSBUaGVyYXBldXRpY3MsIEluYy4gd2FzIGZvdW5kZWQgaW4gMjAwNyBhbmQgaXMgaGVhZHF1YXJ0ZXJlZCBpbiBT</t>
  </si>
  <si>
    <t>YW4gRGllZ28sIENhbGlmb3JuaWEuANaMETgICdYIIrvpgTQJ1ggxQ0lRLk5BU0RBUUdTOkJHTkUuSVFfQ0FQRVguLjcvMTYvMjAxOC5MRlIuRi5VU0QuSAEAAADg5N0GAgAAAActNTEuMDAyAQgAAAAFAAAAATEBAAAACjE4ODc2ODg1ODgDAAAAAzE2MAIAAAAEMjAyMQQAAAABMAcAAAAJNy8xNi8yMDE4CAAAAAkzLzMxLzIwMTgJAAAAATDE/xsRNQnWCGhgZxI1CdYIPUNJUS5OQVNEQVFHTTpGQVRFLklRX0VCSVREQV9NQVJHSU4uMjAwMC43LzMxLzIwMTguTEZSLkYuVVNELkgBAAAAaDFXAgMAAAACTk0BCAAAAAUAAAABMQEAAAAKMTg4ODUwMDUyNwMAAAADMTYwAgAAAAQ0MDQ3BAAAAAEwBwAAAAk3LzMxLzIwMTgIAAAACTMvMzEvMjAxOAkAAAABMNaMETgICdYIw4afbzQJ1ggxQ0lRLi5JUV9DQVNIX1NUX0lOVkVTVC4yMDAwLjcvMzEvMjAxOC5MRlIuRi5VU0QuSAUAAAABAAAACAAAABQoSW52YWxpZCBJZGVudGlmaWVyKfWEMkc0CdYI9YQyRzQJ1ggxQ0lRLklRVFIyNTM5NTQ0NzMuSVFfVFJfVEFSR0VUX1JFVkVOVUVfRVNULi5VU0QuSAEAAACpCSMPAgAAAAAAsrNJbzQJ1gg1m5NvNAnWCCBDSVEuSVFUUjI0NTgzMTAwNy5JUV9UUl9FQVJOT1VUUwEAAABfFacOAgAAAAAAsrNJbzQJ1giB/ZVvNAnWCD9DSVEuTkFTREFRQ006WklPUC5JUV9ORVRfV09SS0lOR19DQVAuMTk5Ni43LzMxLzIwMTguTEZS</t>
  </si>
  <si>
    <t>LkYuVVNELkgBAAAAs1GyAAIAAAAFOC44MzkBCAAAAAUAAAABMQEAAAAKMTg4Nzk3MjM0OAMAAAADMTYwAgAAAAQxMzExBAAAAAEwBwAAAAk3LzMxLzIwMTgIAAAACTMvMzEvMjAxNwkAAAABMNaMETgICdYIw4afbzQJ1ggqQ0lRLklRVFI1NTExNjYyOTIuSVFfVFJfVEFSR0VUX0VCSVQuLlVTRC5IAQAAAFQh2iACAAAABy01Ny43ODkBBgAAAAUAAAACMzcBAAAACjE4Nzc0NzgxOTcCAAAABTIxNjc1AwAAAAMxNjAEAAAAATAHAAAACDEvMS8xOTAwDG0QDjUJ1gjA24IONQnWCCJDSVEuSVFUUjU0ODMzODAyMC5JUV9UUl9UQVJHRVROQU1FAQAAAGT5riADAAAAOkdsb2JhbCBDb21tZXJjaWFsIFJpZ2h0cyBmb3IgVmFybGl0aW5pYiBvZiBBcnJheSBCaW9QaGFybWEADG0QDjUJ1gjA24IONQnWCDtDSVEuTkFTREFRR006WE5DUi5JUV9UT1RBTF9SRVYuQ1kyMDE2LjcvMTYvMjAxOC5MRlIuRi5VU0QuSAEAAACmWgsAAgAAAAU4Ny41MgEIAAAABQAAAAExAQAAAAoxODc2OTg0NTIzAwAAAAMxNjACAAAAAjI4BAAAAAEwBwAAAAk3LzE2LzIwMTgIAAAACjEyLzMxLzIwMTYJAAAAATDE/xsRNQnWCBL+ZBI1CdYIMUNJUS5JUVRSNTUwMjU5Mzk3LklRX1RSX1RBUkdFVF9SRVZFTlVFX0VTVC4uVVNELkgBAAAAxUrMIAIAAAAHNjguMDA2NAAMbRAONQnWCHd5gA41CdYIPENJUS5OQVNEQVFHUzpDQUxBLklRX1RPVEFM</t>
  </si>
  <si>
    <t>X0VRVUlUWS4yMDAwLjcvMzEvMjAxOC5MRlIuRi5VU0QuSAEAAAClJ4EGAgAAAAcxNDcuODY3AQgAAAAFAAAAATEBAAAACjE4ODc5ODAzMDUDAAAAAzE2MAIAAAAEMTI3NQQAAAABMAcAAAAJNy8zMS8yMDE4CAAAAAkzLzMxLzIwMTgJAAAAATDIMLI3CAnWCN1LpG80CdYILENJUS5JUVRSNTQ4MzM4MDIwLklRX1RSX1RBUkdFVF9FQklUREEuLlVTRC5IAQAAAGT5riACAAAAAAAMbRAONQnWCMDbgg41CdYIIUNJUS5OQVNEQVFHUzpHVEhYLklRX0NPTVBBTllfTkFNRQEAAABlNGkIAwAAABVHMSBUaGVyYXBldXRpY3MsIEluYy4AnAvVOAgJ1ggkwppvNAnWCDBDSVEuSVFUUjQwODQwNzgyMi5JUV9UUl9UQVJHRVRfRUJJVERBX0VTVC4uVVNELkgBAAAADs9XGAIAAAAAALKzSW80CdYIgf2VbzQJ1ggkQ0lRLk5BU0RBUUdNOkFSUUwuSVFfRUZGRUNUX1RBWF9SQVRFAQAAAPZhAAADAAAAAADWjBE4CAnWCMOGn280CdYIJ0NJUS5OQVNEQVFHUzpNUlNOLklRX1BFUklPRERBVEVfSVMuMTAwMAEAAADmxRgABQAAAAoxMi8zMS8yMDE3ANaMETgICdYIw4afbzQJ1ggaQ0lRLi5JUV9CRVRBXzVZUi43LzMxLzIwMTgFAAAAAQAAAAgAAAAUKEludmFsaWQgSWRlbnRpZmllcin1hDJHNAnWCPWEMkc0CdYIJUNJUS5OQVNEQVFHUzpOSy5JUV9CRVRBXzFZUi43LzMxLzIwMTgBAAAADX2hDwIAAAAQMS43NzUxNDQ1MTIxMDM5</t>
  </si>
  <si>
    <t>NADWjBE4CAnWCBnpoW80CdYIHUNJUS5JUTM0MTQ1LklRX0NPTVBBTllfVElDS0VSAQAAAGGFAAADAAAADU5hc2RhcUdTOlNHRU4ADG0QDjUJ1ggMPoUONQnWCDtDSVEuTkFTREFRR006SU1NVS5JUV9UT1RBTF9SRVYuQ1kyMDE2LjcvMzEvMjAxOC5MRlIuRi5VU0QuSAEAAAAgQwQAAgAAAAgyLjk1NzI0MQEIAAAABQAAAAExAQAAAAoxODczNDkzNDkxAwAAAAMxNjACAAAAAjI4BAAAAAEwBwAAAAk3LzMxLzIwMTgIAAAACjEyLzMxLzIwMTYJAAAAATCcC9U4CAnWCNRfmG80CdYIIkNJUS4uSVFfVFJfSU1QTElFRF9FVl9GSU5BTC4uVVNELkgFAAAAAAAAAAgAAAAUKEludmFsaWQgSWRlbnRpZmllcimcC9U4CAnWCHd5gA41CdYIRkNJUS5OQVNEQVFDTTpTUk5FLklRX01JTk9SSVRZX0lOVEVSRVNUX1RPVEFMLjIwMDAuNS81LzIwMTcuTEZSLkYuVVNELkgBAAAASUOUAwIAAAAFNi40NjUBCAAAAAUAAAABMQEAAAAKMTgzMzU2NjU5OQMAAAADMTYwAgAAAAQxMzEyBAAAAAEwBwAAAAg1LzUvMjAxNwgAAAAKMTIvMzEvMjAxNgkAAAABMNaMETgICdYIcySdbzQJ1ggnQ0lRLk5BU0RBUUNNOkFWRU8uSVFfQkVUQV8xWVIuNy8xNi8yMDE4AQAAAPQWHQACAAAAETAuMTEyMDc2NDMyODUzMjk4AMT/GxE1CdYIwptiEjUJ1ggrQ0lRLklRVFI1MzMzODU3NDQuSVFfVFJfVE9UQUxfR1JPU1NfVFYuLlVTRAEAAAAQ0sof</t>
  </si>
  <si>
    <t>AgAAAAQyMzIwAQYAAAAFAAAAAjU0AQAAAAYxMDIwODgCAAAACTUzMzM4NTc0NAMAAAAJNTMzMzg1ODI0BAAAAAMxNjAGAAAABUZhbHNlDG0QDjUJ1gjA24IONQnWCCNDSVEuTkFTREFRR1M6UEJZSS5JUV9QRVJJT0REQVRFX0lTLgEAAAACaqwHBQAAAAk2LzMwLzIwMTgAxP8bETUJ1ggS/mQSNQnWCCJDSVEuSVFUUjUzMzM4NTc0NC5JUV9UUl9UQVJHRVROQU1FAQAAABDSyh8DAAAAFklGTSBUaGVyYXBldXRpY3MsIEluYy4ADG0QDjUJ1gh3eYAONQnWCDBDSVEuTkFTREFRR006Q1JWUy5JUV9MQVNUU0FMRVBSSUNFLjcvMzEvMjAxOC5VU0QBAAAA9LCmEAIAAAAEOS44NwDWjBE4CAnWCBnpoW80CdYIQ0NJUS5OQVNEQVFHUzpDQUxBLklRX01JTk9SSVRZX0lOVEVSRVNUX1RPVEFMLi43LzE2LzIwMTguTEZSLkYuVVNELkgBAAAApSeBBgMAAAAAACkclBA1CdYI5HRbEjUJ1gg3Q0lRLk5BU0RBUUdTOkFEWFMuSVFfRUJJVF9NQVJHSU4uLjcvMTYvMjAxOC5MRlIuRi5VU0QuSAEAAACe7HgAAwAAAAJOTQEIAAAABQAAAAExAQAAAAoxODkyNzg4NTQ4AwAAAAMxNjACAAAABDQwNTMEAAAAATAHAAAACTcvMTYvMjAxOAgAAAAJNC8zMC8yMDE4CQAAAAEwKRyUEDUJ1gjkdFsSNQnWCClDSVEuTkFTREFRR006TkxOSy5JUV9CVVNJTkVTU19ERVNDUklQVElPTgEAAACVe4wAAwAAAOoNTmV3TGluayBHZW5ldGljcyBD</t>
  </si>
  <si>
    <t>b3Jwb3JhdGlvbiwgYSBsYXRlIGNsaW5pY2FsLXN0YWdlIGltbXVuby1vbmNvbG9neSBjb21wYW55LCBmb2N1c2VzIG9uIGRpc2NvdmVyaW5nIGFuZCBkZXZlbG9waW5nIG5vdmVsIGltbXVub3RoZXJhcGV1dGljIHByb2R1Y3RzIGZvciB0aGUgdHJlYXRtZW50IG9mIHBhdGllbnRzIHdpdGggY2FuY2VyLiBJdCBpcyBkZXZlbG9waW5nIE5MRzIxMDMsIGEgY29tYmluYXRpb24gb2YgaW5kb3hpbW9kIGFuZCBzdGFuZGFyZCBvZiBjYXJlIGNoZWNrcG9pbnQgaW5oaWJpdG9ycywgd2hpY2ggaXMgaW4gUGhhc2UgSUkgY2xpbmljYWwgdHJpYWwgZm9yIHRyZWF0aW5nIHBhdGllbnRzIHdpdGggYWR2YW5jZWQgbWVsYW5vbWE7IGFuZCBJbmRpZ28zMDEsIGEgY29tYmluYXRpb24gb2YgaW5kb3hpbW9kIHdpdGggYSBjaGVja3BvaW50IGluaGliaXRvciB0aGF0IGlzIGluIFBoYXNlIElJSSBjbGluaWNhbCB0cmlhbCBmb3IgdHJlYXRpbmcgcGF0aWVudHMgd2l0aCBhZHZhbmNlZCB1bnJlc2VjdGFibGUgb3IgbWV0YXN0YXRpYyBtZWxhbm9tYSwgYXMgd2VsbCBhcyBjb21iaW5hdGlvbiBvZiBpbmRveGltb2Qgd2l0aCBvdGhlciBjYW5jZXIgdGhlcmFwZXV0aWNzIGZvciBwYXRpZW50cyB3aXRoIG1lbGFub21hLCBwYW5jcmVhdGljIGNhbmNlciwgcGVkaWF0cmljIGJyYWluIHR1bW9ycywgYW5kIGFjdXRlIG15</t>
  </si>
  <si>
    <t>ZWxvaWQgbGV1a2VtaWEuIFRoZSBjb21wYW55IGlzIGFsc28gZGV2ZWxvcGluZyBOTEc4MDIsIGEgcHJvZHJ1ZyBvZiBpbmRveGltb2QsIHdoaWNoIGhhcyBjb21wbGV0ZWQgUGhhc2UgSSBjbGluaWNhbCB0cmlhbDsgYW5kIE5MRzkxOSwgYSBjbGluaWNhbCBzdGFnZSBpbmRvbGVhbWluZS0yLCAzLWRpb3h5Z2VuYXNlIHBhdGh3YXkgaW5oaWJpdG9yLiBJbiBhZGRpdGlvbiwgaXQgaXMgZGV2ZWxvcGluZyB0ZXJnZW5wdW1hdHVjZWwtTCBhbmQgZG9yZ2VubWVsdHVjZWwtTCB0aGF0IGFyZSBpbiBQaGFzZSBJSSBjbGluaWNhbCB0cmlhbHMgZm9yIHRyZWF0aW5nIHBhdGllbnRzIHdpdGggYWR2YW5jZWQgbHVuZyBjYW5jZXIgYW5kIG1lbGFub21hOyBhbmQgQ1JMWDEwMSBhbmQgQ1JMWDMwMSwgd2hpY2ggYXJlIGluIGVhcmx5IGNsaW5pY2FsIGRldmVsb3BtZW50IHRvIHRyZWF0IHBhdGllbnRzIHdpdGggYWR2YW5jZWQgc29saWQgbWFsaWduYW5jaWVzLiBUaGUgY29tcGFueSBoYXMgc3RyYXRlZ2ljIGNvbGxhYm9yYXRpb24gYWdyZWVtZW50IHdpdGggQXN0cmFaZW5lY2EgdG8gZXZhbHVhdGUgdGhlIGNvbWJpbmF0aW9uIG9mIGluZG94aW1vZCBhbmQgZHVydmFsdW1hYiwgYW4gYW50aS1QRC1MMSBtb25vY2xvbmFsIGFudGlib2R5IGZvciB0cmVhdGluZyBwYXRpZW50cyB3aXRoIG1ldGFzdGF0aWMg</t>
  </si>
  <si>
    <t>cGFuY3JlYXRpYyBjYW5jZXI7IEdlbmVudGVjaCBJbmMuIGZvciB0aGUgZGV2ZWxvcG1lbnQgYW5kIGNvbW1lcmNpYWxpemF0aW9uIG9mIE5MRzkxOSwgYXMgd2VsbCBhcyBhIHJlc2VhcmNoIGNvbGxhYm9yYXRpb24gZm9yIHRoZSBkaXNjb3Zlcnkgb2YgbmV4dCBnZW5lcmF0aW9uIElETy9URE8gaW5oaWJpdG9yczsgYW5kIE1lcmNrIFNoYXJwZSBhbmQgRG9obWUgQ29ycC4gdG8gcmVzZWFyY2gsIGRldmVsb3AsIGFuZCBjb21tZXJjaWFsaXplIHJWU1YgRy1aRUJPViBHUCwgYW4gRWJvbGEgdmFjY2luZSBwcm9kdWN0IGNhbmRpZGF0ZS4gTmV3TGluayBHZW5ldGljcyBDb3Jwb3JhdGlvbiB3YXMgZm91bmRlZCBpbiAxOTk5IGFuZCBpcyBoZWFkcXVhcnRlcmVkIGluIEFtZXMsIElvd2EuACkclBA1CdYI5HRbEjUJ1gg1Q0lRLk5BU0RBUUdTOk1SU04uSVFfVE9UQUxfUkVWLi43LzE2LzIwMTguTEZSLkYuVVNELkgBAAAA5sUYAAIAAAAGMTYuMzE5AQgAAAAFAAAAATEBAAAACjE4ODkwOTY2NTMDAAAAAzE2MAIAAAACMjgEAAAAATAHAAAACTcvMTYvMjAxOAgAAAAJMy8zMS8yMDE4CQAAAAEwxP8bETUJ1ghzOWASNQnWCDxDSVEuTkFTREFRR1M6QURYUy5JUV9FQklUREFfRVNULkNZMjAyMC43LzE2LzIwMTguQ09OLkYuVVNELkgBAAAAnux4AAMAAAAAACkclBA1CdYI5HRbEjUJ1gg1Q0lRLk9UQ1BLOk5X</t>
  </si>
  <si>
    <t>Qk8uSVFfRUJJVERBLkNZMjAxNy43LzE2LzIwMTguTEZSLkYuVVNELkgBAAAAo3oUAAIAAAAHLTU0LjIzOQEIAAAABQAAAAExAQAAAAoxODgzMjQ5MDg2AwAAAAMxNjACAAAABDQwNTEEAAAAATAHAAAACTcvMTYvMjAxOAgAAAAKMTIvMzEvMjAxNwkAAAABMCkclBA1CdYIczlgEjUJ1gg1Q0lRLk5BU0RBUUdTOkJHTkUuSVFfVE9UQUxfRVFVSVRZLkNZMjAxNy4uTEZSLkYuVVNELkgBAAAA4OTdBgIAAAAGNjgxLjk0AQgAAAAFAAAAATEBAAAACjE4OTk4ODExOTQDAAAAAzE2MAIAAAAEMTI3NQQAAAABMAcAAAAJOC8yMy8yMDE4CAAAAAoxMi8zMS8yMDE3CQAAAAEwnAvVOAgJ1gicC9U4CAnWCDhDSVEuTkFTREFRQ006Q0tQVC5JUV9UT1RBTF9FUVVJVFkuLjcvMTYvMjAxOC5MRlIuRi5VU0QuSAEAAAC4URYRAgAAAAYyOC44OTkBCAAAAAUAAAABMQEAAAAKMTg4ODAwNzIyMwMAAAADMTYwAgAAAAQxMjc1BAAAAAEwBwAAAAk3LzE2LzIwMTgIAAAACTMvMzEvMjAxOAkAAAABMCkclBA1CdYI5HRbEjUJ1gg2Q0lRLk5BU0RBUUdNOkZBVEUuSVFfRUJJVERBLjE5OTIuNy8zMS8yMDE4LkxGUi5GLlVTRC5IAQAAAGgxVwICAAAABy0yNy41ODgBCAAAAAUAAAABMQEAAAAKMTg0MzU0NDMyMQMAAAADMTYwAgAAAAQ0MDUxBAAAAAEwBwAAAAk3LzMxLzIwMTgIAAAACTMvMzEvMjAxNgkAAAABMNaMETgICdYIw4afbzQJ</t>
  </si>
  <si>
    <t>1ggvQ0lRLklRVFI0MTM5NTM2NjEuSVFfVFJfVEFSR0VUX1RPVEFMX1JFVi4uVVNELkgBAAAAfW6sGAIAAAAAALKzSW80CdYIgf2VbzQJ1ghNQ0lRLihJTlZBTElEIElERU5USUZJRVIpLklRX01JTk9SSVRZX0lOVEVSRVNUX1RPVEFMLjIwMDAuNS81LzIwMTcuTEZSLkYuVVNELkgFAAAAAAAAAAgAAAAUKEludmFsaWQgSWRlbnRpZmllcinIMLI3CAnWCO02sG80CdYIJkNJUS5YVFJBOk1PUi5JUV9MQVNUU0FMRVBSSUNFLjUvNS8yMDE3AQAAAN8RAgACAAAACTYyLjYwMDI4NgCcC9U4CAnWCNRfmG80CdYIJ0NJUS5OQVNEQVFDTTpaSU9QLklRX0JFVEFfNVlSLjcvMzEvMjAxOAEAAACzUbIAAgAAABAxLjMwMDY2MzM2MTAxMDAzANaMETgICdYIw4afbzQJ1gg+Q0lRLlhUUkE6TU9SLklRX0VCSVREQV8zWVJfQU5OX0NBR1IuMjAwMC43LzMxLzIwMTguTEZSLkYuVVNELkgBAAAA3xECAAMAAAACTk0BCAAAAAUAAAABMQEAAAAKMTg4NjE1MTY0OAMAAAACNTACAAAABDQyMjIEAAAAATAHAAAACTcvMzEvMjAxOAgAAAAJMy8zMS8yMDE4CQAAAAEwnAvVOAgJ1gjUX5hvNAnWCD9DSVEuTkFTREFRR1M6Q0FMQS5JUV9ORVRfV09SS0lOR19DQVAuMTk5Ni43LzMxLzIwMTguTEZSLkYuVVNELkgBAAAApSeBBgIAAAAHLTE4LjQ4OQEIAAAABQAAAAExAQAAAAoxODg3OTgwMjc3AwAAAAMxNjACAAAABDEzMTEEAAAAATAH</t>
  </si>
  <si>
    <t>AAAACTcvMzEvMjAxOAgAAAAJMy8zMS8yMDE3CQAAAAEwyDCyNwgJ1gjdS6RvNAnWCDhDSVEuTkFTREFRR1M6TksuSVFfRUFSTklOR19DTy4xOTkyLjcvMzEvMjAxOC5MRlIuRi5VU0QuSAEAAAANfaEPAgAAAAgtMjM0LjcwNAEIAAAABQAAAAExAQAAAAoxODQwNzQxODU3AwAAAAMxNjACAAAAATcEAAAAATAHAAAACTcvMzEvMjAxOAgAAAAJMy8zMS8yMDE2CQAAAAEw1owROAgJ1ggZ6aFvNAnWCEFDSVEuWFRSQTpNT1IuSVFfVE9UQUxfUkVWXzJZUl9BTk5fQ0FHUi4yMDAwLjcvMzEvMjAxOC5MRlIuRi5VU0QuSAEAAADfEQIAAgAAAAY5Ljc5NjYBCAAAAAUAAAABMQEAAAAKMTg4NjE1MTY0OAMAAAACNTACAAAABDQyMDcEAAAAATAHAAAACTcvMzEvMjAxOAgAAAAJMy8zMS8yMDE4CQAAAAEwnAvVOAgJ1gjUX5hvNAnWCClDSVEuSVFUUjMxNDgyOTIzNi5JUV9UUl9JTVBMSUVEX0VRX05JX0xUTQEAAAC06cMSAgAAAAAAWM8SDjUJ1gjA24IONQnWCDJDSVEuT1RDUEs6TUJWWC5JUV9OSV9NQVJHSU4uLjcvMTYvMjAxOC5MRlIuRi5VU0QuSAEAAADYRIsCAwAAAAAA3qd+EDUJ1giYElkSNQnWCD1DSVEuTkFTREFRR1M6QURYUy5JUV9SRVZFTlVFX0VTVC5DWTIwMTguNy8xNi8yMDE4LkNPTi5GLlVTRC5IAQAAAJ7seAACAAAABjcuNTQ3NQEOAAAABQAAAAIxMQEAAAABMAIAAAAJNjUwNjU1MDU1AwAAAAYxMDAx</t>
  </si>
  <si>
    <t>ODAEAAAAATIGAAAAATAHAAAAAzE2MAgAAAABMAkAAAABMQoAAAABMAsAAAALMTA5MjQwNjUxOTYMAAAAATcNAAAACTcvMTcvMjAxOBAAAAAJNy8xNi8yMDE4KRyUEDUJ1gjkdFsSNQnWCDhDSVEuTkFTREFRQ006Q0tQVC5JUV9FQklUREEuQ1kyMDE2LjcvMTYvMjAxOC5MRlIuRi5VU0QuSAEAAAC4URYRAwAAAAAAKRyUEDUJ1ggw110SNQnWCC5DSVEuSVFUUjU1MDI1OTM5Ny5JUV9UUl9UQVJHRVRfU1RPQ0tQUkVNSVVNXzFNAQAAAMVKzCACAAAABzg5LjEzMDQBBgAAAAUAAAACNTQBAAAABjEwMTA1NQIAAAAJNTUwMjU5Mzk3AwAAAAk1NTAyNjQ1NjQEAAAAAzE2MAYAAAAFRmFsc2UMbRAONQnWCHd5gA41CdYIPkNJUS5OQVNEQVFHTTpYTkNSLklRX1RPVEFMX0VRVUlUWS5DWTIwMTcuNy8xNi8yMDE4LkxGUi5GLlVTRC5IAQAAAKZaCwACAAAABzI4Mi4wNDYBCAAAAAUAAAABMQEAAAAKMTg3Njk4NDU1MgMAAAADMTYwAgAAAAQxMjc1BAAAAAEwBwAAAAk3LzE2LzIwMTgIAAAACjEyLzMxLzIwMTcJAAAAATDE/xsRNQnWCBL+ZBI1CdYIJ0NJUS5OQVNEQVFHTTpBRk1ELklRX0JFVEFfMVlSLjcvMTYvMjAxOAEAAADb9wwAAgAAABEtMS41MTkwODQ5NzczMzYzMgApHJQQNQnWCDDXXRI1CdYIP0NJUS4oSU5WQUxJRCBJREVOVElGSUVSKS5JUV9FQklUREEuQ1kyMDE3LjcvMTYvMjAxOC5MRlIuRi5VU0QuSAUA</t>
  </si>
  <si>
    <t>AAAAAAAACAAAABQoSW52YWxpZCBJZGVudGlmaWVyKd6nfhA1CdYImBJZEjUJ1ghDQ0lRLk5BU0RBUUdNOlhOQ1IuSVFfTUlOT1JJVFlfSU5URVJFU1RfVE9UQUwuLjcvMTYvMjAxOC5MRlIuRi5VU0QuSAEAAACmWgsAAwAAAAAAxP8bETUJ1ggS/mQSNQnWCEJDSVEuTkFTREFRR1M6UEJZSS5JUV9UT1RBTF9SRVZfNVlSX0FOTl9DQUdSLi43LzE2LzIwMTguTEZSLkYuVVNELkgBAAAAAmqsBwMAAAAAAMT/GxE1CdYIEv5kEjUJ1gg8Q0lRLk5BU0RBUUdTOk1SU04uSVFfVE9UQUxfRVFVSVRZLjE5OTIuNy8zMS8yMDE4LkxGUi5GLlVTRC5IAQAAAObFGAADAAAAAADWjBE4CAnWCMOGn280CdYIIkNJUS5JUVRSNDIyODg3NzAxLklRX1RSX1RPVEFMX0NBU0gBAAAAFcE0GQIAAAADMC41AQYAAAAFAAAAAjU0AQAAAAYxMDEwNTYCAAAACTQyMjg4NzcwMQMAAAAJNDMwNDA2MzQzBAAAAAMxNjAGAAAABUZhbHNlDG0QDjUJ1gjA24IONQnWCC5DSVEuSVFUUjI0NTgzMTAwNy5JUV9UUl9UQVJHRVRfU1RPQ0tQUkVNSVVNXzFNAQAAAF8Vpw4CAAAABzYxLjkwNDgAsrNJbzQJ1giB/ZVvNAnWCDVDSVEuTkFTREFRR006TkxOSy5JUV9UT1RBTF9SRVYuLjcvMTYvMjAxOC5MRlIuRi5VU0QuSAEAAACVe4wAAgAAAAUzNS44NQEIAAAABQAAAAExAQAAAAoxODg4MzU0MjA3AwAAAAMxNjACAAAAAjI4BAAAAAEwBwAAAAk3LzE2</t>
  </si>
  <si>
    <t>LzIwMTgIAAAACTMvMzEvMjAxOAkAAAABMCkclBA1CdYI5HRbEjUJ1gglQ0lRLklRVFIyNTM5NTQ0NzMuSVFfVFJfSU1QTElFRF9FUV9CVgEAAACpCSMPAgAAAAAAsrNJbzQJ1gg1m5NvNAnWCC1DSVEuTkFTREFRR1M6QVROWC5JUV9NQVJLRVRDQVAuNS81LzIwMTcuVVNELkgBAAAA3JlrAQMAAAAAANaMETgICdYIJMKabzQJ1gglQ0lRLklRVFI1NDc0MjM2ODAuSVFfVFJfTUFKX01JTl9TVEFLRQEAAADABaEgAwAAAAhNYWpvcml0eQAMbRAONQnWCMDbgg41CdYINkNJUS5OQVNEQVFHTTpJTU1VLklRX0VCSVREQS4xOTk2LjcvMzEvMjAxOC5MRlIuRi5VU0QuSAEAAAAgQwQAAgAAAAotNjYuMTk1OTA3AQgAAAAFAAAAATEBAAAACjE4ODg1MjMzOTIDAAAAAzE2MAIAAAAENDA1MQQAAAABMAcAAAAJNy8zMS8yMDE4CAAAAAkzLzMxLzIwMTcJAAAAATCcC9U4CAnWCNRfmG80CdYINkNJUS5OQVNEQVFHTTpDUlZTLklRX0VCSVREQS4yMDAwLjcvMzEvMjAxOC5MRlIuRi5VU0QuSAEAAAD0sKYQAgAAAActNTQuMDk0AQgAAAAFAAAAATEBAAAACjE4ODYzNjc1OTEDAAAAAzE2MAIAAAAENDA1MQQAAAABMAcAAAAJNy8zMS8yMDE4CAAAAAkzLzMxLzIwMTgJAAAAATDWjBE4CAnWCBnpoW80CdYIJ0NJUS5OQVNEQVFHTTpDUklTLklRX0JFVEFfMllSLjcvMzEvMjAxOAEAAAAXagAAAgAAABAzLjA1MDY5NTkyNDEwMDg3</t>
  </si>
  <si>
    <t>AMgwsjcICdYI3UukbzQJ1ghDQ0lRLk5BU0RBUUdTOkNBTEEuSVFfTUlOT1JJVFlfSU5URVJFU1RfVE9UQUwuLjkvMTUvMjAxNy5MRlIuRi5VU0QuSAEAAAClJ4EGAwAAAAAAKRyUEDUJ1gjkdFsSNQnWCCNDSVEuTkFTREFRR1M6Q0FMQS5JUV9QRVJJT0REQVRFX0lTLgEAAAClJ4EGBQAAAAk2LzMwLzIwMTgAKRyUEDUJ1gjkdFsSNQnWCENDSVEuTkFTREFRR006Q1JWUy5JUV9FQklUREFfMllSX0FOTl9DQUdSLjIwMDAuNy8zMS8yMDE4LkxGUi5GLlVTRC5IAQAAAPSwphADAAAAAk5NAQgAAAAFAAAAATEBAAAACjE4ODYzNjc1OTEDAAAAAzE2MAIAAAAENDIwOQQAAAABMAcAAAAJNy8zMS8yMDE4CAAAAAkzLzMxLzIwMTgJAAAAATDWjBE4CAnWCBnpoW80CdYINUNJUS5OQVNEQVFDTTpTUk5FLklRX0NBUEVYLjE5OTYuNy8zMS8yMDE4LkxGUi5GLlVTRC5IAQAAAElDlAMCAAAABy0xMC40MjUBCAAAAAUAAAABMQEAAAAKMTg4Nzk4OTgyOAMAAAADMTYwAgAAAAQyMDIxBAAAAAEwBwAAAAk3LzMxLzIwMTgIAAAACTMvMzEvMjAxNwkAAAABMNaMETgICdYIcySdbzQJ1gg8Q0lRLk5BU0RBUUdTOkFUTlguSVFfR1JPU1NfTUFSR0lOLjIwMDAuNy8zMS8yMDE4LkxGUi5GLlVTRC5IAQAAANyZawECAAAACC00Ny43MTk0AQgAAAAFAAAAATEBAAAACjE4ODg3MDI5ODIDAAAAAzE2MAIAAAAENDA3NAQAAAABMAcAAAAJ</t>
  </si>
  <si>
    <t>Ny8zMS8yMDE4CAAAAAkzLzMxLzIwMTgJAAAAATDWjBE4CAnWCCTCmm80CdYIO0NJUS5OQVNEQVFHUzpNUlNOLklRX05FVF9XT1JLSU5HX0NBUC4uNy8xNi8yMDE4LkxGUi5GLlVTRC5IAQAAAObFGAACAAAABy0yNS45MzgBCAAAAAUAAAABMQEAAAAKMTg4OTA5NjY1MwMAAAADMTYwAgAAAAQxMzExBAAAAAEwBwAAAAk3LzE2LzIwMTgIAAAACTMvMzEvMjAxOAkAAAABMMT/GxE1CdYIczlgEjUJ1ggjQ0lRLklRVFI0MDg0MDc4MjIuSVFfVFJfQ0xPU0VEX0RBVEUBAAAADs9XGAUAAAAKMTIvMjkvMjAxNgCys0lvNAnWCIH9lW80CdYIPkNJUS5OQVNEQVFHUzpHVEhYLklRX1RPVEFMX0VRVUlUWS5DWTIwMTcuNy8zMS8yMDE4LkxGUi5GLlVTRC5IAQAAAGU0aQgCAAAABjkzLjM4OAEIAAAABQAAAAExAQAAAAoxODc1MzI3MzA2AwAAAAMxNjACAAAABDEyNzUEAAAAATAHAAAACTcvMzEvMjAxOAgAAAAKMTIvMzEvMjAxNwkAAAABMNaMETgICdYIJMKabzQJ1ggqQ0lRLklRVFIzMTQ4MjkyMzYuSVFfVFJfVEFSR0VUX0VCSVQuLlVTRC5IAQAAALTpwxICAAAAAABYzxIONQnWCMDbgg41CdYIIkNJUS5JUVRSNTQyODA2Njg2LklRX1RSX1BDVF9TT1VHSFQBAAAAnpJaIAIAAAADMTAwALKzSW80CdYIgf2VbzQJ1gg4Q0lRLk9UQ1BLOk1CVlguSVFfTkVUX1dPUktJTkdfQ0FQLi43LzE2LzIwMTguTEZSLkYuVVNELkgB</t>
  </si>
  <si>
    <t>AAAA2ESLAgIAAAAJLTMuNzg0NzcyAQgAAAAFAAAAATEBAAAACjE4ODEyMTMyNDUDAAAAAzE2MAIAAAAEMTMxMQQAAAABMAcAAAAJNy8xNi8yMDE4CAAAAAoxMi8zMS8yMDE3CQAAAAEw3qd+EDUJ1giYElkSNQnWCC5DSVEuTkFTREFRR1M6RlBSWC5JUV9NQVJLRVRDQVAuOS8xNS8yMDE3LlVTRC5IAQAAADddMwACAAAACzEwMzQuOTg0MjczAQYAAAAFAAAAATEBAAAACjE4NTI0NzQ2MjcDAAAAAzE2MAIAAAAGMTAwMDU0BAAAAAEwBwAAAAk5LzE1LzIwMTcpHJQQNQnWCHM5YBI1CdYIHkNJUS5JUTYwMDkxMS5JUV9DT01QQU5ZX1RJQ0tFUgEAAABPKwkAAwAAAA1OYXNkYXFHUzpNR05YAAxtEA41CdYIoSmRDjUJ1ggwQ0lRLklRVFI1NDc0MjM2ODAuSVFfVFJfVEFSR0VUX0VCSVREQV9FU1QuLlVTRC5IAQAAAMAFoSACAAAAAAAMbRAONQnWCMDbgg41CdYIIENJUS5JUTI3ODkyNjMzLklRX0NPTVBBTllfVElDS0VSAQAAAJmbqQEDAAAADU5hc2RhcUNNOk1URU0AsrNJbzQJ1ggZ6aFvNAnWCDlDSVEuTkFTREFRR006SU1NVS5JUV9UT1RBTF9ERUJULjIwMDAuNS81LzIwMTcuTEZSLkYuVVNELkgBAAAAIEMEAAIAAAAJOTcuNzE5MzA5AQgAAAAFAAAAATEBAAAACjE4MjcyNDgzNjADAAAAAzE2MAIAAAAENDE3MwQAAAABMAcAAAAINS81LzIwMTcIAAAACjEyLzMxLzIwMTYJAAAAATCcC9U4CAnWCNRfmG80CdYI</t>
  </si>
  <si>
    <t>JUNJUS5JUVRSMzAyODY2NjI3LklRX1RSX0lNUExJRURfRVFfQlYBAAAAw2ANEgIAAAAAAFjPEg41CdYIDD6FDjUJ1ggrQ0lRLk5BU0RBUUdTOk1SU04uSVFfTEFTVFNBTEVQUklDRS41LzUvMjAxNwEAAADmxRgAAwAAAAAA1owROAgJ1gjDhp9vNAnWCENDSVEuTkFTREFRR1M6TVJTTi5JUV9NSU5PUklUWV9JTlRFUkVTVF9UT1RBTC4uNy8xNi8yMDE4LkxGUi5GLlVTRC5IAQAAAObFGAADAAAAAADE/xsRNQnWCHM5YBI1CdYIM0NJUS5OQVNEQVFHTTpOTE5LLklRX1BFUklPRERBVEVfSVMuLjcvMTYvMjAxOC5MRlIuRgEAAACVe4wABQAAAAkzLzMxLzIwMTgAKRyUEDUJ1gjkdFsSNQnWCCxDSVEuSVFUUjQxMzk1MzY2MS5JUV9UUl9UT1RBTF9HUk9TU19UVi5VU0QuSAUAAAAAAAAACAAAABooSW52YWxpZCBDdXJyZW5jeSBSZXF1ZXN0KUlTR280CdYIgf2VbzQJ1gg9Q0lRLk5BU0RBUUdNOklNTVUuSVFfUkVWRU5VRV9FU1QuQ1kyMDE4LjcvMzEvMjAxOC5DT04uRi5VU0QuSAEAAAAgQwQAAgAAAAcxMS4zNDg5AQ4AAAAFAAAAAjExAQAAAAEwAgAAAAkyODQ0MzQwMjQDAAAABjEwMDE4MAQAAAABMgYAAAABMAcAAAADMTYwCAAAAAEwCQAAAAExCgAAAAEwCwAAAAsxMDk4MDI2MzkxMAwAAAABNw0AAAAIOC8xLzIwMTgQAAAACTcvMzEvMjAxOJwL1TgICdYI1F+YbzQJ1ghDQ0lRLk5BU0RBUUdTOkNBTEEuSVFf</t>
  </si>
  <si>
    <t>RUJJVERBXzNZUl9BTk5fQ0FHUi4yMDAwLjcvMzEvMjAxOC5MRlIuRi5VU0QuSAEAAAClJ4EGAwAAAAJOTQEIAAAABQAAAAExAQAAAAoxODg3OTgwMzA1AwAAAAMxNjACAAAABDQyMjIEAAAAATAHAAAACTcvMzEvMjAxOAgAAAAJMy8zMS8yMDE4CQAAAAEwyDCyNwgJ1gjdS6RvNAnWCDpDSVEuTkFTREFRQ006Q0tQVC5JUV9DQVNIX1NUX0lOVkVTVC4uNy8xNi8yMDE4LkxGUi5GLlVTRC5IAQAAALhRFhECAAAABjM0Ljg2MwEIAAAABQAAAAExAQAAAAoxODg4MDA3MjIzAwAAAAMxNjACAAAABDEwMDIEAAAAATAHAAAACTcvMTYvMjAxOAgAAAAJMy8zMS8yMDE4CQAAAAEwKRyUEDUJ1ggw110SNQnWCDBDSVEuSVFUUjMwMjg2NjYyNy5JUV9UUl9UQVJHRVRfRUJJVERBX0VTVC4uVVNELkgBAAAAw2ANEgIAAAAAAFjPEg41CdYIDD6FDjUJ1gggQ0lRLklRMzYxODM4MjguSVFfTEFTVFNBTEVQUklDRS4BAAAAFB8oAgIAAAAEMi42NQCcC9U4CAnWCHd5gA41CdYIPENJUS5OQVNEQVFHUzpCR05FLklRX0VCSVREQV9FU1QuQ1kyMDIwLjcvMTYvMjAxOC5DT04uRi5VU0QuSAEAAADg5N0GAgAAAAotMjkyLjQzNjQ2AQ4AAAAFAAAAAjExAQAAAAEwAgAAAAoxMDAzMzI2Mjc3AwAAAAYxMDAxODcEAAAAATIGAAAAATAHAAAAAzE2MAgAAAABMAkAAAABMQoAAAABMAsAAAALMTA5NjcxMzg5MzQMAAAAATcNAAAACTcvMTcv</t>
  </si>
  <si>
    <t>MjAxOBAAAAAJNy8xNi8yMDE4xP8bETUJ1ghoYGcSNQnWCDxDSVEuTkFTREFRR1M6QkdORS5JUV9FQklUREFfRVNULkNZMjAyMC43LzMxLzIwMTguQ09OLkYuVVNELkgBAAAA4OTdBgIAAAAKLTMxMy40MzU5OAEOAAAABQAAAAIxMQEAAAABMAIAAAAKMTAwMzMyNjI3NwMAAAAGMTAwMTg3BAAAAAEyBgAAAAEwBwAAAAMxNjAIAAAAATAJAAAAATEKAAAAATALAAAACzEwOTg2NjY0OTI1DAAAAAE3DQAAAAg4LzEvMjAxOBAAAAAJNy8zMS8yMDE4nAvVOAgJ1giB/ZVvNAnWCD5DSVEuTkFTREFRR1M6RlBSWC5JUV9UT1RBTF9FUVVJVFkuQ1kyMDE2LjcvMzEvMjAxOC5MRlIuRi5VU0QuSAEAAAA3XTMAAgAAAAczOTEuNTc1AQgAAAAFAAAAATEBAAAACjE4NzYxMzU5ODgDAAAAAzE2MAIAAAAEMTI3NQQAAAABMAcAAAAJNy8zMS8yMDE4CAAAAAoxMi8zMS8yMDE2CQAAAAEwyDCyNwgJ1ggZ6aFvNAnWCENDSVEuKElOVkFMSUQgSURFTlRJRklFUikuSVFfRUFSTklOR19DTy5DWTIwMTYuNy8xNi8yMDE4LkxGUi5GLlVTRC5IBQAAAAAAAAAIAAAAFChJbnZhbGlkIElkZW50aWZpZXIp3qd+EDUJ1giYElkSNQnWCDtDSVEuTkFTREFRR006TFBUWC5JUV9UT1RBTF9SRVYuQ1kyMDE3LjcvMTYvMjAxOC5MRlIuRi5VU0QuSAEAAAAMNgkHAwAAAAAAKRyUEDUJ1ghoYGcSNQnWCD1DSVEuTkFTREFRR1M6TVJTTi5JUV9SRVZF</t>
  </si>
  <si>
    <t>TlVFX0VTVC5DWTIwMjEuNy8zMS8yMDE4LkNPTi5GLlVTRC5IAQAAAObFGAACAAAABjI2LjU5NAEOAAAABQAAAAIxMQEAAAABMAIAAAAKMTAwMzgwMzg0NQMAAAAGMTAwMTgwBAAAAAEyBgAAAAEwBwAAAAMxNjAIAAAAATAJAAAAATEKAAAAATALAAAACzExMDQzNTgxNTAyDAAAAAE3DQAAAAg4LzEvMjAxOBAAAAAJNy8zMS8yMDE41owROAgJ1gjDhp9vNAnWCDxDSVEuTkFTREFRR1M6QkdORS5JUV9UT1RBTF9FUVVJVFkuMTk5Mi43LzMxLzIwMTguTEZSLkYuVVNELkgBAAAA4OTdBgIAAAAHMjQzLjA5OQEIAAAABQAAAAExAQAAAAoxODQxMTgwMTY4AwAAAAMxNjACAAAABDEyNzUEAAAAATAHAAAACTcvMzEvMjAxOAgAAAAJMy8zMS8yMDE2CQAAAAEwnAvVOAgJ1giB/ZVvNAnWCDdDSVEuTkFTREFRR1M6QkdORS5JUV9QUkVGX0VRVUlUWS4uOS8xNS8yMDE3LkxGUi5GLlVTRC5IAQAAAODk3QYDAAAAAADE/xsRNQnWCGhgZxI1CdYIPUNJUS5OQVNEQVFHTTpOTE5LLklRX1JFVkVOVUVfRVNULkNZMjAxOS43LzE2LzIwMTguQ09OLkYuVVNELkgBAAAAlXuMAAIAAAAIMzkuMTY2NjcBDgAAAAUAAAACMTEBAAAAATACAAAACjEwMDE0MjUwOTIDAAAABjEwMDE4MAQAAAABMgYAAAABMAcAAAADMTYwCAAAAAEwCQAAAAExCgAAAAEwCwAAAAsxMDk0NjQ0OTcwMgwAAAABNw0AAAAJNy8xNy8yMDE4EAAAAAk3LzE2LzIw</t>
  </si>
  <si>
    <t>MTgpHJQQNQnWCOR0WxI1CdYINUNJUS5OQVNEQVFHUzpKTkNFLklRX05JX01BUkdJTi4uNy8xNi8yMDE4LkxGUi5GLlVTRC5IAQAAAOJ5ng0CAAAACC00Ny43MzE0AQgAAAAFAAAAATEBAAAACjE4ODgxODYzNzQDAAAAAzE2MAIAAAAENDA5NAQAAAABMAcAAAAJNy8xNi8yMDE4CAAAAAkzLzMxLzIwMTgJAAAAATApHJQQNQnWCJgSWRI1CdYIOUNJUS5YVFJBOk1PUi5JUV9UT1RBTF9FUVVJVFkuQ1kyMDE2LjcvMzEvMjAxOC5MRlIuRi5VU0QuSAEAAADfEQIAAgAAAAk0MzguNTcyOTYBCAAAAAUAAAABMQEAAAAKMTg3ODMyMzE1NAMAAAADMTYwAgAAAAQxMjc1BAAAAAEwBwAAAAk3LzMxLzIwMTgIAAAACjEyLzMxLzIwMTYJAAAAATCcC9U4CAnWCNRfmG80CdYIIkNJUS5JUVRSMzA3ODYzOTg0LklRX1RSX1RBUkdFVE5BTUUBAAAAsKFZEgMAAAAYY0NBTSBCaW90aGVyYXBldXRpY3MgTHRkAFjPEg41CdYIwNuCDjUJ1gg9Q0lRLk5BU0RBUUdTOk1SU04uSVFfQ0FTSF9TVF9JTlZFU1QuMjAwMC41LzUvMjAxNy5MRlIuRi5VU0QuSAEAAADmxRgAAwAAAAAA1owROAgJ1gjDhp9vNAnWCENDSVEuTkFTREFRR006RkFURS5JUV9FQklUREFfNVlSX0FOTl9DQUdSLjIwMDAuNy8zMS8yMDE4LkxGUi5GLlVTRC5IAQAAAGgxVwIDAAAAAk5NAQgAAAAFAAAAATEBAAAACjE4ODg1MDA1MjcDAAAAAzE2MAIAAAAENDIzNQQA</t>
  </si>
  <si>
    <t>AAABMAcAAAAJNy8zMS8yMDE4CAAAAAkzLzMxLzIwMTgJAAAAATDWjBE4CAnWCMOGn280CdYIQ0NJUS5OQVNEQVFHUzpKTkNFLklRX01JTk9SSVRZX0lOVEVSRVNUX1RPVEFMLi45LzE1LzIwMTcuTEZSLkYuVVNELkgBAAAA4nmeDQMAAAAAAN6nfhA1CdYImBJZEjUJ1ggxQ0lRLk5BU0RBUUdTOkZQUlguSVFfREFfQ0YuLjcvMTYvMjAxOC5MRlIuRi5VU0QuSAEAAAA3XTMAAgAAAAUzLjE0OQEIAAAABQAAAAExAQAAAAoxODg3NDAyMjI3AwAAAAMxNjACAAAABDIxNjAEAAAAATAHAAAACTcvMTYvMjAxOAgAAAAJMy8zMS8yMDE4CQAAAAEwKRyUEDUJ1ghzOWASNQnWCDRDSVEuTkFTREFRR1M6TksuSVFfRUJJVERBLjE5OTYuNy8zMS8yMDE4LkxGUi5GLlVTRC5IAQAAAA19oQ8CAAAACC0xMTQuMDY0AQgAAAAFAAAAATEBAAAACjE4ODcxMTg3NjcDAAAAAzE2MAIAAAAENDA1MQQAAAABMAcAAAAJNy8zMS8yMDE4CAAAAAkzLzMxLzIwMTcJAAAAATDWjBE4CAnWCMOGn280CdYIQkNJUS5OQVNEQVFHTTpBRk1ELklRX1RPVEFMX1JFVl8yWVJfQU5OX0NBR1IuLjcvMTYvMjAxOC5MRlIuRi5VU0QuSAEAAADb9wwAAgAAAAgtNDMuOTUxOAEIAAAABQAAAAExAQAAAAoxODg5ODY2MDQ5AwAAAAI1MAIAAAAENDIwNwQAAAABMAcAAAAJNy8xNi8yMDE4CAAAAAkzLzMxLzIwMTgJAAAAATApHJQQNQnWCDDXXRI1CdYIPUNJ</t>
  </si>
  <si>
    <t>US5OQVNEQVFHUzpDVE1YLklRX1JFVkVOVUVfRVNULkNZMjAyMS43LzE2LzIwMTguQ09OLkYuVVNELkgBAAAA3DibAwIAAAAINzcuOTQxMzMBDgAAAAUAAAACMTEBAAAAATACAAAACjEwMDMyMzMzNjkDAAAABjEwMDE4MAQAAAABMgYAAAABMAcAAAADMTYwCAAAAAEwCQAAAAExCgAAAAEwCwAAAAsxMDk1MTIzMTE4NQwAAAABNw0AAAAJNy8xNy8yMDE4EAAAAAk3LzE2LzIwMTjE/xsRNQnWCMKbYhI1CdYIPkNJUS5OQVNEQVFHUzpDQUxBLklRX0NBU0hfU1RfSU5WRVNULjIwMDAuNy8zMS8yMDE4LkxGUi5GLlVTRC5IAQAAAKUngQYCAAAABzE1MC45NjQBCAAAAAUAAAABMQEAAAAKMTg4Nzk4MDMwNQMAAAADMTYwAgAAAAQxMDAyBAAAAAEwBwAAAAk3LzMxLzIwMTgIAAAACTMvMzEvMjAxOAkAAAABMMgwsjcICdYI3UukbzQJ1gg2Q0lRLk5BU0RBUUdNOkZBVEUuSVFfRUJJVERBLjE5OTYuNy8zMS8yMDE4LkxGUi5GLlVTRC5IAQAAAGgxVwICAAAABy0zMy4xNTgBCAAAAAUAAAABMQEAAAAKMTg4ODUwMDMzMwMAAAADMTYwAgAAAAQ0MDUxBAAAAAEwBwAAAAk3LzMxLzIwMTgIAAAACTMvMzEvMjAxNwkAAAABMNaMETgICdYIw4afbzQJ1gg6Q0lRLk5BU0RBUUdTOk1HTlguSVFfQ0FTSF9TVF9JTlZFU1QuLjkvMTUvMjAxNy5MRlIuRi5VU0QuSAEAAABPKwkAAgAAAAYyNDMuNjYBCAAAAAUAAAABMQEAAAAKMTg1</t>
  </si>
  <si>
    <t>MTQzMjQ3NAMAAAADMTYwAgAAAAQxMDAyBAAAAAEwBwAAAAk5LzE1LzIwMTcIAAAACTYvMzAvMjAxNwkAAAABMMT/GxE1CdYIwptiEjUJ1ggpQ0lRLk5BU0RBUUNNOkFWRU8uSVFfQlVTSU5FU1NfREVTQ1JJUFRJT04BAAAA9BYdAAMAAADADUFWRU8gUGhhcm1hY2V1dGljYWxzLCBJbmMuLCBhIGJpb3BoYXJtYWNldXRpY2FsIGNvbXBhbnksIGRldmVsb3BzIGFuZCBjb21tZXJjaWFsaXplcyBhIHBvcnRmb2xpbyBvZiB0YXJnZXRlZCBtZWRpY2luZXMgZm9yIG9uY29sb2d5IGFuZCBvdGhlciBhcmVhcyBvZiB1bm1ldCBtZWRpY2FsIG5lZWQuIEl0IG1hcmtldHMgaXRzIGxlYWQgY2FuZGlkYXRlLCB0aXZvemFuaWIsIGFuIG9yYWwsIG9uY2UtZGFpbHksIHZhc2N1bGFyIGVuZG90aGVsaWFsIGdyb3d0aCBmYWN0b3IgcmVjZXB0b3IgdHlyb3NpbmUga2luYXNlIGluaGliaXRvciwgd2hpY2ggaXMgdXNlZCBmb3IgdGhlIHRyZWF0bWVudCBvZiByZW5hbCBjZWxsIGNhcmNpbm9tYSAoUkNDKS4gVGhlIGNvbXBhbnkgaGFzIGFsc28gY29tcGxldGVkIGEgUGhhc2UgMyBUSVZPLTMgdHJpYWwgb2YgdGl2b3phbmliIGZvciB0aGUgdHJlYXRtZW50IG9mIGFkdmFuY2VkIFJDQzsgYW5kIGluaXRpYXRlZCBlbnJvbGxtZW50IGluIGEgcGhhc2UgSWIvSUkgY2xpbmljYWwgdHJpYWwgb2YgdGl2b3phbmliIGluIGNv</t>
  </si>
  <si>
    <t>bWJpbmF0aW9uIHdpdGggT3BkaXZvIChuaXZvbHVtYWIpLCBhbiBpbW11bmUgY2hlY2twb2ludCAoUEQtMSkgaW5oaWJpdG9yLCBmb3IgdGhlIHRyZWF0bWVudCBvZiBhZHZhbmNlZCBSQ0MuIEluIGFkZGl0aW9uLCBpdCBpcyBkZXZlbG9waW5nIEZpY2xhdHV6dW1hYiwgYSBwb3RlbnQgaGVwYXRvY3l0ZSBncm93dGggZmFjdG9yIGluaGliaXRvcnkgYW50aWJvZHksIGluIFBoYXNlIEkgYW5kIFBoYXNlIElJIGNsaW5pY2FsIHRyaWFscyBpbiBzcXVhbW91cyBjZWxsIGNhcmNpbm9tYSBvZiB0aGUgaGVhZCBhbmQgbmVjaywgbWV0YXN0YXRpYyBwYW5jcmVhdGljIGR1Y3RhbCBjYW5jZXIsIGFuZCBhY3V0ZSBteWVsb2lkIGxldWtlbWlhOyBhbmQgQVYtMjAzLCBhIHBvdGVudCBhbnRpLUVyYkIzIHNwZWNpZmljIG1vbm9jbG9uYWwgYW50aWJvZHksIHdoaWNoIGhhcyBjb21wbGV0ZWQgUGhhc2UgSSBjbGluaWNhbCB0cmlhbCBmb3IgdHJlYXRpbmcgZXNvcGhhZ2VhbCBjYW5jZXIuIFRoZSBjb21wYW554oCZcyBwcmVjbGluaWNhbCBzdGFnZSBwcm9kdWN0cyBpbmNsdWRlIEFWLTM4MCwgYSBwb3RlbnQgaHVtYW5pemVkIElnRzEgaW5oaWJpdG9yeSBtb25vY2xvbmFsIGFudGlib2R5IGZvciB0aGUgdHJlYXRtZW50IG9yIHByZXZlbnRpb24gb2YgY2FjaGV4aWE7IGFuZCBBVi0zNTMgZm9yIHRoZSB0cmVh</t>
  </si>
  <si>
    <t>dG1lbnQgb2YgcHVsbW9uYXJ5IGFydGVyaWFsIGh5cGVydGVuc2lvbi4gSXQgaGFzIHN0cmF0ZWdpYyBwYXJ0bmVyc2hpcHMgd2l0aCBDQU5icmlkZ2UgTGlmZSBTY2llbmNlcyBMdGQuOyBFVVNBIFBoYXJtYSAoVUspIExpbWl0ZWQ7IE5vdmFydGlzIEludGVybmF0aW9uYWwgUGhhcm1hY2V1dGljYWwgTHRkLjsgQmlvZGVzaXgsIEluYy47IFN0LiBWaW5jZW504oCZcyBIb3NwaXRhbCBTeWRuZXkgTGltaXRlZDsgQmlvZ2VuIElkZWM7IGFuZCBLeW93YSBIYWtrbyBLaXJpbiBDby4sIEx0ZC4gVGhlIGNvbXBhbnkgd2FzIGZvcm1lcmx5IGtub3duIGFzIEdlblBhdGggUGhhcm1hY2V1dGljYWxzLCBJbmMuIGFuZCBjaGFuZ2VkIGl0cyBuYW1lIHRvIEFWRU8gUGhhcm1hY2V1dGljYWxzLCBJbmMuIGluIE1hcmNoIDIwMDUuIEFWRU8gUGhhcm1hY2V1dGljYWxzLCBJbmMuIHdhcyBpbmNvcnBvcmF0ZWQgaW4gMjAwMSBhbmQgaXMgYmFzZWQgaW4gQ2FtYnJpZGdlLCBNYXNzYWNodXNldHRzLgBGnRkRNQnWCMKbYhI1CdYIOkNJUS5OQVNEQVFHUzpKTkNFLklRX0NBU0hfU1RfSU5WRVNULi43LzE2LzIwMTguTEZSLkYuVVNELkgBAAAA4nmeDQIAAAAHMjM3LjE3NQEIAAAABQAAAAExAQAAAAoxODg4MTg2Mzc0AwAAAAMxNjACAAAABDEwMDIEAAAAATAHAAAACTcvMTYvMjAxOAgAAAAJMy8zMS8yMDE4CQAAAAEw</t>
  </si>
  <si>
    <t>KRyUEDUJ1gjkdFsSNQnWCDtDSVEuTkFTREFRR1M6TVJTTi5JUV9UT1RBTF9SRVYuQ1kyMDE2LjcvMzEvMjAxOC5MRlIuRi5VU0QuSAEAAADmxRgAAgAAAAYyNS4xNzEBCAAAAAUAAAABMQEAAAAKMTg4MDU0NzM4MwMAAAADMTYwAgAAAAIyOAQAAAABMAcAAAAJNy8zMS8yMDE4CAAAAAoxMi8zMS8yMDE2CQAAAAEw1owROAgJ1gjDhp9vNAnWCClDSVEuSVFUUjI2MzcxODY0Ny5JUV9UUl9JTVBMSUVEX0VRX05JX0xUTQEAAAD3BrgPAgAAAAAAsrNJbzQJ1giB/ZVvNAnWCDhDSVEuRU5YVFBBOklQSC5JUV9UT1RBTF9SRVYuQ1kyMDE2LjcvMTYvMjAxOC5MRlIuRi5VU0QuSAEAAACZgAYAAgAAAAk2OS4zNzcxNzcBCAAAAAUAAAABMQEAAAAKMTg4OTU1MjEzNgMAAAADMTYwAgAAAAIyOAQAAAABMAcAAAAJNy8xNi8yMDE4CAAAAAoxMi8zMS8yMDE2CQAAAAEwKRyUEDUJ1ghzOWASNQnWCDFDSVEuSVFUUjQxMTg3MTA4Mi5JUV9UUl9UQVJHRVRfUkVWRU5VRV9FU1QuLlVTRC5IAQAAAGqnjBgCAAAAAACys0lvNAnWCDWbk280CdYIPENJUS5OQVNEQVFHUzpQQllJLklRX0VCSVREQV9FU1QuQ1kyMDIwLjcvMTYvMjAxOC5DT04uRi5VU0QuSAEAAAACaqwHAwAAAAAAxP8bETUJ1ggS/mQSNQnWCEBDSVEuRU5YVFBBOklQSC5JUV9NSU5PUklUWV9JTlRFUkVTVF9UT1RBTC4uOS8xNS8yMDE3LkxGUi5GLlVTRC5IAQAA</t>
  </si>
  <si>
    <t>AJmABgADAAAAAAApHJQQNQnWCHM5YBI1CdYIP0NJUS5OQVNEQVFHUzpLVVJBLklRX05FVF9XT1JLSU5HX0NBUC4xOTkyLjcvMzEvMjAxOC5MRlIuRi5VU0QuSAEAAAC4y9oQAgAAAAYtMi43MDEBCAAAAAUAAAABMQEAAAAKMTg0MjI4MDcxNwMAAAADMTYwAgAAAAQxMzExBAAAAAEwBwAAAAk3LzMxLzIwMTgIAAAACTMvMzEvMjAxNgkAAAABMNaMETgICdYIcySdbzQJ1ggrQ0lRLklRVFI0MjI4ODc3MDEuSVFfVFJfVE9UQUxfR1JPU1NfVFYuLlVTRAEAAAAVwTQZAgAAAAk0OC41MjQ5MTMBBgAAAAUAAAACNTQBAAAABjEwMjA4OAIAAAAJNDIyODg3NzAxAwAAAAk0MzA0MDYzNDMEAAAAAzE2MAYAAAAFRmFsc2UMbRAONQnWCMDbgg41CdYIPENJUS5OQVNEQVFHUzpNR05YLklRX0VCSVREQV9FU1QuQ1kyMDIwLjcvMTYvMjAxOC5DT04uRi5VU0QuSAEAAABPKwkAAgAAAAotMTM5LjU3ODc4AQ4AAAAFAAAAAjExAQAAAAEwAgAAAAoxMDAxOTcyOTMxAwAAAAYxMDAxODcEAAAAATIGAAAAATAHAAAAAzE2MAgAAAABMAkAAAABMQoAAAABMAsAAAALMTA5MTExMDQxOTMMAAAAATcNAAAACTcvMTcvMjAxOBAAAAAJNy8xNi8yMDE4xP8bETUJ1gjCm2ISNQnWCCxDSVEuSVFUUjMxMjEyMjUwNC5JUV9UUl9UQVJHRVRfRUJJVERBLi5VU0QuSAEAAACInJoSAgAAAAAAWM8SDjUJ1gjA24IONQnWCC9DSVEuSVFUUjMwMjg2</t>
  </si>
  <si>
    <t>NjYyNy5JUV9UUl9UQVJHRVRfVE9UQUxfUkVWLi5VU0QuSAEAAADDYA0SAgAAAAAAWM8SDjUJ1ggMPoUONQnWCCtDSVEuSVFUUjQyNDM0MjA0Ni5JUV9UUl9JTVBMSUVEX0VWX0VCSVRfRldEAQAAAB7yShkCAAAAAAAMbRAONQnWCMDbgg41CdYIOUNJUS5OQVNEQVFHTTpDUklTLklRX1RPVEFMX0RFQlQuMjAwMC41LzUvMjAxNy5MRlIuRi5VU0QuSAEAAAAXagAAAgAAAAY0NC44MDgBCAAAAAUAAAABMQEAAAAKMTg0MDUwMTExOQMAAAADMTYwAgAAAAQ0MTczBAAAAAEwBwAAAAg1LzUvMjAxNwgAAAAJMy8zMS8yMDE3CQAAAAEwyDCyNwgJ1gjdS6RvNAnWCEZDSVEuTkFTREFRR1M6RVBaTS5JUV9NSU5PUklUWV9JTlRFUkVTVF9UT1RBTC4yMDAwLjUvNS8yMDE3LkxGUi5GLlVTRC5IAQAAAAMmPQMDAAAAAADWjBE4CAnWCHMknW80CdYIGENJUS4uSVFfRklSU1RQUklDSU5HREFURQUAAAAAAAAACAAAABQoSW52YWxpZCBJZGVudGlmaWVyKZwL1TgICdYId3mADjUJ1gguQ0lRLk5BU0RBUUdNOlhOQ1IuSVFfTUFSS0VUQ0FQLjkvMTUvMjAxNy5VU0QuSAEAAACmWgsAAgAAAAsxMDE5LjcwOTM2OAEGAAAABQAAAAExAQAAAAoxODUyMjQwMjg1AwAAAAMxNjACAAAABjEwMDA1NAQAAAABMAcAAAAJOS8xNS8yMDE3Rp0ZETUJ1ggS/mQSNQnWCCVDSVEuSVFUUjQxMTg3MTA4Mi5JUV9UUl9JTVBMSUVEX0VRX0JWAQAA</t>
  </si>
  <si>
    <t>AGqnjBgCAAAAAACys0lvNAnWCDWbk280CdYIMUNJUS5JUVRSNTQ4MzM4MDIwLklRX1RSX1RBUkdFVF9SRVZFTlVFX0VTVC4uVVNELkgBAAAAZPmuIAIAAAAAAAxtEA41CdYIwNuCDjUJ1ggsQ0lRLklRVFI0MDk5NTE4ODYuSVFfVFJfVE9UQUxfR1JPU1NfVFYuVVNELkgFAAAAAAAAAAgAAAAaKEludmFsaWQgQ3VycmVuY3kgUmVxdWVzdCkMbRAONQnWCMDbgg41CdYIJ0NJUS5OQVNEQVFHTTpYTkNSLklRX0JFVEFfNVlSLjcvMTYvMjAxOAEAAACmWgsAAgAAAA8xLjYwMzg1MDE5ODAzNTgAxP8bETUJ1ggS/mQSNQnWCCtDSVEuLklRX0VCSVREQS5DWTIwMTYuNy8zMS8yMDE4LkxGUi5GLlVTRC5IBQAAAAEAAAAIAAAAFChJbnZhbGlkIElkZW50aWZpZXIpliQwRzQJ1giWJDBHNAnWCCxDSVEuTkFTREFRR1M6QkdORS5JUV9DQVBFWC4xOTkyLi5MRlIuRi5VU0QuSAEAAADg5N0GAgAAAActMTMuMDQ0AQgAAAAFAAAAATEBAAAACjE4NTI3MDA1MjEDAAAAAzE2MAIAAAAEMjAyMQQAAAABMAcAAAAJOC8yMy8yMDE4CAAAAAk2LzMwLzIwMTYJAAAAATCcC9U4CAnWCJwL1TgICdYIKUNJUS5JUVRSMzIxODY1Mjk3LklRX0JVU0lORVNTX0RFU0NSSVBUSU9OAQAAAH5FLxMDAAAA0wNJT21ldCBQaGFybWEgTHRkLiBkaXNjb3ZlcnMgYW5kIGRldmVsb3BzIG1lZGljaW5lcyBmb3IgdGhlIHRyZWF0bWVudCBvZiBjYW5j</t>
  </si>
  <si>
    <t>ZXIsIHdpdGggcGFydGljdWxhciBlbXBoYXNpcyBvbiB0aGUgZmllbGRzIG9mIGNhbmNlciBpbW11bm90aGVyYXB5IGFuZCBjYW5jZXIgbWV0YWJvbGlzbS4gSXQgZGV2ZWxvcHMgSURPLCBURE8sIGFuZCBkdWFsLWFjdGluZyBJRE8vVERPIGluaGliaXRvcnMsIGFzIHdlbGwgYXMgR0xVVDEgaW5oaWJpdG9ycy4gVGhlIGNvbXBhbnkgd2FzIGZvdW5kZWQgaW4gMjAwOCBhbmQgaXMgYmFzZWQgaW4gRWRpbmJ1cmdoLCBVbml0ZWQgS2luZ2RvbSB3aXRoIGFuIGFkZGl0aW9uYWwgb2ZmaWNlIGluIExvbmRvbiwgVW5pdGVkIEtpbmdkb20uIEFzIG9mIEphbnVhcnkgMTEsIDIwMTYsIElPbWV0IFBoYXJtYSBMdGQuIG9wZXJhdGVzIGFzIGEgc3Vic2lkaWFyeSBvZiBNZXJjayAmIENvLiwgSW5jLgAMbRAONQnWCAw+hQ41CdYIMkNJUS5OQVNEQVFDTTpBVkVPLklRX0VCSVREQS4uNy8xNi8yMDE4LkxGUi5GLlVTRC5IAQAAAPQWHQADAAAAAADE/xsRNQnWCMKbYhI1CdYILUNJUS5OQVNEQVFHUzpTR0VOLklRX0RJVklERU5EX1lJRUxELjcvMTYvMjAxOAEAAABhhQAAAwAAAAAARp0ZETUJ1ghoYGcSNQnWCENDSVEuTkFTREFRR006RkFURS5JUV9FQklUREFfMllSX0FOTl9DQUdSLjIwMDAuNy8zMS8yMDE4LkxGUi5GLlVTRC5IAQAAAGgxVwIDAAAAAk5NAQgAAAAFAAAAATEBAAAACjE4ODg1MDA1MjcDAAAAAzE2</t>
  </si>
  <si>
    <t>MAIAAAAENDIwOQQAAAABMAcAAAAJNy8zMS8yMDE4CAAAAAkzLzMxLzIwMTgJAAAAATDWjBE4CAnWCMOGn280CdYIK0NJUS5PVENQSzpOV0JPLklRX01BUktFVENBUC45LzE1LzIwMTcuVVNELkgBAAAAo3oUAAIAAAAJNTUuMzU5OTQ2AQYAAAAFAAAAATEBAAAACjE4NTUzMjU3MzYDAAAAAzE2MAIAAAAGMTAwMDU0BAAAAAEwBwAAAAk5LzE1LzIwMTcpHJQQNQnWCDDXXRI1CdYIP0NJUS5OQVNEQVFHUzpBVE5YLklRX05FVF9XT1JLSU5HX0NBUC4yMDAwLjcvMzEvMjAxOC5MRlIuRi5VU0QuSAEAAADcmWsBAgAAAAYtMS43ODMBCAAAAAUAAAABMQEAAAAKMTg4ODcwMjk4MgMAAAADMTYwAgAAAAQxMzExBAAAAAEwBwAAAAk3LzMxLzIwMTgIAAAACTMvMzEvMjAxOAkAAAABMNaMETgICdYIJMKabzQJ1gglQ0lRLklRVFI1MzMzODU3NDQuSVFfUFJJTUFSWV9JTkRVU1RSWQEAAADMdugVAwAAAA1CaW90ZWNobm9sb2d5AAxtEA41CdYId3mADjUJ1ghGQ0lRLk5BU0RBUUdNOkNSSVMuSVFfVE9UQUxfUkVWXzVZUl9BTk5fQ0FHUi4yMDAwLjcvMzEvMjAxOC5MRlIuRi5VU0QuSAEAAAAXagAAAgAAAAU2LjQ1MgEIAAAABQAAAAExAQAAAAoxODg2MjQ3NDIwAwAAAAMxNjACAAAABDQyMzMEAAAAATAHAAAACTcvMzEvMjAxOAgAAAAJMy8zMS8yMDE4CQAAAAEwyDCyNwgJ1gjdS6RvNAnWCC1DSVEuTkFTREFRR006SU1N</t>
  </si>
  <si>
    <t>VS5JUV9NQVJLRVRDQVAuNS81LzIwMTcuVVNELkgBAAAAIEMEAAIAAAAINjc0LjY2ODgBBgAAAAUAAAABMQEAAAAKMTgyNzI0ODA2NAMAAAADMTYwAgAAAAYxMDAwNTQEAAAAATAHAAAACDUvNS8yMDE3nAvVOAgJ1gjUX5hvNAnWCB1DSVEuTkFTREFRR006Q1JWUy5JUV9FWENIQU5HRQEAAAD0sKYQAwAAAAhOYXNkYXFHTQDWjBE4CAnWCBnpoW80CdYIKkNJUS5JUVRSMzAyODY2NjI3LklRX1RSX1RBUkdFVF9FQklULi5VU0QuSAEAAADDYA0SAgAAAAAAWM8SDjUJ1ggMPoUONQnWCDpDSVEuRU5YVFBBOklQSC5JUV9SRVZFTlVFX0VTVC5DWTIwMjEuNy8xNi8yMDE4LkNPTi5GLlVTRC5IAQAAAJmABgACAAAADzU5LjM1MDE5MzIwNDQ5OQEOAAAABQAAAAIxMQEAAAABMAIAAAAKMTAwMTY0MzM5NAMAAAAGMTAwMTgwBAAAAAEzBgAAAAEwBwAAAAMxNjAIAAAAATAJAAAAATEKAAAAATALAAAACzEwODg5MDAzMjIzDAAAAAE3DQAAAAk3LzE3LzIwMTgQAAAACTcvMTYvMjAxOCkclBA1CdYIczlgEjUJ1gg4Q0lRLk5BU0RBUUdTOkFEWFMuSVFfRUJJVERBLkNZMjAxNy43LzE2LzIwMTguTEZSLkYuVVNELkgBAAAAnux4AAIAAAALLTEwMC4xODUzNzMBCAAAAAUAAAABMQEAAAAKMTg3ODAxMjQ3MwMAAAADMTYwAgAAAAQ0MDUxBAAAAAEwBwAAAAk3LzE2LzIwMTgIAAAACTEvMzEvMjAxOAkAAAABMCkclBA1CdYI5HRb</t>
  </si>
  <si>
    <t>EjUJ1gg9Q0lRLk5BU0RBUUdTOkVQWk0uSVFfUkVWRU5VRV9FU1QuQ1kyMDE5LjcvMzEvMjAxOC5DT04uRi5VU0QuSAEAAAADJj0DAgAAAAgyNS40MzkzOAEOAAAABQAAAAIxMQEAAAABMAIAAAAKMTAwMTg2NDI2MwMAAAAGMTAwMTgwBAAAAAEyBgAAAAEwBwAAAAMxNjAIAAAAATAJAAAAATEKAAAAATALAAAACzEwOTcxNDg4NDcwDAAAAAE3DQAAAAg4LzEvMjAxOBAAAAAJNy8zMS8yMDE41owROAgJ1ghzJJ1vNAnWCD5DSVEuTkFTREFRQ006TVRFTS5JUV9DQVNIX1NUX0lOVkVTVC4yMDAwLjcvMzEvMjAxOC5MRlIuRi5VU0QuSAEAAACZm6kBAgAAAAY0OS4yNzUBCAAAAAUAAAABMQEAAAAKMTg4ODczMzAwNAMAAAADMTYwAgAAAAQxMDAyBAAAAAEwBwAAAAk3LzMxLzIwMTgIAAAACTMvMzEvMjAxOAkAAAABMMgwsjcICdYIGemhbzQJ1ggkQ0lRLk5BU0RBUUdTOkFOQUIuSVFfRUZGRUNUX1RBWF9SQVRFAQAAACFMsgEDAAAAAADE/xsRNQnWCMKbYhI1CdYILENJUS5OQVNEQVFHUzpNR05YLklRX0xBU1RTQUxFUFJJQ0UuOS8xNS8yMDE3AQAAAE8rCQACAAAABTE3LjQ1AEadGRE1CdYIwptiEjUJ1gg/Q0lRLk5BU0RBUUdTOk1HTlguSVFfRUJJVERBXzJZUl9BTk5fQ0FHUi4uNy8xNi8yMDE4LkxGUi5GLlVTRC5IAQAAAE8rCQADAAAAAk5NAQgAAAAFAAAAATEBAAAACjE4ODcxMTQ5NDUDAAAAAzE2MAIAAAAE</t>
  </si>
  <si>
    <t>NDIwOQQAAAABMAcAAAAJNy8xNi8yMDE4CAAAAAkzLzMxLzIwMTgJAAAAATDE/xsRNQnWCMKbYhI1CdYIPENJUS5OQVNEQVFDTTpBVkVPLklRX0VBUk5JTkdfQ08uQ1kyMDE3LjcvMTYvMjAxOC5MRlIuRi5VU0QuSAEAAAD0Fh0AAgAAAActNjUuMDI1AQgAAAAFAAAAATEBAAAACjE4NzgwODI2NTMDAAAAAzE2MAIAAAABNwQAAAABMAcAAAAJNy8xNi8yMDE4CAAAAAoxMi8zMS8yMDE3CQAAAAEwxP8bETUJ1gjCm2ISNQnWCCxDSVEuSVFUUjQzMTg0MTU4MS5JUV9UUl9UQVJHRVRfRUJJVERBLi5VU0QuSAEAAAAtYb0ZAgAAAAAADG0QDjUJ1ggMPoUONQnWCDBDSVEuLklRX1JFVkVOVUVfRVNULkNZMjAxOS43LzMxLzIwMTguQ09OLkYuVVNELkgFAAAAAQAAAAgAAAAUKEludmFsaWQgSWRlbnRpZmllcin1hDJHNAnWCPWEMkc0CdYIJUNJUS5JUVRSNDAzNzkxNzY3LklRX1BSSU1BUllfSU5EVVNUUlkBAAAAcF8RGAMAAAANQmlvdGVjaG5vbG9neQAMbRAONQnWCMDbgg41CdYIHUNJUS5OQVNEQVFHUzpDQUxBLklRX0VYQ0hBTkdFAQAAAKUngQYDAAAACE5hc2RhcUdTAMgwsjcICdYIHxWdDjUJ1gg2Q0lRLk5BU0RBUUdTOkNBTEEuSVFfRUFSTklOR19DTy4uNy8xNi8yMDE4LkxGUi5GLlVTRC5IAQAAAKUngQYCAAAABy0zNS40NDUBCAAAAAUAAAABMQEAAAAKMTg4Nzk4MDMwNQMAAAADMTYwAgAAAAE3BAAAAAEw</t>
  </si>
  <si>
    <t>BwAAAAk3LzE2LzIwMTgIAAAACTMvMzEvMjAxOAkAAAABMCkclBA1CdYI5HRbEjUJ1gg6Q0lRLk5BU0RBUUdNOkNSSVMuSVFfRUFSTklOR19DTy4xOTkyLjcvMzEvMjAxOC5MRlIuRi5VU0QuSAEAAAAXagAAAgAAAAotMzYuNTc0Nzc3AQgAAAAFAAAAATEBAAAACjE4NDA1MDEwOTkDAAAAAzE2MAIAAAABNwQAAAABMAcAAAAJNy8zMS8yMDE4CAAAAAkzLzMxLzIwMTYJAAAAATDIMLI3CAnWCN1LpG80CdYIPUNJUS5OQVNEQVFHTTpBRk1ELklRX1JFVkVOVUVfRVNULkNZMjAxOC43LzE2LzIwMTguQ09OLkYuVVNELkgBAAAA2/cMAAIAAAAQMi40NzU2NTg1ODg3NjY5NAEOAAAABQAAAAIxMQEAAAABMAIAAAAKMTAwMjg4NDAwNQMAAAAGMTAwMTgwBAAAAAEzBgAAAAEwBwAAAAMxNjAIAAAAATAJAAAAATEKAAAAATALAAAACzEwOTQ3Mjk1NjMzDAAAAAE3DQAAAAk3LzE3LzIwMTgQAAAACTcvMTYvMjAxOCkclBA1CdYIMNddEjUJ1ghAQ0lRLihJTlZBTElEIElERU5USUZJRVIpLklRX0VCSVREQV9NQVJHSU4uLjcvMTYvMjAxOC5MRlIuRi5VU0QuSAUAAAAAAAAACAAAABQoSW52YWxpZCBJZGVudGlmaWVyKd6nfhA1CdYImBJZEjUJ1gg8Q0lRLk5BU0RBUUdNOkFSUUwuSVFfVE9UQUxfRVFVSVRZLjE5OTYuNy8zMS8yMDE4LkxGUi5GLlVTRC5IAQAAAPZhAAACAAAABjE2Ljk4OQEIAAAABQAAAAExAQAAAAoxODg4</t>
  </si>
  <si>
    <t>Nzg4NzM3AwAAAAMxNjACAAAABDEyNzUEAAAAATAHAAAACTcvMzEvMjAxOAgAAAAJMy8zMS8yMDE3CQAAAAEw1owROAgJ1ghzJJ1vNAnWCDJDSVEuT1RDUEs6TldCTy5JUV9OSV9NQVJHSU4uLjcvMTYvMjAxOC5MRlIuRi5VU0QuSAEAAACjehQAAwAAAAJOTQEIAAAABQAAAAExAQAAAAoxODg5MzAyODI0AwAAAAMxNjACAAAABDQwOTQEAAAAATAHAAAACTcvMTYvMjAxOAgAAAAJMy8zMS8yMDE4CQAAAAEwKRyUEDUJ1ghzOWASNQnWCDpDSVEuTkFTREFRR1M6QU5BQi5JUV9DQVNIX1NUX0lOVkVTVC4uNy8xNi8yMDE4LkxGUi5GLlVTRC5IAQAAACFMsgECAAAABzI0OC4xNjUBCAAAAAUAAAABMQEAAAAKMTg4NzQwMDA0MwMAAAADMTYwAgAAAAQxMDAyBAAAAAEwBwAAAAk3LzE2LzIwMTgIAAAACTMvMzEvMjAxOAkAAAABMMT/GxE1CdYIwptiEjUJ1gg1Q0lRLihJTlZBTElEIElERU5USUZJRVIpLklRX01BUktFVENBUC43LzE2LzIwMTguVVNELkgFAAAAAAAAAAgAAAAUKEludmFsaWQgSWRlbnRpZmllcinep34QNQnWCJgSWRI1CdYIPENJUS5OQVNEQVFHUzpUU1JPLklRX0VBUk5JTkdfQ08uQ1kyMDE2LjcvMzEvMjAxOC5MRlIuRi5VU0QuSAEAAABo1lgGAgAAAAgtMzc0LjIyNAEIAAAABQAAAAExAQAAAAoxODc3MjI2Mjg0AwAAAAMxNjACAAAAATcEAAAAATAHAAAACTcvMzEvMjAxOAgAAAAKMTIvMzEvMjAx</t>
  </si>
  <si>
    <t>NgkAAAABMJwL1TgICdYIJMKabzQJ1ggnQ0lRLk5BU0RBUUdTOkZQUlguSVFfQkVUQV8yWVIuNy8zMS8yMDE4AQAAADddMwACAAAAETAuOTk3MTA1MDA5NTk1MjMxANaMETgICdYIGemhbzQJ1ggkQ0lRLk5BU0RBUUdTOlNHRU4uSVFfRUZGRUNUX1RBWF9SQVRFAQAAAGGFAAADAAAAAk5NAQgAAAAFAAAAATEBAAAACjE4OTcyMzM1MTgDAAAAAzE2MAIAAAAENDM3NgQAAAABMAcAAAAJOC8yMy8yMDE4CAAAAAk2LzMwLzIwMTgJAAAAATDE/xsRNQnWCGhgZxI1CdYIOkNJUS5OQVNEQVFDTTpDS1BULklRX0NBU0hfU1RfSU5WRVNULi45LzE1LzIwMTcuTEZSLkYuVVNELkgBAAAAuFEWEQIAAAAGMjcuMjI1AQgAAAAFAAAAATEBAAAACjE4NTI3NTIxNTIDAAAAAzE2MAIAAAAEMTAwMgQAAAABMAcAAAAJOS8xNS8yMDE3CAAAAAk2LzMwLzIwMTcJAAAAATApHJQQNQnWCOR0WxI1CdYIKUNJUS5OQVNEQVFDTTpaSU9QLklRX0JVU0lORVNTX0RFU0NSSVBUSU9OAQAAALNRsgADAAAA6AhaSU9QSEFSTSBPbmNvbG9neSwgSW5jLiwgYSBiaW90ZWNobm9sb2d5IGNvbXBhbnksIGZvY3VzZXMgb24gYWNxdWlyaW5nLCBkZXZlbG9waW5nLCBhbmQgY29tbWVyY2lhbGl6aW5nIGEgcG9ydGZvbGlvIG9mIGltbXVuby1vbmNvbG9neSB0aGVyYXBpZXMgZm9yIHRyZWF0aW5nIGhldGVyb2dlbm91cyBzb2xpZCB0dW1vcnMgYW5k</t>
  </si>
  <si>
    <t>IHVua25vd24gYW50aWdlbnMuIFRoZSBjb21wYW55IGRldmVsb3BzIHR3byBpbW11bm8tb25jb2xvZ3kgcGxhdGZvcm0gdGVjaG5vbG9naWVzLCBpbmNsdWRpbmcgQ29udHJvbGxlZCBJTC0xMiwgd2hpY2ggZGVsaXZlcnMgaW50ZXJsZXVraW4gMTIgb3IgSUwtMTIsIGEgbWFzdGVyIHJlZ3VsYXIgb2YgdGhlIGltbXVuZSBzeXN0ZW0sIGluIGEgY29udHJvbGxlZCBhbmQgc2FmZSBtYW5uZXIgdG8gZm9jdXMgdGhlIHBhdGllbnTigJlzIGltbXVuZSBzeXN0ZW0gdG8gY2FuY2VyOyBhbmQgU2xlZXBpbmcgQmVhdXR5IChTQiksIHdoaWNoIGlzIGJhc2VkIG9uIHRoZSBnZW5ldGljIGVuZ2luZWVyaW5nIG9mIFQtY2VsbHMgdXNpbmcgdGhlIChTQikgc3lzdGVtIHRvIHJhcGlkbHkgcmVwcm9ncmFtIFQtY2VsbHMgb3V0c2lkZSBvZiB0aGUgYm9keSBmb3IgaW5mdXNpb24uIEl0cyBsZWFkIGdlbmUgdGhlcmFweSBwcm9kdWN0IGNhbmRpZGF0ZSBpcyBBZC1SVFMtaElMLTEyIHBsdXMgdmVsZWRpbWV4LCB3aGljaCBpcyBpbiBQaGFzZSBJIGNsaW5pY2FsIHRyaWFsLCBhIGdlbmUgdGhlcmFweSBwcm9kdWN0IGNhbmRpZGF0ZSB0byB0cmVhdCBwYXRpZW50cyB3aXRoIHJlY3VycmVudCBnbGlvYmxhc3RvbWEuIFRoZSBjb21wYW55IGlzIGFsc28gZGV2ZWxvcGluZyBjaGltZXJpYyBhbnRpZ2VuIHJlY2VwdG9y</t>
  </si>
  <si>
    <t>IChDQVIpIFQtY2VsbCBhbmQgVC1jZWxsIHJlY2VwdG9yIFQtY2VsbCB0aGVyYXBpZXMuIFpJT1BIQVJNIE9uY29sb2d5LCBJbmMuIGhhcyBjb2xsYWJvcmF0aW9uIGFncmVlbWVudHMgd2l0aCBQcmVjaWdlbiwgSW5jLiwgTUQgQW5kZXJzb24gQ2FuY2VyIENlbnRlciwgdGhlIE5hdGlvbmFsIENhbmNlciBJbnN0aXR1dGUsIGFuZCBBcmVzIFRyYWRpbmcgUy5BLiBUaGUgY29tcGFueSBpcyBoZWFkcXVhcnRlcmVkIGluIEJvc3RvbiwgTWFzc2FjaHVzZXR0cy4A1owROAgJ1gjDhp9vNAnWCClDSVEuSVFUUjI2MzcxODY0Ny5JUV9CVVNJTkVTU19ERVNDUklQVElPTgEAAAA+8AEAAwAAAJ4KQXMgb2YgSnVseSA4LCAyMDE0LCBUZWxpayBJbmMuIHdhcyBhY3F1aXJlZCBieSBNYWJWYXggVGhlcmFwZXV0aWNzLCBJbmMuLCBpbiBhIHJldmVyc2UgbWVyZ2VyIHRyYW5zYWN0aW9uLiBUZWxpaywgSW5jLiwgYSBjbGluaWNhbC1zdGFnZSBkcnVnIGRldmVsb3BtZW50IGNvbXBhbnksIGZvY3VzZXMgb24gZGlzY292ZXJpbmcgYW5kIGRldmVsb3Bpbmcgc21hbGwgbW9sZWN1bGUgZHJ1Z3MgdG8gdHJlYXQgY2FuY2VyLiBUaGUgY29tcGFueeKAmXMgcHJvZHVjdCBjYW5kaWRhdGVzIGFyZSBkaXNjb3ZlcmVkIHVzaW5nIGl0cyBwcm9wcmlldGFyeSB0ZWNobm9sb2d5LCB0YXJnZXQtcmVsYXRlZCBhZmZpbml0eSBw</t>
  </si>
  <si>
    <t>cm9maWxpbmcgKFRSQVApLCB3aGljaCBlbmFibGVzIHRoZSBkaXNjb3Zlcnkgb2Ygc21hbGwgbW9sZWN1bGUgcHJvZHVjdCBjYW5kaWRhdGVzLiBJdHMgbGVhZCBkcnVnIHByb2R1Y3QgY2FuZGlkYXRlIGluIGNsaW5pY2FsIGRldmVsb3BtZW50IGluY2x1ZGVzIFRFTElOVFJBLCBhIHNtYWxsIG1vbGVjdWxlIGdsdXRhdGhpb25lIGFuYWxvZyBpbmhpYml0b3Igb2YgdGhlIGVuenltZSBnbHV0YXRoaW9uZSBTLXRyYW5zZmVyYXNlIFAxLTEsIHdoaWNoIGlzIHVuZGVyIFBoYXNlIElJIGNsaW5pY2FsIHRyaWFsIGZvciB0aGUgdHJlYXRtZW50IG9mIGJsb29kIGRpc29yZGVycyBhc3NvY2lhdGVkIHdpdGggbG93IGJsb29kIGNlbGwgbGV2ZWxzLCBzdWNoIGFzIGFuZW1pYSwgbmV1dHJvcGVuaWEsIG9yIHRocm9tYm9jeXRvcGVuaWEuIFRoZSBjb21wYW554oCZcyBwcmVjbGluaWNhbCBkcnVnIHByb2R1Y3QgZGV2ZWxvcG1lbnRzIGluY2x1ZGUgVExLNjA0MDQsIGEgc21hbGwgbW9sZWN1bGUgY29tcG91bmQsIHdoaWNoIGluaGliaXRzIEF1cm9yYSBraW5hc2UgYW5kIFZFR0ZSIGtpbmFzZTsgVExLNjAzNTcsIGEgc21hbGwgbW9sZWN1bGUgaW5oaWJpdG9yIG9mIGNlbGwgZGl2aXNpb24gdGhhdCBpbmhpYml0cyB0aGUgZm9ybWF0aW9uIG9mIG1pY3JvdHVidWxlcyBuZWNlc3NhcnkgZm9yIGNhbmNlciBj</t>
  </si>
  <si>
    <t>ZWxsIGdyb3d0aCBsZWFkaW5nIHRvIHBlcnNpc3RlbnQgY2FuY2VyIGNlbGwgY3ljbGUgYmxvY2sgYW5kIHN1YnNlcXVlbnQgY2VsbCBkZWF0aCBhdCB0aGUgRzIvTSBwaGFzZTsgYW5kIFRMSzYwNTk2LCBhIFZFR0ZSMSBhbmQgVkVHRlIyIGtpbmFzZSBpbmhpYml0b3IgdGhhdCBibG9ja3MgdGhlIGZvcm1hdGlvbiBvZiBuZXcgYmxvb2QgdmVzc2VscyBpbiB0dW1vcnMuIFRlbGlrLCBJbmMuIHdhcyBmb3VuZGVkIGluIDE5ODggYW5kIGlzIGJhc2VkIGluIFBhbG8gQWx0bywgQ2FsaWZvcm5pYS4AsrNJbzQJ1giB/ZVvNAnWCD1DSVEuTkFTREFRR1M6Q1RNWC5JUV9SRVZFTlVFX0VTVC5DWTIwMTkuNy8xNi8yMDE4LkNPTi5GLlVTRC5IAQAAANw4mwMCAAAACDc4Ljg4Mjk1AQ4AAAAFAAAAAjExAQAAAAEwAgAAAAoxMDAzMjE1OTczAwAAAAYxMDAxODAEAAAAATIGAAAAATAHAAAAAzE2MAgAAAABMAkAAAABMQoAAAABMAsAAAALMTA5NTEyMzE0NjMMAAAAATcNAAAACTcvMTcvMjAxOBAAAAAJNy8xNi8yMDE4xP8bETUJ1gjCm2ISNQnWCDBDSVEuQVNYOklNVS5JUV9FQVJOSU5HX0NPLi43LzE2LzIwMTguTEZSLkYuVVNELkgBAAAAmJOpAAIAAAAJLTIuMDY3NTgxAQgAAAAFAAAAATEBAAAACjE4NzczMDUzMjADAAAAAzE2MAIAAAABNwQAAAABMAcAAAAJNy8xNi8yMDE4CAAAAAoxMi8zMS8yMDE3CQAAAAEw</t>
  </si>
  <si>
    <t>KRyUEDUJ1ggw110SNQnWCDVDSVEuTkFTREFRR1M6Sk5DRS5JUV9UT1RBTF9SRVYuLjcvMTYvMjAxOC5MRlIuRi5VU0QuSAEAAADieZ4NAgAAAAU2Mi41NQEIAAAABQAAAAExAQAAAAoxODg4MTg2Mzc0AwAAAAMxNjACAAAAAjI4BAAAAAEwBwAAAAk3LzE2LzIwMTgIAAAACTMvMzEvMjAxOAkAAAABMCkclBA1CdYI5HRbEjUJ1gguQ0lRLk5BU0RBUUdNOkxQVFguSVFfTUFSS0VUQ0FQLjcvMTYvMjAxOC5VU0QuSAEAAAAMNgkHAgAAAAoxMjMuNjMyNzI3AQYAAAAFAAAAATEBAAAACjE4OTAxNjM0NzEDAAAAAzE2MAIAAAAGMTAwMDU0BAAAAAEwBwAAAAk3LzE2LzIwMTgpHJQQNQnWCDDXXRI1CdYIIUNJUS5OQVNEQVFDTTpTUk5FLklRX0NPTVBBTllfTkFNRQEAAABJQ5QDAwAAABtTb3JyZW50byBUaGVyYXBldXRpY3MsIEluYy4A1owROAgJ1ghzJJ1vNAnWCCVDSVEuTkFTREFRR1M6R1RIWC5JUV9GSVJTVFBSSUNJTkdEQVRFAQAAAGU0aQgFAAAACTUvMTcvMjAxNwCcC9U4CAnWCCTCmm80CdYIPUNJUS5OQVNEQVFDTTpBVkVPLklRX1JFVkVOVUVfRVNULkNZMjAxOC43LzE2LzIwMTguQ09OLkYuVVNELkgBAAAA9BYdAAIAAAAHNi4xMzM2NwEOAAAABQAAAAIxMQEAAAABMAIAAAAKMTAwMDc0ODA3MwMAAAAGMTAwMTgwBAAAAAEyBgAAAAEwBwAAAAMxNjAIAAAAATAJAAAAATEKAAAAATALAAAACzEwODc1MjQ3</t>
  </si>
  <si>
    <t>NTM0DAAAAAE3DQAAAAk3LzE3LzIwMTgQAAAACTcvMTYvMjAxOMT/GxE1CdYIwptiEjUJ1ggjQ0lRLklRVFI1MzU3MTk5OTguSVFfVFJfVE9UQUxfU1RPQ0sBAAAAPnDuHwIAAAAAALKzSW80CdYIgf2VbzQJ1gguQ0lRLk5BU0RBUUdNOlhOQ1IuSVFfTUFSS0VUQ0FQLjcvMTYvMjAxOC5VU0QuSAEAAACmWgsAAgAAAAsyMjUzLjM2OTY0MQEGAAAABQAAAAExAQAAAAoxODg3MTI0OTkwAwAAAAMxNjACAAAABjEwMDA1NAQAAAABMAcAAAAJNy8xNi8yMDE4Rp0ZETUJ1ggS/mQSNQnWCCNDSVEuMC5JUV9UUl9UQVJHRVRfVE9UQUxfUkVWLi5VU0QuSAUAAAAAAAAACAAAABgoSW52YWxpZCBUcmFuc2FjdGlvbiBJZClJU0dvNAnWCAfi8IE0CdYIRkNJUS5OQVNEQVFHUzpHVEhYLklRX1RPVEFMX1JFVl8zWVJfQU5OX0NBR1IuMjAwMC43LzMxLzIwMTguTEZSLkYuVVNELkgBAAAAZTRpCAMAAAAAANaMETgICdYIJMKabzQJ1ghDQ0lRLk5BU0RBUUNNOkNLUFQuSVFfTUlOT1JJVFlfSU5URVJFU1RfVE9UQUwuLjkvMTUvMjAxNy5MRlIuRi5VU0QuSAEAAAC4URYRAwAAAAAAKRyUEDUJ1gjkdFsSNQnWCCVDSVEuTkFTREFRR006QVJRTC5JUV9GSVJTVFBSSUNJTkdEQVRFAQAAAPZhAAAFAAAACjEwLzE2LzE5OTYA1owROAgJ1ghzJJ1vNAnWCDFDSVEuTkFTREFRR006TkxOSy5JUV9EQV9DRi4uNy8xNi8yMDE4LkxGUi5G</t>
  </si>
  <si>
    <t>LlVTRC5IAQAAAJV7jAACAAAABTEuMzgxAQgAAAAFAAAAATEBAAAACjE4ODgzNTQyMDcDAAAAAzE2MAIAAAAEMjE2MAQAAAABMAcAAAAJNy8xNi8yMDE4CAAAAAkzLzMxLzIwMTgJAAAAATApHJQQNQnWCOR0WxI1CdYIQ0NJUS5OQVNEQVFDTTpBVkVPLklRX01JTk9SSVRZX0lOVEVSRVNUX1RPVEFMLi43LzE2LzIwMTguTEZSLkYuVVNELkgBAAAA9BYdAAMAAAAAAMT/GxE1CdYIwptiEjUJ1ghGQ0lRLk5BU0RBUUdNOkFSUUwuSVFfVE9UQUxfUkVWXzVZUl9BTk5fQ0FHUi4yMDAwLjcvMzEvMjAxOC5MRlIuRi5VU0QuSAEAAAD2YQAAAgAAAAgtMzQuMjExNgEIAAAABQAAAAExAQAAAAoxODg4Nzg4NzcwAwAAAAMxNjACAAAABDQyMzMEAAAAATAHAAAACTcvMzEvMjAxOAgAAAAJMy8zMS8yMDE4CQAAAAEw1owROAgJ1gjDhp9vNAnWCDNDSVEuTkFTREFRR1M6TksuSVFfQ0FQRVguMjAwMC43LzMxLzIwMTguTEZSLkYuVVNELkgBAAAADX2hDwIAAAAHLTM1LjIwOAEIAAAABQAAAAExAQAAAAoxODg3MTE4NzkxAwAAAAMxNjACAAAABDIwMjEEAAAAATAHAAAACTcvMzEvMjAxOAgAAAAJMy8zMS8yMDE4CQAAAAEw1owROAgJ1ggZ6aFvNAnWCDdDSVEuTkFTREFRR1M6QVROWC5JUV9QRVJJT0REQVRFX0lTLjIwMDAuNy8zMS8yMDE4LkxGUi5GAQAAANyZawEFAAAACTMvMzEvMjAxOADWjBE4CAnWCCTCmm80CdYIO0NJ</t>
  </si>
  <si>
    <t>US5OQVNEQVFHTTpJTU1VLklRX0VCSVRfTUFSR0lOLjIwMDAuNy8zMS8yMDE4LkxGUi5GLlVTRC5IAQAAACBDBAADAAAAAk5NAQgAAAAFAAAAATEBAAAACjE4ODg1MjMzODQDAAAAAzE2MAIAAAAENDA1MwQAAAABMAcAAAAJNy8zMS8yMDE4CAAAAAkzLzMxLzIwMTgJAAAAATCcC9U4CAnWCNRfmG80CdYIPENJUS5OQVNEQVFHTTpBUlJZLklRX0VCSVREQV9FU1QuQ1kyMDE4LjcvMzEvMjAxOC5DT04uRi5VU0QuSAEAAAD4YQAAAwAAAAAAnAvVOAgJ1gjUX5hvNAnWCCVDSVEuSVFUUjU0ODMzODAyMC5JUV9UUl9JTVBMSUVEX0VRX0JWAQAAAGT5riACAAAAAAAMbRAONQnWCMDbgg41CdYIQ0NJUS4oSU5WQUxJRCBJREVOVElGSUVSKS5JUV9FQklUREFfRVNULkNZMjAyMC43LzMxLzIwMTguQ09OLkYuVVNELkgFAAAAAAAAAAgAAAAUKEludmFsaWQgSWRlbnRpZmllcinIMLI3CAnWCO02sG80CdYIQ0NJUS5OQVNEQVFHTTpJTU1VLklRX0VCSVREQV81WVJfQU5OX0NBR1IuMjAwMC43LzMxLzIwMTguTEZSLkYuVVNELkgBAAAAIEMEAAMAAAACTk0BCAAAAAUAAAABMQEAAAAKMTg4ODUyMzM4NAMAAAADMTYwAgAAAAQ0MjM1BAAAAAEwBwAAAAk3LzMxLzIwMTgIAAAACTMvMzEvMjAxOAkAAAABMJwL1TgICdYI1F+YbzQJ1gg3Q0lRLk5BU0RBUUdTOk1SU04uSVFfUFJFRl9FUVVJVFkuLjcvMTYvMjAxOC5MRlIuRi5V</t>
  </si>
  <si>
    <t>U0QuSAEAAADmxRgAAwAAAAAAxP8bETUJ1ghzOWASNQnWCD1DSVEuTkFTREFRR006Q1JJUy5JUV9FQklUREFfTUFSR0lOLjIwMDAuNy8zMS8yMDE4LkxGUi5GLlVTRC5IAQAAABdqAAADAAAAAk5NAQgAAAAFAAAAATEBAAAACjE4ODYyNDc0MjADAAAAAzE2MAIAAAAENDA0NwQAAAABMAcAAAAJNy8zMS8yMDE4CAAAAAkzLzMxLzIwMTgJAAAAATDIMLI3CAnWCN1LpG80CdYIJUNJUS5OQVNEQVFHUzpCR05FLklRX01BUktFVENBUC4uVVNELkgBAAAA4OTdBgIAAAALOTg5OC4wNDQ3ODQBBgAAAAUAAAABMQEAAAAKMTg5OTg5OTcxMwMAAAADMTYwAgAAAAYxMDAwNTQEAAAAATAHAAAACTgvMjIvMjAxOJwL1TgICdYInAvVOAgJ1gg/Q0lRLk5BU0RBUUdTOk1HTlguSVFfRUJJVERBXzNZUl9BTk5fQ0FHUi4uNy8xNi8yMDE4LkxGUi5GLlVTRC5IAQAAAE8rCQADAAAAAk5NAQgAAAAFAAAAATEBAAAACjE4ODcxMTQ5NDUDAAAAAzE2MAIAAAAENDIyMgQAAAABMAcAAAAJNy8xNi8yMDE4CAAAAAkzLzMxLzIwMTgJAAAAATDE/xsRNQnWCMKbYhI1CdYIP0NJUS5OQVNEQVFHUzpUU1JPLklRX05FVF9XT1JLSU5HX0NBUC4yMDAwLjcvMzEvMjAxOC5MRlIuRi5VU0QuSAEAAABo1lgGAgAAAAYtNi40MjYBCAAAAAUAAAABMQEAAAAKMTg4NjMzNzQ2NgMAAAADMTYwAgAAAAQxMzExBAAAAAEwBwAAAAk3LzMxLzIwMTgIAAAA</t>
  </si>
  <si>
    <t>CTMvMzEvMjAxOAkAAAABMJwL1TgICdYIJMKabzQJ1ggeQ0lRLklRMzYxODM4MTYuSVFfQ09NUEFOWV9OQU1FAQAAAAgfKAIDAAAAMlVuaXRlZCBTdGF0ZXMgVHJlYXN1cnkgQ29uc3RhbnQgTWF0dXJpdHkgLSAzIE1vbnRoAAxtEA41CdYId3mADjUJ1ggxQ0lRLk5BU0RBUUdNOk5MTksuSVFfQ0FQRVguLjcvMTYvMjAxOC5MRlIuRi5VU0QuSAEAAACVe4wAAgAAAAYtMC4wMDgBCAAAAAUAAAABMQEAAAAKMTg4ODM1NDIwNwMAAAADMTYwAgAAAAQyMDIxBAAAAAEwBwAAAAk3LzE2LzIwMTgIAAAACTMvMzEvMjAxOAkAAAABMCkclBA1CdYI5HRbEjUJ1gg8Q0lRLk5BU0RBUUdNOkNSVlMuSVFfVE9UQUxfRVFVSVRZLjE5OTYuNy8zMS8yMDE4LkxGUi5GLlVTRC5IAQAAAPSwphACAAAABzExOC4yMjUBCAAAAAUAAAABMQEAAAAKMTg4NjM2NzU3OQMAAAADMTYwAgAAAAQxMjc1BAAAAAEwBwAAAAk3LzMxLzIwMTgIAAAACTMvMzEvMjAxNwkAAAABMNaMETgICdYIGemhbzQJ1ghJQ0lRLihJTlZBTElEIElERU5USUZJRVIpLklRX1RPVEFMX1JFVl8zWVJfQU5OX0NBR1IuLjcvMTYvMjAxOC5MRlIuRi5VU0QuSAUAAAAAAAAACAAAABQoSW52YWxpZCBJZGVudGlmaWVyKd6nfhA1CdYImBJZEjUJ1ggjQ0lRLk5BU0RBUUdTOkZQUlguSVFfUEVSSU9EREFURV9JUy4BAAAAN10zAAUAAAAJNi8zMC8yMDE4ACkclBA1CdYI</t>
  </si>
  <si>
    <t>czlgEjUJ1gggQ0lRLklRVFIzMDI4NjY2MjcuSVFfVFJfRUFSTk9VVFMBAAAAw2ANEgIAAAAAAFjPEg41CdYIDD6FDjUJ1ghCQ0lRLk5BU0RBUUdTOkNUTVguSVFfVE9UQUxfUkVWXzNZUl9BTk5fQ0FHUi4uNy8xNi8yMDE4LkxGUi5GLlVTRC5IAQAAANw4mwMCAAAACDEyOC44ODczAQgAAAAFAAAAATEBAAAACjE4ODc2NzUzMTYDAAAAAzE2MAIAAAAENDIyMAQAAAABMAcAAAAJNy8xNi8yMDE4CAAAAAkzLzMxLzIwMTgJAAAAATDE/xsRNQnWCMKbYhI1CdYIOENJUS5OQVNEQVFDTTpDS1BULklRX0VCSVREQS5DWTIwMTcuNy8xNi8yMDE4LkxGUi5GLlVTRC5IAQAAALhRFhEDAAAAAAApHJQQNQnWCDDXXRI1CdYIM0NJUS5OQVNEQVFHUzpCR05FLklRX1BFUklPRERBVEVfSVMuLjcvMTYvMjAxOC5MRlIuRgEAAADg5N0GBQAAAAkzLzMxLzIwMTgAxP8bETUJ1ghoYGcSNQnWCCBDSVEuSVFUUjU1MzU0ODAyNS5JUV9UUl9FQVJOT1VUUwEAAAD5eP4gAgAAAAAAsrNJbzQJ1giB/ZVvNAnWCDZDSVEuTkFTREFRQ006QVZFTy5JUV9UT1RBTF9ERUJULi45LzE1LzIwMTcuTEZSLkYuVVNELkgBAAAA9BYdAAIAAAAGMTkuMTIyAQgAAAAFAAAAATEBAAAACjE4NTI1NzM3MTADAAAAAzE2MAIAAAAENDE3MwQAAAABMAcAAAAJOS8xNS8yMDE3CAAAAAk2LzMwLzIwMTcJAAAAATDE/xsRNQnWCHM5YBI1CdYIRkNJUS5OQVNE</t>
  </si>
  <si>
    <t>QVFDTTpNVEVNLklRX1RPVEFMX1JFVl8zWVJfQU5OX0NBR1IuMjAwMC43LzMxLzIwMTguTEZSLkYuVVNELkgBAAAAmZupAQMAAAAAAMgwsjcICdYI3UukbzQJ1ggSQ0lRLi5JUV9HUC4uLi4uVVNEBQAAAAEAAAAIAAAAFChJbnZhbGlkIElkZW50aWZpZXIpRp0ZETUJ1ghGnRkRNQnWCC9DSVEuSVFUUjUzNTcxOTk5OC5JUV9UUl9JTVBMSUVEX0VWX0ZJTkFMLi5VU0QuSAEAAAA+cO4fAgAAAAsxMDQ0NC40NjkxMwEGAAAABQAAAAI1NAEAAAAGMTAyMDQ1AgAAAAk1MzU3MTk5OTgDAAAACTUzNTcyNDgxMwQAAAADMTYwBgAAAAVGYWxzZbKzSW80CdYIgf2VbzQJ1ggpQ0lRLklRMzYxODM4NDMuSVFfTEFTVFNBTEVQUklDRS43LzE2LzIwMTgBAAAAIx8oAgIAAAAEMi45NgAMbRAONQnWCAw+hQ41CdYINkNJUS5OQVNEQVFHTTpYTkNSLklRX0VBUk5JTkdfQ08uLjcvMTYvMjAxOC5MRlIuRi5VU0QuSAEAAACmWgsAAgAAAActNjIuOTQzAQgAAAAFAAAAATEBAAAACjE4ODcxMjU4NTUDAAAAAzE2MAIAAAABNwQAAAABMAcAAAAJNy8xNi8yMDE4CAAAAAkzLzMxLzIwMTgJAAAAATDE/xsRNQnWCBL+ZBI1CdYIOkNJUS5OQVNEQVFHTTpDUlZTLklRX1RPVEFMX0RFQlQuMjAwMC43LzMxLzIwMTguTEZSLkYuVVNELkgBAAAA9LCmEAIAAAABMAEIAAAABQAAAAExAQAAAAoxODg2MzY3NTkxAwAAAAMxNjACAAAABDQxNzME</t>
  </si>
  <si>
    <t>AAAAATAHAAAACTcvMzEvMjAxOAgAAAAJMy8zMS8yMDE4CQAAAAEw1owROAgJ1ggZ6aFvNAnWCDNDSVEuTkFTREFRR1M6TksuSVFfQ0FQRVguMTk5Ni43LzMxLzIwMTguTEZSLkYuVVNELkgBAAAADX2hDwIAAAAHLTEwLjAwMgEIAAAABQAAAAExAQAAAAoxODg3MTE4NzY3AwAAAAMxNjACAAAABDIwMjEEAAAAATAHAAAACTcvMzEvMjAxOAgAAAAJMy8zMS8yMDE3CQAAAAEw1owROAgJ1ggZ6aFvNAnWCERDSVEuTkFTREFRR1M6TksuSVFfTUlOT1JJVFlfSU5URVJFU1RfVE9UQUwuMjAwMC41LzUvMjAxNy5MRlIuRi5VU0QuSAEAAAANfaEPAwAAAAAA1owROAgJ1ggZ6aFvNAnWCDpDSVEuTkFTREFRR1M6RVBaTS5JUV9FQVJOSU5HX0NPLjIwMDAuNy8zMS8yMDE4LkxGUi5GLlVTRC5IAQAAAAMmPQMCAAAACC0xMzUuODUyAQgAAAAFAAAAATEBAAAACjE4ODcyNDYwNzcDAAAAAzE2MAIAAAABNwQAAAABMAcAAAAJNy8zMS8yMDE4CAAAAAkzLzMxLzIwMTgJAAAAATDWjBE4CAnWCHMknW80CdYIJ0NJUS5OQVNEQVFHTTpDUlZTLklRX1BFUklPRERBVEVfSVMuMTAwMAEAAAD0sKYQBQAAAAoxMi8zMS8yMDE3ANaMETgICdYIGemhbzQJ1ggrQ0lRLklRVFI0MDc3NjA2OTIuSVFfVFJfSU1QTElFRF9FVl9FQklUX0ZXRAEAAAA0700YAgAAAAAAWM8SDjUJ1ggMPoUONQnWCC1DSVEuTkFTREFRR1M6TVJTTi5JUV9NQVJL</t>
  </si>
  <si>
    <t>RVRDQVAuNS81LzIwMTcuVVNELkgBAAAA5sUYAAMAAAAAANaMETgICdYIw4afbzQJ1gg5Q0lRLkVOWFRQQTpJUEguSVFfRUJJVERBX0VTVC5DWTIwMTkuNy8xNi8yMDE4LkNPTi5GLlVTRC5IAQAAAJmABgACAAAAEDMxLjQ5MzUxMzY1MDAwNjMBDgAAAAUAAAACMTEBAAAAATACAAAACjEwMDE2NDMzOTIDAAAABjEwMDE4NwQAAAABMwYAAAABMAcAAAADMTYwCAAAAAEwCQAAAAExCgAAAAEwCwAAAAsxMDk1Mzg0MjM5NQwAAAABNw0AAAAJNy8xNy8yMDE4EAAAAAk3LzE2LzIwMTgpHJQQNQnWCHM5YBI1CdYIMUNJUS5OQVNEQVFHUzpTR0VOLklRX0NBU0hfU1RfSU5WRVNULi4uTEZSLkYuVVNELkgBAAAAYYUAAAIAAAAHNDQ3Ljk3NwEIAAAABQAAAAExAQAAAAoxODk3MjMzNTE4AwAAAAMxNjACAAAABDEwMDIEAAAAATAHAAAACTgvMjMvMjAxOAgAAAAJNi8zMC8yMDE4CQAAAAEwRp0ZETUJ1ghGnRkRNQnWCC5DSVEuSVFUUjU0NzQyMzY4MC5JUV9UUl9UQVJHRVRfU1RPQ0tQUkVNSVVNXzFNAQAAAMAFoSACAAAABzY2LjE1MzgBBgAAAAUAAAACNTQBAAAABjEwMTA1NQIAAAAJNTQ3NDIzNjgwAwAAAAk1NDc0MzMwNjUEAAAAAzE2MAYAAAAFRmFsc2UMbRAONQnWCAw+hQ41CdYIL0NJUS5JUVRSNDA3NzYwNjkyLklRX1RSX1RBUkdFVF9UT1RBTF9SRVYuLlVTRC5IAQAAADTvTRgCAAAACTIwLjc3MTgzOAAMbRAO</t>
  </si>
  <si>
    <t>NQnWCAw+hQ41CdYIIENJUS4wLklRX1RSX1RBUkdFVF9FQklUREEuLlVTRC5IBQAAAAAAAAAIAAAAGChJbnZhbGlkIFRyYW5zYWN0aW9uIElkKUlTR280CdYIB+LwgTQJ1ggpQ0lRLklRMzYxODM4MTMuSVFfTEFTVFNBTEVQUklDRS43LzMxLzIwMTgBAAAABR8oAgIAAAAEMS45NABJU0dvNAnWCIH9lW80CdYIR0NJUS5OQVNEQVFHTTpGQVRFLklRX01JTk9SSVRZX0lOVEVSRVNUX1RPVEFMLjIwMDAuNy8zMS8yMDE4LkxGUi5GLlVTRC5IAQAAAGgxVwIDAAAAAADWjBE4CAnWCMOGn280CdYIKENJUS5OQVNEQVFHUzpNR05YLklRX1RFVi43LzE2LzIwMTguVVNELkgBAAAATysJAAIAAAAKNjUxLjQ4Mzg4NAEGAAAABQAAAAExAQAAAAoxODg3MTE0Njc5AwAAAAMxNjACAAAABjEwMDA2MAQAAAABMAcAAAAJNy8xNi8yMDE4Rp0ZETUJ1gjCm2ISNQnWCDpDSVEuTkFTREFRR006SU1NVS5JUV9DQVNIX1NUX0lOVkVTVC4uNy8xNi8yMDE4LkxGUi5GLlVTRC5IAQAAACBDBAACAAAACjM1OC43OTI2NzgBCAAAAAUAAAABMQEAAAAKMTg4ODUyMzM4NAMAAAADMTYwAgAAAAQxMDAyBAAAAAEwBwAAAAk3LzE2LzIwMTgIAAAACTMvMzEvMjAxOAkAAAABMMT/GxE1CdYIaGBnEjUJ1ggpQ0lRLk5BU0RBUUdNOkFSUUwuSVFfQlVTSU5FU1NfREVTQ1JJUFRJT04BAAAA9mEAAAMAAADBCkFyUXVsZSwgSW5jLiwgYSBiaW9waGFy</t>
  </si>
  <si>
    <t>bWFjZXV0aWNhbCBjb21wYW55LCByZXNlYXJjaGVzIGFuZCBkZXZlbG9wcyB0aGVyYXBldXRpY3MgZm9yIHRoZSB0cmVhdG1lbnQgb2YgY2FuY2VyIGFuZCByYXJlIGRpc2Vhc2VzIGluIHRoZSBVbml0ZWQgU3RhdGVzLiBJdCBvZmZlcnMgRGVyYXphbnRpbmliIChBUlEgMDg3KSwgYSBtdWx0aS1raW5hc2UgaW5oaWJpdG9yIG9mIHRoZSBmaWJyb2JsYXN0IGdyb3d0aCBmYWN0b3IgcmVjZXB0b3IgKEZHRlIpIGZhbWlseSB0aGF0IGlzIGluIGEgcmVnaXN0cmF0aW9uIHRyaWFsIGluIGludHJhaGVwYXRpYyBjaG9sYW5naW9jYXJjaW5vbWEgd2l0aCBGR0ZSMiBmdXNpb25zLiBUaGUgY29tcGFueeKAmXMgY2xpbmljYWwtc3RhZ2UgcHJvZHVjdHMgaW5jbHVkZSBNaXJhbnNlcnRpYiAoQVJRIDA5MiksIGFuIGluaGliaXRvciBvZiB0aGUgQUtUIHNlcmluZS90aHJlb25pbmUga2luYXNlIGluIFBoYXNlIDEvMiBjbGluaWNhbCB0cmlhbCBpbiByYXJlIE92ZXJncm93dGggRGlzZWFzZXMsIFBoYXNlIDEgY2xpbmljYWwgdHJpYWwgaW4gdGhlIHJhcmUgZGlzZWFzZSwgYW5kIGluIFBoYXNlIDFiIGluIG9uY29sb2d5IGluIGNvbWJpbmF0aW9uIHdpdGggdGhlIGhvcm1vbmFsIHRoZXJhcHkgYW5kIGFuYXN0cm96b2xlOyBBUlEgNzUxLCBhIG5leHQtZ2VuZXJhdGlvbiBpbmhpYml0b3Igb2YgQUtUIHRoYXQg</t>
  </si>
  <si>
    <t>aXMgaW4gUGhhc2UgSSBjbGluaWNhbCB0cmlhbCBmb3Igc29saWQgdHVtb3JzIGhhcmJvcmluZyB0aGUgQUtUMSBvciBQSTNLIG11dGF0aW9uOyBBUlEgNzYxLCBhIMOfLWxhcGFjaG9uZSBhbmFsb2cgZXZhbHVhdGVkIGFzIGEgcHJvbW90ZXIgb2YgTlFPMS1tZWRpYXRlZCBwcm9ncmFtbWVkIGNhbmNlciBjZWxsIGRlYXRoIHdoaWNoIGlzIGluIFBoYXNlIDEvMiBjbGluaWNhbCB0cmlhbCBpbiBtdWx0aXBsZSBvbmNvbG9neTsgYW5kIEFSUSA1MzEsIGFuIG9yYWxseSBiaW9hdmFpbGFibGUsIHBvdGVudCBhbmQgcmV2ZXJzaWJsZSBpbmhpYml0b3Igb2Ygd2lsZCB0eXBlIGFuZCBDNDgxUy1tdXRhbnQgQnJ1dG9u4oCZcyB0eXJvc2luZSBraW5hc2UgdGhhdCBpcyBpbiBQaGFzZSAxIGZvciBCLWNlbGwgbWFsaWduYW5jaWVzIHJlZnJhY3RvcnkgdG8gb3RoZXIgdGhlcmFwZXV0aWMgb3B0aW9ucy4gSXQgaGFzIGNvbGxhYm9yYXRpb24gYWdyZWVtZW50IHdpdGggUm9pdmFudCBTY2llbmNlcyBMdGQuIHRvIGRldmVsb3AgZGVyYXphbnRpbmliLCBhIHBhbi1GR0ZSIGluaGliaXRvci4gQXJRdWxlLCBJbmMuIHdhcyBmb3VuZGVkIGluIDE5OTMgYW5kIGlzIGhlYWRxdWFydGVyZWQgaW4gQnVybGluZ3RvbiwgTWFzc2FjaHVzZXR0cy4A1owROAgJ1ghzJJ1vNAnWCDhDSVEuTkFTREFRR1M6RVBaTS5JUV9F</t>
  </si>
  <si>
    <t>QklUREEuQ1kyMDE3LjcvMzEvMjAxOC5MRlIuRi5VU0QuSAEAAAADJj0DAgAAAAgtMTM1LjIwMwEIAAAABQAAAAExAQAAAAoxODc4MDgxMDY0AwAAAAMxNjACAAAABDQwNTEEAAAAATAHAAAACTcvMzEvMjAxOAgAAAAKMTIvMzEvMjAxNwkAAAABMNaMETgICdYIcySdbzQJ1ggUQ0lRLjAuSVFfVFJfRUFSTk9VVFMFAAAAAAAAAAgAAAAYKEludmFsaWQgVHJhbnNhY3Rpb24gSWQpSVNHbzQJ1gjMWOeBNAnWCEZDSVEuTkFTREFRQ006TVRFTS5JUV9UT1RBTF9SRVZfMllSX0FOTl9DQUdSLjIwMDAuNy8zMS8yMDE4LkxGUi5GLlVTRC5IAQAAAJmbqQEDAAAAAADIMLI3CAnWCBnpoW80CdYINkNJUS5OQVNEQVFHUzpBTkFCLklRX1RPVEFMX0RFQlQuLjkvMTUvMjAxNy5MRlIuRi5VU0QuSAEAAAAhTLIBAgAAAAYxNC4xMTIBCAAAAAUAAAABMQEAAAAKMTg1MzAyNDk3MgMAAAADMTYwAgAAAAQ0MTczBAAAAAEwBwAAAAk5LzE1LzIwMTcIAAAACTYvMzAvMjAxNwkAAAABMMT/GxE1CdYIwptiEjUJ1gg9Q0lRLk5BU0RBUUdNOk5MTksuSVFfUkVWRU5VRV9FU1QuQ1kyMDE4LjcvMTYvMjAxOC5DT04uRi5VU0QuSAEAAACVe4wAAgAAAAUyMi4yNQEOAAAABQAAAAIxMQEAAAABMAIAAAAKMTAwMTQyNTA4NwMAAAAGMTAwMTgwBAAAAAEyBgAAAAEwBwAAAAMxNjAIAAAAATAJAAAAATEKAAAAATALAAAACzEwOTQ2NDQ5NzI2</t>
  </si>
  <si>
    <t>DAAAAAE3DQAAAAk3LzE3LzIwMTgQAAAACTcvMTYvMjAxOCkclBA1CdYI5HRbEjUJ1gg9Q0lRLk5BU0RBUUdTOlNHRU4uSVFfUkVWRU5VRV9FU1QuQ1kyMDIwLjcvMTYvMjAxOC5DT04uRi5VU0QuSAEAAABhhQAAAgAAAAgxMDg2LjAzNQEOAAAABQAAAAIxMQEAAAABMAIAAAAKMTAwMDEyNDcyOAMAAAAGMTAwMTgwBAAAAAEyBgAAAAEwBwAAAAMxNjAIAAAAATAJAAAAATEKAAAAATALAAAACzEwOTY3NjMwNDA2DAAAAAE3DQAAAAk3LzE3LzIwMTgQAAAACTcvMTYvMjAxOMT/GxE1CdYIaGBnEjUJ1gg/Q0lRLk5BU0RBUUdNOklNTVUuSVFfRUJJVERBXzVZUl9BTk5fQ0FHUi4uNy8xNi8yMDE4LkxGUi5GLlVTRC5IAQAAACBDBAADAAAAAk5NAQgAAAAFAAAAATEBAAAACjE4ODg1MjMzODQDAAAAAzE2MAIAAAAENDIzNQQAAAABMAcAAAAJNy8xNi8yMDE4CAAAAAkzLzMxLzIwMTgJAAAAATDE/xsRNQnWCBL+ZBI1CdYIPUNJUS5OQVNEQVFHUzpNUlNOLklRX1JFVkVOVUVfRVNULkNZMjAxOS43LzE2LzIwMTguQ09OLkYuVVNELkgBAAAA5sUYAAIAAAAGMjEuMjIyAQ4AAAAFAAAAAjExAQAAAAEwAgAAAAoxMDAzODAzMjgwAwAAAAYxMDAxODAEAAAAATIGAAAAATAHAAAAAzE2MAgAAAABMAkAAAABMQoAAAABMAsAAAALMTA5NTEyMjcwNjYMAAAAATcNAAAACTcvMTcvMjAxOBAAAAAJNy8xNi8yMDE4xP8bETUJ1ghz</t>
  </si>
  <si>
    <t>OWASNQnWCDVDSVEuTkFTREFRR006TkxOSy5JUV9OSV9NQVJHSU4uLjcvMTYvMjAxOC5MRlIuRi5VU0QuSAEAAACVe4wAAgAAAAktMTkzLjQzOTMBCAAAAAUAAAABMQEAAAAKMTg4ODM1NDIwNwMAAAADMTYwAgAAAAQ0MDk0BAAAAAEwBwAAAAk3LzE2LzIwMTgIAAAACTMvMzEvMjAxOAkAAAABMCkclBA1CdYI5HRbEjUJ1gg3Q0lRLk5BU0RBUUNNOkNLUFQuSVFfUFJFRl9FUVVJVFkuLjkvMTUvMjAxNy5MRlIuRi5VU0QuSAEAAAC4URYRAwAAAAAAKRyUEDUJ1gjkdFsSNQnWCDFDSVEuTkFTREFRR1M6VFNSTy5JUV9EQV9DRi4uNy8xNi8yMDE4LkxGUi5GLlVTRC5IAQAAAGjWWAYCAAAABjExLjAzMQEIAAAABQAAAAExAQAAAAoxODg2MzM3NDY2AwAAAAMxNjACAAAABDIxNjAEAAAAATAHAAAACTcvMTYvMjAxOAgAAAAJMy8zMS8yMDE4CQAAAAEwxP8bETUJ1ggS/mQSNQnWCCJDSVEuSVFUUjMxMjEyMjUwNC5JUV9UUl9UT1RBTF9DQVNIAQAAAIicmhICAAAABzE2LjE1OTcAWM8SDjUJ1gjA24IONQnWCDJDSVEuT1RDUEs6TUJWWC5JUV9UT1RBTF9SRVYuLjcvMTYvMjAxOC5MRlIuRi5VU0QuSAEAAADYRIsCAwAAAAAA3qd+EDUJ1giYElkSNQnWCD5DSVEuTkFTREFRR006TkxOSy5JUV9UT1RBTF9FUVVJVFkuQ1kyMDE3LjcvMTYvMjAxOC5MRlIuRi5VU0QuSAEAAACVe4wAAgAAAAcxNTEuNTU3AQgAAAAFAAAA</t>
  </si>
  <si>
    <t>ATEBAAAACjE4NzcyOTg4MTMDAAAAAzE2MAIAAAAEMTI3NQQAAAABMAcAAAAJNy8xNi8yMDE4CAAAAAoxMi8zMS8yMDE3CQAAAAEwKRyUEDUJ1gjkdFsSNQnWCEVDSVEuKElOVkFMSUQgSURFTlRJRklFUikuSVFfVE9UQUxfRVFVSVRZLkNZMjAxNy43LzMxLzIwMTguTEZSLkYuVVNELkgFAAAAAAAAAAgAAAAUKEludmFsaWQgSWRlbnRpZmllcinIMLI3CAnWCO02sG80CdYIJUNJUS5JUVRSMjQ1ODMxMDA3LklRX1RSX0lNUExJRURfRVFfQlYBAAAAXxWnDgIAAAAIMy40NjU5MDMAsrNJbzQJ1giB/ZVvNAnWCEZDSVEuTkFTREFRR006RkFURS5JUV9UT1RBTF9SRVZfNVlSX0FOTl9DQUdSLjIwMDAuNy8zMS8yMDE4LkxGUi5GLlVTRC5IAQAAAGgxVwICAAAABjguNTQ3OAEIAAAABQAAAAExAQAAAAoxODg4NTAwNTI3AwAAAAMxNjACAAAABDQyMzMEAAAAATAHAAAACTcvMzEvMjAxOAgAAAAJMy8zMS8yMDE4CQAAAAEw1owROAgJ1gjDhp9vNAnWCCFDSVEuTkFTREFRR1M6Q1RNWC5JUV9DT01QQU5ZX05BTUUBAAAA3DibAwMAAAAZQ3l0b21YIFRoZXJhcGV1dGljcywgSW5jLgBGnRkRNQnWCMKbYhI1CdYIP0NJUS5OQVNEQVFHUzpHVEhYLklRX05FVF9XT1JLSU5HX0NBUC4yMDAwLjcvMzEvMjAxOC5MRlIuRi5VU0QuSAEAAABlNGkIAgAAAActMTEuNzExAQgAAAAFAAAAATEBAAAACjE4ODYzNjc2NjcDAAAAAzE2</t>
  </si>
  <si>
    <t>MAIAAAAEMTMxMQQAAAABMAcAAAAJNy8zMS8yMDE4CAAAAAkzLzMxLzIwMTgJAAAAATCcC9U4CAnWCCTCmm80CdYIP0NJUS5OQVNEQVFHTTpDUlZTLklRX05FVF9XT1JLSU5HX0NBUC4xOTk2LjcvMzEvMjAxOC5MRlIuRi5VU0QuSAEAAAD0sKYQAgAAAAYtNi41MjgBCAAAAAUAAAABMQEAAAAKMTg4NjM2NzU3OQMAAAADMTYwAgAAAAQxMzExBAAAAAEwBwAAAAk3LzMxLzIwMTgIAAAACTMvMzEvMjAxNwkAAAABMNaMETgICdYIGemhbzQJ1ggjQ0lRLk5BU0RBUUdNOlhOQ1IuSVFfUEVSSU9EREFURV9JUy4BAAAAploLAAUAAAAJNi8zMC8yMDE4AMT/GxE1CdYIEv5kEjUJ1ggnQ0lRLk5BU0RBUUdTOkZQUlguSVFfQkVUQV8yWVIuNy8xNi8yMDE4AQAAADddMwACAAAAEDEuMDEzNjA4MTA1NzAwNzcAKRyUEDUJ1ghzOWASNQnWCClDSVEuSVFUUjQwOTk1MTg4Ni5JUV9UUl9JTVBMSUVEX0VRX05JX0xUTQEAAACOXm8YAgAAAAAADG0QDjUJ1gjA24IONQnWCB9DSVEuSVEyNjY4NjQyLklRX0xBU1RTQUxFUFJJQ0UuAQAAAGK4KAACAAAABDQuMzEAnAvVOAgJ1gh3eYAONQnWCDtDSVEuTkFTREFRR1M6QkdORS5JUV9UT1RBTF9SRVYuQ1kyMDE3LjcvMTYvMjAxOC5MRlIuRi5VU0QuSAEAAADg5N0GAgAAAAcyMzguMzg3AQgAAAAFAAAAATEBAAAACjE4NzYzNTc0NDkDAAAAAzE2MAIAAAACMjgEAAAAATAHAAAACTcv</t>
  </si>
  <si>
    <t>MTYvMjAxOAgAAAAKMTIvMzEvMjAxNwkAAAABMMT/GxE1CdYIaGBnEjUJ1gg6Q0lRLk5BU0RBUUdTOkZQUlguSVFfRUFSTklOR19DTy4yMDAwLjcvMzEvMjAxOC5MRlIuRi5VU0QuSAEAAAA3XTMAAgAAAAgtMTM3LjE2OQEIAAAABQAAAAExAQAAAAoxODg3NDAyMjI3AwAAAAMxNjACAAAAATcEAAAAATAHAAAACTcvMzEvMjAxOAgAAAAJMy8zMS8yMDE4CQAAAAEwyDCyNwgJ1ggZ6aFvNAnWCD5DSVEuTkFTREFRR006QUZNRC5JUV9UT1RBTF9FUVVJVFkuQ1kyMDE2LjcvMTYvMjAxOC5MRlIuRi5VU0QuSAEAAADb9wwAAgAAAAk0MC45MDY3ODgBCAAAAAUAAAABMQEAAAAKMTg3OTE0NzY2MgMAAAADMTYwAgAAAAQxMjc1BAAAAAEwBwAAAAk3LzE2LzIwMTgIAAAACjEyLzMxLzIwMTYJAAAAATApHJQQNQnWCDDXXRI1CdYIOUNJUS5OQVNEQVFHUzpBVE5YLklRX1RPVEFMX1JFVi4xOTk2LjcvMzEvMjAxOC5MRlIuRi5VU0QuSAEAAADcmWsBAgAAAAYyMC41MDMBCAAAAAUAAAABMQEAAAAKMTg4ODcwMjk3NgMAAAADMTYwAgAAAAIyOAQAAAABMAcAAAAJNy8zMS8yMDE4CAAAAAkzLzMxLzIwMTcJAAAAATDWjBE4CAnWCCTCmm80CdYIJ0NJUS5OQVNEQVFHUzpGUFJYLklRX0JFVEFfMVlSLjcvMTYvMjAxOAEAAAA3XTMAAgAAABEwLjczODE1NTQxNzE3MzQwMgApHJQQNQnWCHM5YBI1CdYIOkNJUS5OQVNEQVFHTTpG</t>
  </si>
  <si>
    <t>QVRFLklRX1RPVEFMX0RFQlQuMjAwMC43LzMxLzIwMTguTEZSLkYuVVNELkgBAAAAaDFXAgIAAAAGMTQuODI3AQgAAAAFAAAAATEBAAAACjE4ODg1MDA1MjcDAAAAAzE2MAIAAAAENDE3MwQAAAABMAcAAAAJNy8zMS8yMDE4CAAAAAkzLzMxLzIwMTgJAAAAATDWjBE4CAnWCMOGn280CdYIOENJUS5OQVNEQVFHUzpCR05FLklRX0VCSVREQS5DWTIwMTcuNy8xNi8yMDE4LkxGUi5GLlVTRC5IAQAAAODk3QYCAAAABy05My42OTkBCAAAAAUAAAABMQEAAAAKMTg3NjM1NzQ0OQMAAAADMTYwAgAAAAQ0MDUxBAAAAAEwBwAAAAk3LzE2LzIwMTgIAAAACjEyLzMxLzIwMTcJAAAAATDE/xsRNQnWCGhgZxI1CdYIKUNJUS5JUVRSNDI0MzQyMDQ2LklRX0JVU0lORVNTX0RFU0NSSVBUSU9OAQAAAAG4Bg8DAAAAqQVBZ2FsaW1tdW5lIExpbWl0ZWQsIGEgYmlvcGhhcm1hY2V1dGljYWwgY29tcGFueSwgZGV2ZWxvcHMgaW1tdW5vdGhlcmFwZXV0aWNzIGZvciB0aGUgdHJlYXRtZW50IG9mIGNhbmNlci4gSXQgZGV2ZWxvcHMgQWxwaGFqZWN0IHRoZXJhcHkgdG8gaGFybmVzcyBhIG5hdHVyYWwgaW1tdW5lIGFjdGl2YXRpb24gdG8gZHJpdmUgYSBwYXRpZW50LXNwZWNpZmljIGFudGktdHVtb3IgcmVzcG9uc2UsIHRoZXJlYnkgZWxpY2l0aW5nIGFuIGltbXVuZSByZXNwb25zZSB0aGF0IGRlc3Ryb3lzIHR1bW9yIGNlbGxz</t>
  </si>
  <si>
    <t>IGFuZCBicmluZ3MgYWJvdXQgYW4gYW50aS10dW1vciBwcm90ZWN0aXZlIGltbXVuZSByZXNwb25zZTsgYW5kIEFHSS0xMzQsIGEgZnVsbHktc3ludGhldGljIGFscGhhLWdhbCBnbHljb2xpcGlkIGltbXVub3RoZXJhcHkgZm9yIHNvbGlkIHR1bW9ycy4gQWdhbGltbXVuZSBMaW1pdGVkIHdhcyBmb3VuZGVkIGluIDIwMTMgYW5kIGlzIGJhc2VkIGluIExvbmRvbiwgVW5pdGVkIEtpbmdkb20uIFRoZSBjb21wYW55IGFsc28gaGFzIG9wZXJhdGlvbnMgaW4gU2FuZHdpY2gsIFVuaXRlZCBLaW5nZG9tOyBhbmQgQm9zdG9uLCBNYXNzYWNodXNldHRzLiBBcyBvZiBNYXJjaCAyMywgMjAxNywgQWdhbGltbXVuZSBMaW1pdGVkIG9wZXJhdGVzIGFzIGEgc3Vic2lkaWFyeSBvZiBCaW9MaW5lIFJ4IEx0ZC4ADG0QDjUJ1gjA24IONQnWCD9DSVEuTkFTREFRR006Q1JWUy5JUV9ORVRfV09SS0lOR19DQVAuMjAwMC43LzMxLzIwMTguTEZSLkYuVVNELkgBAAAA9LCmEAIAAAAGLTkuMzcxAQgAAAAFAAAAATEBAAAACjE4ODYzNjc1OTEDAAAAAzE2MAIAAAAEMTMxMQQAAAABMAcAAAAJNy8zMS8yMDE4CAAAAAkzLzMxLzIwMTgJAAAAATDWjBE4CAnWCBnpoW80CdYIPUNJUS5OQVNEQVFHTTpJTU1VLklRX0NBU0hfU1RfSU5WRVNULjIwMDAuNS81LzIwMTcuTEZSLkYuVVNELkgBAAAAIEMEAAIAAAAJNDYuNjEzNjE3AQgA</t>
  </si>
  <si>
    <t>AAAFAAAAATEBAAAACjE4MjcyNDgzNjADAAAAAzE2MAIAAAAEMTAwMgQAAAABMAcAAAAINS81LzIwMTcIAAAACjEyLzMxLzIwMTYJAAAAATCcC9U4CAnWCNRfmG80CdYIK0NJUS5OQVNEQVFHTTpBUlJZLklRX0xBU1RTQUxFUFJJQ0UuNS81LzIwMTcBAAAA+GEAAAIAAAAENy4xOACcC9U4CAnWCCTCmm80CdYIN0NJUS5OQVNEQVFHUzpTR0VOLklRX1BSRUZfRVFVSVRZLi43LzE2LzIwMTguTEZSLkYuVVNELkgBAAAAYYUAAAMAAAAAAMT/GxE1CdYIaGBnEjUJ1gghQ0lRLklRVFI0MDk5NTE4ODYuSVFfVFJfQlVZRVJOQU1FAQAAAI5ebxgDAAAAFlROSyBUaGVyYXBldXRpY3MsIEluYy4ADG0QDjUJ1gjA24IONQnWCD5DSVEuTkFTREFRR006TkxOSy5JUV9UT1RBTF9FUVVJVFkuQ1kyMDE2LjcvMTYvMjAxOC5MRlIuRi5VU0QuSAEAAACVe4wAAgAAAAcxMjkuNDY2AQgAAAAFAAAAATEBAAAACjE4NzcyOTg3MDUDAAAAAzE2MAIAAAAEMTI3NQQAAAABMAcAAAAJNy8xNi8yMDE4CAAAAAoxMi8zMS8yMDE2CQAAAAEwKRyUEDUJ1gjkdFsSNQnWCDtDSVEuTkFTREFRR1M6QkdORS5JUV9UT1RBTF9SRVYuQ1kyMDE2LjcvMTYvMjAxOC5MRlIuRi5VU0QuSAEAAADg5N0GAgAAAAQxLjA3AQgAAAAFAAAAATEBAAAACjE4NzYzNTc0MzYDAAAAAzE2MAIAAAACMjgEAAAAATAHAAAACTcvMTYvMjAxOAgAAAAKMTIvMzEvMjAx</t>
  </si>
  <si>
    <t>NgkAAAABMMT/GxE1CdYIaGBnEjUJ1gg/Q0lRLk5BU0RBUUNNOkNLUFQuSVFfRUJJVERBXzNZUl9BTk5fQ0FHUi4uNy8xNi8yMDE4LkxGUi5GLlVTRC5IAQAAALhRFhEDAAAAAAApHJQQNQnWCOR0WxI1CdYIPUNJUS5OQVNEQVFDTTpTUk5FLklRX1JFVkVOVUVfRVNULkNZMjAyMC43LzMxLzIwMTguQ09OLkYuVVNELkgBAAAASUOUAwIAAAAHMTA1LjMwNgEOAAAABQAAAAIxMQEAAAABMAIAAAAKMTAwMjQ4MTkzMwMAAAAGMTAwMTgwBAAAAAEyBgAAAAEwBwAAAAMxNjAIAAAAATAJAAAAATEKAAAAATALAAAACzEwOTU2MDU2NzgwDAAAAAE3DQAAAAg4LzEvMjAxOBAAAAAJNy8zMS8yMDE41owROAgJ1ghzJJ1vNAnWCDlDSVEuTkFTREFRR006QVJSWS5JUV9UT1RBTF9SRVYuMTk5Mi43LzMxLzIwMTguTEZSLkYuVVNELkgBAAAA+GEAAAIAAAAGMjcuNDAyAQgAAAAFAAAAATEBAAAACjE4NDEwOTUwMjYDAAAAAzE2MAIAAAACMjgEAAAAATAHAAAACTcvMzEvMjAxOAgAAAAJMy8zMS8yMDE2CQAAAAEwnAvVOAgJ1gjUX5hvNAnWCDxDSVEuTkFTREFRR1M6R1RIWC5JUV9UT1RBTF9FUVVJVFkuMTk5Ni43LzMxLzIwMTguTEZSLkYuVVNELkgBAAAAZTRpCAIAAAAJMzAuNzg5OTk4AQgAAAAFAAAAATEBAAAACjE4ODYzNjc2NDgDAAAAAzE2MAIAAAAEMTI3NQQAAAABMAcAAAAJNy8zMS8yMDE4CAAAAAkzLzMxLzIwMTcJ</t>
  </si>
  <si>
    <t>AAAAATDWjBE4CAnWCCTCmm80CdYIJ0NJUS5OQVNEQVFHTTpGQVRFLklRX0JFVEFfMVlSLjcvMzEvMjAxOAEAAABoMVcCAgAAABAxLjUzNzY5NjU1MDg2MTM2ANaMETgICdYIw4afbzQJ1gg4Q0lRLk5BU0RBUUdTOkJHTkUuSVFfRUJJVERBLkNZMjAxNi43LzE2LzIwMTguTEZSLkYuVVNELkgBAAAA4OTdBgIAAAAILTExNS4xNTEBCAAAAAUAAAABMQEAAAAKMTg3NjM1NzQzNgMAAAADMTYwAgAAAAQ0MDUxBAAAAAEwBwAAAAk3LzE2LzIwMTgIAAAACjEyLzMxLzIwMTYJAAAAATDE/xsRNQnWCGhgZxI1CdYIIUNJUS5OQVNEQVFDTTpBVkVPLklRX0NPTVBBTllfTkFNRQEAAAD0Fh0AAwAAABpBVkVPIFBoYXJtYWNldXRpY2FscywgSW5jLgBGnRkRNQnWCMKbYhI1CdYINkNJUS5OQVNEQVFHUzpUU1JPLklRX1RPVEFMX0RFQlQuLjkvMTUvMjAxNy5MRlIuRi5VU0QuSAEAAABo1lgGAgAAAAcxMzcuNDQ3AQgAAAAFAAAAATEBAAAACjE4NTI2NjI1NTMDAAAAAzE2MAIAAAAENDE3MwQAAAABMAcAAAAJOS8xNS8yMDE3CAAAAAk2LzMwLzIwMTcJAAAAATDE/xsRNQnWCBL+ZBI1CdYILENJUS5JUVRSNDA4NDA3ODIyLklRX1RSX1RBUkdFVF9FQklUREEuLlVTRC5IAQAAAA7PVxgCAAAAAACys0lvNAnWCIH9lW80CdYII0NJUS5JUVRSMjQ1ODMxMDA3LklRX1RSX1RPVEFMX1NUT0NLAQAAAF8Vpw4CAAAAAACys0lvNAnW</t>
  </si>
  <si>
    <t>CIH9lW80CdYIQ0NJUS5OQVNEQVFHUzpLVVJBLklRX0VCSVREQV8zWVJfQU5OX0NBR1IuMjAwMC43LzMxLzIwMTguTEZSLkYuVVNELkgBAAAAuMvaEAMAAAAAANaMETgICdYIcySdbzQJ1ggpQ0lRLklRVFIzMDc4NjM5ODQuSVFfVFJfSU1QTElFRF9FUV9OSV9MVE0BAAAAsKFZEgIAAAAAAFjPEg41CdYIwNuCDjUJ1ggyQ0lRLk5BU0RBUUdTOkNBTEEuSVFfRUJJVERBLi43LzE2LzIwMTguTEZSLkYuVVNELkgBAAAApSeBBgIAAAAHLTM3LjMzMwEIAAAABQAAAAExAQAAAAoxODg3OTgwMzA1AwAAAAMxNjACAAAABDQwNTEEAAAAATAHAAAACTcvMTYvMjAxOAgAAAAJMy8zMS8yMDE4CQAAAAEwKRyUEDUJ1gjkdFsSNQnWCDtDSVEuTkFTREFRR1M6QVROWC5JUV9QUkVGX0VRVUlUWS4yMDAwLjcvMzEvMjAxOC5MRlIuRi5VU0QuSAEAAADcmWsBAwAAAAAA1owROAgJ1ggkwppvNAnWCDxDSVEuTkFTREFRR1M6S1VSQS5JUV9FQVJOSU5HX0NPLkNZMjAxNi43LzMxLzIwMTguTEZSLkYuVVNELkgBAAAAuMvaEAIAAAAGLTI3LjU2AQgAAAAFAAAAATEBAAAACjE4NzgwMTI0MzUDAAAAAzE2MAIAAAABNwQAAAABMAcAAAAJNy8zMS8yMDE4CAAAAAoxMi8zMS8yMDE2CQAAAAEw1owROAgJ1ghzJJ1vNAnWCB9DSVEuLklRX1RSX1RBUkdFVF9FQklUREEuLlVTRC5IBQAAAAAAAAAIAAAAFChJbnZhbGlkIElkZW50aWZpZXIp</t>
  </si>
  <si>
    <t>nAvVOAgJ1gh3eYAONQnWCDpDSVEuTkFTREFRR1M6QkdORS5JUV9DQVNIX1NUX0lOVkVTVC4uNy8xNi8yMDE4LkxGUi5GLlVTRC5IAQAAAODk3QYCAAAACDE0NjQuMDE1AQgAAAAFAAAAATEBAAAACjE4ODc2ODg1ODgDAAAAAzE2MAIAAAAEMTAwMgQAAAABMAcAAAAJNy8xNi8yMDE4CAAAAAkzLzMxLzIwMTgJAAAAATDE/xsRNQnWCGhgZxI1CdYIOENJUS5FTlhUUEE6SVBILklRX1RPVEFMX1JFVi5DWTIwMTcuNy8xNi8yMDE4LkxGUi5GLlVTRC5IAQAAAJmABgACAAAACTUyLjg3MzQzOQEIAAAABQAAAAExAQAAAAoxODg5NTUyMTY0AwAAAAMxNjACAAAAAjI4BAAAAAEwBwAAAAk3LzE2LzIwMTgIAAAACjEyLzMxLzIwMTcJAAAAATApHJQQNQnWCHM5YBI1CdYIIkNJUS5JUVRSNDMxODQxNTgxLklRX1RSX1RPVEFMX0NBU0gBAAAALWG9GQIAAAAAAAxtEA41CdYIDD6FDjUJ1ggnQ0lRLk5BU0RBUUdNOkFSUUwuSVFfUEVSSU9EREFURV9JUy4xMDAwAQAAAPZhAAAFAAAACjEyLzMxLzIwMTcA1owROAgJ1ghzJJ1vNAnWCDtDSVEuTkFTREFRR1M6U0dFTi5JUV9UT1RBTF9SRVYuQ1kyMDE2LjcvMTYvMjAxOC5MRlIuRi5VU0QuSAEAAABhhQAAAgAAAAc0MTguMTQ3AQgAAAAFAAAAATEBAAAACjE4NzQ2OTYxOTYDAAAAAzE2MAIAAAACMjgEAAAAATAHAAAACTcvMTYvMjAxOAgAAAAKMTIvMzEvMjAxNgkAAAABMMT/</t>
  </si>
  <si>
    <t>GxE1CdYIaGBnEjUJ1ggnQ0lRLk5BU0RBUUdTOkdUSFguSVFfQkVUQV8xWVIuNy8zMS8yMDE4AQAAAGU0aQgCAAAADzEuMTA0NzUyMjc1NzQ1NACcC9U4CAnWCCTCmm80CdYIPUNJUS5OQVNEQVFDTTpTUk5FLklRX1JFVkVOVUVfRVNULkNZMjAxOC43LzMxLzIwMTguQ09OLkYuVVNELkgBAAAASUOUAwIAAAAGMTcuMTA2AQ4AAAAFAAAAAjExAQAAAAEwAgAAAAoxMDAyMDM0MjUwAwAAAAYxMDAxODAEAAAAATIGAAAAATAHAAAAAzE2MAgAAAABMAkAAAABMQoAAAABMAsAAAALMTA5NDU2MzEzODQMAAAAATcNAAAACDgvMS8yMDE4EAAAAAk3LzMxLzIwMTjWjBE4CAnWCHMknW80CdYINUNJUS5OQVNEQVFHTTpBRk1ELklRX05JX01BUkdJTi4uNy8xNi8yMDE4LkxGUi5GLlVTRC5IAQAAANv3DAADAAAAAk5NAQgAAAAFAAAAATEBAAAACjE4ODk4NjYwNDkDAAAAAjUwAgAAAAQ0MDk0BAAAAAEwBwAAAAk3LzE2LzIwMTgIAAAACTMvMzEvMjAxOAkAAAABMCkclBA1CdYIMNddEjUJ1gg+Q0lRLk5BU0RBUUdTOkFEWFMuSVFfVE9UQUxfRVFVSVRZLkNZMjAxNi43LzE2LzIwMTguTEZSLkYuVVNELkgBAAAAnux4AAIAAAAKMTA3LjM2ODUwMQEIAAAABQAAAAExAQAAAAoxODc4MDEyNDI5AwAAAAMxNjACAAAABDEyNzUEAAAAATAHAAAACTcvMTYvMjAxOAgAAAAJMS8zMS8yMDE3CQAAAAEwKRyUEDUJ1gjkdFsSNQnWCDdD</t>
  </si>
  <si>
    <t>SVEuTkFTREFRQ006QVZFTy5JUV9QUkVGX0VRVUlUWS4uOS8xNS8yMDE3LkxGUi5GLlVTRC5IAQAAAPQWHQADAAAAAADE/xsRNQnWCHM5YBI1CdYIK0NJUS5JUVRSNDA5OTUxODg2LklRX1RSX0lNUExJRURfRVZfRUJJVF9GV0QBAAAAjl5vGAIAAAAAAAxtEA41CdYIwNuCDjUJ1gg+Q0lRLk5BU0RBUUdNOkFSUUwuSVFfVE9UQUxfRVFVSVRZLkNZMjAxNi43LzMxLzIwMTguTEZSLkYuVVNELkgBAAAA9mEAAAIAAAAFMjMuNjgBCAAAAAUAAAABMQEAAAAKMTg3ODUwODY5NQMAAAADMTYwAgAAAAQxMjc1BAAAAAEwBwAAAAk3LzMxLzIwMTgIAAAACjEyLzMxLzIwMTYJAAAAATDWjBE4CAnWCHMknW80CdYIKENJUS5BU1g6SU1VLklRX01BUktFVENBUC43LzE2LzIwMTguVVNELkgBAAAAmJOpAAIAAAAJNjguNjQxMzQxAQYAAAAFAAAAATEBAAAACjE4NzczMDA5NjIDAAAAAzE2MAIAAAAGMTAwMDU0BAAAAAEwBwAAAAk3LzE2LzIwMTgpHJQQNQnWCDDXXRI1CdYINkNJUS5OQVNEQVFDTTpDS1BULklRX0VBUk5JTkdfQ08uLjcvMTYvMjAxOC5MRlIuRi5VU0QuSAEAAAC4URYRAgAAAActMjcuMDU5AQgAAAAFAAAAATEBAAAACjE4ODgwMDcyMjMDAAAAAzE2MAIAAAABNwQAAAABMAcAAAAJNy8xNi8yMDE4CAAAAAkzLzMxLzIwMTgJAAAAATApHJQQNQnWCOR0WxI1CdYIL0NJUS5OQVNEQVFHUzpTR0VOLklRX0VCSVRE</t>
  </si>
  <si>
    <t>QS5DWTIwMTcuLkxGUi5GLlVTRC5IAQAAAGGFAAACAAAACC0xNzEuNTMyAQgAAAAFAAAAATEBAAAACjE4NzQ2OTYyMjADAAAAAzE2MAIAAAAENDA1MQQAAAABMAcAAAAJOC8yMy8yMDE4CAAAAAoxMi8zMS8yMDE3CQAAAAEwRp0ZETUJ1ghGnRkRNQnWCDpDSVEuTkFTREFRQ006U1JORS5JUV9UT1RBTF9ERUJULjIwMDAuNy8zMS8yMDE4LkxGUi5GLlVTRC5IAQAAAElDlAMCAAAABTcuMDk1AQgAAAAFAAAAATEBAAAACjE4ODc5ODk4MzEDAAAAAzE2MAIAAAAENDE3MwQAAAABMAcAAAAJNy8zMS8yMDE4CAAAAAkzLzMxLzIwMTgJAAAAATDWjBE4CAnWCHMknW80CdYIIkNJUS5JUVRSNTM1NzE5OTk4LklRX1RSX1RBUkdFVE5BTUUBAAAAPnDuHwMAAAARS2l0ZSBQaGFybWEsIEluYy4AsrNJbzQJ1giB/ZVvNAnWCENDSVEuTkFTREFRQ006WklPUC5JUV9FQklUREFfNVlSX0FOTl9DQUdSLjIwMDAuNy8zMS8yMDE4LkxGUi5GLlVTRC5IAQAAALNRsgADAAAAAk5NAQgAAAAFAAAAATEBAAAACjE4ODc5NzIzNTkDAAAAAzE2MAIAAAAENDIzNQQAAAABMAcAAAAJNy8zMS8yMDE4CAAAAAkzLzMxLzIwMTgJAAAAATDWjBE4CAnWCMOGn280CdYIPENJUS5BU1g6SU1VLklRX1RPVEFMX1JFVl81WVJfQU5OX0NBR1IuLjcvMTYvMjAxOC5MRlIuRi5VU0QuSAEAAACYk6kAAgAAAAc3Mi41MDk2AQgAAAAFAAAAATEBAAAACjE4</t>
  </si>
  <si>
    <t>NzczMDUzMjADAAAAATkCAAAABDQyMzMEAAAAATAHAAAACTcvMTYvMjAxOAgAAAAKMTIvMzEvMjAxNwkAAAABMCkclBA1CdYIMNddEjUJ1ggdQ0lRLk5BU0RBUUdTOlRTUk8uSVFfRVhDSEFOR0UBAAAAaNZYBgMAAAAITmFzZGFxR1MAnAvVOAgJ1ggPZYwONQnWCD1DSVEuTkFTREFRR1M6R1RIWC5JUV9SRVZFTlVFX0VTVC5DWTIwMTguNy8zMS8yMDE4LkNPTi5GLlVTRC5IAQAAAGU0aQgCAAAAATABDgAAAAUAAAACMTEBAAAAATACAAAACjEwMDM3NTE1ODIDAAAABjEwMDE4MAQAAAABMgYAAAABMAcAAAADMTYwCAAAAAEwCQAAAAExCgAAAAEwCwAAAAsxMTAyOTg1NzkxNAwAAAABNw0AAAAIOC8xLzIwMTgQAAAACTcvMzEvMjAxOJwL1TgICdYIJMKabzQJ1gg6Q0lRLk5BU0RBUUdTOk1HTlguSVFfQ0FTSF9TVF9JTlZFU1QuLjcvMTYvMjAxOC5MRlIuRi5VU0QuSAEAAABPKwkAAgAAAAcyNjAuMDgxAQgAAAAFAAAAATEBAAAACjE4ODcxMTQ5NDUDAAAAAzE2MAIAAAAEMTAwMgQAAAABMAcAAAAJNy8xNi8yMDE4CAAAAAkzLzMxLzIwMTgJAAAAATDE/xsRNQnWCMKbYhI1CdYIRkNJUS5OQVNEQVFHUzpGUFJYLklRX1RPVEFMX1JFVl8zWVJfQU5OX0NBR1IuMjAwMC43LzMxLzIwMTguTEZSLkYuVVNELkgBAAAAN10zAAIAAAAHNDUuNzY3NAEIAAAABQAAAAExAQAAAAoxODg3NDAyMjI3AwAAAAMxNjACAAAABDQy</t>
  </si>
  <si>
    <t>MjAEAAAAATAHAAAACTcvMzEvMjAxOAgAAAAJMy8zMS8yMDE4CQAAAAEwyDCyNwgJ1ggZ6aFvNAnWCClDSVEuSVFUUjU2MzkxOTA0OS5JUV9CVVNJTkVTU19ERVNDUklQVElPTgEAAAD2Q2wNAwAAALcJQVJNTyBCaW9TY2llbmNlcywgSW5jLiwgYW4gaW1tdW5vLW9uY29sb2d5IGNvbXBhbnksIGRldmVsb3BzIGEgcGlwZWxpbmUgb2Ygbm92ZWwgcHJvZHVjdCBjYW5kaWRhdGVzIHRoYXQgYWN0aXZhdGUgdGhlIGltbXVuZSBzeXN0ZW0gb2YgY2FuY2VyIHBhdGllbnRzIHRvIHJlY29nbml6ZSBhbmQgZXJhZGljYXRlIHR1bW9ycyBpbiB0aGUgVW5pdGVkIFN0YXRlcy4gSXRzIGxlYWQgcHJvZHVjdCBjYW5kaWRhdGUgaXMgQU0wMDEwLCBhIGxvbmcgYWN0aW5nIGZvcm0gb2YgaHVtYW4gaW50ZXJsZXVraW4tMTAgdGhhdCBpcyBpbiBQaGFzZSBJSUkgcmFuZG9taXplZCBwaXZvdGFsIGNsaW5pY2FsIHRyaWFsIGZvciB0aGUgdHJlYXRtZW50IG9mIHBhbmNyZWF0aWMgZHVjdGFsIGFkZW5vY2FyY2lub21hLiBUaGUgY29tcGFueSBpcyBhbHNvIGRldmVsb3BpbmcgQU0wMDEwIHRoYXQgaGFzIGNvbXBsZXRlZCBQaGFzZSBJL0liIGNsaW5pY2FsIHRyaWFsIGZvciB0aGUgdHJlYXRtZW50IG9mIG5vbi1zbWFsbCBjZWxsIGx1bmcgY2FuY2VyLCByZW5hbCBjZWxsIGNhcmNpbm9tYSwgY29sb3JlY3RhbCBjYW5j</t>
  </si>
  <si>
    <t>ZXIsIGFuZCBtZWxhbm9tYSBhbmQgYnJlYXN0IGNhbmNlci4gSW4gYWRkaXRpb24sIGl0IGlzIGRldmVsb3BpbmcgQU0wMDAxLCBhIG1vbm9jbG9uYWwgYW50aWJvZHkgYWdhaW5zdCBwcm9ncmFtbWVkIGNlbGwgZGVhdGggcHJvdGVpbi0xIGNoZWNrcG9pbnQgaW5oaWJpdG9yOyBBTTAwMTUsIGEgcmVjb21iaW5hbnQgaHVtYW4gaW50ZXJsZXVraW4tMTU7IEFNMDAxMiwgYSByZWNvbWJpbmFudCBodW1hbiBJbnRlcmxldWtpbi0xMjsgYW5kIEFNMDAwMywgYSBtb25vY2xvbmFsIGFudGlib2R5IGFnYWluc3QgbGV1a29jeXRlIGFjdGl2YXRpbmcgZ2VuZS0zIHByb3RlaW4gcHJvZ3JhbS4gVGhlIGNvbXBhbnkgd2FzIGZvcm1lcmx5IGtub3duIGFzIFRhcmdlbmljcywgSW5jLiBhbmQgY2hhbmdlZCBpdHMgbmFtZSB0byBBUk1PIEJpb1NjaWVuY2VzLCBJbmMuIGluIERlY2VtYmVyIDIwMTIuIEFSTU8gQmlvU2NpZW5jZXMsIEluYy4gd2FzIGluY29ycG9yYXRlZCBpbiAyMDEwIGFuZCBpcyBoZWFkcXVhcnRlcmVkIGluIFJlZHdvb2QgQ2l0eSwgQ2FsaWZvcm5pYS4gQXMgb2YgSnVuZSAyMSwgMjAxOCwgQVJNTyBCaW9TY2llbmNlcywgSW5jLiBvcGVyYXRlcyBhcyBhIHN1YnNpZGlhcnkgb2YgRWxpIExpbGx5IGFuZCBDb21wYW55LgAMbRAONQnWCMDbgg41CdYIO0NJUS5OQVNEQVFHTTpJTU1VLklRX05F</t>
  </si>
  <si>
    <t>VF9XT1JLSU5HX0NBUC4uNy8xNi8yMDE4LkxGUi5GLlVTRC5IAQAAACBDBAACAAAACi04My4yNTU1ODEBCAAAAAUAAAABMQEAAAAKMTg4ODUyMzM4NAMAAAADMTYwAgAAAAQxMzExBAAAAAEwBwAAAAk3LzE2LzIwMTgIAAAACTMvMzEvMjAxOAkAAAABMMT/GxE1CdYIEv5kEjUJ1gg4Q0lRLk5BU0RBUUdTOkZQUlguSVFfRUJJVERBLkNZMjAxNi43LzMxLzIwMTguTEZSLkYuVVNELkgBAAAAN10zAAIAAAAGLTk3LjQ3AQgAAAAFAAAAATEBAAAACjE4NzYxMzU5ODgDAAAAAzE2MAIAAAAENDA1MQQAAAABMAcAAAAJNy8zMS8yMDE4CAAAAAoxMi8zMS8yMDE2CQAAAAEw1owROAgJ1ggZ6aFvNAnWCDpDSVEuTkFTREFRR006QVJRTC5JUV9FQVJOSU5HX0NPLjE5OTYuNy8zMS8yMDE4LkxGUi5GLlVTRC5IAQAAAPZhAAACAAAABy0yNS4zMTMBCAAAAAUAAAABMQEAAAAKMTg4ODc4ODczNwMAAAADMTYwAgAAAAE3BAAAAAEwBwAAAAk3LzMxLzIwMTgIAAAACTMvMzEvMjAxNwkAAAABMNaMETgICdYIcySdbzQJ1gg8Q0lRLk5BU0RBUUdNOlhOQ1IuSVFfRUJJVERBX0VTVC5DWTIwMjAuNy8xNi8yMDE4LkNPTi5GLlVTRC5IAQAAAKZaCwACAAAABC0xMjcBDgAAAAUAAAACMTEBAAAAATACAAAACjEwMDIwMjUyNTcDAAAABjEwMDE4NwQAAAABMgYAAAABMAcAAAADMTYwCAAAAAEwCQAAAAExCgAAAAEwCwAAAAsxMDkxNTgz</t>
  </si>
  <si>
    <t>MjUzMQwAAAABNw0AAAAJNy8xNy8yMDE4EAAAAAk3LzE2LzIwMTjE/xsRNQnWCBL+ZBI1CdYIK0NJUS5OQVNEQVFHUzpLVVJBLklRX0xBU1RTQUxFUFJJQ0UuNS81LzIwMTcBAAAAuMvaEAIAAAAEOS4zNQDWjBE4CAnWCHMknW80CdYILkNJUS5OQVNEQVFHTTpMUFRYLklRX01BUktFVENBUC45LzE1LzIwMTcuVVNELkgBAAAADDYJBwIAAAAJNTMuOTMyNTgxAQYAAAAFAAAAATEBAAAACjE4NTMxNzE5ODgDAAAAAzE2MAIAAAAGMTAwMDU0BAAAAAEwBwAAAAk5LzE1LzIwMTcpHJQQNQnWCDDXXRI1CdYIKUNJUS5JUVRSNTUwMjU5Mzk3LklRX1RSX0lNUExJRURfRVFfTklfTFRNAQAAAMVKzCADAAAAAk5NAAxtEA41CdYId3mADjUJ1ggjQ0lRLklRVFI1MzM2Mzk1MDEuSVFfVFJfVE9UQUxfU1RPQ0sBAAAATbHOHwIAAAAAAAxtEA41CdYIwNuCDjUJ1gg/Q0lRLk5BU0RBUUdTOkJHTkUuSVFfRUJJVERBXzVZUl9BTk5fQ0FHUi4uNy8xNi8yMDE4LkxGUi5GLlVTRC5IAQAAAODk3QYDAAAAAADE/xsRNQnWCGhgZxI1CdYIPUNJUS5OQVNEQVFHUzpNUlNOLklRX1JFVkVOVUVfRVNULkNZMjAyMS43LzE2LzIwMTguQ09OLkYuVVNELkgBAAAA5sUYAAIAAAAGMjYuNTk0AQ4AAAAFAAAAAjExAQAAAAEwAgAAAAoxMDAzODAzODQ1AwAAAAYxMDAxODAEAAAAATIGAAAAATAHAAAAAzE2MAgAAAABMAkAAAABMQoAAAABMAsA</t>
  </si>
  <si>
    <t>AAALMTA4ODM1NDAyMjYMAAAAATcNAAAACTcvMTcvMjAxOBAAAAAJNy8xNi8yMDE4xP8bETUJ1ghzOWASNQnWCENDSVEuTkFTREFRR006SU1NVS5JUV9NSU5PUklUWV9JTlRFUkVTVF9UT1RBTC4uNy8xNi8yMDE4LkxGUi5GLlVTRC5IAQAAACBDBAACAAAACS0wLjgxMDE2OQEIAAAABQAAAAExAQAAAAoxODg4NTIzMzg0AwAAAAMxNjACAAAABDEzMTIEAAAAATAHAAAACTcvMTYvMjAxOAgAAAAJMy8zMS8yMDE4CQAAAAEwxP8bETUJ1ghoYGcSNQnWCDVDSVEuTkFTREFRR1M6QkdORS5JUV9DQVBFWC4yMDAwLjcvMzEvMjAxOC5MRlIuRi5VU0QuSAEAAADg5N0GAgAAAActNTEuMDAyAQgAAAAFAAAAATEBAAAACjE4ODc2ODg1ODgDAAAAAzE2MAIAAAAEMjAyMQQAAAABMAcAAAAJNy8zMS8yMDE4CAAAAAkzLzMxLzIwMTgJAAAAATCcC9U4CAnWCIH9lW80CdYIOkNJUS5OQVNEQVFHTTpDUlZTLklRX0VBUk5JTkdfQ08uMTk5Ni43LzMxLzIwMTguTEZSLkYuVVNELkgBAAAA9LCmEAIAAAAHLTQ2LjA2NAEIAAAABQAAAAExAQAAAAoxODg2MzY3NTc5AwAAAAMxNjACAAAAATcEAAAAATAHAAAACTcvMzEvMjAxOAgAAAAJMy8zMS8yMDE3CQAAAAEw1owROAgJ1ggZ6aFvNAnWCENDSVEuTkFTREFRR1M6TUdOWC5JUV9NSU5PUklUWV9JTlRFUkVTVF9UT1RBTC4uNy8xNi8yMDE4LkxGUi5GLlVTRC5IAQAAAE8rCQADAAAA</t>
  </si>
  <si>
    <t>AADE/xsRNQnWCMKbYhI1CdYIIkNJUS5JUVRSNTMzNjM5NTAxLklRX1RSX1RPVEFMX0NBU0gBAAAATbHOHwIAAAAAAAxtEA41CdYIwNuCDjUJ1gg1Q0lRLk5BU0RBUUdTOkdUSFguSVFfQ0FQRVguMjAwMC43LzMxLzIwMTguTEZSLkYuVVNELkgBAAAAZTRpCAIAAAAGLTAuMzUyAQgAAAAFAAAAATEBAAAACjE4ODYzNjc2NjcDAAAAAzE2MAIAAAAEMjAyMQQAAAABMAcAAAAJNy8zMS8yMDE4CAAAAAkzLzMxLzIwMTgJAAAAATCcC9U4CAnWCCTCmm80CdYILkNJUS5FTlhUUEE6SVBILklRX0RBX0NGLi43LzE2LzIwMTguTEZSLkYuVVNELkgBAAAAmYAGAAIAAAAINS4yNzQ5NzYBCAAAAAUAAAABMQEAAAAKMTg4OTU1MjE2NAMAAAADMTYwAgAAAAQyMTYwBAAAAAEwBwAAAAk3LzE2LzIwMTgIAAAACjEyLzMxLzIwMTcJAAAAATApHJQQNQnWCHM5YBI1CdYIOUNJUS5OQVNEQVFHUzpDQUxBLklRX1RPVEFMX1JFVi4xOTkyLjcvMzEvMjAxOC5MRlIuRi5VU0QuSAEAAAClJ4EGAwAAAAAAyDCyNwgJ1gjdS6RvNAnWCD1DSVEuTkFTREFRR006WE5DUi5JUV9SRVZFTlVFX0VTVC5DWTIwMjEuNy8xNi8yMDE4LkNPTi5GLlVTRC5IAQAAAKZaCwACAAAACTExNy4zNjEzMwEOAAAABQAAAAIxMQEAAAABMAIAAAAKMTAwMjAyNTI2MgMAAAAGMTAwMTgwBAAAAAEyBgAAAAEwBwAAAAMxNjAIAAAAATAJAAAAATEKAAAAATALAAAA</t>
  </si>
  <si>
    <t>CzEwOTE1ODMyNDg5DAAAAAE3DQAAAAk3LzE3LzIwMTgQAAAACTcvMTYvMjAxOMT/GxE1CdYIEv5kEjUJ1gg1Q0lRLk5BU0RBUUdTOkNBTEEuSVFfTklfTUFSR0lOLi43LzE2LzIwMTguTEZSLkYuVVNELkgBAAAApSeBBgIAAAAJLTEzMS41MTE1AQgAAAAFAAAAATEBAAAACjE4ODc5ODAzMDUDAAAAAzE2MAIAAAAENDA5NAQAAAABMAcAAAAJNy8xNi8yMDE4CAAAAAkzLzMxLzIwMTgJAAAAATApHJQQNQnWCOR0WxI1CdYINkNJUS5OQVNEQVFHTTpDUklTLklRX0VCSVREQS4xOTkyLjcvMzEvMjAxOC5MRlIuRi5VU0QuSAEAAAAXagAAAgAAAAotMzQuMTEyNzU5AQgAAAAFAAAAATEBAAAACjE4NDA1MDEwOTkDAAAAAzE2MAIAAAAENDA1MQQAAAABMAcAAAAJNy8zMS8yMDE4CAAAAAkzLzMxLzIwMTYJAAAAATDIMLI3CAnWCN1LpG80CdYIPUNJUS5OQVNEQVFHUzpUU1JPLklRX1JFVkVOVUVfRVNULkNZMjAxOC43LzE2LzIwMTguQ09OLkYuVVNELkgBAAAAaNZYBgIAAAAJMzA1LjU5NzMyAQ4AAAAFAAAAAjExAQAAAAEwAgAAAAoxMDAxNTgwMzQwAwAAAAYxMDAxODAEAAAAATIGAAAAATAHAAAAAzE2MAgAAAABMAkAAAABMQoAAAABMAsAAAALMTA5NjcyMTY3MDkMAAAAATcNAAAACTcvMTcvMjAxOBAAAAAJNy8xNi8yMDE4xP8bETUJ1ggS/mQSNQnWCDxDSVEuTkFTREFRR006QUZNRC5JUV9FQVJOSU5HX0NPLkNZ</t>
  </si>
  <si>
    <t>MjAxNy43LzE2LzIwMTguTEZSLkYuVVNELkgBAAAA2/cMAAIAAAAKLTM2LjI5MDgyNgEIAAAABQAAAAExAQAAAAoxODc5MTQ3Njk2AwAAAAMxNjACAAAAATcEAAAAATAHAAAACTcvMTYvMjAxOAgAAAAKMTIvMzEvMjAxNwkAAAABMCkclBA1CdYIMNddEjUJ1ggsQ0lRLk5BU0RBUUdTOkJHTkUuSVFfTEFTVFNBTEVQUklDRS45LzE1LzIwMTcBAAAA4OTdBgIAAAAEODAuOQBGnRkRNQnWCGhgZxI1CdYIO0NJUS5OQVNEQVFDTTpTUk5FLklRX1RPVEFMX1JFVi5DWTIwMTcuNy8zMS8yMDE4LkxGUi5GLlVTRC5IAQAAAElDlAMCAAAABzE1MS44NTYBCAAAAAUAAAABMQEAAAAKMTg3ODY3NzQ1NgMAAAADMTYwAgAAAAIyOAQAAAABMAcAAAAJNy8zMS8yMDE4CAAAAAoxMi8zMS8yMDE3CQAAAAEw1owROAgJ1ghzJJ1vNAnWCDBDSVEuTkFTREFRR1M6Q0FMQS5JUV9MQVNUU0FMRVBSSUNFLjcvMzEvMjAxOC5VU0QBAAAApSeBBgIAAAAENC40NQDIMLI3CAnWCN1LpG80CdYIKUNJUS5OQVNEQVFHUzpKTkNFLklRX0JVU0lORVNTX0RFU0NSSVBUSU9OAQAAAOJ5ng0DAAAAwQdKb3VuY2UgVGhlcmFwZXV0aWNzLCBJbmMuLCBhIGNsaW5pY2FsIHN0YWdlIGltbXVub3RoZXJhcHkgY29tcGFueSwgZGV2ZWxvcHMgdGhlcmFwaWVzIGZvciB0aGUgdHJlYXRtZW50IG9mIGNhbmNlci4gSXRzIGxlYWQgcHJvZHVjdCBjYW5kaWRh</t>
  </si>
  <si>
    <t>dGUgaXMgSlRYLTIwMTEsIGEgY2xpbmljYWwgc3RhZ2UgbW9ub2Nsb25hbCBhbnRpYm9keSB0aGF0IGJpbmRzIHRvIGFuZCBhY3RpdmF0ZXMgdGhlIGluZHVjaWJsZSBUIGNlbGwgY28tc3RpbXVsYXRvciwgYSBwcm90ZWluIG9uIHRoZSBzdXJmYWNlIG9mIGNlcnRhaW4gVCBjZWxscyBmb3VuZCBpbiBzb2xpZCB0dW1vcnMsIHdoaWNoIGlzIGluIFBoYXNlIEkvSUkgY2xpbmljYWwgdHJpYWwgZm9yIHRoZSB0cmVhdG1lbnQgb2Ygc2l4IHR1bW9yIHR5cGVzLCBpbmNsdWRpbmcgaGVhZCBhbmQgbmVjayBzcXVhbW91cyBjZWxsIGNhbmNlciwgbm9uLXNtYWxsIGNlbGwgbHVuZyBjYW5jZXIsIHRyaXBsZSBuZWdhdGl2ZSBicmVhc3QgY2FuY2VyLCBtZWxhbm9tYSwgZ2FzdHJpYyBjYW5jZXIsIGFuZCBvdGhlciB0dW1vciB0eXBlcyBpZGVudGlmaWVkIHRocm91Z2ggaXRzIHRyYW5zbGF0aW9uYWwgc2NpZW5jZSBwbGF0Zm9ybS4gVGhlIGNvbXBhbnkgaXMgYWxzbyBkZXZlbG9waW5nIEpUWC00MDE0LCBhbiBhbnRpLVBELTEgYW50YWdvbmlzdCBhbnRpYm9keSBmb3IgY29tYmluYXRpb24gdGhlcmFweS4gSm91bmNlIFRoZXJhcGV1dGljcywgSW5jLiBoYXMgYSBtYXN0ZXIgcmVzZWFyY2ggYW5kIGNvbGxhYm9yYXRpb24gYWdyZWVtZW50IHdpdGggQ2VsZ2VuZSBDb3Jwb3JhdGlvbiBmb2N1c2VkIG9uIGRl</t>
  </si>
  <si>
    <t>dmVsb3BpbmcgYW5kIGNvbW1lcmNpYWxpemluZyBiaW9sb2dpYyBpbW11bm90aGVyYXBpZXMuIFRoZSBjb21wYW55IHdhcyBpbmNvcnBvcmF0ZWQgaW4gMjAxMiBhbmQgaXMgaGVhZHF1YXJ0ZXJlZCBpbiBDYW1icmlkZ2UsIE1hc3NhY2h1c2V0dHMuACkclBA1CdYImBJZEjUJ1gg3Q0lRLk5BU0RBUUdNOlhOQ1IuSVFfUFJFRl9FUVVJVFkuLjkvMTUvMjAxNy5MRlIuRi5VU0QuSAEAAACmWgsAAwAAAAAAxP8bETUJ1ggS/mQSNQnWCD9DSVEuTkFTREFRR006SU1NVS5JUV9FQklUREFfM1lSX0FOTl9DQUdSLi43LzE2LzIwMTguTEZSLkYuVVNELkgBAAAAIEMEAAMAAAACTk0BCAAAAAUAAAABMQEAAAAKMTg4ODUyMzM4NAMAAAADMTYwAgAAAAQ0MjIyBAAAAAEwBwAAAAk3LzE2LzIwMTgIAAAACTMvMzEvMjAxOAkAAAABMMT/GxE1CdYIEv5kEjUJ1gg7Q0lRLk5BU0RBUUdTOlRTUk8uSVFfTkVUX1dPUktJTkdfQ0FQLi43LzE2LzIwMTguTEZSLkYuVVNELkgBAAAAaNZYBgIAAAAGLTYuNDI2AQgAAAAFAAAAATEBAAAACjE4ODYzMzc0NjYDAAAAAzE2MAIAAAAEMTMxMQQAAAABMAcAAAAJNy8xNi8yMDE4CAAAAAkzLzMxLzIwMTgJAAAAATDE/xsRNQnWCBL+ZBI1CdYIIkNJUS5JUVRSMjUzOTU0NDczLklRX1RSX1BDVF9TT1VHSFQBAAAAqQkjDwIAAAADMTAwALKzSW80CdYINZuTbzQJ1ggxQ0lRLk5BU0RBUUNN</t>
  </si>
  <si>
    <t>OkFWRU8uSVFfREFfQ0YuLjcvMTYvMjAxOC5MRlIuRi5VU0QuSAEAAAD0Fh0AAwAAAAAAxP8bETUJ1gjCm2ISNQnWCDtDSVEuTkFTREFRR1M6Q0FMQS5JUV9UT1RBTF9SRVYuQ1kyMDE3LjcvMTYvMjAxOC5MRlIuRi5VU0QuSAEAAAClJ4EGAgAAAAYyNS45NTUBCAAAAAUAAAABMQEAAAAKMTg3Nzk1NTcwNwMAAAADMTYwAgAAAAIyOAQAAAABMAcAAAAJNy8xNi8yMDE4CAAAAAoxMi8zMS8yMDE3CQAAAAEwKRyUEDUJ1gjkdFsSNQnWCDZDSVEuTkFTREFRR006QVJSWS5JUV9FQklUREEuMTk5Ni43LzMxLzIwMTguTEZSLkYuVVNELkgBAAAA+GEAAAIAAAAHLTk2LjI5OAEIAAAABQAAAAExAQAAAAoxODg4NDcwNjU2AwAAAAMxNjACAAAABDQwNTEEAAAAATAHAAAACTcvMzEvMjAxOAgAAAAJMy8zMS8yMDE3CQAAAAEwnAvVOAgJ1gjUX5hvNAnWCEZDSVEuTkFTREFRR006QVJRTC5JUV9UT1RBTF9SRVZfMllSX0FOTl9DQUdSLjIwMDAuNy8zMS8yMDE4LkxGUi5GLlVTRC5IAQAAAPZhAAACAAAACC0zNC42MjE1AQgAAAAFAAAAATEBAAAACjE4ODg3ODg3NzADAAAAAzE2MAIAAAAENDIwNwQAAAABMAcAAAAJNy8zMS8yMDE4CAAAAAkzLzMxLzIwMTgJAAAAATDWjBE4CAnWCMOGn280CdYIIENJUS5JUVRSMjczNTA3MTg1LklRX1RSX0VBUk5PVVRTAQAAAHFjTRACAAAACTkzLjY4Njc4MwEGAAAABQAAAAI1NAEAAAAG</t>
  </si>
  <si>
    <t>MTAxNDAzAgAAAAkyNzM1MDcxODUDAAAACTI3MzUwNzc4NwQAAAADMTYwBgAAAAVGYWxzZbKzSW80CdYIgf2VbzQJ1gg1Q0lRLk5BU0RBUUdNOkFSUlkuSVFfREFfQ0YuMjAwMC43LzMxLzIwMTguTEZSLkYuVVNELkgBAAAA+GEAAAIAAAAFMi4yNjkBCAAAAAUAAAABMQEAAAAKMTg4ODQ3MDY3NgMAAAADMTYwAgAAAAQyMTYwBAAAAAEwBwAAAAk3LzMxLzIwMTgIAAAACTMvMzEvMjAxOAkAAAABMJwL1TgICdYIJMKabzQJ1ggiQ0lRLklRVFI0MTM5NTM2NjEuSVFfVFJfUENUX1NPVUdIVAEAAAB9bqwYAgAAAAMxMDABBgAAAAUAAAACNTQBAAAABjEwMTAyNAIAAAAJNDEzOTUzNjYxAwAAAAk0MTM5NTc2NDAEAAAAAzE2MAYAAAAEVHJ1ZbKzSW80CdYIgf2VbzQJ1gg5Q0lRLk9UQ1BLOk5XQk8uSVFfRUJJVERBX0VTVC5DWTIwMTguNy8xNi8yMDE4LkNPTi5GLlVTRC5IAQAAAKN6FAADAAAAAAApHJQQNQnWCHM5YBI1CdYIKUNJUS5OQVNEQVFHUzpDQUxBLklRX0JVU0lORVNTX0RFU0NSSVBUSU9OAQAAAKUngQYDAAAAsgpDYWxpdGhlcmEgQmlvc2NpZW5jZXMsIEluYy4sIGEgY2xpbmljYWwtc3RhZ2UgYmlvLXBoYXJtYWNldXRpY2FsIGNvbXBhbnksIGZvY3VzZXMgb24gdGhlIGRpc2NvdmVyeSBhbmQgZGV2ZWxvcG1lbnQgb2Ygc21hbGwgbW9sZWN1bGUgZHJ1Z3MgZGlyZWN0ZWQgYWdhaW5zdCB0dW1vciBt</t>
  </si>
  <si>
    <t>ZXRhYm9saXNtIGFuZCB0dW1vciBpbW11bm9sb2d5IHRhcmdldHMgZm9yIHRoZSB0cmVhdG1lbnQgb2YgY2FuY2VyIGluIHRoZSBVbml0ZWQgU3RhdGVzLiBJdHMgbGVhZCBwcm9kdWN0IGNhbmRpZGF0ZSBpcyBDQi04MzksIGFuIGluaGliaXRvciBvZiBnbHV0YW1pbmFzZSwgd2hpY2ggaXMgaW4gUGhhc2UgSUkgY2xpbmljYWwgdHJpYWwgdG8gdHJlYXQgc29saWQgdHVtb3JzLiBUaGUgY29tcGFueSBhbHNvIG9mZmVycyBJTkNCMDAxMTU4LCBhbiBvcmFsIGluaGliaXRvciBvZiBhcmdpbmFzZSB0aGF0IGlzIGluIFBoYXNlIEkvSUkgY2xpbmljYWwgdHJpYWwgZm9yIHRoZSB0cmVhdG1lbnQgb2YgaGVtYXRvbG9neSBhbmQgb25jb2xvZ3kuIEl0IGhhcyBhIGxpY2Vuc2UgYWdyZWVtZW50IHdpdGggTWFycywgSW5jLiB0byBkZXZlbG9wIGFuZCBjb21tZXJjaWFsaXplIFN5bWJpb3NjaWVuY2XigJlzIHBvcnRmb2xpbyBvZiBhcmdpbmFzZSBpbmhpYml0b3JzIGZvciB1c2UgaW4gaHVtYW4gaGVhbHRoY2FyZTsgYW5kIGxpY2Vuc2UgYW5kIHJlc2VhcmNoIGFncmVlbWVudCB3aXRoIEhpZ2ggUG9pbnQgUGhhcm1hY2V1dGljYWxzLCBMTEMgYW5kIFRyYW5zVGVjaCBQaGFybWEgTExDIHRvIGRldmVsb3AgYW5kIGNvbW1lcmNpYWxpemUgaGV4b2tpbmFzZSBJSSBpbmhpYml0b3JzLiBUaGUgY29tcGFueSBh</t>
  </si>
  <si>
    <t>bHNvIGhhcyBjbGluaWNhbCB0cmlhbCBjb2xsYWJvcmF0aW9uIHdpdGggQnJpc3RvbC1NeWVycyBTcXVpYmIgQ29tcGFueSB0byBldmFsdWF0ZSBuaXZvbHVtYWIgaW4gY29tYmluYXRpb24gd2l0aCBDQi04MzkgaW4gY2VsbCByZW5hbCBjZWxsIGNhcmNpbm9tYS4gSW4gYWRkaXRpb24sIGl0IGhhcyBhIGNvbGxhYm9yYXRpb24gYW5kIGxpY2Vuc2UgYWdyZWVtZW50IHdpdGggSW5jeXRlIENvcnBvcmF0aW9uIGZvciB0aGUgcmVzZWFyY2gsIGRldmVsb3BtZW50LCBhbmQgY29tbWVyY2lhbGl6YXRpb24gb2YgSU5DQjAwMTE1OCwgYSBzbWFsbCBtb2xlY3VsZSBhcmdpbmFzZSBpbmhpYml0b3IgZm9yIHRoZSB0cmVhdG1lbnQgb2YgaGVtYXRvbG9neSBhbmQgb25jb2xvZ3kuIENhbGl0aGVyYSBCaW9zY2llbmNlcywgSW5jLiB3YXMgZm91bmRlZCBpbiAyMDEwIGFuZCBpcyBoZWFkcXVhcnRlcmVkIGluIFNvdXRoIFNhbiBGcmFuY2lzY28sIENhbGlmb3JuaWEuAMgwsjcICdYIHxWdDjUJ1gg/Q0lRLk5BU0RBUUdNOk5MTksuSVFfRUJJVERBXzJZUl9BTk5fQ0FHUi4uNy8xNi8yMDE4LkxGUi5GLlVTRC5IAQAAAJV7jAADAAAAAk5NAQgAAAAFAAAAATEBAAAACjE4ODgzNTQyMDcDAAAAAzE2MAIAAAAENDIwOQQAAAABMAcAAAAJNy8xNi8yMDE4CAAAAAkzLzMxLzIwMTgJAAAAATApHJQQNQnWCOR0WxI1CdYI</t>
  </si>
  <si>
    <t>J0NJUS5OQVNEQVFHUzpDVE1YLklRX0JFVEFfNVlSLjcvMTYvMjAxOAEAAADcOJsDAgAAABEwLjg4NjI0MzYwOTgxNDEwNgDE/xsRNQnWCMKbYhI1CdYIIUNJUS5OQVNEQVFHTTpDUklTLklRX0NPTVBBTllfTkFNRQEAAAAXagAAAwAAAAtDdXJpcywgSW5jLgDIMLI3CAnWCN1LpG80CdYIJ0NJUS5OQVNEQVFHTTpGQVRFLklRX0JFVEFfMllSLjcvMzEvMjAxOAEAAABoMVcCAgAAABAyLjMwNzQwMjU0NjgxOTY0ANaMETgICdYIw4afbzQJ1gg7Q0lRLk5BU0RBUUdNOkZBVEUuSVFfUFJFRl9FUVVJVFkuMjAwMC43LzMxLzIwMTguTEZSLkYuVVNELkgBAAAAaDFXAgIAAAAFMC4wMDMBCAAAAAUAAAABMQEAAAAKMTg4ODUwMDUyNwMAAAADMTYwAgAAAAQxMDA1BAAAAAEwBwAAAAk3LzMxLzIwMTgIAAAACTMvMzEvMjAxOAkAAAABMNaMETgICdYIw4afbzQJ1ggtQ0lRLk5BU0RBUUdNOkNSSVMuSVFfRElWSURFTkRfWUlFTEQuNy8zMS8yMDE4AQAAABdqAAADAAAAAADIMLI3CAnWCN1LpG80CdYIP0NJUS5OQVNEQVFHUzpQQllJLklRX0VCSVREQV81WVJfQU5OX0NBR1IuLjcvMTYvMjAxOC5MRlIuRi5VU0QuSAEAAAACaqwHAwAAAAJOTQEIAAAABQAAAAExAQAAAAoxODg4NjY3NzQzAwAAAAMxNjACAAAABDQyMzUEAAAAATAHAAAACTcvMTYvMjAxOAgAAAAJMy8zMS8yMDE4CQAAAAEwxP8bETUJ1ggS/mQSNQnWCCdD</t>
  </si>
  <si>
    <t>SVEuTkFTREFRR006QVJRTC5JUV9CRVRBXzFZUi43LzMxLzIwMTgBAAAA9mEAAAIAAAARMC4yOTczMTAyMTM5Nzc5MDcA1owROAgJ1ghzJJ1vNAnWCCtDSVEuTkFTREFRR1M6Q0FMQS5JUV9MQVNUU0FMRVBSSUNFLjUvNS8yMDE3AQAAAKUngQYCAAAABTExLjE1AMgwsjcICdYI3UukbzQJ1ggrQ0lRLklRVFIyNjM3MTg2NDcuSVFfVFJfVE9UQUxfR1JPU1NfVFYuLlVTRAEAAAD3BrgPAgAAAAAAsrNJbzQJ1giB/ZVvNAnWCEZDSVEuTkFTREFRR006SU1NVS5JUV9NSU5PUklUWV9JTlRFUkVTVF9UT1RBTC4yMDAwLjUvNS8yMDE3LkxGUi5GLlVTRC5IAQAAACBDBAACAAAACS0wLjc0MjU2NAEIAAAABQAAAAExAQAAAAoxODI3MjQ4MzYwAwAAAAMxNjACAAAABDEzMTIEAAAAATAHAAAACDUvNS8yMDE3CAAAAAoxMi8zMS8yMDE2CQAAAAEwnAvVOAgJ1gjUX5hvNAnWCD5DSVEuTkFTREFRQ006QVZFTy5JUV9UT1RBTF9FUVVJVFkuQ1kyMDE3LjcvMTYvMjAxOC5MRlIuRi5VU0QuSAEAAAD0Fh0AAgAAAActNDAuNzYzAQgAAAAFAAAAATEBAAAACjE4NzgwODI2NTMDAAAAAzE2MAIAAAAEMTI3NQQAAAABMAcAAAAJNy8xNi8yMDE4CAAAAAoxMi8zMS8yMDE3CQAAAAEwxP8bETUJ1ghzOWASNQnWCDpDSVEuTkFTREFRR1M6RlBSWC5JUV9DQVNIX1NUX0lOVkVTVC4uNy8xNi8yMDE4LkxGUi5GLlVTRC5IAQAAADddMwAC</t>
  </si>
  <si>
    <t>AAAABzM4OS40MjYBCAAAAAUAAAABMQEAAAAKMTg4NzQwMjIyNwMAAAADMTYwAgAAAAQxMDAyBAAAAAEwBwAAAAk3LzE2LzIwMTgIAAAACTMvMzEvMjAxOAkAAAABMCkclBA1CdYIczlgEjUJ1gg8Q0lRLk5BU0RBUUdNOkFSUlkuSVFfRUJJVERBX0VTVC5DWTIwMTkuNy8zMS8yMDE4LkNPTi5GLlVTRC5IAQAAAPhhAAADAAAAAACcC9U4CAnWCNRfmG80CdYIJENJUS5OQVNEQVFDTTpBVkVPLklRX0VGRkVDVF9UQVhfUkFURQEAAAD0Fh0AAwAAAAJOTQEIAAAABQAAAAExAQAAAAoxODk5MDUxMjU2AwAAAAMxNjACAAAABDQzNzYEAAAAATAHAAAACTgvMjMvMjAxOAgAAAAJNi8zMC8yMDE4CQAAAAEwxP8bETUJ1ghzOWASNQnWCDpDSVEuTkFTREFRR1M6RVBaTS5JUV9QUkVGX0VRVUlUWS4yMDAwLjUvNS8yMDE3LkxGUi5GLlVTRC5IAQAAAAMmPQMDAAAAAADWjBE4CAnWCHMknW80CdYIPkNJUS5OQVNEQVFHUzpFUFpNLklRX1RPVEFMX0VRVUlUWS5DWTIwMTYuNy8zMS8yMDE4LkxGUi5GLlVTRC5IAQAAAAMmPQMCAAAABTIwMS43AQgAAAAFAAAAATEBAAAACjE4NzgwODEwNjEDAAAAAzE2MAIAAAAEMTI3NQQAAAABMAcAAAAJNy8zMS8yMDE4CAAAAAoxMi8zMS8yMDE2CQAAAAEw1owROAgJ1ghzJJ1vNAnWCDlDSVEuTkFTREFRQ006WklPUC5JUV9UT1RBTF9SRVYuMTk5Ni43LzMxLzIwMTguTEZSLkYuVVNELkgB</t>
  </si>
  <si>
    <t>AAAAs1GyAAIAAAAFNi40ODkBCAAAAAUAAAABMQEAAAAKMTg4Nzk3MjM0OAMAAAADMTYwAgAAAAIyOAQAAAABMAcAAAAJNy8zMS8yMDE4CAAAAAkzLzMxLzIwMTcJAAAAATDWjBE4CAnWCMOGn280CdYIPENJUS5OQVNEQVFHUzpUU1JPLklRX0dST1NTX01BUkdJTi4yMDAwLjcvMzEvMjAxOC5MRlIuRi5VU0QuSAEAAABo1lgGAgAAAAc4MS4yMjU1AQgAAAAFAAAAATEBAAAACjE4ODYzMzc0NjYDAAAAAzE2MAIAAAAENDA3NAQAAAABMAcAAAAJNy8zMS8yMDE4CAAAAAkzLzMxLzIwMTgJAAAAATCcC9U4CAnWCCTCmm80CdYIIENJUS5JUTM2MTgzODM0LklRX0xBU1RTQUxFUFJJQ0UuAQAAABofKAICAAAABDIuNzcAnAvVOAgJ1gh3eYAONQnWCDpDSVEuTkFTREFRR1M6QURYUy5JUV9DQVNIX1NUX0lOVkVTVC4uNy8xNi8yMDE4LkxGUi5GLlVTRC5IAQAAAJ7seAACAAAACTU3Ljg2NTQ4OAEIAAAABQAAAAExAQAAAAoxODkyNzg4NTQ4AwAAAAMxNjACAAAABDEwMDIEAAAAATAHAAAACTcvMTYvMjAxOAgAAAAJNC8zMC8yMDE4CQAAAAEwKRyUEDUJ1gjkdFsSNQnWCD9DSVEuT1RDUEs6TUJWWC5JUV9UT1RBTF9SRVZfM1lSX0FOTl9DQUdSLi43LzE2LzIwMTguTEZSLkYuVVNELkgBAAAA2ESLAgMAAAAAAN6nfhA1CdYImBJZEjUJ1gg7Q0lRLk5BU0RBUUdTOk1HTlguSVFfVE9UQUxfUkVWLkNZMjAxNi43LzE2LzIw</t>
  </si>
  <si>
    <t>MTguTEZSLkYuVVNELkgBAAAATysJAAIAAAAFOTEuODgBCAAAAAUAAAABMQEAAAAKMTg3NjEzNTE1NwMAAAADMTYwAgAAAAIyOAQAAAABMAcAAAAJNy8xNi8yMDE4CAAAAAoxMi8zMS8yMDE2CQAAAAEwxP8bETUJ1gjCm2ISNQnWCCdDSVEuTkFTREFRR1M6TVJTTi5JUV9CRVRBXzVZUi43LzE2LzIwMTgBAAAA5sUYAAMAAAAAACkclBA1CdYIczlgEjUJ1gg7Q0lRLk5BU0RBUUdNOkZBVEUuSVFfVE9UQUxfUkVWLkNZMjAxNi43LzMxLzIwMTguTEZSLkYuVVNELkgBAAAAaDFXAgIAAAAFNC40MDIBCAAAAAUAAAABMQEAAAAKMTg3NzA2OTA2NwMAAAADMTYwAgAAAAIyOAQAAAABMAcAAAAJNy8zMS8yMDE4CAAAAAoxMi8zMS8yMDE2CQAAAAEw1owROAgJ1gjDhp9vNAnWCDBDSVEuSVFUUjQwNzc2MDY5Mi5JUV9UUl9UQVJHRVRfRUJJVERBX0VTVC4uVVNELkgBAAAANO9NGAIAAAAAAFjPEg41CdYIDD6FDjUJ1ggsQ0lRLklRVFI1MzMzODU3NDQuSVFfVFJfVE9UQUxfR1JPU1NfVFYuVVNELkgFAAAAAAAAAAgAAAAaKEludmFsaWQgQ3VycmVuY3kgUmVxdWVzdCkMbRAONQnWCMDbgg41CdYIPENJUS5OQVNEQVFDTTpTUk5FLklRX0VCSVREQV9FU1QuQ1kyMDIwLjcvMzEvMjAxOC5DT04uRi5VU0QuSAEAAABJQ5QDAgAAAActODguODk2AQ4AAAAFAAAAAjExAQAAAAEwAgAAAAoxMDAyNDgxOTMzAwAAAAYxMDAxODcE</t>
  </si>
  <si>
    <t>AAAAATIGAAAAATAHAAAAAzE2MAgAAAABMAkAAAABMQoAAAABMAsAAAALMTA5NDU2MjY1NTEMAAAAATcNAAAACDgvMS8yMDE4EAAAAAk3LzMxLzIwMTjWjBE4CAnWCHMknW80CdYIRkNJUS5OQVNEQVFHUzpNUlNOLklRX1RPVEFMX1JFVl81WVJfQU5OX0NBR1IuMjAwMC43LzMxLzIwMTguTEZSLkYuVVNELkgBAAAA5sUYAAMAAAAAANaMETgICdYIw4afbzQJ1gg8Q0lRLk5BU0RBUUdTOkZQUlguSVFfRUJJVERBX0VTVC5DWTIwMjAuNy8zMS8yMDE4LkNPTi5GLlVTRC5IAQAAADddMwACAAAACC0yNTcuNjQ5AQ4AAAAFAAAAAjExAQAAAAEwAgAAAAoxMDAxOTU2MzU0AwAAAAYxMDAxODcEAAAAATIGAAAAATAHAAAAAzE2MAgAAAABMAkAAAABMQoAAAABMAsAAAALMTA5Mjc5ODA0MDMMAAAAATcNAAAACDgvMS8yMDE4EAAAAAk3LzMxLzIwMTjWjBE4CAnWCBnpoW80CdYIPENJUS5OQVNEQVFHUzpTR0VOLklRX0VBUk5JTkdfQ08uQ1kyMDE2LjcvMTYvMjAxOC5MRlIuRi5VU0QuSAEAAABhhQAAAgAAAAgtMTQwLjExMQEIAAAABQAAAAExAQAAAAoxODc0Njk2MTk2AwAAAAMxNjACAAAAATcEAAAAATAHAAAACTcvMTYvMjAxOAgAAAAKMTIvMzEvMjAxNgkAAAABMMT/GxE1CdYIaGBnEjUJ1ggtQ0lRLk5BU0RBUUdNOkNSSVMuSVFfTUFSS0VUQ0FQLjUvNS8yMDE3LlVTRC5IAQAAABdqAAACAAAACjI3MS43MzA0MzEB</t>
  </si>
  <si>
    <t>BgAAAAUAAAABMQEAAAAKMTg0MDUwMDE4MQMAAAADMTYwAgAAAAYxMDAwNTQEAAAAATAHAAAACDUvNS8yMDE3yDCyNwgJ1gjdS6RvNAnWCCJDSVEuSVFUUjUzNTcxOTk5OC5JUV9UUl9QQ1RfU09VR0hUAQAAAD5w7h8CAAAAAzEwMAEGAAAABQAAAAI1NAEAAAAGMTAxMDI0AgAAAAk1MzU3MTk5OTgDAAAACTUzNTcyNDgxMwQAAAADMTYwBgAAAARUcnVlsrNJbzQJ1giB/ZVvNAnWCDJDSVEuQVNYOklNVS5JUV9HUk9TU19NQVJHSU4uLjcvMTYvMjAxOC5MRlIuRi5VU0QuSAEAAACYk6kAAgAAAAMxMDABCAAAAAUAAAABMQEAAAAKMTg3NzMwNTMyMAMAAAABOQIAAAAENDA3NAQAAAABMAcAAAAJNy8xNi8yMDE4CAAAAAoxMi8zMS8yMDE3CQAAAAEwKRyUEDUJ1ggw110SNQnWCChDSVEuTkFTREFRQ006TVRFTS5JUV9URVYuNy8zMS8yMDE4LlVTRC5IAQAAAJmbqQECAAAACTkzLjg5NzkyMwEGAAAABQAAAAExAQAAAAoxODg4NzMyOTI3AwAAAAMxNjACAAAABjEwMDA2MAQAAAABMAcAAAAJNy8zMS8yMDE4yDCyNwgJ1ggZ6aFvNAnWCC9DSVEuTkFTREFRR1M6T1ZJRC5JUV9UT1RBTF9ERUJULi41LzQvMjAxNy4uLlVTRAEAAAAg0DcRAgAAAAEwAQgAAAAFAAAAATEBAAAACjE4MzU5NTM3MTYDAAAAAzE2MAIAAAAENDE3MwQAAAABMAcAAAAINS80LzIwMTcIAAAACjEyLzMxLzIwMTYJAAAAATCys0lvNAnWCK+o1oE0</t>
  </si>
  <si>
    <t>CdYIKENJUS5OQVNEQVFHUzpCR05FLklRX1RFVi43LzMxLzIwMTguVVNELkgBAAAA4OTdBgIAAAALOTAyOS4yNjk1ODQBBgAAAAUAAAABMQEAAAAKMTg4NzY4ODUwMAMAAAADMTYwAgAAAAYxMDAwNjAEAAAAATAHAAAACTcvMzEvMjAxOJwL1TgICdYIgf2VbzQJ1gg5Q0lRLk5BU0RBUUdTOkZQUlguSVFfVE9UQUxfUkVWLjIwMDAuNy8zMS8yMDE4LkxGUi5GLlVTRC5IAQAAADddMwACAAAABjYxLjg1OQEIAAAABQAAAAExAQAAAAoxODg3NDAyMjI3AwAAAAMxNjACAAAAAjI4BAAAAAEwBwAAAAk3LzMxLzIwMTgIAAAACTMvMzEvMjAxOAkAAAABMNaMETgICdYIGemhbzQJ1ggzQ0lRLkFTWDpJTVUuSVFfRUJJVERBX01BUkdJTi4uNy8xNi8yMDE4LkxGUi5GLlVTRC5IAQAAAJiTqQACAAAACS0yMzQuMzkzNgEIAAAABQAAAAExAQAAAAoxODc3MzA1MzIwAwAAAAE5AgAAAAQ0MDQ3BAAAAAEwBwAAAAk3LzE2LzIwMTgIAAAACjEyLzMxLzIwMTcJAAAAATApHJQQNQnWCDDXXRI1CdYIO0NJUS5OQVNEQVFHUzpUU1JPLklRX1RPVEFMX1JFVi5DWTIwMTYuNy8zMS8yMDE4LkxGUi5GLlVTRC5IAQAAAGjWWAYCAAAABjU4LjAxOAEIAAAABQAAAAExAQAAAAoxODc3MjI2Mjg0AwAAAAMxNjACAAAAAjI4BAAAAAEwBwAAAAk3LzMxLzIwMTgIAAAACjEyLzMxLzIwMTYJAAAAATCcC9U4CAnWCCTCmm80CdYIRkNJUS5OQVNE</t>
  </si>
  <si>
    <t>QVFHTTpDUlZTLklRX1RPVEFMX1JFVl8yWVJfQU5OX0NBR1IuMjAwMC43LzMxLzIwMTguTEZSLkYuVVNELkgBAAAA9LCmEAMAAAAAANaMETgICdYIGemhbzQJ1ggnQ0lRLk5BU0RBUUdTOkZQUlguSVFfUEVSSU9EREFURV9JUy4xMDAwAQAAADddMwAFAAAACjEyLzMxLzIwMTcA1owROAgJ1ggZ6aFvNAnWCChDSVEuTkFTREFRR1M6QVROWC5JUV9URVYuNy8zMS8yMDE4LlVTRC5IAQAAANyZawECAAAACzExMjAuMzE1MzgxAQYAAAAFAAAAATEBAAAACjE4ODg3MDI3MDIDAAAAAzE2MAIAAAAGMTAwMDYwBAAAAAEwBwAAAAk3LzMxLzIwMTjWjBE4CAnWCCTCmm80CdYIM0NJUS5PVENQSzpNQlZYLklRX1RPVEFMX0RFQlQuLjcvMTYvMjAxOC5MRlIuRi5VU0QuSAEAAADYRIsCAgAAAAgzLjM2NzAyNgEIAAAABQAAAAExAQAAAAoxODgxMjEzMjQ1AwAAAAMxNjACAAAABDQxNzMEAAAAATAHAAAACTcvMTYvMjAxOAgAAAAKMTIvMzEvMjAxNwkAAAABMN6nfhA1CdYImBJZEjUJ1ghDQ0lRLk5BU0RBUUNNOlpJT1AuSVFfRUJJVERBXzJZUl9BTk5fQ0FHUi4yMDAwLjcvMzEvMjAxOC5MRlIuRi5VU0QuSAEAAACzUbIAAwAAAAJOTQEIAAAABQAAAAExAQAAAAoxODg3OTcyMzU5AwAAAAMxNjACAAAABDQyMDkEAAAAATAHAAAACTcvMzEvMjAxOAgAAAAJMy8zMS8yMDE4CQAAAAEw1owROAgJ1gjDhp9vNAnWCDZDSVEuTkFT</t>
  </si>
  <si>
    <t>REFRR1M6U0dFTi5JUV9UT1RBTF9ERUJULi43LzE2LzIwMTguTEZSLkYuVVNELkgBAAAAYYUAAAIAAAABMAEIAAAABQAAAAExAQAAAAoxODg0ODkyODUyAwAAAAMxNjACAAAABDQxNzMEAAAAATAHAAAACTcvMTYvMjAxOAgAAAAJMy8zMS8yMDE4CQAAAAEwxP8bETUJ1ghoYGcSNQnWCCNDSVEuSVFUUjMxMjEyMjUwNC5JUV9UUl9UT1RBTF9TVE9DSwEAAACInJoSAgAAAAkxNC45NjQxODYAWM8SDjUJ1gjA24IONQnWCDdDSVEuQVNYOklNVS5JUV9SRVZFTlVFX0VTVC5DWTIwMjAuNy8xNi8yMDE4LkNPTi5GLlVTRC5IAQAAAJiTqQADAAAAAAApHJQQNQnWCDDXXRI1CdYIOUNJUS5OQVNEQVFDTTpaSU9QLklRX05JX01BUkdJTi4yMDAwLjcvMzEvMjAxOC5MRlIuRi5VU0QuSAEAAACzUbIAAwAAAAJOTQEIAAAABQAAAAExAQAAAAoxODg3OTcyMzU5AwAAAAMxNjACAAAABDQwOTQEAAAAATAHAAAACTcvMzEvMjAxOAgAAAAJMy8zMS8yMDE4CQAAAAEw1owROAgJ1gjDhp9vNAnWCDxDSVEuTkFTREFRR006QVJSWS5JUV9UT1RBTF9FUVVJVFkuMTk5Mi43LzMxLzIwMTguTEZSLkYuVVNELkgBAAAA+GEAAAIAAAAHLTE0LjgwMwEIAAAABQAAAAExAQAAAAoxODQxMDk1MDI2AwAAAAMxNjACAAAABDEyNzUEAAAAATAHAAAACTcvMzEvMjAxOAgAAAAJMy8zMS8yMDE2CQAAAAEwnAvVOAgJ1ggkwppvNAnWCDFDSVEuTkFT</t>
  </si>
  <si>
    <t>REFRQ006QVZFTy5JUV9DQVBFWC4uNy8xNi8yMDE4LkxGUi5GLlVTRC5IAQAAAPQWHQADAAAAAADE/xsRNQnWCMKbYhI1CdYIH0NJUS5JUTE2MjM1MjYuSVFfQ09NUEFOWV9USUNLRVIBAAAA5sUYAAMAAAANTmFzZGFxR1M6TVJTTgAMbRAONQnWCOOLkw41CdYIL0NJUS5OQVNEQVFHUzpPVklELklRX0VCSVREQS4yMDAwLjEwLzE4LzIwMTYuLi4uAQAAACDQNxEDAAAAAACys0lvNAnWCDWbk280CdYIOENJUS5OQVNEQVFHUzpLVVJBLklRX0VCSVREQS5DWTIwMTYuNy8zMS8yMDE4LkxGUi5GLlVTRC5IAQAAALjL2hACAAAABy0yOC4zMzYBCAAAAAUAAAABMQEAAAAKMTg3ODAxMjQzNQMAAAADMTYwAgAAAAQ0MDUxBAAAAAEwBwAAAAk3LzMxLzIwMTgIAAAACjEyLzMxLzIwMTYJAAAAATDWjBE4CAnWCHMknW80CdYIP0NJUS5OQVNEQVFHUzpHVEhYLklRX05FVF9XT1JLSU5HX0NBUC4xOTk2LjcvMzEvMjAxOC5MRlIuRi5VU0QuSAEAAABlNGkIAgAAAAktNy4yNDgwNzkBCAAAAAUAAAABMQEAAAAKMTg4NjM2NzY0OAMAAAADMTYwAgAAAAQxMzExBAAAAAEwBwAAAAk3LzMxLzIwMTgIAAAACTMvMzEvMjAxNwkAAAABMJwL1TgICdYIJMKabzQJ1ggpQ0lRLk5BU0RBUUdTOlBCWUkuSVFfQlVTSU5FU1NfREVTQ1JJUFRJT04BAAAAAmqsBwMAAACoB1B1bWEgQmlvdGVjaG5vbG9neSwgSW5jLiwgYSBiaW9waGFybWFj</t>
  </si>
  <si>
    <t>ZXV0aWNhbCBjb21wYW55LCBmb2N1c2VzIG9uIHRoZSBkZXZlbG9wbWVudCBhbmQgY29tbWVyY2lhbGl6YXRpb24gb2YgcHJvZHVjdHMgdG8gZW5oYW5jZSBjYW5jZXIgY2FyZSBpbiB0aGUgVW5pdGVkIFN0YXRlcy4gSXRzIGRydWcgY2FuZGlkYXRlcyBpbmNsdWRlIFBCMjcyIG5lcmF0aW5pYiAob3JhbCkgZm9yIHRoZSB0cmVhdG1lbnQgb2YgZWFybHkgc3RhZ2UgYnJlYXN0IGNhbmNlciwgbWV0YXN0YXRpYyBicmVhc3QgY2FuY2VyLCBub24tc21hbGwgY2VsbCBsdW5nIGNhbmNlciwgSEVSMiBtdXRhdGlvbi1wb3NpdGl2ZSBzb2xpZCB0dW1vcnMsIGFuZCBIRVIyLW11dGF0ZWQgbm9uLWFtcGxpZmllZCBicmVhc3QgY2FuY2VyOyBhbmQgUEIyNzIgbmVyYXRpbmliIChpbnRyYXZlbm91cykpLiBUaGUgY29tcGFueSBhbHNvIGRldmVsb3BzIFBCMzU3LCBhbiBvcmFsbHkgYWRtaW5pc3RlcmVkIGFnZW50IHRoYXQgaXMgYW4gaXJyZXZlcnNpYmxlIHR5cm9zaW5lIGtpbmFzZSBpbmhpYml0b3IgdGhhdCBibG9ja3Mgc2lnbmFsIHRyYW5zZHVjdGlvbiB0aHJvdWdoIHRoZSBlcGlkZXJtYWwgZ3Jvd3RoIGZhY3RvciByZWNlcHRvcnMsIEhFUjEsIEhFUjIsIGFuZCBIRVI0LiBJdCBoYXMgYSBsaWNlbnNlIGFncmVlbWVudCB3aXRoIFBmaXplciwgSW5jLiBmb3IgdGhlIGRldmVsb3BtZW50LCBtYW51ZmFj</t>
  </si>
  <si>
    <t>dHVyZSwgYW5kIGNvbW1lcmNpYWxpemF0aW9uIG9mIFBCMjcyIG5lcmF0aW5pYiAob3JhbCksIFBCMjcyIG5lcmF0aW5pYiAoaW50cmF2ZW5vdXMpLCBQQjM1NywgYW5kIGNlcnRhaW4gcmVsYXRlZCBjb21wb3VuZHMuIFB1bWEgQmlvdGVjaG5vbG9neSwgSW5jLiB3YXMgZm91bmRlZCBpbiAyMDEwIGFuZCBpcyBoZWFkcXVhcnRlcmVkIGluIExvcyBBbmdlbGVzLCBDYWxpZm9ybmlhLgBGnRkRNQnWCBL+ZBI1CdYIJUNJUS5JUVRSNTUwMjU5Mzk3LklRX1RSX01BSl9NSU5fU1RBS0UBAAAAxUrMIAMAAAAITWFqb3JpdHkADG0QDjUJ1gh3eYAONQnWCDxDSVEuTkFTREFRR006TFBUWC5JUV9FQklUREFfRVNULkNZMjAxOS43LzE2LzIwMTguQ09OLkYuVVNELkgBAAAADDYJBwMAAAAAACkclBA1CdYIMNddEjUJ1gg0Q0lRLk5BU0RBUUdTOkJHTkUuSVFfUkVWRU5VRV9FU1QuQ1kyMDIxLi5DT04uRi5VU0QuSAEAAADg5N0GAgAAAAc3MTUuODQxAQ4AAAAFAAAAAjExAQAAAAEwAgAAAAoxMDAzMzI2MjgyAwAAAAYxMDAxODAEAAAAATIGAAAAATAHAAAAAzE2MAgAAAABMAkAAAABMQoAAAABMAsAAAALMTEwMzI3NjQ0MTEMAAAAATcNAAAACTgvMjQvMjAxOBAAAAAJOC8yMy8yMDE4nAvVOAgJ1gicC9U4CAnWCCFDSVEuSVFUUjU0MjgwNjY4Ni5JUV9UUl9CVVlFUk5BTUUBAAAAnpJaIAMAAAAKQ2Vsb25pYyBBRwCy</t>
  </si>
  <si>
    <t>s0lvNAnWCIH9lW80CdYIJ0NJUS5OQVNEQVFHUzpBTkFCLklRX0JFVEFfNVlSLjcvMTYvMjAxOAEAAAAhTLIBAwAAAAAAxP8bETUJ1gjCm2ISNQnWCD1DSVEuTkFTREFRR1M6VFNSTy5JUV9SRVZFTlVFX0VTVC5DWTIwMjEuNy8xNi8yMDE4LkNPTi5GLlVTRC5IAQAAAGjWWAYCAAAACTkyMC4yOTg2NAEOAAAABQAAAAIxMQEAAAABMAIAAAAKMTAwMTU4MDM1NQMAAAAGMTAwMTgwBAAAAAEyBgAAAAEwBwAAAAMxNjAIAAAAATAJAAAAATEKAAAAATALAAAACzEwOTY3MjE1NjM0DAAAAAE3DQAAAAk3LzE3LzIwMTgQAAAACTcvMTYvMjAxOMT/GxE1CdYIEv5kEjUJ1ghGQ0lRLihJTlZBTElEIElERU5USUZJRVIpLklRX05FVF9XT1JLSU5HX0NBUC4xOTkyLjcvMzEvMjAxOC5MRlIuRi5VU0QuSAUAAAAAAAAACAAAABQoSW52YWxpZCBJZGVudGlmaWVyKcgwsjcICdYI7TawbzQJ1gg+Q0lRLk5BU0RBUUdTOlRTUk8uSVFfQ0FTSF9TVF9JTlZFU1QuMjAwMC43LzMxLzIwMTguTEZSLkYuVVNELkgBAAAAaNZYBgIAAAAGNDk4Ljk4AQgAAAAFAAAAATEBAAAACjE4ODYzMzc0NjYDAAAAAzE2MAIAAAAEMTAwMgQAAAABMAcAAAAJNy8zMS8yMDE4CAAAAAkzLzMxLzIwMTgJAAAAATCcC9U4CAnWCCTCmm80CdYIK0NJUS5JUVRSNTYzOTE5MDQ5LklRX1RSX1RPVEFMX0dST1NTX1RWLi5VU0QBAAAAybicIQIAAAALMTYyNy45</t>
  </si>
  <si>
    <t>MzYyNDIBBgAAAAUAAAACNTQBAAAABjEwMjA4OAIAAAAJNTYzOTE5MDQ5AwAAAAk1NjM5NDAwNDIEAAAAAzE2MAYAAAAFRmFsc2UMbRAONQnWCMDbgg41CdYIPkNJUS5OQVNEQVFHTTpDUklTLklRX1RPVEFMX0VRVUlUWS5DWTIwMTcuNy8zMS8yMDE4LkxGUi5GLlVTRC5IAQAAABdqAAACAAAABjIzLjk5MwEIAAAABQAAAAExAQAAAAoxODc4MDExNjU3AwAAAAMxNjACAAAABDEyNzUEAAAAATAHAAAACTcvMzEvMjAxOAgAAAAKMTIvMzEvMjAxNwkAAAABMMgwsjcICdYI3UukbzQJ1ggjQ0lRLklRVFI1MzU3MTk5OTguSVFfVFJfQ0xPU0VEX0RBVEUBAAAAPnDuHwUAAAAJMTAvMi8yMDE3ALKzSW80CdYIgf2VbzQJ1gg/Q0lRLk5BU0RBUUdNOkxQVFguSVFfRUJJVERBXzNZUl9BTk5fQ0FHUi4uNy8xNi8yMDE4LkxGUi5GLlVTRC5IAQAAAAw2CQcDAAAAAAApHJQQNQnWCDDXXRI1CdYIO0NJUS5OQVNEQVFHTTpBUlJZLklRX1RPVEFMX1JFVi5DWTIwMTYuNy8zMS8yMDE4LkxGUi5GLlVTRC5IAQAAAPhhAAACAAAABjQwLjQxOAEIAAAABQAAAAExAQAAAAoxODczMjAzNzk1AwAAAAMxNjACAAAAAjI4BAAAAAEwBwAAAAk3LzMxLzIwMTgIAAAACjEyLzMxLzIwMTYJAAAAATCcC9U4CAnWCNRfmG80CdYILkNJUS5JUVRSMzA3ODYzOTg0LklRX1RSX1RBUkdFVF9TVE9DS1BSRU1JVU1fMVcBAAAAsKFZEgIAAAAAAFjP</t>
  </si>
  <si>
    <t>Eg41CdYIwNuCDjUJ1ggnQ0lRLk5BU0RBUUNNOlNSTkUuSVFfQkVUQV8xWVIuNy8zMS8yMDE4AQAAAElDlAMCAAAAEDIuODE5NTgzNjU3MDg2MTEA1owROAgJ1ghzJJ1vNAnWCD1DSVEuTkFTREFRR006SU1NVS5JUV9SRVZFTlVFX0VTVC5DWTIwMTkuNy8zMS8yMDE4LkNPTi5GLlVTRC5IAQAAACBDBAACAAAABzg4LjA2NjcBDgAAAAUAAAACMTEBAAAAATACAAAACTI4NDQzNDAyNQMAAAAGMTAwMTgwBAAAAAEyBgAAAAEwBwAAAAMxNjAIAAAAATAJAAAAATEKAAAAATALAAAACzEwOTgwMjYzOTM0DAAAAAE3DQAAAAg4LzEvMjAxOBAAAAAJNy8zMS8yMDE4nAvVOAgJ1gjUX5hvNAnWCDhDSVEuWFRSQTpNT1IuSVFfUkVWRU5VRV9FU1QuQ1kyMDIxLjcvMzEvMjAxOC5DT04uRi5VU0QuSAEAAADfEQIAAgAAAA8xNzAuMjYxNzMyMDYxMDgBDgAAAAUAAAACMTEBAAAAATACAAAACjEwMDE1NDM5NDQDAAAABjEwMDE4MAQAAAABMwYAAAABMAcAAAADMTYwCAAAAAEwCQAAAAExCgAAAAEwCwAAAAsxMTAwMTMxNTA1MwwAAAABNw0AAAAIOC8xLzIwMTgQAAAACTcvMzEvMjAxOJwL1TgICdYI1F+YbzQJ1gg6Q0lRLk5BU0RBUUdTOk5LLklRX1RPVEFMX0VRVUlUWS4xOTk2LjcvMzEvMjAxOC5MRlIuRi5VU0QuSAEAAAANfaEPAgAAAAcyNzguMzY5AQgAAAAFAAAAATEBAAAACjE4ODcxMTg3NjcDAAAAAzE2MAIAAAAEMTI3</t>
  </si>
  <si>
    <t>NQQAAAABMAcAAAAJNy8zMS8yMDE4CAAAAAkzLzMxLzIwMTcJAAAAATDWjBE4CAnWCBnpoW80CdYIPENJUS5OQVNEQVFHUzpDQUxBLklRX1RPVEFMX0VRVUlUWS4xOTk2LjcvMzEvMjAxOC5MRlIuRi5VU0QuSAEAAAClJ4EGAgAAAAcxNjUuNzMxAQgAAAAFAAAAATEBAAAACjE4ODc5ODAyNzcDAAAAAzE2MAIAAAAEMTI3NQQAAAABMAcAAAAJNy8zMS8yMDE4CAAAAAkzLzMxLzIwMTcJAAAAATDIMLI3CAnWCN1LpG80CdYIQENJUS5PVENQSzpNQlZYLklRX01JTk9SSVRZX0lOVEVSRVNUX1RPVEFMLi45LzE1LzIwMTcuTEZSLkYuVVNELkgBAAAA2ESLAgMAAAAAAN6nfhA1CdYImBJZEjUJ1gg5Q0lRLk5BU0RBUUdNOkZBVEUuSVFfVE9UQUxfUkVWLjE5OTYuNy8zMS8yMDE4LkxGUi5GLlVTRC5IAQAAAGgxVwICAAAABTQuMTA3AQgAAAAFAAAAATEBAAAACjE4ODg1MDAzMzMDAAAAAzE2MAIAAAACMjgEAAAAATAHAAAACTcvMzEvMjAxOAgAAAAJMy8zMS8yMDE3CQAAAAEw1owROAgJ1gjDhp9vNAnWCCtDSVEuTkFTREFRR1M6QVROWC5JUV9MQVNUU0FMRVBSSUNFLjUvNS8yMDE3AQAAANyZawEDAAAAAADWjBE4CAnWCCTCmm80CdYIN0NJUS5YVFJBOk1PUi5JUV9UT1RBTF9FUVVJVFkuMTk5Mi43LzMxLzIwMTguTEZSLkYuVVNELkgBAAAA3xECAAIAAAAKNDAyLjM1MDEyNAEIAAAABQAAAAExAQAAAAoxODM5OTQw</t>
  </si>
  <si>
    <t>NjkwAwAAAAMxNjACAAAABDEyNzUEAAAAATAHAAAACTcvMzEvMjAxOAgAAAAJMy8zMS8yMDE2CQAAAAEwnAvVOAgJ1gjUX5hvNAnWCDxDSVEuTkFTREFRR1M6Q1RNWC5JUV9FQklUREFfRVNULkNZMjAxOC43LzE2LzIwMTguQ09OLkYuVVNELkgBAAAA3DibAwIAAAAILTcwLjIxNDMBDgAAAAUAAAACMTEBAAAAATACAAAACjEwMDMyMTU5NjgDAAAABjEwMDE4NwQAAAABMgYAAAABMAcAAAADMTYwCAAAAAEwCQAAAAExCgAAAAEwCwAAAAsxMDg3NDU0MDI5NwwAAAABNw0AAAAJNy8xNy8yMDE4EAAAAAk3LzE2LzIwMTjE/xsRNQnWCMKbYhI1CdYIPENJUS5OQVNEQVFHUzpGUFJYLklRX0VCSVREQV9FU1QuQ1kyMDE4LjcvMTYvMjAxOC5DT04uRi5VU0QuSAEAAAA3XTMAAgAAAAgtMTIwLjg4NgEOAAAABQAAAAIxMQEAAAABMAIAAAAKMTAwMTk1NjM0NAMAAAAGMTAwMTg3BAAAAAEyBgAAAAEwBwAAAAMxNjAIAAAAATAJAAAAATEKAAAAATALAAAACzEwOTI3OTgwNjkxDAAAAAE3DQAAAAk3LzE3LzIwMTgQAAAACTcvMTYvMjAxOCkclBA1CdYIczlgEjUJ1gg6Q0lRLk5BU0RBUUdNOkZBVEUuSVFfRUFSTklOR19DTy4xOTk2LjcvMzEvMjAxOC5MRlIuRi5VU0QuSAEAAABoMVcCAgAAAActMzUuMjExAQgAAAAFAAAAATEBAAAACjE4ODg1MDAzMzMDAAAAAzE2MAIAAAABNwQAAAABMAcAAAAJNy8zMS8yMDE4CAAAAAkz</t>
  </si>
  <si>
    <t>LzMxLzIwMTcJAAAAATDWjBE4CAnWCMOGn280CdYIP0NJUS5OQVNEQVFHUzpDQUxBLklRX05FVF9XT1JLSU5HX0NBUC4xOTkyLjcvMzEvMjAxOC5MRlIuRi5VU0QuSAEAAAClJ4EGAgAAAAYtMS42ODQBCAAAAAUAAAABMQEAAAAKMTg0MDk4MjY0NgMAAAADMTYwAgAAAAQxMzExBAAAAAEwBwAAAAk3LzMxLzIwMTgIAAAACTMvMzEvMjAxNgkAAAABMMgwsjcICdYI3UukbzQJ1gg/Q0lRLk5BU0RBUUdTOkVQWk0uSVFfTkVUX1dPUktJTkdfQ0FQLjE5OTIuNy8zMS8yMDE4LkxGUi5GLlVTRC5IAQAAAAMmPQMCAAAABi03Ljc0OAEIAAAABQAAAAExAQAAAAoxODQwNjMwMzk0AwAAAAMxNjACAAAABDEzMTEEAAAAATAHAAAACTcvMzEvMjAxOAgAAAAJMy8zMS8yMDE2CQAAAAEw1owROAgJ1ghzJJ1vNAnWCC1DSVEuTkFTREFRQ006U1JORS5JUV9NQVJLRVRDQVAuNS81LzIwMTcuVVNELkgBAAAASUOUAwIAAAAKMTM1LjU1NjY4MQEGAAAABQAAAAExAQAAAAoxODMzNTY2NTk3AwAAAAMxNjACAAAABjEwMDA1NAQAAAABMAcAAAAINS81LzIwMTfWjBE4CAnWCHMknW80CdYIPUNJUS5OQVNEQVFDTTpNVEVNLklRX1JFVkVOVUVfRVNULkNZMjAyMS43LzMxLzIwMTguQ09OLkYuVVNELkgBAAAAmZupAQMAAAAAAMgwsjcICdYIGemhbzQJ1ggrQ0lRLklRVFI1NTAyNTkzOTcuSVFfVFJfVE9UQUxfR1JPU1NfVFYuLlVTRAEA</t>
  </si>
  <si>
    <t>AADFSswgAgAAAAs5MzA1LjMzOTYzNgEGAAAABQAAAAI1NAEAAAAGMTAyMDg4AgAAAAk1NTAyNTkzOTcDAAAACTU1MDI2NDU2NAQAAAADMTYwBgAAAAVGYWxzZQxtEA41CdYId3mADjUJ1gg9Q0lRLk5BU0RBUUdTOkNUTVguSVFfUkVWRU5VRV9FU1QuQ1kyMDIwLjcvMTYvMjAxOC5DT04uRi5VU0QuSAEAAADcOJsDAgAAAAY4Mi4xMjMBDgAAAAUAAAACMTEBAAAAATACAAAACjEwMDMyMTU5NzgDAAAABjEwMDE4MAQAAAABMgYAAAABMAcAAAADMTYwCAAAAAEwCQAAAAExCgAAAAEwCwAAAAsxMDk1MTIzMTMwNQwAAAABNw0AAAAJNy8xNy8yMDE4EAAAAAk3LzE2LzIwMTjE/xsRNQnWCMKbYhI1CdYIK0NJUS5JUVRSMjczNTA3MTg1LklRX1RSX1RPVEFMX0dST1NTX1RWLi5VU0QBAAAAcWNNEAIAAAAKMzg2LjEwMzg3MQEGAAAABQAAAAI1NAEAAAAGMTAyMDg4AgAAAAkyNzM1MDcxODUDAAAACTI3MzUwNzc4NwQAAAADMTYwBgAAAAVGYWxzZbKzSW80CdYIgf2VbzQJ1gg8Q0lRLk5BU0RBUUdTOkNBTEEuSVFfRUJJVERBX0VTVC5DWTIwMTkuNy8zMS8yMDE4LkNPTi5GLlVTRC5IAQAAAKUngQYDAAAAAADIMLI3CAnWCN1LpG80CdYIQ0NJUS5OQVNEQVFHUzpCR05FLklRX01JTk9SSVRZX0lOVEVSRVNUX1RPVEFMLi45LzE1LzIwMTcuTEZSLkYuVVNELkgBAAAA4OTdBgIAAAAGMTQuNDE5AQgAAAAFAAAAATEBAAAA</t>
  </si>
  <si>
    <t>CjE4NTI3MDA1NjQDAAAAAzE2MAIAAAAEMTMxMgQAAAABMAcAAAAJOS8xNS8yMDE3CAAAAAk2LzMwLzIwMTcJAAAAATDE/xsRNQnWCGhgZxI1CdYINUNJUS5OQVNEQVFDTTpDS1BULklRX05JX01BUkdJTi4uNy8xNi8yMDE4LkxGUi5GLlVTRC5IAQAAALhRFhEDAAAAAk5NAQgAAAAFAAAAATEBAAAACjE4ODgwMDcyMjMDAAAAAzE2MAIAAAAENDA5NAQAAAABMAcAAAAJNy8xNi8yMDE4CAAAAAkzLzMxLzIwMTgJAAAAATApHJQQNQnWCOR0WxI1CdYIQkNJUS5OQVNEQVFHUzpBRFhTLklRX1RPVEFMX1JFVl81WVJfQU5OX0NBR1IuLjcvMTYvMjAxOC5MRlIuRi5VU0QuSAEAAACe7HgAAwAAAAAAKRyUEDUJ1gjkdFsSNQnWCCtDSVEuSVFUUjU1MTE2NjI5Mi5JUV9UUl9JTVBMSUVEX0VWX0VCSVRfRldEAQAAAFQh2iADAAAAAk5NAAxtEA41CdYIwNuCDjUJ1gg3Q0lRLk5BU0RBUUdTOkNBTEEuSVFfUFJFRl9FUVVJVFkuLjcvMTYvMjAxOC5MRlIuRi5VU0QuSAEAAAClJ4EGAwAAAAAAKRyUEDUJ1gjkdFsSNQnWCChDSVEuTkFTREFRR1M6QkdORS5JUV9URVYuNy8xNi8yMDE4LlVTRC5IAQAAAODk3QYCAAAACzc0ODQuMDAxOTc1AQYAAAAFAAAAATEBAAAACjE4ODc2ODg1MDADAAAAAzE2MAIAAAAGMTAwMDYwBAAAAAEwBwAAAAk3LzE2LzIwMThGnRkRNQnWCGhgZxI1CdYIQ0NJUS5OQVNEQVFHTTpJTU1VLklRX01J</t>
  </si>
  <si>
    <t>Tk9SSVRZX0lOVEVSRVNUX1RPVEFMLi45LzE1LzIwMTcuTEZSLkYuVVNELkgBAAAAIEMEAAIAAAAJLTAuNzcxMDgxAQgAAAAFAAAAATEBAAAACjE4NTQzODIzMTQDAAAAAzE2MAIAAAAEMTMxMgQAAAABMAcAAAAJOS8xNS8yMDE3CAAAAAk2LzMwLzIwMTcJAAAAATDE/xsRNQnWCBL+ZBI1CdYIPENJUS5OQVNEQVFHTTpGQVRFLklRX1RPVEFMX0VRVUlUWS4xOTkyLjcvMzEvMjAxOC5MRlIuRi5VU0QuSAEAAABoMVcCAgAAAAYzMC43MjcBCAAAAAUAAAABMQEAAAAKMTg0MzU0NDMyMQMAAAADMTYwAgAAAAQxMjc1BAAAAAEwBwAAAAk3LzMxLzIwMTgIAAAACTMvMzEvMjAxNgkAAAABMNaMETgICdYIw4afbzQJ1gg9Q0lRLk5BU0RBUUdNOkFSUlkuSVFfUkVWRU5VRV9FU1QuQ1kyMDIwLjcvMzEvMjAxOC5DT04uRi5VU0QuSAEAAAD4YQAAAgAAAAg0ODUuMzI5NQEOAAAABQAAAAIxMQEAAAABMAIAAAAJMzYyNjY2MzYxAwAAAAYxMDAxODAEAAAAATIGAAAAATAHAAAAAzE2MAgAAAABMAkAAAABMQoAAAABMAsAAAALMTA5ODQwOTMyMzUMAAAAATcNAAAACDgvMS8yMDE4EAAAAAk3LzMxLzIwMTicC9U4CAnWCNRfmG80CdYIIkNJUS5JUVRSMjczNTA3MTg1LklRX1RSX1RBUkdFVE5BTUUBAAAAcWNNEAMAAAAdQW1iaXQgQmlvc2NpZW5jZXMgQ29ycG9yYXRpb24AsrNJbzQJ1giB/ZVvNAnWCClDSVEuSVFUUjMwMjg2</t>
  </si>
  <si>
    <t>NjYyNy5JUV9CVVNJTkVTU19ERVNDUklQVElPTgEAAADvtoAIAwAAAL4FWC1CT0RZLCBJbmMuIGRldmVsb3BzIG1vbm9jbG9uYWwgYW50aWJvZHkgdGhlcmFwZXV0aWNzLiBUaGUgY29tcGFueSBkaXNjb3ZlcnMgYW5kIGRldmVsb3BzIGNvbXBvdW5kcyBhZ2FpbnN0IGJpb2xvZ2ljYWxseSByZWxldmFudCB0YXJnZXRzIGluIG9uY29sb2d5IGFuZCBvcGh0aGFsbW9sb2d5LiBJdCBhbHNvIGRldmVsb3BzIHNjcmVlbmluZyBzeXN0ZW0gdGhhdCBpcyBhcHBsaWNhYmxlIGZvciB2YXJpb3VzIHByb2Nlc3Nlcywgc3VjaCBhcyBnZW5lcmF0aW9uIG9mIHNvbHVibGUgVkggZG9tYWlucywgRmFicywgSWdHcywgYW5kIGJpc3BlY2lmaWNzOyBzZWxlY3Rpb24gYWdhaW5zdCBjZWxsIHN1cmZhY2UgdGFyZ2V0cyBvbiBsaXZlIGNlbGxzLCBpbmNsdWRpbmcgc2VsZWN0aW9ucyBmb3IgZnVuY3Rpb247IGFmZmluaXR5IG1hdHVyYXRpb247IGlkZW50aWZpY2F0aW9uIG9mIHN0YWJsZSBWSC1WTCBwYWlyczsgYW5kIGVwaXRvcGUgZGlzY292ZXJ5IGJ5IGRpZmZlcmVudGlhbCBzY3JlZW5pbmcgb2YgbGl2ZSBjZWxscyBhbmQgb3RoZXIgc2FtcGxlcy4gWC1CT0RZLCBJbmMuIHdhcyBmb3VuZGVkIGluIDIwMDggYW5kIGlzIGJhc2VkIGluIFdhbHRoYW0sIE1hc3NhY2h1c2V0dHMuIEFzIG9mIEp1bmUgMSwgMjAxNSwg</t>
  </si>
  <si>
    <t>WC1CT0RZLCBJbmMuIG9wZXJhdGVzIGFzIGEgc3Vic2lkaWFyeSBvZiBKdW5vIFRoZXJhcGV1dGljcyBJbmMuAAxtEA41CdYIDD6FDjUJ1ghBQ0lRLihJTlZBTElEIElERU5USUZJRVIpLklRX0VBUk5JTkdfQ08uMTk5Mi43LzMxLzIwMTguTEZSLkYuVVNELkgFAAAAAAAAAAgAAAAUKEludmFsaWQgSWRlbnRpZmllcinIMLI3CAnWCO02sG80CdYIO0NJUS5OQVNEQVFHUzpDQUxBLklRX05FVF9XT1JLSU5HX0NBUC4uNy8xNi8yMDE4LkxGUi5GLlVTRC5IAQAAAKUngQYCAAAABy0yNC43NDIBCAAAAAUAAAABMQEAAAAKMTg4Nzk4MDMwNQMAAAADMTYwAgAAAAQxMzExBAAAAAEwBwAAAAk3LzE2LzIwMTgIAAAACTMvMzEvMjAxOAkAAAABMCkclBA1CdYI5HRbEjUJ1gg4Q0lRLk5BU0RBUUNNOkFWRU8uSVFfRUJJVERBLkNZMjAxNi43LzE2LzIwMTguTEZSLkYuVVNELkgBAAAA9BYdAAIAAAAHLTI5LjM2MwEIAAAABQAAAAExAQAAAAoxODc4MDgyNjUwAwAAAAMxNjACAAAABDQwNTEEAAAAATAHAAAACTcvMTYvMjAxOAgAAAAKMTIvMzEvMjAxNgkAAAABMMT/GxE1CdYIwptiEjUJ1ggVQ0lRLi5JUV9UUl9UQVJHRVROQU1FBQAAAAAAAAAIAAAAFChJbnZhbGlkIElkZW50aWZpZXIpnAvVOAgJ1gh3eYAONQnWCCJDSVEuSVFUUjU2MzkxOTA0OS5JUV9UUl9UT1RBTF9DQVNIAQAAAMm4nCECAAAACjE1MjAuMjU1NDUB</t>
  </si>
  <si>
    <t>BgAAAAUAAAACNTQBAAAABjEwMTA1NgIAAAAJNTYzOTE5MDQ5AwAAAAk1NjM5NDAwNDIEAAAAAzE2MAYAAAAFRmFsc2UMbRAONQnWCMDbgg41CdYIIkNJUS5PVENQSzpNQlZYLklRX0ZJUlNUUFJJQ0lOR0RBVEUBAAAA2ESLAgUAAAAINy85LzIwMTQA3qd+EDUJ1giYElkSNQnWCDhDSVEuTkFTREFRR1M6RlBSWC5JUV9HUk9TU19NQVJHSU4uLjcvMTYvMjAxOC5MRlIuRi5VU0QuSAEAAAA3XTMAAgAAAAktMTU5Ljc4NDMBCAAAAAUAAAABMQEAAAAKMTg4NzQwMjIyNwMAAAADMTYwAgAAAAQ0MDc0BAAAAAEwBwAAAAk3LzE2LzIwMTgIAAAACTMvMzEvMjAxOAkAAAABMCkclBA1CdYIczlgEjUJ1ggtQ0lRLk5BU0RBUUdTOkZQUlguSVFfRElWSURFTkRfWUlFTEQuNy8zMS8yMDE4AQAAADddMwADAAAAAADWjBE4CAnWCBnpoW80CdYINUNJUS5OQVNEQVFDTTpNVEVNLklRX0NBUEVYLjIwMDAuNy8zMS8yMDE4LkxGUi5GLlVTRC5IAQAAAJmbqQECAAAABi0yLjgxMgEIAAAABQAAAAExAQAAAAoxODg4NzMzMDA0AwAAAAMxNjACAAAABDIwMjEEAAAAATAHAAAACTcvMzEvMjAxOAgAAAAJMy8zMS8yMDE4CQAAAAEwyDCyNwgJ1ggZ6aFvNAnWCENDSVEuTkFTREFRR1M6R1RIWC5JUV9FQklUREFfM1lSX0FOTl9DQUdSLjIwMDAuNy8zMS8yMDE4LkxGUi5GLlVTRC5IAQAAAGU0aQgDAAAAAADWjBE4CAnWCCTCmm80CdYI</t>
  </si>
  <si>
    <t>PUNJUS5OQVNEQVFHTTpYTkNSLklRX1JFVkVOVUVfRVNULkNZMjAyMC43LzE2LzIwMTguQ09OLkYuVVNELkgBAAAAploLAAIAAAAHNjUuODQwNgEOAAAABQAAAAIxMQEAAAABMAIAAAAKMTAwMjAyNTI1NwMAAAAGMTAwMTgwBAAAAAEyBgAAAAEwBwAAAAMxNjAIAAAAATAJAAAAATEKAAAAATALAAAACzEwOTE1ODMyNTM3DAAAAAE3DQAAAAk3LzE3LzIwMTgQAAAACTcvMTYvMjAxOMT/GxE1CdYIEv5kEjUJ1gg5Q0lRLk5BU0RBUUdNOkNSSVMuSVFfVE9UQUxfUkVWLjE5OTIuNy8zMS8yMDE4LkxGUi5GLlVTRC5IAQAAABdqAAACAAAACDcuOTQ1NjY4AQgAAAAFAAAAATEBAAAACjE4NDA1MDEwOTkDAAAAAzE2MAIAAAACMjgEAAAAATAHAAAACTcvMzEvMjAxOAgAAAAJMy8zMS8yMDE2CQAAAAEwyDCyNwgJ1gjdS6RvNAnWCEJDSVEuTkFTREFRR1M6UEJZSS5JUV9UT1RBTF9SRVZfM1lSX0FOTl9DQUdSLi43LzE2LzIwMTguTEZSLkYuVVNELkgBAAAAAmqsBwMAAAAAAMT/GxE1CdYIEv5kEjUJ1gg8Q0lRLihJTlZBTElEIElERU5USUZJRVIpLklRX0RBX0NGLjIwMDAuNy8zMS8yMDE4LkxGUi5GLlVTRC5IBQAAAAAAAAAIAAAAFChJbnZhbGlkIElkZW50aWZpZXIpyDCyNwgJ1gg8mbJvNAnWCDlDSVEuTkFTREFRR1M6U0dFTi5JUV9FQklUREFfTUFSR0lOLi43LzE2LzIwMTguTEZSLkYuVVNELkgBAAAAYYUAAAIA</t>
  </si>
  <si>
    <t>AAAILTM4LjAyMDkBCAAAAAUAAAABMQEAAAAKMTg4NDg5Mjg1MgMAAAADMTYwAgAAAAQ0MDQ3BAAAAAEwBwAAAAk3LzE2LzIwMTgIAAAACTMvMzEvMjAxOAkAAAABMMT/GxE1CdYIaGBnEjUJ1ggwQ0lRLk5BU0RBUUdNOlhOQ1IuSVFfTEFTVFNBTEVQUklDRS43LzE2LzIwMTguVVNEAQAAAKZaCwACAAAABTQwLjUxAEadGRE1CdYIEv5kEjUJ1gguQ0lRLk5BU0RBUUdTOkFEWFMuSVFfTUFSS0VUQ0FQLjkvMTUvMjAxNy5VU0QuSAEAAACe7HgAAgAAAAoxOTcuNTI2NjY2AQYAAAAFAAAAATEBAAAACjE4NTg4Njk1ODkDAAAAAzE2MAIAAAAGMTAwMDU0BAAAAAEwBwAAAAk5LzE1LzIwMTcpHJQQNQnWCOR0WxI1CdYINkNJUS5OQVNEQVFHUzpDQUxBLklRX1RPVEFMX0RFQlQuLjcvMTYvMjAxOC5MRlIuRi5VU0QuSAEAAAClJ4EGAgAAAAEwAQgAAAAFAAAAATEBAAAACjE4ODc5ODAzMDUDAAAAAzE2MAIAAAAENDE3MwQAAAABMAcAAAAJNy8xNi8yMDE4CAAAAAkzLzMxLzIwMTgJAAAAATApHJQQNQnWCOR0WxI1CdYIPENJUS5OQVNEQVFHUzpLVVJBLklRX1RPVEFMX0VRVUlUWS4xOTkyLjcvMzEvMjAxOC5MRlIuRi5VU0QuSAEAAAC4y9oQAgAAAAY3Ni4wNjYBCAAAAAUAAAABMQEAAAAKMTg0MjI4MDcxNwMAAAADMTYwAgAAAAQxMjc1BAAAAAEwBwAAAAk3LzMxLzIwMTgIAAAACTMvMzEvMjAxNgkAAAABMNaMETgI</t>
  </si>
  <si>
    <t>CdYIcySdbzQJ1ghCQ0lRLk5BU0RBUUdNOk5MTksuSVFfVE9UQUxfUkVWXzJZUl9BTk5fQ0FHUi4uNy8xNi8yMDE4LkxGUi5GLlVTRC5IAQAAAJV7jAACAAAABjEuMTg2OAEIAAAABQAAAAExAQAAAAoxODg4MzU0MjA3AwAAAAMxNjACAAAABDQyMDcEAAAAATAHAAAACTcvMTYvMjAxOAgAAAAJMy8zMS8yMDE4CQAAAAEwKRyUEDUJ1gjkdFsSNQnWCCRDSVEuTkFTREFRR1M6Q0FMQS5JUV9FRkZFQ1RfVEFYX1JBVEUBAAAApSeBBgMAAAAAAMgwsjcICdYIHxWdDjUJ1gg8Q0lRLk5BU0RBUUdTOkFOQUIuSVFfRUJJVERBX0VTVC5DWTIwMTkuNy8xNi8yMDE4LkNPTi5GLlVTRC5IAQAAACFMsgEDAAAAAADE/xsRNQnWCMKbYhI1CdYIOUNJUS5OQVNEQVFHTTpBUlFMLklRX05JX01BUkdJTi4yMDAwLjcvMzEvMjAxOC5MRlIuRi5VU0QuSAEAAAD2YQAAAwAAAAJOTQEIAAAABQAAAAExAQAAAAoxODg4Nzg4NzcwAwAAAAMxNjACAAAABDQwOTQEAAAAATAHAAAACTcvMzEvMjAxOAgAAAAJMy8zMS8yMDE4CQAAAAEw1owROAgJ1ghzJJ1vNAnWCDxDSVEuTkFTREFRR1M6Q0FMQS5JUV9HUk9TU19NQVJHSU4uMjAwMC43LzMxLzIwMTguTEZSLkYuVVNELkgBAAAApSeBBgIAAAAHLTkyLjgwMgEIAAAABQAAAAExAQAAAAoxODg3OTgwMzA1AwAAAAMxNjACAAAABDQwNzQEAAAAATAHAAAACTcvMzEvMjAxOAgAAAAJMy8zMS8y</t>
  </si>
  <si>
    <t>MDE4CQAAAAEwyDCyNwgJ1gjdS6RvNAnWCC1DSVEuT1RDUEs6TldCTy5JUV9MQVNUU0FMRVBSSUNFLjcvMTYvMjAxOC5VU0QBAAAAo3oUAAIAAAAGMC4yMTk5ACkclBA1CdYIczlgEjUJ1gg5Q0lRLk5BU0RBUUdNOkFSUUwuSVFfVE9UQUxfUkVWLjE5OTYuNy8zMS8yMDE4LkxGUi5GLlVTRC5IAQAAAPZhAAACAAAABTMuNDgyAQgAAAAFAAAAATEBAAAACjE4ODg3ODg3MzcDAAAAAzE2MAIAAAACMjgEAAAAATAHAAAACTcvMzEvMjAxOAgAAAAJMy8zMS8yMDE3CQAAAAEw1owROAgJ1ghzJJ1vNAnWCCJDSVEuSVFUUjQwMzc5MTc2Ny5JUV9UUl9QQ1RfU09VR0hUAQAAAJdfERgCAAAAAzEwMAEGAAAABQAAAAI1NAEAAAAGMTAxMDI0AgAAAAk0MDM3OTE3NjcDAAAACTQwMzc5MjEwOQQAAAADMTYwBgAAAARUcnVlWM8SDjUJ1gjA24IONQnWCCBDSVEuSVFUUjM3MTcxNTExOS5JUV9UUl9FQVJOT1VUUwEAAAAv7CcWAgAAAAAAWM8SDjUJ1gjA24IONQnWCC5DSVEuSVFUUjQwODQwNzgyMi5JUV9UUl9UQVJHRVRfU1RPQ0tQUkVNSVVNXzFXAQAAAA7PVxgCAAAAAACys0lvNAnWCIH9lW80CdYILUNJUS5OQVNEQVFHUzpDVE1YLklRX0RJVklERU5EX1lJRUxELjcvMTYvMjAxOAEAAADcOJsDAwAAAAAARp0ZETUJ1gjCm2ISNQnWCC1DSVEuTkFTREFRQ006WklPUC5JUV9NQVJLRVRDQVAuNS81LzIwMTcuVVNELkgBAAAA</t>
  </si>
  <si>
    <t>s1GyAAIAAAAKOTMwLjYzNTA0MwEGAAAABQAAAAExAQAAAAoxODM5MzM4MTAwAwAAAAMxNjACAAAABjEwMDA1NAQAAAABMAcAAAAINS81LzIwMTfWjBE4CAnWCMOGn280CdYIOkNJUS5OQVNEQVFHUzpNUlNOLklRX0NBU0hfU1RfSU5WRVNULi43LzE2LzIwMTguTEZSLkYuVVNELkgBAAAA5sUYAAIAAAAHMTA3Ljk1OQEIAAAABQAAAAExAQAAAAoxODg5MDk2NjUzAwAAAAMxNjACAAAABDEwMDIEAAAAATAHAAAACTcvMTYvMjAxOAgAAAAJMy8zMS8yMDE4CQAAAAEwxP8bETUJ1ghzOWASNQnWCC5DSVEuTkFTREFRR1M6TUdOWC5JUV9NQVJLRVRDQVAuNy8xNi8yMDE4LlVTRC5IAQAAAE8rCQACAAAACjkxMS41NjQ4ODUBBgAAAAUAAAABMQEAAAAKMTg4NzExNDY3OQMAAAADMTYwAgAAAAYxMDAwNTQEAAAAATAHAAAACTcvMTYvMjAxOEadGRE1CdYIwptiEjUJ1gglQ0lRLklRVFI0MzE4NDE1ODEuSVFfVFJfSU1QTElFRF9FUV9CVgEAAAAtYb0ZAgAAAAAADG0QDjUJ1ggMPoUONQnWCC9DSVEuSVFUUjU1MzU0ODAyNS5JUV9UUl9JTVBMSUVEX0VWX0ZJTkFMLi5VU0QuSAEAAAD5eP4gAgAAAAozNTQuMjkwMTMxAQYAAAAFAAAAAjU0AQAAAAYxMDIwNDUCAAAACTU1MzU0ODAyNQMAAAAJNTUzNTY0OTcxBAAAAAMxNjAGAAAABUZhbHNlsrNJbzQJ1giB/ZVvNAnWCB5DSVEuLklRX0xBU1RTQUxFUFJJQ0UuNS81LzIw</t>
  </si>
  <si>
    <t>MTcFAAAAAQAAAAgAAAAUKEludmFsaWQgSWRlbnRpZmllcin1hDJHNAnWCPWEMkc0CdYIJENJUS5OQVNEQVFDTTpaSU9QLklRX0VGRkVDVF9UQVhfUkFURQEAAACzUbIAAwAAAAAA1owROAgJ1gjDhp9vNAnWCDVDSVEuTkFTREFRR1M6TVJTTi5JUV9DQVBFWC4yMDAwLjcvMzEvMjAxOC5MRlIuRi5VU0QuSAEAAADmxRgAAgAAAAYtMC45MzkBCAAAAAUAAAABMQEAAAAKMTg4OTA5NjY1MwMAAAADMTYwAgAAAAQyMDIxBAAAAAEwBwAAAAk3LzMxLzIwMTgIAAAACTMvMzEvMjAxOAkAAAABMNaMETgICdYIw4afbzQJ1ggeQ0lRLklRMzYxODM4MjUuSVFfQ09NUEFOWV9OQU1FAQAAABEfKAIDAAAAMVVuaXRlZCBTdGF0ZXMgVHJlYXN1cnkgQ29uc3RhbnQgTWF0dXJpdHkgLSAyIFllYXIADG0QDjUJ1gh3eYAONQnWCD1DSVEuTkFTREFRR006RkFURS5JUV9SRVZFTlVFX0VTVC5DWTIwMjEuNy8zMS8yMDE4LkNPTi5GLlVTRC5IAQAAAGgxVwICAAAACDE0Ny43OTg1AQ4AAAAFAAAAAjExAQAAAAEwAgAAAAoxMDAxOTY3NDUzAwAAAAYxMDAxODAEAAAAATIGAAAAATAHAAAAAzE2MAgAAAABMAkAAAABMQoAAAABMAsAAAALMTA5ODU3MTU2MTAMAAAAATcNAAAACDgvMS8yMDE4EAAAAAk3LzMxLzIwMTjWjBE4CAnWCMOGn280CdYIOENJUS5OQVNEQVFHUzpQQllJLklRX0dST1NTX01BUkdJTi4uNy8xNi8yMDE4LkxGUi5G</t>
  </si>
  <si>
    <t>LlVTRC5IAQAAAAJqrAcCAAAABjg3LjMwOQEIAAAABQAAAAExAQAAAAoxODg4NjY3NzQzAwAAAAMxNjACAAAABDQwNzQEAAAAATAHAAAACTcvMTYvMjAxOAgAAAAJMy8zMS8yMDE4CQAAAAEwxP8bETUJ1ggS/mQSNQnWCD1DSVEuTkFTREFRR1M6QVROWC5JUV9SRVZFTlVFX0VTVC5DWTIwMjAuNy8zMS8yMDE4LkNPTi5GLlVTRC5IAQAAANyZawECAAAACTIxNC43Mzg5OAEOAAAABQAAAAIxMQEAAAABMAIAAAAKMTAwMzc3ODM3NAMAAAAGMTAwMTgwBAAAAAEyBgAAAAEwBwAAAAMxNjAIAAAAATAJAAAAATEKAAAAATALAAAACzEwOTk1NDIzNDcxDAAAAAE3DQAAAAg4LzEvMjAxOBAAAAAJNy8zMS8yMDE41owROAgJ1ggkwppvNAnWCD1DSVEuTkFTREFRR1M6RVBaTS5JUV9SRVZFTlVFX0VTVC5DWTIwMTguNy8zMS8yMDE4LkNPTi5GLlVTRC5IAQAAAAMmPQMCAAAABjEuODEyNQEOAAAABQAAAAIxMQEAAAABMAIAAAAKMTAwMTg2NDI1OAMAAAAGMTAwMTgwBAAAAAEyBgAAAAEwBwAAAAMxNjAIAAAAATAJAAAAATEKAAAAATALAAAACzEwOTIxMjQzOTg5DAAAAAE3DQAAAAg4LzEvMjAxOBAAAAAJNy8zMS8yMDE41owROAgJ1ghzJJ1vNAnWCClDSVEuSVFUUjU1MzU0ODAyNS5JUV9CVVNJTkVTU19ERVNDUklQVElPTgEAAAA9LS4AAwAAANAHVmlyYWx5dGljcyBMaW1pdGVkLCBhIGJpb3RlY2hub2xvZ3kgY29tcGFu</t>
  </si>
  <si>
    <t>eSwgZm9jdXNlcyBvbiB0aGUgZGV2ZWxvcG1lbnQgYW5kIGNvbW1lcmNpYWxpemF0aW9uIG9mIG9uY29seXRpYyBpbW11bm90aGVyYXBpZXMgaW4gQXVzdHJhbGlhIGFuZCBpbnRlcm5hdGlvbmFsbHkuIFRoZSBjb21wYW554oCZcyBsZWFkIGludmVzdGlnYXRpb25hbCBwcm9kdWN0IGlzIENBVkFUQUssIGEgcHJvcHJpZXRhcnkgZm9ybXVsYXRpb24gb2YgYW4gb25jb2x5dGljIGNvbW1vbiBjb2xkIHZpcnVzIHRoYXQgaXMgaW4gUGhhc2UgSWIgY2xpbmljYWwgdHJpYWxzIGZvciB0aGUgdHJlYXRtZW50IG9mIG1lbGFub21hLCBhbmQgbHVuZyBhbmQgYmxhZGRlciBjYW5jZXI7IFBoYXNlIElJIGNsaW5pY2FsIHRyaWFscyBmb3IgdGhlIHRyZWF0bWVudCBvZiBsYXRlIHN0YWdlIG1lbGFub21hOyBhbmQgaW4gcHJlLWNsaW5pY2FsIHN0dWRpZXMgZm9yIHRoZSB0cmVhdG1lbnQgb2YgcHJvc3RhdGUgYW5kIGJyZWFzdCBjYW5jZXIsIG11bHRpcGxlIG15ZWxvbWEsIHBhbmNyZWF0aWMgY2FuY2VyLCBtYWxpZ25hbnQgZ2xpb21hLCBhY3V0ZSBteWVsb2lkIGxldWtlbWlhLCBhbmQgY2hyb25pYyBseW1waG9jeXRpYyBsZXVrZW1pYS4gSXQgaXMgYWxzbyBkZXZlbG9waW5nIEVWQVRBSyB0byB0cmVhdCBvdmFyaWFuLCBwcm9zdGF0ZSwgYW5kIGdhc3RyaWMgY2FuY2VyLiBUaGUgY29tcGFueSB3YXMgZm9y</t>
  </si>
  <si>
    <t>bWVybHkga25vd24gYXMgUHNpcm9uIEx0ZC4gYW5kIGNoYW5nZWQgaXRzIG5hbWUgdG8gVmlyYWx5dGljcyBMaW1pdGVkIGluIERlY2VtYmVyIDIwMDYuIFZpcmFseXRpY3MgTGltaXRlZCBpcyBoZWFkcXVhcnRlcmVkIGluIFN5ZG5leSwgQXVzdHJhbGlhLiBBcyBvZiBKdW5lIDIwLCAyMDE4LCBWaXJhbHl0aWNzIExpbWl0ZWQgb3BlcmF0ZXMgYXMgYSBzdWJzaWRpYXJ5IG9mIE1lcmNrIFNoYXJwICYgRG9obWUgKEhvbGRpbmdzKSBQdHkgTHRkLgCys0lvNAnWCIH9lW80CdYIOUNJUS5OQVNEQVFDTTpNVEVNLklRX1RPVEFMX1JFVi4xOTk2LjcvMzEvMjAxOC5MRlIuRi5VU0QuSAEAAACZm6kBAgAAAAgzLjIxMDAyMgEIAAAABQAAAAExAQAAAAoxODg4NzMzMDAyAwAAAAMxNjACAAAAAjI4BAAAAAEwBwAAAAk3LzMxLzIwMTgIAAAACTMvMzEvMjAxNwkAAAABMMgwsjcICdYIGemhbzQJ1ggoQ0lRLk5BU0RBUUdNOkFGTUQuSVFfVEVWLjcvMTYvMjAxOC5VU0QuSAEAAADb9wwAAgAAAAk0OS4wOTM5MTkBBgAAAAUAAAABMQEAAAAKMTg4OTg2NTU5NQMAAAADMTYwAgAAAAYxMDAwNjAEAAAAATAHAAAACTcvMTYvMjAxOCkclBA1CdYIMNddEjUJ1ghCQ0lRLk5BU0RBUUdTOkZQUlguSVFfVE9UQUxfUkVWXzVZUl9BTk5fQ0FHUi4uNy8xNi8yMDE4LkxGUi5GLlVTRC5IAQAAADddMwACAAAABjQxLjYxOAEIAAAA</t>
  </si>
  <si>
    <t>BQAAAAExAQAAAAoxODg3NDAyMjI3AwAAAAMxNjACAAAABDQyMzMEAAAAATAHAAAACTcvMTYvMjAxOAgAAAAJMy8zMS8yMDE4CQAAAAEwKRyUEDUJ1ghzOWASNQnWCDlDSVEuRU5YVFBBOklQSC5JUV9FQklUREFfRVNULkNZMjAxOC43LzE2LzIwMTguQ09OLkYuVVNELkgBAAAAmYAGAAIAAAARLTI0LjYzODIxNTY3MzM3MTUBDgAAAAUAAAACMTEBAAAAATACAAAACjEwMDE2NDMzOTEDAAAABjEwMDE4NwQAAAABMwYAAAABMAcAAAADMTYwCAAAAAEwCQAAAAExCgAAAAEwCwAAAAsxMDk1Mzg0MjQ2MQwAAAABNw0AAAAJNy8xNy8yMDE4EAAAAAk3LzE2LzIwMTgpHJQQNQnWCHM5YBI1CdYIK0NJUS4oSU5WQUxJRCBJREVOVElGSUVSKS5JUV9FRkZFQ1RfVEFYX1JBVEUFAAAAAAAAAAgAAAAUKEludmFsaWQgSWRlbnRpZmllcinIMLI3CAnWCELFrQ41CdYIMUNJUS4uSVFfVE9UQUxfRVFVSVRZLkNZMjAxNy43LzMxLzIwMTguTEZSLkYuVVNELkgFAAAAAQAAAAgAAAAUKEludmFsaWQgSWRlbnRpZmllcin1hDJHNAnWCPWEMkc0CdYIMENJUS5OQVNEQVFDTTpBVkVPLklRX0xBU1RTQUxFUFJJQ0UuNy8xNi8yMDE4LlVTRAEAAAD0Fh0AAgAAAAQyLjg1AEadGRE1CdYIwptiEjUJ1gg9Q0lRLk5BU0RBUUdTOkJHTkUuSVFfRUJJVERBX01BUkdJTi4yMDAwLjcvMzEvMjAxOC5MRlIuRi5VU0QuSAEAAADg5N0GAgAAAAYt</t>
  </si>
  <si>
    <t>NTUuOTUBCAAAAAUAAAABMQEAAAAKMTg4NzY4ODU4OAMAAAADMTYwAgAAAAQ0MDQ3BAAAAAEwBwAAAAk3LzMxLzIwMTgIAAAACTMvMzEvMjAxOAkAAAABMJwL1TgICdYIgf2VbzQJ1gg/Q0lRLk5BU0RBUUdTOkpOQ0UuSVFfRUJJVERBXzJZUl9BTk5fQ0FHUi4uNy8xNi8yMDE4LkxGUi5GLlVTRC5IAQAAAOJ5ng0DAAAAAk5NAQgAAAAFAAAAATEBAAAACjE4ODgxODYzNzQDAAAAAzE2MAIAAAAENDIwOQQAAAABMAcAAAAJNy8xNi8yMDE4CAAAAAkzLzMxLzIwMTgJAAAAATDep34QNQnWCJgSWRI1CdYIJ0NJUS5OQVNEQVFHTTpBRk1ELklRX0JFVEFfNVlSLjcvMTYvMjAxOAEAAADb9wwAAgAAABAyLjMwODY5NTQ0MzI5NTA1ACkclBA1CdYIMNddEjUJ1gg8Q0lRLk5BU0RBUUdTOkFEWFMuSVFfRUFSTklOR19DTy5DWTIwMTYuNy8xNi8yMDE4LkxGUi5GLlVTRC5IAQAAAJ7seAACAAAACi03MC43OTIyOTgBCAAAAAUAAAABMQEAAAAKMTg3ODAxMjQyOQMAAAADMTYwAgAAAAE3BAAAAAEwBwAAAAk3LzE2LzIwMTgIAAAACTEvMzEvMjAxNwkAAAABMCkclBA1CdYI5HRbEjUJ1gguQ0lRLk5BU0RBUUdTOlRTUk8uSVFfTUFSS0VUQ0FQLjcvMTYvMjAxOC5VU0QuSAEAAABo1lgGAgAAAAoyMjIzLjA5NTQ4AQYAAAAFAAAAATEBAAAACjE4ODYzMzY1NzkDAAAAAzE2MAIAAAAGMTAwMDU0BAAAAAEwBwAAAAk3LzE2LzIw</t>
  </si>
  <si>
    <t>MThGnRkRNQnWCBL+ZBI1CdYIO0NJUS5OQVNEQVFHUzpDQUxBLklRX1RPVEFMX1JFVi5DWTIwMTYuNy8xNi8yMDE4LkxGUi5GLlVTRC5IAQAAAKUngQYDAAAAAAApHJQQNQnWCOR0WxI1CdYINUNJUS5OQVNEQVFDTTpaSU9QLklRX0NBUEVYLjE5OTYuNy8zMS8yMDE4LkxGUi5GLlVTRC5IAQAAALNRsgACAAAABi0wLjc1MgEIAAAABQAAAAExAQAAAAoxODg3OTcyMzQ4AwAAAAMxNjACAAAABDIwMjEEAAAAATAHAAAACTcvMzEvMjAxOAgAAAAJMy8zMS8yMDE3CQAAAAEw1owROAgJ1gjDhp9vNAnWCD9DSVEuTkFTREFRR006QUZNRC5JUV9FQklUREFfM1lSX0FOTl9DQUdSLi43LzE2LzIwMTguTEZSLkYuVVNELkgBAAAA2/cMAAMAAAACTk0BCAAAAAUAAAABMQEAAAAKMTg4OTg2NjA0OQMAAAACNTACAAAABDQyMjIEAAAAATAHAAAACTcvMTYvMjAxOAgAAAAJMy8zMS8yMDE4CQAAAAEwKRyUEDUJ1ggw110SNQnWCD9DSVEuTkFTREFRR006TFBUWC5JUV9FQklUREFfNVlSX0FOTl9DQUdSLi43LzE2LzIwMTguTEZSLkYuVVNELkgBAAAADDYJBwMAAAAAACkclBA1CdYIMNddEjUJ1ghAQ0lRLihJTlZBTElEIElERU5USUZJRVIpLklRX1RPVEFMX1JFVi4yMDAwLjcvMzEvMjAxOC5MRlIuRi5VU0QuSAUAAAAAAAAACAAAABQoSW52YWxpZCBJZGVudGlmaWVyKcgwsjcICdYI7TawbzQJ1gg0Q0lRLkVOWFRQQTpJUEgu</t>
  </si>
  <si>
    <t>SVFfUFJFRl9FUVVJVFkuLjcvMTYvMjAxOC5MRlIuRi5VU0QuSAEAAACZgAYAAwAAAAAAKRyUEDUJ1ghzOWASNQnWCC1DSVEuLklRX1RPVEFMX0RFQlQuMjAwMC43LzMxLzIwMTguTEZSLkYuVVNELkgFAAAAAQAAAAgAAAAUKEludmFsaWQgSWRlbnRpZmllcimWJDBHNAnWCJYkMEc0CdYILkNJUS5OQVNEQVFHUzpCR05FLklRX01BUktFVENBUC43LzE2LzIwMTguVVNELkgBAAAA4OTdBgIAAAALODc1OS45OTQ5NzYBBgAAAAUAAAABMQEAAAAKMTg4NzY4ODUwMAMAAAADMTYwAgAAAAYxMDAwNTQEAAAAATAHAAAACTcvMTYvMjAxOEadGRE1CdYIaGBnEjUJ1gg1Q0lRLk5BU0RBUUdNOklNTVUuSVFfQ0FQRVguMjAwMC43LzMxLzIwMTguTEZSLkYuVVNELkgBAAAAIEMEAAIAAAAJLTUuOTM3NjA3AQgAAAAFAAAAATEBAAAACjE4ODg1MjMzODQDAAAAAzE2MAIAAAAEMjAyMQQAAAABMAcAAAAJNy8zMS8yMDE4CAAAAAkzLzMxLzIwMTgJAAAAATCcC9U4CAnWCNRfmG80CdYIMENJUS5OQVNEQVFHUzpCR05FLklRX1RPVEFMX1JFVi4xOTkyLi5MRlIuRi5VU0QuSAEAAADg5N0GAgAAAAU3LjEyNwEIAAAABQAAAAExAQAAAAoxODUyNzAwNTIxAwAAAAMxNjACAAAAAjI4BAAAAAEwBwAAAAk4LzIzLzIwMTgIAAAACTYvMzAvMjAxNgkAAAABMJwL1TgICdYInAvVOAgJ1gg5Q0lRLk5BU0RBUUdTOktVUkEuSVFfVE9UQUxf</t>
  </si>
  <si>
    <t>REVCVC4yMDAwLjUvNS8yMDE3LkxGUi5GLlVTRC5IAQAAALjL2hACAAAABTcuMzI0AQgAAAAFAAAAATEBAAAACjE4MzE5MzE2MDgDAAAAAzE2MAIAAAAENDE3MwQAAAABMAcAAAAINS81LzIwMTcIAAAACjEyLzMxLzIwMTYJAAAAATDWjBE4CAnWCHMknW80CdYIMENJUS5JUVRSNDAzNzkxNzY3LklRX1RSX1RBUkdFVF9FQklUREFfRVNULi5VU0QuSAEAAACXXxEYAgAAAAAAWM8SDjUJ1gjA24IONQnWCDpDSVEuTkFTREFRR006Q1JJUy5JUV9QUkVGX0VRVUlUWS4yMDAwLjUvNS8yMDE3LkxGUi5GLlVTRC5IAQAAABdqAAADAAAAAADIMLI3CAnWCN1LpG80CdYIRUNJUS5OQVNEQVFHUzpOSy5JUV9NSU5PUklUWV9JTlRFUkVTVF9UT1RBTC4yMDAwLjcvMzEvMjAxOC5MRlIuRi5VU0QuSAEAAAANfaEPAwAAAAAA1owROAgJ1gjDhp9vNAnWCD1DSVEuTkFTREFRR006Q1JJUy5JUV9SRVZFTlVFX0VTVC5DWTIwMjEuNy8zMS8yMDE4LkNPTi5GLlVTRC5IAQAAABdqAAACAAAABzM1LjcwMjUBDgAAAAUAAAACMTEBAAAAATACAAAACjEwMDEzODc3NTgDAAAABjEwMDE4MAQAAAABMgYAAAABMAcAAAADMTYwCAAAAAEwCQAAAAExCgAAAAEwCwAAAAsxMDk1MTI0MjM0NAwAAAABNw0AAAAIOC8xLzIwMTgQAAAACTcvMzEvMjAxOMgwsjcICdYI3UukbzQJ1ggjQ0lRLklRVFIzMTIxMjI1MDQuSVFfVFJfQ0xPU0VEX0RBVEUB</t>
  </si>
  <si>
    <t>AAAAiJyaEgUAAAAKMTAvMzAvMjAxNQBYzxIONQnWCMDbgg41CdYIO0NJUS5OQVNEQVFHTTpYTkNSLklRX05FVF9XT1JLSU5HX0NBUC4uNy8xNi8yMDE4LkxGUi5GLlVTRC5IAQAAAKZaCwACAAAABy02NC45MjIBCAAAAAUAAAABMQEAAAAKMTg4NzEyNTg1NQMAAAADMTYwAgAAAAQxMzExBAAAAAEwBwAAAAk3LzE2LzIwMTgIAAAACTMvMzEvMjAxOAkAAAABMMT/GxE1CdYIEv5kEjUJ1ggdQ0lRLk5BU0RBUUdNOkFSUUwuSVFfRVhDSEFOR0UBAAAA9mEAAAMAAAAITmFzZGFxR00A1owROAgJ1ghzJJ1vNAnWCCtDSVEuSVFUUjQwMzc5MTc2Ny5JUV9UUl9UT1RBTF9HUk9TU19UVi4uVVNEAQAAAJdfERgCAAAACzMwODcuMDM5NTQ3AQYAAAAFAAAAAjU0AQAAAAYxMDIwODgCAAAACTQwMzc5MTc2NwMAAAAJNDAzNzkyMTA5BAAAAAMxNjAGAAAABUZhbHNlWM8SDjUJ1gjA24IONQnWCC9DSVEuSVFUUjQwODQwNzgyMi5JUV9UUl9UQVJHRVRfVE9UQUxfUkVWLi5VU0QuSAEAAAAOz1cYAgAAAAEwALKzSW80CdYIgf2VbzQJ1ggvQ0lRLihJTlZBTElEIElERU5USUZJRVIpLklRX0dQLi43LzE2LzIwMTguLi5VU0QFAAAAAAAAAAgAAAAUKEludmFsaWQgSWRlbnRpZmllcikMbRAONQnWCGhgZxI1CdYIR0NJUS5OQVNEQVFDTTpNVEVNLklRX01JTk9SSVRZX0lOVEVSRVNUX1RPVEFMLjIwMDAuNy8zMS8yMDE4LkxGUi5G</t>
  </si>
  <si>
    <t>LlVTRC5IAQAAAJmbqQEDAAAAAADIMLI3CAnWCBnpoW80CdYIFkNJUS4uSVFfR1AuMjAwMC4uLi5VU0QFAAAAAAAAAAgAAAAUKEludmFsaWQgSWRlbnRpZmllcimcC9U4CAnWCPsK2YE0CdYILkNJUS5OQVNEQVFHUzpBTkFCLklRX01BUktFVENBUC43LzE2LzIwMTguVVNELkgBAAAAIUyyAQIAAAAKMTY3My41MDQ3NwEGAAAABQAAAAExAQAAAAoxODg3NDAwMDIxAwAAAAMxNjACAAAABjEwMDA1NAQAAAABMAcAAAAJNy8xNi8yMDE4Rp0ZETUJ1ggS/mQSNQnWCC5DSVEuSVFUUjQwODI5MTM5NS5JUV9UUl9UQVJHRVRfU1RPQ0tQUkVNSVVNXzFXAQAAAEMIVhgCAAAAAABYzxIONQnWCMDbgg41CdYIPUNJUS5OQVNEQVFHTTpBUlJZLklRX0VCSVREQV9NQVJHSU4uMjAwMC43LzMxLzIwMTguTEZSLkYuVVNELkgBAAAA+GEAAAIAAAAJLTEyNi4wNDQ0AQgAAAAFAAAAATEBAAAACjE4ODg0NzA2NzYDAAAAAzE2MAIAAAAENDA0NwQAAAABMAcAAAAJNy8zMS8yMDE4CAAAAAkzLzMxLzIwMTgJAAAAATCcC9U4CAnWCNRfmG80CdYIRkNJUS5OQVNEQVFHUzpDQUxBLklRX1RPVEFMX1JFVl81WVJfQU5OX0NBR1IuMjAwMC43LzMxLzIwMTguTEZSLkYuVVNELkgBAAAApSeBBgMAAAAAAMgwsjcICdYI3UukbzQJ1ggpQ0lRLklRVFI0MDc3NjA2OTIuSVFfVFJfSU1QTElFRF9FUV9OSV9MVE0BAAAANO9NGAIAAAAAAFjPEg41</t>
  </si>
  <si>
    <t>CdYIDD6FDjUJ1gglQ0lRLk5BU0RBUUdTOkFOQUIuSVFfRklSU1RQUklDSU5HREFURQEAAAAhTLIBBQAAAAkxLzI2LzIwMTcARp0ZETUJ1ggS/mQSNQnWCDxDSVEuTkFTREFRR006RkFURS5JUV9FQVJOSU5HX0NPLkNZMjAxNy43LzMxLzIwMTguTEZSLkYuVVNELkgBAAAAaDFXAgIAAAAHLTQyLjk1MgEIAAAABQAAAAExAQAAAAoxODc3MDY5MDkwAwAAAAMxNjACAAAAATcEAAAAATAHAAAACTcvMzEvMjAxOAgAAAAKMTIvMzEvMjAxNwkAAAABMNaMETgICdYIw4afbzQJ1gg9Q0lRLk5BU0RBUUdTOkZQUlguSVFfUkVWRU5VRV9FU1QuQ1kyMDIxLjcvMzEvMjAxOC5DT04uRi5VU0QuSAEAAAA3XTMAAgAAAAgxMzUuOTY0OAEOAAAABQAAAAIxMQEAAAABMAIAAAAKMTAwMTk1NjM1OQMAAAAGMTAwMTgwBAAAAAEyBgAAAAEwBwAAAAMxNjAIAAAAATAJAAAAATEKAAAAATALAAAACzEwOTQ1NTc0OTU4DAAAAAE3DQAAAAg4LzEvMjAxOBAAAAAJNy8zMS8yMDE41owROAgJ1ggZ6aFvNAnWCD9DSVEuTkFTREFRR1M6QkdORS5JUV9FQklUREFfM1lSX0FOTl9DQUdSLi43LzE2LzIwMTguTEZSLkYuVVNELkgBAAAA4OTdBgMAAAACTk0BCAAAAAUAAAABMQEAAAAKMTg4NzY4ODU4OAMAAAADMTYwAgAAAAQ0MjIyBAAAAAEwBwAAAAk3LzE2LzIwMTgIAAAACTMvMzEvMjAxOAkAAAABMMT/GxE1CdYIaGBnEjUJ1ggnQ0lRLk5B</t>
  </si>
  <si>
    <t>U0RBUUdTOlNHRU4uSVFfQkVUQV8xWVIuNy8xNi8yMDE4AQAAAGGFAAACAAAAEDEuNjk4NjQ4NTk1NDU1NzEAxP8bETUJ1ghoYGcSNQnWCCdDSVEuTkFTREFRR1M6UEJZSS5JUV9CRVRBXzVZUi43LzE2LzIwMTgBAAAAAmqsBwIAAAASMC4wMjE2OTcxMTMxOTEzOTI3AMT/GxE1CdYIEv5kEjUJ1gguQ0lRLk9UQ1BLOk5XQk8uSVFfREFfQ0YuLjcvMTYvMjAxOC5MRlIuRi5VU0QuSAEAAACjehQAAgAAAAUwLjc0OAEIAAAABQAAAAExAQAAAAoxODg5MzAyODI0AwAAAAMxNjACAAAABDIxNjAEAAAAATAHAAAACTcvMTYvMjAxOAgAAAAJMy8zMS8yMDE4CQAAAAEwKRyUEDUJ1ghzOWASNQnWCCxDSVEuSVFUUjMxNDgyOTIzNi5JUV9UUl9UQVJHRVRfRUJJVERBLi5VU0QuSAEAAAC06cMSAgAAAAAAWM8SDjUJ1gjA24IONQnWCCVDSVEuSVFUUjQwMzc5MTc2Ny5JUV9UUl9JTVBMSUVEX0VRX0JWAQAAAJdfERgCAAAAAABYzxIONQnWCMDbgg41CdYIMUNJUS5JUVRSNTMzNjM5NTAxLklRX1RSX1RBUkdFVF9SRVZFTlVFX0VTVC4uVVNELkgBAAAATbHOHwIAAAAAAAxtEA41CdYIwNuCDjUJ1gg9Q0lRLk5BU0RBUUdTOkZQUlguSVFfUkVWRU5VRV9FU1QuQ1kyMDIxLjcvMTYvMjAxOC5DT04uRi5VU0QuSAEAAAA3XTMAAgAAAAgxMzUuOTY0OAEOAAAABQAAAAIxMQEAAAABMAIAAAAKMTAwMTk1NjM1OQMAAAAGMTAwMTgw</t>
  </si>
  <si>
    <t>BAAAAAEyBgAAAAEwBwAAAAMxNjAIAAAAATAJAAAAATEKAAAAATALAAAACzEwOTQ1NTc0OTU4DAAAAAE3DQAAAAk3LzE3LzIwMTgQAAAACTcvMTYvMjAxOCkclBA1CdYIczlgEjUJ1gg9Q0lRLk5BU0RBUUdTOkZQUlguSVFfUkVWRU5VRV9FU1QuQ1kyMDIwLjcvMTYvMjAxOC5DT04uRi5VU0QuSAEAAAA3XTMAAgAAAAg3NS41MTAyOQEOAAAABQAAAAIxMQEAAAABMAIAAAAKMTAwMTk1NjM1NAMAAAAGMTAwMTgwBAAAAAEyBgAAAAEwBwAAAAMxNjAIAAAAATAJAAAAATEKAAAAATALAAAACzEwOTQ1NTc1MDA2DAAAAAE3DQAAAAk3LzE3LzIwMTgQAAAACTcvMTYvMjAxOCkclBA1CdYIczlgEjUJ1ggxQ0lRLklRVFIyNDU4MzEwMDcuSVFfVFJfVEFSR0VUX1JFVkVOVUVfRVNULi5VU0QuSAEAAABfFacOAgAAAAczMy44NDYzALKzSW80CdYIgf2VbzQJ1ggjQ0lRLk5BU0RBUUdNOk5MTksuSVFfUEVSSU9EREFURV9JUy4BAAAAlXuMAAUAAAAJNi8zMC8yMDE4ACkclBA1CdYI5HRbEjUJ1ggwQ0lRLihJTlZBTElEIElERU5USUZJRVIpLklRX0JVU0lORVNTX0RFU0NSSVBUSU9OBQAAAAAAAAAIAAAAFChJbnZhbGlkIElkZW50aWZpZXIpyDCyNwgJ1ghCxa0ONQnWCEFDSVEuTkFTREFRR1M6TksuSVFfRUJJVERBXzJZUl9BTk5fQ0FHUi4yMDAwLjcvMzEvMjAxOC5MRlIuRi5VU0QuSAEAAAANfaEPAwAAAAJOTQEIAAAA</t>
  </si>
  <si>
    <t>BQAAAAExAQAAAAoxODg3MTE4NzkxAwAAAAMxNjACAAAABDQyMDkEAAAAATAHAAAACTcvMzEvMjAxOAgAAAAJMy8zMS8yMDE4CQAAAAEw1owROAgJ1ggZ6aFvNAnWCDxDSVEuTkFTREFRR1M6VFNSTy5JUV9FQklUREFfRVNULkNZMjAyMC43LzE2LzIwMTguQ09OLkYuVVNELkgBAAAAaNZYBgIAAAAELTMwMAEOAAAABQAAAAIxMQEAAAABMAIAAAAKMTAwMTU4MDM1MAMAAAAGMTAwMTg3BAAAAAEyBgAAAAEwBwAAAAMxNjAIAAAAATAJAAAAATEKAAAAATALAAAACzEwODY5NTI1NDU0DAAAAAE3DQAAAAk3LzE3LzIwMTgQAAAACTcvMTYvMjAxOMT/GxE1CdYIEv5kEjUJ1ggpQ0lRLklRVFI0MTE4NzEwODIuSVFfVFJfSU1QTElFRF9FUV9OSV9MVE0BAAAAaqeMGAIAAAAAALKzSW80CdYINZuTbzQJ1ghGQ0lRLk5BU0RBUUdTOkJHTkUuSVFfTUlOT1JJVFlfSU5URVJFU1RfVE9UQUwuMjAwMC41LzUvMjAxNy5MRlIuRi5VU0QuSAEAAADg5N0GAwAAAAAAnAvVOAgJ1giB/ZVvNAnWCEZDSVEuTkFTREFRR1M6R1RIWC5JUV9UT1RBTF9SRVZfMllSX0FOTl9DQUdSLjIwMDAuNy8zMS8yMDE4LkxGUi5GLlVTRC5IAQAAAGU0aQgDAAAAAADWjBE4CAnWCCTCmm80CdYIJUNJUS5JUVRSMzAyODY2NjI3LklRX1BSSU1BUllfSU5EVVNUUlkBAAAA77aACAMAAAANQmlvdGVjaG5vbG9neQAMbRAONQnWCAw+hQ41CdYIKUNJUS5J</t>
  </si>
  <si>
    <t>UTM2MTgzODIyLklRX0xBU1RTQUxFUFJJQ0UuNy8xNi8yMDE4AQAAAA4fKAICAAAABDIuMzkADG0QDjUJ1ggMPoUONQnWCC9DSVEuLklRX0VBUk5JTkdfQ08uQ1kyMDE2LjcvMzEvMjAxOC5MRlIuRi5VU0QuSAUAAAABAAAACAAAABQoSW52YWxpZCBJZGVudGlmaWVyKfWEMkc0CdYI9YQyRzQJ1gg2Q0lRLk5BU0RBUUdTOkdUSFguSVFfRUJJVERBLjIwMDAuNy8zMS8yMDE4LkxGUi5GLlVTRC5IAQAAAGU0aQgCAAAABy02OS4yMDYBCAAAAAUAAAABMQEAAAAKMTg4NjM2NzY2NwMAAAADMTYwAgAAAAQ0MDUxBAAAAAEwBwAAAAk3LzMxLzIwMTgIAAAACTMvMzEvMjAxOAkAAAABMJwL1TgICdYIJMKabzQJ1gg/Q0lRLihJTlZBTElEIElERU5USUZJRVIpLklRX0VCSVREQS5DWTIwMTYuNy8zMS8yMDE4LkxGUi5GLlVTRC5IBQAAAAAAAAAIAAAAFChJbnZhbGlkIElkZW50aWZpZXIpyDCyNwgJ1gjtNrBvNAnWCCFDSVEuTkFTREFRR1M6U0dFTi5JUV9DT01QQU5ZX05BTUUBAAAAYYUAAAMAAAAWU2VhdHRsZSBHZW5ldGljcywgSW5jLgBGnRkRNQnWCGhgZxI1CdYIMENJUS5JUVRSNTUzNTQ4MDI1LklRX1RSX1RBUkdFVF9FQklUREFfRVNULi5VU0QuSAEAAAD5eP4gAgAAAAg5LjMyMDE3NQCys0lvNAnWCIH9lW80CdYIQ0NJUS5OQVNEQVFHTTpMUFRYLklRX01JTk9SSVRZX0lOVEVSRVNUX1RPVEFMLi43LzE2LzIw</t>
  </si>
  <si>
    <t>MTguTEZSLkYuVVNELkgBAAAADDYJBwMAAAAAACkclBA1CdYIMNddEjUJ1ghDQ0lRLk5BU0RBUUNNOk1URU0uSVFfRUJJVERBXzJZUl9BTk5fQ0FHUi4yMDAwLjcvMzEvMjAxOC5MRlIuRi5VU0QuSAEAAACZm6kBAwAAAAAAyDCyNwgJ1gjdS6RvNAnWCEdDSVEuTkFTREFRR006Q1JJUy5JUV9NSU5PUklUWV9JTlRFUkVTVF9UT1RBTC4yMDAwLjcvMzEvMjAxOC5MRlIuRi5VU0QuSAEAAAAXagAAAwAAAAAAyDCyNwgJ1gjdS6RvNAnWCDVDSVEuTkFTREFRR006QVJRTC5JUV9EQV9DRi4yMDAwLjcvMzEvMjAxOC5MRlIuRi5VU0QuSAEAAAD2YQAAAgAAAAUwLjA1NAEIAAAABQAAAAExAQAAAAoxODg4Nzg4NzcwAwAAAAMxNjACAAAABDIxNjAEAAAAATAHAAAACTcvMzEvMjAxOAgAAAAJMy8zMS8yMDE4CQAAAAEw1owROAgJ1gjDhp9vNAnWCDlDSVEuTkFTREFRR1M6TksuSVFfVE9UQUxfUkVWLkNZMjAxNy43LzMxLzIwMTguTEZSLkYuVVNELkgBAAAADX2hDwIAAAAFMC4wNDUBCAAAAAUAAAABMQEAAAAKMTg3ODAxMjU5NwMAAAADMTYwAgAAAAIyOAQAAAABMAcAAAAJNy8zMS8yMDE4CAAAAAoxMi8zMS8yMDE3CQAAAAEw1owROAgJ1gjDhp9vNAnWCCVDSVEuSVFUUjU0NzQyMzY4MC5JUV9UUl9JTVBMSUVEX0VRX0JWAQAAAMAFoSACAAAACTIwLjgwNTI1NgEGAAAABQAAAAI1NAEAAAAGMTAyMDk3AgAAAAk1NDc0</t>
  </si>
  <si>
    <t>MjM2ODADAAAACTU0NzQzMzA2NQQAAAADMTYwBgAAAAVGYWxzZQxtEA41CdYIwNuCDjUJ1ggdQ0lRLk5BU0RBUUdTOkFEWFMuSVFfRVhDSEFOR0UBAAAAnux4AAMAAAAITmFzZGFxR1MAKRyUEDUJ1gjkdFsSNQnWCCNDSVEuSVFUUjMyMTg2NTI5Ny5JUV9UUl9DTE9TRURfREFURQEAAABRRi8TBQAAAAkxLzExLzIwMTYAWM8SDjUJ1ggMPoUONQnWCCdDSVEuTkFTREFRR1M6S1VSQS5JUV9CRVRBXzFZUi43LzMxLzIwMTgBAAAAuMvaEAIAAAAQMS42NjYzMzgzOTM3NTE0OADWjBE4CAnWCHMknW80CdYIPUNJUS5OQVNEQVFHTTpBUlFMLklRX1JFVkVOVUVfRVNULkNZMjAyMC43LzMxLzIwMTguQ09OLkYuVVNELkgBAAAA9mEAAAIAAAACMTQBDgAAAAUAAAACMTEBAAAAATACAAAACjEwMDIzODE3NTYDAAAABjEwMDE4MAQAAAABMgYAAAABMAcAAAADMTYwCAAAAAEwCQAAAAExCgAAAAEwCwAAAAsxMDk0NjYyMjQ3MgwAAAABNw0AAAAIOC8xLzIwMTgQAAAACTcvMzEvMjAxONaMETgICdYIcySdbzQJ1ggsQ0lRLklRVFI1MzM2Mzk1MDEuSVFfVFJfVEFSR0VUX0VCSVREQS4uVVNELkgBAAAATbHOHwIAAAAHLTIzLjQ3OAEGAAAABQAAAAIzNwEAAAAKMTg1Mzk0NzkxNgIAAAAFMjE2NzcDAAAAAzE2MAQAAAABMAcAAAAIMS8xLzE5MDAMbRAONQnWCMDbgg41CdYIO0NJUS5OQVNEQVFHUzpGUFJYLklRX0VCSVRfTUFS</t>
  </si>
  <si>
    <t>R0lOLjIwMDAuNy8zMS8yMDE4LkxGUi5GLlVTRC5IAQAAADddMwACAAAACS0yMjQuNDM3OAEIAAAABQAAAAExAQAAAAoxODg3NDAyMjI3AwAAAAMxNjACAAAABDQwNTMEAAAAATAHAAAACTcvMzEvMjAxOAgAAAAJMy8zMS8yMDE4CQAAAAEw1owROAgJ1ggZ6aFvNAnWCCJDSVEuTkFTREFRR1M6TksuSVFfRUZGRUNUX1RBWF9SQVRFAQAAAA19oQ8DAAAAAk5NAQgAAAAFAAAAATEBAAAACjE4OTg4NDY1MjEDAAAAAzE2MAIAAAAENDM3NgQAAAABMAcAAAAJOC8yMy8yMDE4CAAAAAk2LzMwLzIwMTgJAAAAATDWjBE4CAnWCANAv4s0CdYIM0NJUS5YVFJBOk1PUi5JUV9FQklUREEuQ1kyMDE2LjcvMzEvMjAxOC5MRlIuRi5VU0QuSAEAAADfEQIAAgAAAAotNDkuNTA2NjM5AQgAAAAFAAAAATEBAAAACjE4NzgzMjMxNTQDAAAAAzE2MAIAAAAENDA1MQQAAAABMAcAAAAJNy8zMS8yMDE4CAAAAAoxMi8zMS8yMDE2CQAAAAEwnAvVOAgJ1gjUX5hvNAnWCDtDSVEuTkFTREFRQ006TVRFTS5JUV9UT1RBTF9SRVYuQ1kyMDE2LjcvMzEvMjAxOC5MRlIuRi5VU0QuSAEAAACZm6kBAgAAAAQxLjg4AQgAAAAFAAAAATEBAAAACjE4ODExMTg3NDQDAAAAAzE2MAIAAAACMjgEAAAAATAHAAAACTcvMzEvMjAxOAgAAAAKMTIvMzEvMjAxNgkAAAABMMgwsjcICdYIGemhbzQJ1ggjQ0lRLklRVFI0MDg0MDc4MjIuSVFfVFJfVE9UQUxf</t>
  </si>
  <si>
    <t>U1RPQ0sBAAAADs9XGAIAAAAAALKzSW80CdYIgf2VbzQJ1gg9Q0lRLk5BU0RBUUdNOk5MTksuSVFfUkVWRU5VRV9FU1QuQ1kyMDIwLjcvMTYvMjAxOC5DT04uRi5VU0QuSAEAAACVe4wAAgAAAAYxNC44NzUBDgAAAAUAAAACMTEBAAAAATACAAAACjEwMDE0MjU0NTYDAAAABjEwMDE4MAQAAAABMgYAAAABMAcAAAADMTYwCAAAAAEwCQAAAAExCgAAAAEwCwAAAAsxMTAwODI4NTgxMgwAAAABNw0AAAAJNy8xNy8yMDE4EAAAAAk3LzE2LzIwMTgpHJQQNQnWCOR0WxI1CdYIQ0NJUS4oSU5WQUxJRCBJREVOVElGSUVSKS5JUV9FQVJOSU5HX0NPLkNZMjAxNy43LzMxLzIwMTguTEZSLkYuVVNELkgFAAAAAAAAAAgAAAAUKEludmFsaWQgSWRlbnRpZmllcinIMLI3CAnWCO02sG80CdYIK0NJUS5JUVRSNDMxODQxNTgxLklRX1RSX0lNUExJRURfRVZfRUJJVF9GV0QBAAAALWG9GQIAAAAAAAxtEA41CdYIDD6FDjUJ1ggyQ0lRLkFTWDpJTVUuSVFfRUJJVERBLkNZMjAxNi43LzE2LzIwMTguTEZSLkYuVVNELkgBAAAAmJOpAAIAAAAJLTIuMjUwNTEzAQgAAAAFAAAAATEBAAAACjE4NzczMDU4NzMDAAAAAzE2MAIAAAAENDA1MQQAAAABMAcAAAAJNy8xNi8yMDE4CAAAAAoxMi8zMS8yMDE2CQAAAAEwKRyUEDUJ1ggw110SNQnWCDxDSVEuTkFTREFRR1M6QkdORS5JUV9FQklUREFfRVNULkNZMjAxOC43LzMxLzIwMTguQ09O</t>
  </si>
  <si>
    <t>LkYuVVNELkgBAAAA4OTdBgIAAAAKLTM1Mi41MDcyNwEOAAAABQAAAAIxMQEAAAABMAIAAAAKMTAwMzMyNjI2MwMAAAAGMTAwMTg3BAAAAAEyBgAAAAEwBwAAAAMxNjAIAAAAATAJAAAAATEKAAAAATALAAAACzEwOTg2NjY0OTQzDAAAAAE3DQAAAAg4LzEvMjAxOBAAAAAJNy8zMS8yMDE4nAvVOAgJ1giB/ZVvNAnWCDVDSVEuTkFTREFRR1M6RlBSWC5JUV9DQVBFWC4xOTk2LjcvMzEvMjAxOC5MRlIuRi5VU0QuSAEAAAA3XTMAAgAAAAYtMy45NjIBCAAAAAUAAAABMQEAAAAKMTg4NzQwMjIyNAMAAAADMTYwAgAAAAQyMDIxBAAAAAEwBwAAAAk3LzMxLzIwMTgIAAAACTMvMzEvMjAxNwkAAAABMNaMETgICdYIGemhbzQJ1ggoQ0lRLk5BU0RBUUdTOk1SU04uSVFfVEVWLjcvMzEvMjAxOC5VU0QuSAEAAADmxRgAAgAAAAoxNjIuMjgyODY1AQYAAAAFAAAAATEBAAAACjE4ODkwOTQxMDADAAAAAzE2MAIAAAAGMTAwMDYwBAAAAAEwBwAAAAk3LzMxLzIwMTjWjBE4CAnWCMOGn280CdYIOkNJUS5OQVNEQVFDTTpTUk5FLklRX0VBUk5JTkdfQ08uMTk5Mi43LzMxLzIwMTguTEZSLkYuVVNELkgBAAAASUOUAwIAAAAHLTU2LjkyMwEIAAAABQAAAAExAQAAAAoxODQyMjUxMTIzAwAAAAMxNjACAAAAATcEAAAAATAHAAAACTcvMzEvMjAxOAgAAAAJMy8zMS8yMDE2CQAAAAEw1owROAgJ1ghzJJ1vNAnWCDFDSVEuSVFUUjQz</t>
  </si>
  <si>
    <t>MTg0MTU4MS5JUV9UUl9UQVJHRVRfUkVWRU5VRV9FU1QuLlVTRC5IAQAAAC1hvRkCAAAAAAAMbRAONQnWCAw+hQ41CdYIK0NJUS5JUVRSNDA5OTUxODg2LklRX1RSX1RPVEFMX0dST1NTX1RWLi5VU0QBAAAAjl5vGAIAAAACMzUBBgAAAAUAAAACNTQBAAAABjEwMjA4OAIAAAAJNDA5OTUxODg2AwAAAAk0MDk5NTE5MzYEAAAAAzE2MAYAAAAFRmFsc2UMbRAONQnWCMDbgg41CdYIP0NJUS5OQVNEQVFHUzpUU1JPLklRX0VCSVREQV81WVJfQU5OX0NBR1IuLjcvMTYvMjAxOC5MRlIuRi5VU0QuSAEAAABo1lgGAwAAAAJOTQEIAAAABQAAAAExAQAAAAoxODg2MzM3NDY2AwAAAAMxNjACAAAABDQyMzUEAAAAATAHAAAACTcvMTYvMjAxOAgAAAAJMy8zMS8yMDE4CQAAAAEwxP8bETUJ1ggS/mQSNQnWCD1DSVEuKElOVkFMSUQgSURFTlRJRklFUikuSVFfRUFSTklOR19DTy4uNy8xNi8yMDE4LkxGUi5GLlVTRC5IBQAAAAAAAAAIAAAAFChJbnZhbGlkIElkZW50aWZpZXIp3qd+EDUJ1giYElkSNQnWCC5DSVEuSVFUUjU2MTYwNjM2NS5JUV9UUl9UQVJHRVRfU1RPQ0tQUkVNSVVNXzFXAQAAAN1ueSECAAAAAACys0lvNAnWCDWbk280CdYIIUNJUS5OQVNEQVFHTTpGQVRFLklRX0NPTVBBTllfTkFNRQEAAABoMVcCAwAAABdGYXRlIFRoZXJhcGV1dGljcywgSW5jLgDWjBE4CAnWCHsd7IE0CdYIR0NJUS5OQVNEQVFHUzpN</t>
  </si>
  <si>
    <t>UlNOLklRX01JTk9SSVRZX0lOVEVSRVNUX1RPVEFMLjIwMDAuNy8zMS8yMDE4LkxGUi5GLlVTRC5IAQAAAObFGAADAAAAAADWjBE4CAnWCMOGn280CdYIMENJUS5OQVNEQVFHUzpCR05FLklRX1RPVEFMX1JFVi4yMDAwLi5MRlIuRi5VU0QuSAEAAADg5N0GAgAAAAczNDAuMDQyAQgAAAAFAAAAATEBAAAACjE4OTk5MDA2MzEDAAAAAzE2MAIAAAACMjgEAAAAATAHAAAACTgvMjMvMjAxOAgAAAAJNi8zMC8yMDE4CQAAAAEwnAvVOAgJ1gicC9U4CAnWCDVDSVEuTkFTREFRR006QVJRTC5JUV9DQVBFWC4xOTkyLjcvMzEvMjAxOC5MRlIuRi5VU0QuSAEAAAD2YQAAAgAAAAYtMC4yNjMBCAAAAAUAAAABMQEAAAAKMTg0MTk5MjU2OQMAAAADMTYwAgAAAAQyMDIxBAAAAAEwBwAAAAk3LzMxLzIwMTgIAAAACTMvMzEvMjAxNgkAAAABMNaMETgICdYIcySdbzQJ1gg3Q0lRLk5BU0RBUUdTOkJHTkUuSVFfRUJJVF9NQVJHSU4uLjcvMTYvMjAxOC5MRlIuRi5VU0QuSAEAAADg5N0GAgAAAAgtNTguMjE1NQEIAAAABQAAAAExAQAAAAoxODg3Njg4NTg4AwAAAAMxNjACAAAABDQwNTMEAAAAATAHAAAACTcvMTYvMjAxOAgAAAAJMy8zMS8yMDE4CQAAAAEwxP8bETUJ1ghoYGcSNQnWCDlDSVEuRU5YVFBBOklQSC5JUV9FQklUREFfRVNULkNZMjAyMC43LzE2LzIwMTguQ09OLkYuVVNELkgBAAAAmYAGAAIAAAARLTE3Ljc2ODc5</t>
  </si>
  <si>
    <t>NzU3MDI4MzQBDgAAAAUAAAACMTEBAAAAATACAAAACjEwMDE2NDMzOTMDAAAABjEwMDE4NwQAAAABMwYAAAABMAcAAAADMTYwCAAAAAEwCQAAAAExCgAAAAEwCwAAAAsxMDk1Mzg0MjMxMQwAAAABNw0AAAAJNy8xNy8yMDE4EAAAAAk3LzE2LzIwMTgpHJQQNQnWCHM5YBI1CdYIKkNJUS5BU1g6SU1VLklRX0xBU1RTQUxFUFJJQ0UuNy8xNi8yMDE4LlVTRAEAAACYk6kAAgAAAAgwLjAxOTI4MgApHJQQNQnWCDDXXRI1CdYIHENJUS5YVFJBOk1PUi5JUV9DT01QQU5ZX05BTUUBAAAA3xECAAMAAAAMTW9ycGhvU3lzIEFHAJwL1TgICdYI1F+YbzQJ1gg+Q0lRLk5BU0RBUUdTOkFUTlguSVFfVE9UQUxfRVFVSVRZLkNZMjAxNy43LzMxLzIwMTguTEZSLkYuVVNELkgBAAAA3JlrAQIAAAAGOTAuNzIyAQgAAAAFAAAAATEBAAAACjE4Nzk5MDc2MzUDAAAAAzE2MAIAAAAEMTI3NQQAAAABMAcAAAAJNy8zMS8yMDE4CAAAAAoxMi8zMS8yMDE3CQAAAAEw1owROAgJ1ggkwppvNAnWCC5DSVEuTkFTREFRQ006Q0tQVC5JUV9NQVJLRVRDQVAuNy8xNi8yMDE4LlVTRC5IAQAAALhRFhECAAAACTgyLjU5ODkyNwEGAAAABQAAAAExAQAAAAoxODg4MDA3MTg3AwAAAAMxNjACAAAABjEwMDA1NAQAAAABMAcAAAAJNy8xNi8yMDE4KRyUEDUJ1ggw110SNQnWCC9DSVEuSVFUUjQwOTk1MTg4Ni5JUV9UUl9JTVBMSUVEX0VWX0ZJTkFM</t>
  </si>
  <si>
    <t>Li5VU0QuSAEAAACOXm8YAgAAAAkzMS42NzM4NzIBBgAAAAUAAAACNTQBAAAABjEwMjA0NQIAAAAJNDA5OTUxODg2AwAAAAk0MDk5NTE5MzYEAAAAAzE2MAYAAAAFRmFsc2UMbRAONQnWCMDbgg41CdYIL0NJUS5JUVRSNDExODcxMDgyLklRX1RSX1RBUkdFVF9UT1RBTF9SRVYuLlVTRC5IAQAAAGqnjBgCAAAAAACys0lvNAnWCDWbk280CdYIJ0NJUS5OQVNEQVFHUzpUU1JPLklRX1BFUklPRERBVEVfSVMuMTAwMAEAAABo1lgGBQAAAAoxMi8zMS8yMDE3AJwL1TgICdYIJMKabzQJ1ggfQ0lRLk5BU0RBUUdTOk9CU1YuSVFfTUFSS0VUQ0FQLgEAAABWh58OAgAAAAo1MjcuMzMwMTQ4AQYAAAAFAAAAATEBAAAACjE5MDAwMTg2NDQDAAAAAzE2MAIAAAAGMTAwMDU0BAAAAAEwBwAAAAk4LzIyLzIwMThJU0dvNAnWCPsK2YE0CdYII0NJUS5JUVRSNDAzNzkxNzY3LklRX1RSX1RPVEFMX1NUT0NLAQAAAJdfERgCAAAAAABYzxIONQnWCMDbgg41CdYIQ0NJUS5OQVNEQVFHUzpGUFJYLklRX0VCSVREQV8zWVJfQU5OX0NBR1IuMjAwMC43LzMxLzIwMTguTEZSLkYuVVNELkgBAAAAN10zAAMAAAACTk0BCAAAAAUAAAABMQEAAAAKMTg4NzQwMjIyNwMAAAADMTYwAgAAAAQ0MjIyBAAAAAEwBwAAAAk3LzMxLzIwMTgIAAAACTMvMzEvMjAxOAkAAAABMMgwsjcICdYIGemhbzQJ1ggjQ0lRLklRVFIyNTM5NTQ0NzMuSVFfVFJf</t>
  </si>
  <si>
    <t>VE9UQUxfU1RPQ0sBAAAAqQkjDwIAAAAAALKzSW80CdYINZuTbzQJ1gg9Q0lRLk5BU0RBUUNNOlNSTkUuSVFfUkVWRU5VRV9FU1QuQ1kyMDIxLjcvMzEvMjAxOC5DT04uRi5VU0QuSAEAAABJQ5QDAgAAAAgyMzAuMjMzNQEOAAAABQAAAAIxMQEAAAABMAIAAAAKMTAwMjQ4MTkzNAMAAAAGMTAwMTgwBAAAAAEyBgAAAAEwBwAAAAMxNjAIAAAAATAJAAAAATEKAAAAATALAAAACzEwOTQ1NjMxMjUyDAAAAAE3DQAAAAg4LzEvMjAxOBAAAAAJNy8zMS8yMDE41owROAgJ1ghzJJ1vNAnWCEBDSVEuT1RDUEs6TldCTy5JUV9NSU5PUklUWV9JTlRFUkVTVF9UT1RBTC4uOS8xNS8yMDE3LkxGUi5GLlVTRC5IAQAAAKN6FAADAAAAAAApHJQQNQnWCDDXXRI1CdYIJ0NJUS5OQVNEQVFHUzpBVE5YLklRX1BFUklPRERBVEVfSVMuMTAwMAEAAADcmWsBBQAAAAoxMi8zMS8yMDE3ANaMETgICdYIJMKabzQJ1ggjQ0lRLklRVFI0MDc3NjA2OTIuSVFfVFJfQ0xPU0VEX0RBVEUBAAAANO9NGAUAAAAKMTIvMjAvMjAxNgAMbRAONQnWCAw+hQ41CdYIPENJUS5OQVNEQVFHUzpUU1JPLklRX0VBUk5JTkdfQ08uQ1kyMDE2LjcvMTYvMjAxOC5MRlIuRi5VU0QuSAEAAABo1lgGAgAAAAgtMzc0LjIyNAEIAAAABQAAAAExAQAAAAoxODc3MjI2Mjg0AwAAAAMxNjACAAAAATcEAAAAATAHAAAACTcvMTYvMjAxOAgAAAAKMTIvMzEvMjAxNgkA</t>
  </si>
  <si>
    <t>AAABMMT/GxE1CdYIEv5kEjUJ1ggvQ0lRLklRVFI0MDgyOTEzOTUuSVFfVFJfSU1QTElFRF9FVl9GSU5BTC4uVVNELkgBAAAAQwhWGAIAAAAKNDI1Ljg3ODY1MwEGAAAABQAAAAI1NAEAAAAGMTAyMDQ1AgAAAAk0MDgyOTEzOTUDAAAACTQwODMwNDAxMwQAAAADMTYwBgAAAAVGYWxzZVjPEg41CdYIwNuCDjUJ1ghCQ0lRLk5BU0RBUUdTOkFOQUIuSVFfVE9UQUxfUkVWXzJZUl9BTk5fQ0FHUi4uNy8xNi8yMDE4LkxGUi5GLlVTRC5IAQAAACFMsgECAAAACC0yNi4xNTg1AQgAAAAFAAAAATEBAAAACjE4ODc0MDAwNDMDAAAAAzE2MAIAAAAENDIwNwQAAAABMAcAAAAJNy8xNi8yMDE4CAAAAAkzLzMxLzIwMTgJAAAAATDE/xsRNQnWCMKbYhI1CdYISUNJUS4oSU5WQUxJRCBJREVOVElGSUVSKS5JUV9UT1RBTF9SRVZfMllSX0FOTl9DQUdSLi43LzE2LzIwMTguTEZSLkYuVVNELkgFAAAAAAAAAAgAAAAUKEludmFsaWQgSWRlbnRpZmllcinep34QNQnWCJgSWRI1CdYIMUNJUS5JUVRSNDIyODg3NzAxLklRX1RSX1RBUkdFVF9SRVZFTlVFX0VTVC4uVVNELkgBAAAAFcE0GQIAAAAAAAxtEA41CdYIwNuCDjUJ1gg+Q0lRLk5BU0RBUUdTOkZQUlguSVFfVE9UQUxfRVFVSVRZLkNZMjAxNy43LzE2LzIwMTguTEZSLkYuVVNELkgBAAAAN10zAAIAAAAHMjY1LjIwMgEIAAAABQAAAAExAQAAAAoxODc2MTM1OTkxAwAAAAMx</t>
  </si>
  <si>
    <t>NjACAAAABDEyNzUEAAAAATAHAAAACTcvMTYvMjAxOAgAAAAKMTIvMzEvMjAxNwkAAAABMCkclBA1CdYIczlgEjUJ1ggoQ0lRLk5BU0RBUUdTOkNBTEEuSVFfVEVWLjcvMTYvMjAxOC5VU0QuSAEAAAClJ4EGAgAAAAkxNy41MDYwMjQBBgAAAAUAAAABMQEAAAAKMTg4Nzk3OTcwNwMAAAADMTYwAgAAAAYxMDAwNjAEAAAAATAHAAAACTcvMTYvMjAxOCkclBA1CdYI5HRbEjUJ1ggwQ0lRLi5JUV9FQklUREFfTUFSR0lOLjIwMDAuNy8zMS8yMDE4LkxGUi5GLlVTRC5IBQAAAAEAAAAIAAAAFChJbnZhbGlkIElkZW50aWZpZXIp9YQyRzQJ1gj1hDJHNAnWCDhDSVEuTkFTREFRR1M6QU5BQi5JUV9HUk9TU19NQVJHSU4uLjcvMTYvMjAxOC5MRlIuRi5VU0QuSAEAAAAhTLIBAgAAAActMjMzLjE4AQgAAAAFAAAAATEBAAAACjE4ODc0MDAwNDMDAAAAAzE2MAIAAAAENDA3NAQAAAABMAcAAAAJNy8xNi8yMDE4CAAAAAkzLzMxLzIwMTgJAAAAATDE/xsRNQnWCMKbYhI1CdYIOUNJUS5PVENQSzpOV0JPLklRX0VBUk5JTkdfQ08uQ1kyMDE2LjcvMTYvMjAxOC5MRlIuRi5VU0QuSAEAAACjehQAAgAAAActODAuMjE0AQgAAAAFAAAAATEBAAAACjE4ODMyNDkwNjUDAAAAAzE2MAIAAAABNwQAAAABMAcAAAAJNy8xNi8yMDE4CAAAAAoxMi8zMS8yMDE2CQAAAAEwKRyUEDUJ1ggw110SNQnWCChDSVEuTkFTREFRR006Q1JJUy5J</t>
  </si>
  <si>
    <t>UV9URVYuNy8zMS8yMDE4LlVTRC5IAQAAABdqAAACAAAACTQzLjMwMzIzOQEGAAAABQAAAAExAQAAAAoxODg2MjQ2NzQ5AwAAAAMxNjACAAAABjEwMDA2MAQAAAABMAcAAAAJNy8zMS8yMDE4yDCyNwgJ1gjdS6RvNAnWCCpDSVEuSVFUUjMwNzg2Mzk4NC5JUV9UUl9UQVJHRVRfRUJJVC4uVVNELkgBAAAAsKFZEgIAAAAAAFjPEg41CdYIwNuCDjUJ1gglQ0lRLklRVFI1NTExNjYyOTIuSVFfVFJfTUFKX01JTl9TVEFLRQEAAABUIdogAwAAAAhNYWpvcml0eQAMbRAONQnWCMDbgg41CdYIOkNJUS5OQVNEQVFHUzpNUlNOLklRX1RPVEFMX0RFQlQuMjAwMC43LzMxLzIwMTguTEZSLkYuVVNELkgBAAAA5sUYAAIAAAABMAEIAAAABQAAAAExAQAAAAoxODg5MDk2NjUzAwAAAAMxNjACAAAABDQxNzMEAAAAATAHAAAACTcvMzEvMjAxOAgAAAAJMy8zMS8yMDE4CQAAAAEw1owROAgJ1gjDhp9vNAnWCCdDSVEuTkFTREFRR1M6VFNSTy5JUV9CRVRBXzFZUi43LzMxLzIwMTgBAAAAaNZYBgIAAAAQMS4wMDk1MjY3NzQ5MDE3OQCcC9U4CAnWCCTCmm80CdYINUNJUS5OQVNEQVFHUzpDVE1YLklRX05JX01BUkdJTi4uNy8xNi8yMDE4LkxGUi5GLlVTRC5IAQAAANw4mwMCAAAABy02Ny44NzkBCAAAAAUAAAABMQEAAAAKMTg4NzY3NTMxNgMAAAADMTYwAgAAAAQ0MDk0BAAAAAEwBwAAAAk3LzE2LzIwMTgIAAAACTMvMzEvMjAx</t>
  </si>
  <si>
    <t>OAkAAAABMMT/GxE1CdYIwptiEjUJ1gg3Q0lRLk9UQ1BLOk5XQk8uSVFfQ0FTSF9TVF9JTlZFU1QuLjcvMTYvMjAxOC5MRlIuRi5VU0QuSAEAAACjehQAAgAAAAUwLjE5OAEIAAAABQAAAAExAQAAAAoxODg5MzAyODI0AwAAAAMxNjACAAAABDEwMDIEAAAAATAHAAAACTcvMTYvMjAxOAgAAAAJMy8zMS8yMDE4CQAAAAEwKRyUEDUJ1ghzOWASNQnWCDpDSVEuTkFTREFRR1M6TksuSVFfRUJJVERBX0VTVC5DWTIwMjAuNy8zMS8yMDE4LkNPTi5GLlVTRC5IAQAAAA19oQ8DAAAAAADWjBE4CAnWCMOGn280CdYIKUNJUS5JUVRSNTUwMjU5Mzk3LklRX0JVU0lORVNTX0RFU0NSSVBUSU9OAQAAAE4KDA8DAAAAyw9KdW5vIFRoZXJhcGV1dGljcywgSW5jLiBkZXZlbG9wcyBjZWxsLWJhc2VkIGNhbmNlciBpbW11bm90aGVyYXBpZXMgYmFzZWQgb24gaXRzIGNoaW1lcmljIGFudGlnZW4gcmVjZXB0b3IgYW5kIFQgY2VsbCByZWNlcHRvciB0ZWNobm9sb2dpZXMgdG8gZ2VuZXRpY2FsbHkgZW5naW5lZXIgVCBjZWxscyB0byByZWNvZ25pemUgYW5kIGtpbGwgY2FuY2VyIGNlbGxzLiBJdHMgQ0QxOSBwcm9kdWN0IGNhbmRpZGF0ZXMgaW5jbHVkZSBKQ0FSMDE3IHRoYXQgaXMgaW4gUGhhc2UgSS9JSSB0cmlhbHMgZm9yIGFkdWx0cyB3aXRoIHJlbGFwc2VkIG9yIHJlZnJhY3RvcnkgKHIvcikgQiBjZWxsIGFnZ3Jlc3Np</t>
  </si>
  <si>
    <t>dmUgbm9uLUhvZGdraW4gbHltcGhvbWEgKE5ITCkgYW5kIHBlZGlhdHJpYyBwYXRpZW50cyB3aXRoIHIvciBCIGNlbGwgYWN1dGUgbHltcGhvYmxhc3RpYyBsZXVrZW1pYSAoQUxMKTsgYW5kIEpDQVIwMTQsIHdoaWNoIGlzIGluIFBoYXNlIEkvSUkgdHJpYWxzIHRvIHRyZWF0IEIgY2VsbCBtYWxpZ25hbmNpZXMgaW4gcGF0aWVudHMgcmVsYXBzZWQgb3IgcmVmcmFjdG9yeSB0byBzdGFuZGFyZCB0aGVyYXBpZXMuIFRoZSBjb21wYW554oCZcyBDRDIyIHByb2R1Y3QgY2FuZGlkYXRlIGNvbXByaXNlIEpDQVIwMTggdGhhdCBpcyBpbiBQaGFzZSBJIHRyaWFsIGZvciBwZWRpYXRyaWMgYW5kIHlvdW5nIGFkdWx0IHBhdGllbnRzIHdpdGggQ0QyMi1wb3NpdGl2ZSByL3IgQUxMIG9yIHIvciBOSEwuIEl0cyBhZGRpdGlvbmFsIHByb2R1Y3QgY2FuZGlkYXRlcyBpbmNsdWRlIENEMTcxLCBhIGNlbGwtc3VyZmFjZSBhZGhlc2lvbiBtb2xlY3VsZSBmb3IgbmV1cm9ibGFzdG9tYTsgTGV3aXMgWSBmb3IgdGhlIHRyZWF0bWVudCBvZiBsdW5nIGNhbmNlcjsgSkNBUjAyMywgd2hpY2ggaXMgaW4gUGhhc2UgSSB0cmlhbCBmb3IgcmVmcmFjdG9yeSBvciByZWN1cnJlbnQgcGVkaWF0cmljIG5ldXJvYmxhc3RvbWE7IE1VQy0xNiBwcm90ZWluIGZvciBvdmFyaWFuIGNhbmNlcnM7IGFuZCBJTC0xMiwgYSBjeXRva2lu</t>
  </si>
  <si>
    <t>ZSB0byBvdmVyY29tZSB0aGUgaW5oaWJpdG9yeSBlZmZlY3RzLiBUaGUgY29tcGFueeKAmXMgYWRkaXRpb25hbCBwcm9kdWN0IGNhbmRpZGF0ZXMgYWxzbyBjb21wcmlzZSBST1ItMSBwcm90ZWluIGZvciBub24tc21hbGwgY2VsbCBsdW5nLCB0cmlwbGUgbmVnYXRpdmUgYnJlYXN0LCBwYW5jcmVhdGljLCBhbmQgcHJvc3RhdGUgY2FuY2VyczsgV1QtMSwgYW4gaW50cmFjZWxsdWxhciBwcm90ZWluIHRoYXQgaXMgaW4gUGhhc2UgSS9JSSBjbGluaWNhbCB0cmlhbHM7IEhQViBlNi9lNyBmb3IgY2FuY2VyczsgYW5kIElMMTNyYTIgZm9yIGdsaW9ibGFzdG9tYS4gSnVubyBUaGVyYXBldXRpY3MsIEluYy4gaGFzIGNvbGxhYm9yYXRpb24gYWdyZWVtZW50cyB3aXRoIENlbGdlbmUgQ29ycG9yYXRpb24sIEZyZWQgSHV0Y2hpbnNvbiBDYW5jZXIgUmVzZWFyY2ggQ2VudGVyLCBNZW1vcmlhbCBTbG9hbiBLZXR0ZXJpbmcgQ2FuY2VyIENlbnRlciwgU3QuIEp1ZGUgQ2hpbGRyZW7igJlzIFJlc2VhcmNoIEhvc3BpdGFsL05vdmFydGlzLCBTZWF0dGxlIENoaWxkcmVu4oCZcyBSZXNlYXJjaCBJbnN0aXR1dGUsIE9wdXMgQmlvLCBJbmMuLCBGYXRlIFRoZXJhcGV1dGljcywgSW5jLiwgRWRpdGFzIE1lZGljaW5lLCBJbmMuLCBhbmQgSlcgKENheW1hbikgVGhlcmFwZXV0aWNzIENvLiwgTHRkLiBUaGUgY29tcGFu</t>
  </si>
  <si>
    <t>eSB3YXMgZm9ybWVybHkga25vd24gYXMgRkMgVGhlcmFwZXV0aWNzLCBJbmMuIGFuZCBjaGFuZ2VkIGl0cyBuYW1lIHRvIEp1bm8gVGhlcmFwZXV0aWNzLCBJbmMuIGluIE9jdG9iZXIgMjAxMy4gSnVubyBUaGVyYXBldXRpY3MsIEluYy4gd2FzIGZvdW5kZWQgaW4gMjAxMyBhbmQgaXMgaGVhZHF1YXJ0ZXJlZCBpbiBTZWF0dGxlLCBXYXNoaW5ndG9uLiBBcyBvZiBNYXJjaCA2LCAyMDE4LCBKdW5vIFRoZXJhcGV1dGljcywgSW5jLiBvcGVyYXRlcyBhcyBhIHN1YnNpZGlhcnkgb2YgQ2VsZ2VuZSBDb3Jwb3JhdGlvbi4ADG0QDjUJ1gh3eYAONQnWCDdDSVEuTkFTREFRR1M6RlBSWC5JUV9QUkVGX0VRVUlUWS4uNy8xNi8yMDE4LkxGUi5GLlVTRC5IAQAAADddMwADAAAAAAApHJQQNQnWCHM5YBI1CdYIOkNJUS5OQVNEQVFHUzpFUFpNLklRX0VBUk5JTkdfQ08uMTk5Ni43LzMxLzIwMTguTEZSLkYuVVNELkgBAAAAAyY9AwIAAAAILTExOS44NTUBCAAAAAUAAAABMQEAAAAKMTg4NzI0NjA0OQMAAAADMTYwAgAAAAE3BAAAAAEwBwAAAAk3LzMxLzIwMTgIAAAACTMvMzEvMjAxNwkAAAABMNaMETgICdYIcySdbzQJ1gg6Q0lRLk9UQ1BLOk1CVlguSVFfUkVWRU5VRV9FU1QuQ1kyMDIwLjcvMTYvMjAxOC5DT04uRi5VU0QuSAEAAADYRIsCAwAAAAAA3qd+EDUJ1giYElkSNQnWCDlDSVEuTkFTREFRR1M6RlBSWC5J</t>
  </si>
  <si>
    <t>UV9UT1RBTF9ERUJULjIwMDAuNS81LzIwMTcuTEZSLkYuVVNELkgBAAAAN10zAAIAAAABMAEIAAAABQAAAAExAQAAAAoxODQwNTY1ODM2AwAAAAMxNjACAAAABDQxNzMEAAAAATAHAAAACDUvNS8yMDE3CAAAAAkzLzMxLzIwMTcJAAAAATDIMLI3CAnWCBnpoW80CdYIOENJUS5OQVNEQVFHUzpTR0VOLklRX0dST1NTX01BUkdJTi4uNy8xNi8yMDE4LkxGUi5GLlVTRC5IAQAAAGGFAAACAAAABy02Ljg3MTcBCAAAAAUAAAABMQEAAAAKMTg4NDg5Mjg1MgMAAAADMTYwAgAAAAQ0MDc0BAAAAAEwBwAAAAk3LzE2LzIwMTgIAAAACTMvMzEvMjAxOAkAAAABMMT/GxE1CdYIaGBnEjUJ1gg8Q0lRLk5BU0RBUUdTOkdUSFguSVFfRUFSTklOR19DTy5DWTIwMTcuNy8zMS8yMDE4LkxGUi5GLlVTRC5IAQAAAGU0aQgCAAAABy02MC4xMjEBCAAAAAUAAAABMQEAAAAKMTg3NTMyNzMwNgMAAAADMTYwAgAAAAE3BAAAAAEwBwAAAAk3LzMxLzIwMTgIAAAACjEyLzMxLzIwMTcJAAAAATDWjBE4CAnWCCTCmm80CdYIJUNJUS5JUVRSNDA4NDA3ODIyLklRX1BSSU1BUllfSU5EVVNUUlkBAAAA4M5XGAMAAAANQmlvdGVjaG5vbG9neQCys0lvNAnWCIH9lW80CdYILENJUS5JUVRSNDA5OTUxODg2LklRX1RSX1RBUkdFVF9FQklUREEuLlVTRC5IAQAAAI5ebxgCAAAAAAAMbRAONQnWCMDbgg41CdYIO0NJUS5PVENQSzpNQlZYLklRX1RP</t>
  </si>
  <si>
    <t>VEFMX0VRVUlUWS5DWTIwMTcuNy8xNi8yMDE4LkxGUi5GLlVTRC5IAQAAANhEiwICAAAABzEuMTMwNDQBCAAAAAUAAAABMQEAAAAKMTg4MTIxMzI0NQMAAAADMTYwAgAAAAQxMjc1BAAAAAEwBwAAAAk3LzE2LzIwMTgIAAAACjEyLzMxLzIwMTcJAAAAATDep34QNQnWCJgSWRI1CdYIO0NJUS5OQVNEQVFHUzpOSy5JUV9SRVZFTlVFX0VTVC5DWTIwMjEuNy8zMS8yMDE4LkNPTi5GLlVTRC5IAQAAAA19oQ8CAAAABDQwLjYBDgAAAAUAAAACMTEBAAAAATACAAAACjEwMDMxNjQ4MTYDAAAABjEwMDE4MAQAAAABMgYAAAABMAcAAAADMTYwCAAAAAEwCQAAAAExCgAAAAEwCwAAAAsxMDc4NzkwNzU0MwwAAAABNw0AAAAIOC8xLzIwMTgQAAAACTcvMzEvMjAxONaMETgICdYIw4afbzQJ1gghQ0lRLi5JUV9UUl9UQVJHRVRfU1RPQ0tQUkVNSVVNXzFNBQAAAAAAAAAIAAAAFChJbnZhbGlkIElkZW50aWZpZXIpnAvVOAgJ1gh3eYAONQnWCD5DSVEuTkFTREFRR006Q1JWUy5JUV9DQVNIX1NUX0lOVkVTVC4yMDAwLjcvMzEvMjAxOC5MRlIuRi5VU0QuSAEAAAD0sKYQAgAAAAcxNDMuOTMzAQgAAAAFAAAAATEBAAAACjE4ODYzNjc1OTEDAAAAAzE2MAIAAAAEMTAwMgQAAAABMAcAAAAJNy8zMS8yMDE4CAAAAAkzLzMxLzIwMTgJAAAAATDWjBE4CAnWCBnpoW80CdYIPUNJUS5OQVNEQVFHUzpFUFpNLklRX1JFVkVOVUVfRVNU</t>
  </si>
  <si>
    <t>LkNZMjAyMC43LzMxLzIwMTguQ09OLkYuVVNELkgBAAAAAyY9AwIAAAAJMTIxLjA4MDY3AQ4AAAAFAAAAAjExAQAAAAEwAgAAAAoxMDAxODY0MjY4AwAAAAYxMDAxODAEAAAAATIGAAAAATAHAAAAAzE2MAgAAAABMAkAAAABMQoAAAABMAsAAAALMTA5ODcxNDM3MDUMAAAAATcNAAAACDgvMS8yMDE4EAAAAAk3LzMxLzIwMTjWjBE4CAnWCHMknW80CdYIO0NJUS5OQVNEQVFHTTpDUklTLklRX1RPVEFMX1JFVi5DWTIwMTcuNy8zMS8yMDE4LkxGUi5GLlVTRC5IAQAAABdqAAACAAAABTkuODk4AQgAAAAFAAAAATEBAAAACjE4NzgwMTE2NTcDAAAAAzE2MAIAAAACMjgEAAAAATAHAAAACTcvMzEvMjAxOAgAAAAKMTIvMzEvMjAxNwkAAAABMMgwsjcICdYI3UukbzQJ1gg2Q0lRLk5BU0RBUUdNOkFGTUQuSVFfVE9UQUxfREVCVC4uNy8xNi8yMDE4LkxGUi5GLlVTRC5IAQAAANv3DAACAAAACDguMDg3OTY0AQgAAAAFAAAAATEBAAAACjE4ODk4NjYwNDkDAAAAAzE2MAIAAAAENDE3MwQAAAABMAcAAAAJNy8xNi8yMDE4CAAAAAkzLzMxLzIwMTgJAAAAATApHJQQNQnWCDDXXRI1CdYIO0NJUS5OQVNEQVFHTTpOTE5LLklRX1RPVEFMX1JFVi5DWTIwMTYuNy8xNi8yMDE4LkxGUi5GLlVTRC5IAQAAAJV7jAACAAAABjM1Ljc2OAEIAAAABQAAAAExAQAAAAoxODc3Mjk4NzA1AwAAAAMxNjACAAAAAjI4BAAAAAEwBwAAAAk3</t>
  </si>
  <si>
    <t>LzE2LzIwMTgIAAAACjEyLzMxLzIwMTYJAAAAATApHJQQNQnWCOR0WxI1CdYIIkNJUS5JUVRSNTYzOTE5MDQ5LklRX1RSX1BDVF9TT1VHSFQBAAAAybicIQIAAAADMTAwAQYAAAAFAAAAAjU0AQAAAAYxMDEwMjQCAAAACTU2MzkxOTA0OQMAAAAJNTYzOTQwMDQyBAAAAAMxNjAGAAAABFRydWUMbRAONQnWCMDbgg41CdYIMUNJUS5JUVRSMjczNTA3MTg1LklRX1RSX1RBUkdFVF9SRVZFTlVFX0VTVC4uVVNELkgBAAAAcWNNEAIAAAAEMC4wNQCys0lvNAnWCIH9lW80CdYINkNJUS5OQVNEQVFHUzpGUFJYLklRX0VCSVREQS4xOTkyLjcvMzEvMjAxOC5MRlIuRi5VU0QuSAEAAAA3XTMAAgAAAAcyNzkuMzc3AQgAAAAFAAAAATEBAAAACjE4NDA1NjU3OTQDAAAAAzE2MAIAAAAENDA1MQQAAAABMAcAAAAJNy8zMS8yMDE4CAAAAAkzLzMxLzIwMTYJAAAAATDWjBE4CAnWCBnpoW80CdYIN0NJUS5OQVNEQVFHUzpBTkFCLklRX1BSRUZfRVFVSVRZLi45LzE1LzIwMTcuTEZSLkYuVVNELkgBAAAAIUyyAQMAAAAAAMT/GxE1CdYIwptiEjUJ1ggwQ0lRLk5BU0RBUUdNOkZBVEUuSVFfTEFTVFNBTEVQUklDRS43LzMxLzIwMTguVVNEAQAAAGgxVwICAAAABDguOTMA1owROAgJ1gjDhp9vNAnWCD1DSVEuTkFTREFRR1M6TUdOWC5JUV9SRVZFTlVFX0VTVC5DWTIwMTkuNy8xNi8yMDE4LkNPTi5GLlVTRC5IAQAAAE8rCQACAAAA</t>
  </si>
  <si>
    <t>CDQ2Ljc5NzA4AQ4AAAAFAAAAAjExAQAAAAEwAgAAAAoxMDAxOTcyOTMwAwAAAAYxMDAxODAEAAAAATIGAAAAATAHAAAAAzE2MAgAAAABMAkAAAABMQoAAAABMAsAAAALMTEwMzM2MzMyMDUMAAAAATcNAAAACTcvMTcvMjAxOBAAAAAJNy8xNi8yMDE4xP8bETUJ1gjCm2ISNQnWCC5DSVEuSVFUUjI3MzUwNzE4NS5JUV9UUl9UQVJHRVRfU1RPQ0tQUkVNSVVNXzFXAQAAAHFjTRACAAAABzg0LjI5MTkBBgAAAAUAAAACNTQBAAAABjEwMTA1NAIAAAAJMjczNTA3MTg1AwAAAAkyNzM1MDc3ODcEAAAAAzE2MAYAAAAFRmFsc2Wys0lvNAnWCIH9lW80CdYILUNJUS5OQVNEQVFHUzpFUFpNLklRX01BUktFVENBUC41LzUvMjAxNy5VU0QuSAEAAAADJj0DAgAAAAo5NTEuMjM5MDY4AQYAAAAFAAAAATEBAAAACjE4MzE3Mjg3NTgDAAAAAzE2MAIAAAAGMTAwMDU0BAAAAAEwBwAAAAg1LzUvMjAxN9aMETgICdYIcySdbzQJ1ghCQ0lRLk5BU0RBUUdNOkxQVFguSVFfVE9UQUxfUkVWXzNZUl9BTk5fQ0FHUi4uNy8xNi8yMDE4LkxGUi5GLlVTRC5IAQAAAAw2CQcDAAAAAAApHJQQNQnWCDDXXRI1CdYIKUNJUS5JUVRSNTMzMzg1NzQ0LklRX1RSX0lNUExJRURfRVFfTklfTFRNAQAAABDSyh8CAAAAAAAMbRAONQnWCMDbgg41CdYIL0NJUS5JUVRSNDA4MjkxMzk1LklRX1RSX1RBUkdFVF9UT1RBTF9SRVYuLlVTRC5IAQAAAEMI</t>
  </si>
  <si>
    <t>VhgCAAAAAABYzxIONQnWCMDbgg41CdYIOUNJUS5OQVNEQVFHUzpGUFJYLklRX1RPVEFMX1JFVi4xOTk2LjcvMzEvMjAxOC5MRlIuRi5VU0QuSAEAAAA3XTMAAgAAAAYzNC4zMDYBCAAAAAUAAAABMQEAAAAKMTg4NzQwMjIyNAMAAAADMTYwAgAAAAIyOAQAAAABMAcAAAAJNy8zMS8yMDE4CAAAAAkzLzMxLzIwMTcJAAAAATDWjBE4CAnWCBnpoW80CdYIO0NJUS5OQVNEQVFHTTpOTE5LLklRX1RPVEFMX1JFVi5DWTIwMTcuNy8xNi8yMDE4LkxGUi5GLlVTRC5IAQAAAJV7jAACAAAABjI4LjcxMQEIAAAABQAAAAExAQAAAAoxODc3Mjk4ODEzAwAAAAMxNjACAAAAAjI4BAAAAAEwBwAAAAk3LzE2LzIwMTgIAAAACjEyLzMxLzIwMTcJAAAAATApHJQQNQnWCOR0WxI1CdYIIUNJUS5JUVRSNTMzMzg1NzQ0LklRX1RSX0JVWUVSTkFNRQEAAAAQ0sofAwAAABxCcmlzdG9sLU15ZXJzIFNxdWliYiBDb21wYW55AAxtEA41CdYId3mADjUJ1gg5Q0lRLk5BU0RBUUdTOk1SU04uSVFfVE9UQUxfUkVWLjIwMDAuNy8zMS8yMDE4LkxGUi5GLlVTRC5IAQAAAObFGAACAAAABjE2LjMxOQEIAAAABQAAAAExAQAAAAoxODg5MDk2NjUzAwAAAAMxNjACAAAAAjI4BAAAAAEwBwAAAAk3LzMxLzIwMTgIAAAACTMvMzEvMjAxOAkAAAABMNaMETgICdYIw4afbzQJ1gg/Q0lRLk9UQ1BLOk5XQk8uSVFfVE9UQUxfUkVWXzJZUl9BTk5fQ0FH</t>
  </si>
  <si>
    <t>Ui4uNy8xNi8yMDE4LkxGUi5GLlVTRC5IAQAAAKN6FAACAAAACC01Mi42MDg5AQgAAAAFAAAAATEBAAAACjE4ODkzMDI4MjQDAAAAAzE2MAIAAAAENDIwNwQAAAABMAcAAAAJNy8xNi8yMDE4CAAAAAkzLzMxLzIwMTgJAAAAATApHJQQNQnWCDDXXRI1CdYINENJUS5OQVNEQVFHUzpOSy5JUV9FQklUREEuMTk5Mi43LzMxLzIwMTguTEZSLkYuVVNELkgBAAAADX2hDwIAAAAILTI1OS4yMDcBCAAAAAUAAAABMQEAAAAKMTg0MDc0MTg1NwMAAAADMTYwAgAAAAQ0MDUxBAAAAAEwBwAAAAk3LzMxLzIwMTgIAAAACTMvMzEvMjAxNgkAAAABMNaMETgICdYIw4afbzQJ1ghDQ0lRLk5BU0RBUUdTOk1SU04uSVFfRUJJVERBXzJZUl9BTk5fQ0FHUi4yMDAwLjcvMzEvMjAxOC5MRlIuRi5VU0QuSAEAAADmxRgAAwAAAAAA1owROAgJ1gjDhp9vNAnWCCBDSVEuSVFUUjMyMTg2NTI5Ny5JUV9UUl9FQVJOT1VUUwEAAABRRi8TAgAAAAAAWM8SDjUJ1ggMPoUONQnWCDxDSVEuTkFTREFRR1M6QURYUy5JUV9FQVJOSU5HX0NPLkNZMjAxNy43LzE2LzIwMTguTEZSLkYuVVNELkgBAAAAnux4AAIAAAAKLTk2Ljg0Njg2NQEIAAAABQAAAAExAQAAAAoxODc4MDEyNDczAwAAAAMxNjACAAAAATcEAAAAATAHAAAACTcvMTYvMjAxOAgAAAAJMS8zMS8yMDE4CQAAAAEwKRyUEDUJ1gjkdFsSNQnWCDxDSVEuTkFTREFRR006TkxOSy5JUV9F</t>
  </si>
  <si>
    <t>QklUREFfRVNULkNZMjAyMC43LzE2LzIwMTguQ09OLkYuVVNELkgBAAAAlXuMAAMAAAAAACkclBA1CdYI5HRbEjUJ1gguQ0lRLk5BU0RBUUdTOkJHTkUuSVFfTUFSS0VUQ0FQLjcvMzEvMjAxOC5VU0QuSAEAAADg5N0GAgAAAAwxMDMwNS4yNjI1ODUBBgAAAAUAAAABMQEAAAAKMTg4NzY4ODUwMAMAAAADMTYwAgAAAAYxMDAwNTQEAAAAATAHAAAACTcvMzEvMjAxOJwL1TgICdYIgf2VbzQJ1gg6Q0lRLk5BU0RBUUdNOkxQVFguSVFfQ0FTSF9TVF9JTlZFU1QuLjcvMTYvMjAxOC5MRlIuRi5VU0QuSAEAAAAMNgkHAgAAAAYzNS4zNzYBCAAAAAUAAAABMQEAAAAKMTg5MDE2MzkzNgMAAAADMTYwAgAAAAQxMDAyBAAAAAEwBwAAAAk3LzE2LzIwMTgIAAAACTMvMzEvMjAxOAkAAAABMCkclBA1CdYIMNddEjUJ1gg0Q0lRLk5BU0RBUUdTOlNHRU4uSVFfUkVWRU5VRV9FU1QuQ1kyMDIwLi5DT04uRi5VU0QuSAEAAABhhQAAAgAAAAoxMTQwLjQxMzI1AQ4AAAAFAAAAAjExAQAAAAEwAgAAAAoxMDAwMTI0NzI4AwAAAAYxMDAxODAEAAAAATIGAAAAATAHAAAAAzE2MAgAAAABMAkAAAABMQoAAAABMAsAAAALMTEwNTIxNTA2MDUMAAAAATcNAAAACTgvMjQvMjAxOBAAAAAJOC8yMy8yMDE4xP8bETUJ1gjE/xsRNQnWCDdDSVEuWFRSQTpNT1IuSVFfRUFSTklOR19DTy5DWTIwMTYuNy8zMS8yMDE4LkxGUi5GLlVTRC5IAQAA</t>
  </si>
  <si>
    <t>AN8RAgACAAAACi02My43NDE5NzgBCAAAAAUAAAABMQEAAAAKMTg3ODMyMzE1NAMAAAADMTYwAgAAAAE3BAAAAAEwBwAAAAk3LzMxLzIwMTgIAAAACjEyLzMxLzIwMTYJAAAAATCcC9U4CAnWCNRfmG80CdYIIkNJUS5JUVRSMzE0ODI5MjM2LklRX1RSX1RPVEFMX0NBU0gBAAAAtOnDEgIAAAADMTQwAFjPEg41CdYIwNuCDjUJ1ggrQ0lRLk5BU0RBUUNNOk1URU0uSVFfTEFTVFNBTEVQUklDRS41LzUvMjAxNwEAAACZm6kBAwAAAAAAyDCyNwgJ1ggZ6aFvNAnWCCVDSVEuSVFUUjQyMjg4NzcwMS5JUV9QUklNQVJZX0lORFVTVFJZAQAAAP3m1g8DAAAADUJpb3RlY2hub2xvZ3kADG0QDjUJ1gjA24IONQnWCDxDSVEuTkFTREFRR006Q1JJUy5JUV9FQVJOSU5HX0NPLkNZMjAxNi43LzMxLzIwMTguTEZSLkYuVVNELkgBAAAAF2oAAAIAAAAHLTYwLjQxMQEIAAAABQAAAAExAQAAAAoxODc4MDExNjU0AwAAAAMxNjACAAAAATcEAAAAATAHAAAACTcvMzEvMjAxOAgAAAAKMTIvMzEvMjAxNgkAAAABMMgwsjcICdYI3UukbzQJ1ggxQ0lRLkFTWDpJTVUuSVFfRUJJVF9NQVJHSU4uLjcvMTYvMjAxOC5MRlIuRi5VU0QuSAEAAACYk6kAAgAAAAgtMjM0LjU4NwEIAAAABQAAAAExAQAAAAoxODc3MzA1MzIwAwAAAAE5AgAAAAQ0MDUzBAAAAAEwBwAAAAk3LzE2LzIwMTgIAAAACjEyLzMxLzIwMTcJAAAAATApHJQQNQnWCDDX</t>
  </si>
  <si>
    <t>XRI1CdYIHUNJUS5OQVNEQVFDTTpBVkVPLklRX0VYQ0hBTkdFAQAAAPQWHQADAAAACE5hc2RhcUNNAEadGRE1CdYIwptiEjUJ1ggxQ0lRLklRVFIzNzE3MTUxMTkuSVFfVFJfVEFSR0VUX1JFVkVOVUVfRVNULi5VU0QuSAEAAAAv7CcWAgAAAAAAWM8SDjUJ1gjA24IONQnWCEJDSVEuTkFTREFRR1M6VFNSTy5JUV9UT1RBTF9SRVZfMllSX0FOTl9DQUdSLi43LzE2LzIwMTguTEZSLkYuVVNELkgBAAAAaNZYBgIAAAAJMTk5MS44NzI4AQgAAAAFAAAAATEBAAAACjE4ODYzMzc0NjYDAAAAAzE2MAIAAAAENDIwNwQAAAABMAcAAAAJNy8xNi8yMDE4CAAAAAkzLzMxLzIwMTgJAAAAATDE/xsRNQnWCBL+ZBI1CdYIIUNJUS5JUVRSNTQ4MzM4MDIwLklRX1RSX0JVWUVSTkFNRQEAAABk+a4gAwAAAB1BU0xBTiBQaGFybWFjZXV0aWNhbHMgTGltaXRlZAAMbRAONQnWCMDbgg41CdYIOENJUS5OQVNEQVFHTTpDUklTLklRX0VCSVREQS5DWTIwMTcuNy8zMS8yMDE4LkxGUi5GLlVTRC5IAQAAABdqAAACAAAABy00OS41MjUBCAAAAAUAAAABMQEAAAAKMTg3ODAxMTY1NwMAAAADMTYwAgAAAAQ0MDUxBAAAAAEwBwAAAAk3LzMxLzIwMTgIAAAACjEyLzMxLzIwMTcJAAAAATDIMLI3CAnWCN1LpG80CdYIHkNJUS5FTlhUUEE6SVBILklRX0NPTVBBTllfTkFNRQEAAACZgAYAAwAAABJJbm5hdGUgUGhhcm1hIFMuQS4AKRyUEDUJ</t>
  </si>
  <si>
    <t>1ghzOWASNQnWCENDSVEuTkFTREFRR1M6QURYUy5JUV9NSU5PUklUWV9JTlRFUkVTVF9UT1RBTC4uOS8xNS8yMDE3LkxGUi5GLlVTRC5IAQAAAJ7seAADAAAAAAApHJQQNQnWCOR0WxI1CdYINkNJUS5OQVNEQVFHUzpOSy5JUV9FQklUREEuQ1kyMDE2LjcvMzEvMjAxOC5MRlIuRi5VU0QuSAEAAAANfaEPAgAAAAgtMTIwLjg5MwEIAAAABQAAAAExAQAAAAoxODc4MDEyNTc4AwAAAAMxNjACAAAABDQwNTEEAAAAATAHAAAACTcvMzEvMjAxOAgAAAAKMTIvMzEvMjAxNgkAAAABMNaMETgICdYIw4afbzQJ1ggiQ0lRLklRVFIyNjM3MTg2NDcuSVFfVFJfVEFSR0VUTkFNRQEAAAD3BrgPAwAAAApUZWxpayBJbmMuALKzSW80CdYINZuTbzQJ1gg3Q0lRLk5BU0RBUUdTOkVQWk0uSVFfUEVSSU9EREFURV9JUy4yMDAwLjcvMzEvMjAxOC5MRlIuRgEAAAADJj0DBQAAAAkzLzMxLzIwMTgA1owROAgJ1ggkwppvNAnWCD1DSVEuTkFTREFRR1M6VFNSTy5JUV9SRVZFTlVFX0VTVC5DWTIwMTguNy8zMS8yMDE4LkNPTi5GLlVTRC5IAQAAAGjWWAYCAAAACDMwNi4wNDA5AQ4AAAAFAAAAAjExAQAAAAEwAgAAAAoxMDAxNTgwMzQwAwAAAAYxMDAxODAEAAAAATIGAAAAATAHAAAAAzE2MAgAAAABMAkAAAABMQoAAAABMAsAAAALMTA5ODExMzc3MjAMAAAAATcNAAAACDgvMS8yMDE4EAAAAAk3LzMxLzIwMTicC9U4CAnWCCTCmm80</t>
  </si>
  <si>
    <t>CdYIMUNJUS5OQVNEQVFHUzpDQUxBLklRX0RBX0NGLi43LzE2LzIwMTguTEZSLkYuVVNELkgBAAAApSeBBgIAAAAFMC40MDkBCAAAAAUAAAABMQEAAAAKMTg4Nzk4MDMwNQMAAAADMTYwAgAAAAQyMTYwBAAAAAEwBwAAAAk3LzE2LzIwMTgIAAAACTMvMzEvMjAxOAkAAAABMCkclBA1CdYI5HRbEjUJ1gghQ0lRLklRVFIyNjM3MTg2NDcuSVFfVFJfQlVZRVJOQU1FAQAAAPcGuA8DAAAAQk1hYlZheCBUaGVyYXBldXRpY3MsIEluYy4gKG5rYTpNYWJWYXggVGhlcmFwZXV0aWNzIEhvbGRpbmdzLCBJbmMuKQCys0lvNAnWCDWbk280CdYIKENJUS5YVFJBOk1PUi5JUV9NQVJLRVRDQVAuNS81LzIwMTcuVVNELkgBAAAA3xECAAIAAAALMTgwMS4yMTQ2MTEBBgAAAAUAAAABMQEAAAAKMTgzOTkzOTc5MgMAAAADMTYwAgAAAAYxMDAwNTQEAAAAATAHAAAACDUvNS8yMDE3nAvVOAgJ1gjUX5hvNAnWCEZDSVEuTkFTREFRR1M6QVROWC5JUV9UT1RBTF9SRVZfMllSX0FOTl9DQUdSLjIwMDAuNy8zMS8yMDE4LkxGUi5GLlVTRC5IAQAAANyZawEDAAAAAADWjBE4CAnWCCTCmm80CdYIK0NJUS5JUVRSNDMxODQxNTgxLklRX1RSX1RPVEFMX0dST1NTX1RWLi5VU0QBAAAALWG9GQIAAAADODI1AQYAAAAFAAAAAjU0AQAAAAYxMDIwODgCAAAACTQzMTg0MTU4MQMAAAAJNDMxODQyMzg2BAAAAAMxNjAGAAAABUZhbHNlDG0QDjUJ</t>
  </si>
  <si>
    <t>1ggMPoUONQnWCCxDSVEuSVFUUjU1MzU0ODAyNS5JUV9UUl9UQVJHRVRfRUJJVERBLi5VU0QuSAEAAAD5eP4gAgAAAAktOS4wNDU5MDIBBwAAAAUAAAACMzcBAAAACjE4NzcwMDUyNTcCAAAABTIxNjc3AwAAAAMxNjAEAAAAATAHAAAACDEvMS8xOTAwBgAAAAkyLzIxLzIwMTiys0lvNAnWCIH9lW80CdYIJUNJUS5PVENQSzpNQlZYLklRX1RFVi43LzE2LzIwMTguVVNELkgBAAAA2ESLAgIAAAAIOS45NzQ0MjYBBgAAAAUAAAABMQEAAAAKMTg4MTIxMzIzNQMAAAADMTYwAgAAAAYxMDAwNjAEAAAAATAHAAAACTcvMTYvMjAxON6nfhA1CdYImBJZEjUJ1ggxQ0lRLk5BU0RBUUdTOlBCWUkuSVFfREFfQ0YuLjcvMTYvMjAxOC5MRlIuRi5VU0QuSAEAAAACaqwHAgAAAAUzLjg3NQEIAAAABQAAAAExAQAAAAoxODg4NjY3NzQzAwAAAAMxNjACAAAABDIxNjAEAAAAATAHAAAACTcvMTYvMjAxOAgAAAAJMy8zMS8yMDE4CQAAAAEwxP8bETUJ1ggS/mQSNQnWCDFDSVEuWFRSQTpNT1IuSVFfRUJJVERBLjIwMDAuNy8zMS8yMDE4LkxGUi5GLlVTRC5IAQAAAN8RAgACAAAACi03MS4zNDQ0ODcBCAAAAAUAAAABMQEAAAAKMTg4NjE1MTY0OAMAAAADMTYwAgAAAAQ0MDUxBAAAAAEwBwAAAAk3LzMxLzIwMTgIAAAACTMvMzEvMjAxOAkAAAABMJwL1TgICdYI1F+YbzQJ1gg1Q0lRLk5BU0RBUUNNOlNSTkUuSVFfREFfQ0YuMjAw</t>
  </si>
  <si>
    <t>MC43LzMxLzIwMTguTEZSLkYuVVNELkgBAAAASUOUAwIAAAAENy42MwEIAAAABQAAAAExAQAAAAoxODg3OTg5ODMxAwAAAAMxNjACAAAABDIxNjAEAAAAATAHAAAACTcvMzEvMjAxOAgAAAAJMy8zMS8yMDE4CQAAAAEw1owROAgJ1ghzJJ1vNAnWCCJDSVEuWFRSQTpNT1IuSVFfQkVUQV8yWVIuNy8zMS8yMDE4AQAAAN8RAgACAAAAEDEuMDEzODk1MTcyNDk4NjEAnAvVOAgJ1gjUX5hvNAnWCDBDSVEuTkFTREFRR1M6UEJZSS5JUV9MQVNUU0FMRVBSSUNFLjcvMTYvMjAxOC5VU0QBAAAAAmqsBwIAAAAFNTIuNTUARp0ZETUJ1ggS/mQSNQnWCEFDSVEuWFRSQTpNT1IuSVFfVE9UQUxfUkVWXzNZUl9BTk5fQ0FHUi4yMDAwLjcvMzEvMjAxOC5MRlIuRi5VU0QuSAEAAADfEQIAAgAAAActMjEuMzA5AQgAAAAFAAAAATEBAAAACjE4ODYxNTE2NDgDAAAAAjUwAgAAAAQ0MjIwBAAAAAEwBwAAAAk3LzMxLzIwMTgIAAAACTMvMzEvMjAxOAkAAAABMJwL1TgICdYI1F+YbzQJ1ghCQ0lRLk5BU0RBUUdTOk1HTlguSVFfVE9UQUxfUkVWXzVZUl9BTk5fQ0FHUi4uNy8xNi8yMDE4LkxGUi5GLlVTRC5IAQAAAE8rCQACAAAABzI0LjM2MzEBCAAAAAUAAAABMQEAAAAKMTg4NzExNDk0NQMAAAADMTYwAgAAAAQ0MjMzBAAAAAEwBwAAAAk3LzE2LzIwMTgIAAAACTMvMzEvMjAxOAkAAAABMMT/GxE1CdYIwptiEjUJ1gg8Q0lRLk5B</t>
  </si>
  <si>
    <t>U0RBUUdNOkZBVEUuSVFfVE9UQUxfRVFVSVRZLjIwMDAuNy8zMS8yMDE4LkxGUi5GLlVTRC5IAQAAAGgxVwICAAAABjY0Ljk5NQEIAAAABQAAAAExAQAAAAoxODg4NTAwNTI3AwAAAAMxNjACAAAABDEyNzUEAAAAATAHAAAACTcvMzEvMjAxOAgAAAAJMy8zMS8yMDE4CQAAAAEw1owROAgJ1gjDhp9vNAnWCC5DSVEuSVFUUjMyMTg2NTI5Ny5JUV9UUl9UQVJHRVRfU1RPQ0tQUkVNSVVNXzFXAQAAAFFGLxMCAAAAAABYzxIONQnWCAw+hQ41CdYINENJUS5YVFJBOk1PUi5JUV9UT1RBTF9SRVYuMTk5Ni43LzMxLzIwMTguTEZSLkYuVVNELkgBAAAA3xECAAIAAAAJNTIuOTE3NjYxAQgAAAAFAAAAATEBAAAACjE4ODYxNTE2NDcDAAAAAzE2MAIAAAACMjgEAAAAATAHAAAACTcvMzEvMjAxOAgAAAAJMy8zMS8yMDE3CQAAAAEwnAvVOAgJ1gjUX5hvNAnWCDZDSVEuT1RDUEs6TldCTy5JUV9FQklUREFfTUFSR0lOLi43LzE2LzIwMTguTEZSLkYuVVNELkgBAAAAo3oUAAMAAAACTk0BCAAAAAUAAAABMQEAAAAKMTg4OTMwMjgyNAMAAAADMTYwAgAAAAQ0MDQ3BAAAAAEwBwAAAAk3LzE2LzIwMTgIAAAACTMvMzEvMjAxOAkAAAABMCkclBA1CdYIczlgEjUJ1gglQ0lRLklRVFI0MDgyOTEzOTUuSVFfUFJJTUFSWV9JTkRVU1RSWQEAAACyTxoDAwAAAA1CaW90ZWNobm9sb2d5AAxtEA41CdYIwNuCDjUJ1ggiQ0lRLjAuSVFf</t>
  </si>
  <si>
    <t>VFJfVEFSR0VUX1NUT0NLUFJFTUlVTV8xVwUAAAAAAAAACAAAABgoSW52YWxpZCBUcmFuc2FjdGlvbiBJZClJU0dvNAnWCAfi8IE0CdYILUNJUS5OQVNEQVFHUzpDQUxBLklRX01BUktFVENBUC41LzUvMjAxNy5VU0QuSAEAAAClJ4EGAgAAAAozOTMuNDg2NTY2AQYAAAAFAAAAATEBAAAACjE4MzIxNzc2NTYDAAAAAzE2MAIAAAAGMTAwMDU0BAAAAAEwBwAAAAg1LzUvMjAxN8gwsjcICdYI3UukbzQJ1ggtQ0lRLk5BU0RBUUdTOkdUSFguSVFfTUFSS0VUQ0FQLjUvNS8yMDE3LlVTRC5IAQAAAGU0aQgDAAAAAADWjBE4CAnWCCTCmm80CdYIPENJUS5OQVNEQVFHUzpLVVJBLklRX1RPVEFMX0VRVUlUWS4yMDAwLjcvMzEvMjAxOC5MRlIuRi5VU0QuSAEAAAC4y9oQAgAAAAUxMjQuOAEIAAAABQAAAAExAQAAAAoxODg3MzgyOTM3AwAAAAMxNjACAAAABDEyNzUEAAAAATAHAAAACTcvMzEvMjAxOAgAAAAJMy8zMS8yMDE4CQAAAAEw1owROAgJ1ghzJJ1vNAnWCCFDSVEuSVEyNjIyNDE1NDkuSVFfQ09NUEFOWV9USUNLRVIBAAAADX2hDwMAAAALTmFzZGFxR1M6TksAsrNJbzQJ1gh7HeyBNAnWCCxDSVEuSVFUUjI2MzcxODY0Ny5JUV9UUl9UT1RBTF9HUk9TU19UVi5VU0QuSAUAAAAAAAAACAAAABooSW52YWxpZCBDdXJyZW5jeSBSZXF1ZXN0KUlTR280CdYIgf2VbzQJ1ggpQ0lRLk5BU0RBUUdNOkxQVFguSVFfQlVT</t>
  </si>
  <si>
    <t>SU5FU1NfREVTQ1JJUFRJT04BAAAADDYJBwMAAADVBkxlYXAgVGhlcmFwZXV0aWNzLCBJbmMuLCBhIGJpb3BoYXJtYWNldXRpY2FsIGNvbXBhbnksIGFjcXVpcmVzIGFuZCBkZXZlbG9wcyB0aGVyYXBpZXMgZm9yIHRoZSB0cmVhdG1lbnQgb2YgY2FuY2VyLiBUaGUgY29tcGFueeKAmXMgY2xpbmljYWwgc3RhZ2UgcHJvZ3JhbXMgaW5jbHVkZSBES04tMDEsIGEgbW9ub2Nsb25hbCBhbnRpYm9keSB0aGF0IGluaGliaXRzIERpY2trb3BmLXJlbGF0ZWQgcHJvdGVpbiAxLCB3aGljaCBpcyBpbiBQaGFzZSBJL0lJIGNsaW5pY2FsIHRyaWFsIGluIHBhdGllbnRzIHdpdGggZXNvcGhhZ29nYXN0cmljLCBiaWxpYXJ5IHRyYWN0LCBneW5lY29sb2dpYywgYW5kIG5vbi1zbWFsbCBjZWxsIGx1bmcgY2FuY2VycywgYXMgd2VsbCBhcyBoZXBhdG9jZWxsdWxhciBjYXJjaW5vbWEsIGEgdHlwZSBvZiBsaXZlciBjYW5jZXIuIEl0cyBjbGluaWNhbCBzdGFnZSBwcm9ncmFtcyBhbHNvIGluY2x1ZGUgVFJYNTE4LCBhIG1vbm9jbG9uYWwgYW50aWJvZHksIHdoaWNoIGlzIGluIGNsaW5pY2FsIHRyaWFsIHRhcmdldGluZyB0aGUgZ2x1Y29jb3J0aWNvaWQtaW5kdWNlZCB0dW1vciBuZWNyb3NpcyBmYWN0b3ItcmVsYXRlZCByZWNlcHRvciBpbiBwYXRpZW50cyB3aXRoIHNvbGlkIHR1bW9ycy4gVGhlIGNvbXBhbnkgd2Fz</t>
  </si>
  <si>
    <t>IGZvcm1lcmx5IGtub3duIGFzIEhlYWx0aENhcmUgUGhhcm1hY2V1dGljYWxzLCBJbmMuIGFuZCBjaGFuZ2VkIGl0cyBuYW1lIHRvIExlYXAgVGhlcmFwZXV0aWNzLCBJbmMuIGluIE5vdmVtYmVyIDIwMTUuIExlYXAgVGhlcmFwZXV0aWNzLCBJbmMuIHdhcyBmb3VuZGVkIGluIDIwMTEgYW5kIGlzIGJhc2VkIGluIENhbWJyaWRnZSwgTWFzc2FjaHVzZXR0cy4AKRyUEDUJ1ggw110SNQnWCCtDSVEuSVFUUjQxMTg3MTA4Mi5JUV9UUl9UT1RBTF9HUk9TU19UVi4uVVNEAQAAAGqnjBgCAAAABjE2OTYuMwEGAAAABQAAAAI1NAEAAAAGMTAyMDg4AgAAAAk0MTE4NzEwODIDAAAACTQxMTg3MTI5MQQAAAADMTYwBgAAAAVGYWxzZbKzSW80CdYINZuTbzQJ1gghQ0lRLklRVFI1NTM1NDgwMjUuSVFfVFJfQlVZRVJOQU1FAQAAAPl4/iADAAAAJk1lcmNrIFNoYXJwICYgRG9obWUgKEhvbGRpbmdzKSBQdHkgTHRkALKzSW80CdYIgf2VbzQJ1gg5Q0lRLi5JUV9NSU5PUklUWV9JTlRFUkVTVF9UT1RBTC4yMDAwLjUvNS8yMDE3LkxGUi5GLlVTRC5IBQAAAAEAAAAIAAAAFChJbnZhbGlkIElkZW50aWZpZXIp9YQyRzQJ1gj1hDJHNAnWCEZDSVEuTkFTREFRR006Q1JWUy5JUV9NSU5PUklUWV9JTlRFUkVTVF9UT1RBTC4yMDAwLjUvNS8yMDE3LkxGUi5GLlVTRC5IAQAAAPSwphADAAAAAADWjBE4CAnWCBnpoW80CdYIKUNJ</t>
  </si>
  <si>
    <t>US5OQVNEQVFHTTpDUklTLklRX0JVU0lORVNTX0RFU0NSSVBUSU9OAQAAABdqAAADAAAApApDdXJpcywgSW5jLiwgYSBiaW90ZWNobm9sb2d5IGNvbXBhbnksIGZvY3VzZXMgb24gdGhlIGRldmVsb3BtZW50IGFuZCBjb21tZXJjaWFsaXphdGlvbiBvZiBkcnVnIGNhbmRpZGF0ZXMgZm9yIHRoZSB0cmVhdG1lbnQgb2YgaHVtYW4gY2FuY2VycyBpbiB0aGUgVW5pdGVkIFN0YXRlcy4gSXRzIGNsaW5pY2FsIHN0YWdlIGRydWcgY2FuZGlkYXRlcyBpbmNsdWRlIENVREMtOTA3LCBhbiBvcmFsIGR1YWwgaW5oaWJpdG9yIG9mIEhEQUMgYW5kIFBJM0sgZW56eW1lcywgd2hpY2ggaXMgaW4gUGhhc2UgSUkgY2xpbmljYWwgdHJpYWwgZm9yIHRoZSB0cmVhdG1lbnQgb2YgcGF0aWVudHMgd2l0aCBNWUMtYWx0ZXJlZCBkaWZmdXNlIGxhcmdlIEItY2VsbCBseW1waG9tYSBhbmQgc29saWQgdHVtb3JzOyBDQS0xNzAsIGFuIG9yYWwgc21hbGwgbW9sZWN1bGUgZHJ1ZyBjYW5kaWRhdGUgdGhhdCBpcyBpbiBQaGFzZSBJIGNsaW5pY2FsIHRyaWFsIGZvciB0cmVhdGluZyBwYXRpZW50cyB3aXRoIGFkdmFuY2VkIHNvbGlkIHR1bW9ycyBhbmQgbHltcGhvbWFzOyBDQS00OTQ4LCBhbiBvcmFsIHNtYWxsIG1vbGVjdWxlIGRydWcgY2FuZGlkYXRlLCB3aGljaCBpcyBpbiBQaGFzZSBJIGNsaW5pY2FsIHRyaWFsIGZvciB0</t>
  </si>
  <si>
    <t>aGUgdHJlYXRtZW50IG9mIG5vbi1ob2Rna2luIGx5bXBob21hczsgYW5kIENBLTMyNywgYW4gb3JhbCBzbWFsbCBtb2xlY3VsZSBkcnVnIGNhbmRpZGF0ZSB0aGF0IGlzIGluIHByZWNsaW5pY2FsIHN0YWdlIGZvciB0aGUgdHJlYXRtZW50IG9mIGNhbmNlcnMuIFRoZSBjb21wYW55IGhhcyBjb2xsYWJvcmF0aW9uIGFncmVlbWVudCB3aXRoIEYuIEhvZmZtYW5uLUxhIFJvY2hlIEx0ZC4gYW5kIEdlbmVudGVjaCBJbmMuIGZvciB0aGUgZGV2ZWxvcG1lbnQgYW5kIGNvbW1lcmNpYWxpemF0aW9uIG9mIEVyaXZlZGdlLCBhbiBvcmFsbHktYWRtaW5pc3RlcmVkIHNtYWxsIG1vbGVjdWxlIGhlZGdlaG9nIHNpZ25hbGluZyBwYXRod2F5IGluaGliaXRvciBmb3IgdGhlIHRyZWF0bWVudCBvZiBhZHZhbmNlZCBiYXNhbCBjZWxsIGNhcmNpbm9tYTsgYW5kIHdpdGggQXVyaWdlbmUgRGlzY292ZXJ5IFRlY2hub2xvZ2llcyBMaW1pdGVkIGZvciB0aGUgZGlzY292ZXJ5LCBkZXZlbG9wbWVudCwgYW5kIGNvbW1lcmNpYWxpemF0aW9uIG9mIHNtYWxsIG1vbGVjdWxlIGNvbXBvdW5kcyBpbiB0aGUgYXJlYXMgb2YgaW1tdW5vLW9uY29sb2d5IGFuZCBwcmVjaXNpb24gb25jb2xvZ3kuIEN1cmlzLCBJbmMuIHdhcyBmb3VuZGVkIGluIDIwMDAgYW5kIGlzIGhlYWRxdWFydGVyZWQgaW4gTGV4aW5ndG9uLCBNYXNzYWNo</t>
  </si>
  <si>
    <t>dXNldHRzLgDIMLI3CAnWCN1LpG80CdYILkNJUS5JUVRSMzEyMTIyNTA0LklRX1RSX1RBUkdFVF9TVE9DS1BSRU1JVU1fMU0BAAAAiJyaEgIAAAAAAFjPEg41CdYIwNuCDjUJ1gg4Q0lRLk5BU0RBUUdTOkFEWFMuSVFfRUJJVERBLkNZMjAxNi43LzE2LzIwMTguTEZSLkYuVVNELkgBAAAAnux4AAIAAAAJLTczLjA2MTc4AQgAAAAFAAAAATEBAAAACjE4NzgwMTI0MjkDAAAAAzE2MAIAAAAENDA1MQQAAAABMAcAAAAJNy8xNi8yMDE4CAAAAAkxLzMxLzIwMTcJAAAAATApHJQQNQnWCOR0WxI1CdYIM0NJUS5PVENQSzpOV0JPLklRX0VBUk5JTkdfQ08uLjcvMTYvMjAxOC5MRlIuRi5VU0QuSAEAAACjehQAAgAAAActODIuMDY4AQgAAAAFAAAAATEBAAAACjE4ODkzMDI4MjQDAAAAAzE2MAIAAAABNwQAAAABMAcAAAAJNy8xNi8yMDE4CAAAAAkzLzMxLzIwMTgJAAAAATApHJQQNQnWCDDXXRI1CdYIO0NJUS5OQVNEQVFDTTpDS1BULklRX1RPVEFMX1JFVi5DWTIwMTcuNy8xNi8yMDE4LkxGUi5GLlVTRC5IAQAAALhRFhECAAAABTEuNzI1AQgAAAAFAAAAATEBAAAACjE4Nzg3ODQ1NzgDAAAAAzE2MAIAAAACMjgEAAAAATAHAAAACTcvMTYvMjAxOAgAAAAKMTIvMzEvMjAxNwkAAAABMCkclBA1CdYIMNddEjUJ1ggqQ0lRLklRVFIyNDU4MzEwMDcuSVFfVFJfVEFSR0VUX0VCSVQuLlVTRC5IAQAAAF8Vpw4CAAAABi05</t>
  </si>
  <si>
    <t>LjMwNAEGAAAABQAAAAIzNwEAAAAKMTYzMDI5Njk3MgIAAAAFMjE2NzUDAAAAAzE2MAQAAAABMAcAAAAIMS8xLzE5MDCys0lvNAnWCIH9lW80CdYIO0NJUS5FTlhUUEE6SVBILklRX1RPVEFMX0VRVUlUWS5DWTIwMTYuNy8xNi8yMDE4LkxGUi5GLlVTRC5IAQAAAJmABgACAAAACTkwLjk2MjczNgEIAAAABQAAAAExAQAAAAoxODg5NTUyMTM2AwAAAAMxNjACAAAABDEyNzUEAAAAATAHAAAACTcvMTYvMjAxOAgAAAAKMTIvMzEvMjAxNgkAAAABMCkclBA1CdYIczlgEjUJ1ggwQ0lRLk5BU0RBUUdTOlNHRU4uSVFfTEFTVFNBTEVQUklDRS43LzE2LzIwMTguVVNEAQAAAGGFAAACAAAABTY4Ljk5AEadGRE1CdYIaGBnEjUJ1ggpQ0lRLklRVFIzMTIxMjI1MDQuSVFfVFJfSU1QTElFRF9FUV9OSV9MVE0BAAAAiJyaEgIAAAAIOS4xMTkyMTcAWM8SDjUJ1gjA24IONQnWCDxDSVEuTkFTREFRQ006TVRFTS5JUV9FQklUREFfRVNULkNZMjAyMC43LzMxLzIwMTguQ09OLkYuVVNELkgBAAAAmZupAQMAAAAAAMgwsjcICdYIGemhbzQJ1gguQ0lRLklRVFI1NjM5MTkwNDkuSVFfVFJfVEFSR0VUX1NUT0NLUFJFTUlVTV8xVwEAAADJuJwhAgAAAAc4MS4wMjgyAQYAAAAFAAAAAjU0AQAAAAYxMDEwNTQCAAAACTU2MzkxOTA0OQMAAAAJNTYzOTQwMDQyBAAAAAMxNjAGAAAABUZhbHNlDG0QDjUJ1gjA24IONQnWCChDSVEuTkFT</t>
  </si>
  <si>
    <t>REFRR1M6TVJTTi5JUV9URVYuNy8xNi8yMDE4LlVTRC5IAQAAAObFGAACAAAACjI0NS4xODc1NzMBBgAAAAUAAAABMQEAAAAKMTg4OTA5NDEwMAMAAAADMTYwAgAAAAYxMDAwNjAEAAAAATAHAAAACTcvMTYvMjAxOEadGRE1CdYIczlgEjUJ1ggrQ0lRLklRVFI1NDgzMzgwMjAuSVFfVFJfVE9UQUxfR1JPU1NfVFYuLlVTRAEAAABk+a4gAgAAAAMxMjkBBgAAAAUAAAACNTQBAAAABjEwMjA4OAIAAAAJNTQ4MzM4MDIwAwAAAAk1NDgzNDA5ODUEAAAAAzE2MAYAAAAFRmFsc2UMbRAONQnWCMDbgg41CdYIK0NJUS5JUVRSMjYzNzE4NjQ3LklRX1RSX0lNUExJRURfRVZfRUJJVF9GV0QBAAAA9wa4DwIAAAAAALKzSW80CdYIgf2VbzQJ1gg8Q0lRLk5BU0RBUUdTOkpOQ0UuSVFfRUJJVERBX0VTVC5DWTIwMTguNy8xNi8yMDE4LkNPTi5GLlVTRC5IAQAAAOJ5ng0CAAAABy00MS44MzEBDgAAAAUAAAACMTEBAAAAATACAAAACjEwMDM2MjkwOTcDAAAABjEwMDE4NwQAAAABMgYAAAABMAcAAAADMTYwCAAAAAEwCQAAAAExCgAAAAEwCwAAAAsxMDg4NzQxNzk0MgwAAAABNw0AAAAJNy8xNy8yMDE4EAAAAAk3LzE2LzIwMTgpHJQQNQnWCJgSWRI1CdYIO0NJUS5OQVNEQVFDTTpDS1BULklRX1RPVEFMX1JFVi5DWTIwMTYuNy8xNi8yMDE4LkxGUi5GLlVTRC5IAQAAALhRFhECAAAABDIuNTcBCAAAAAUAAAABMQEAAAAKMTg3</t>
  </si>
  <si>
    <t>ODc4NDU3NQMAAAADMTYwAgAAAAIyOAQAAAABMAcAAAAJNy8xNi8yMDE4CAAAAAoxMi8zMS8yMDE2CQAAAAEwKRyUEDUJ1ggw110SNQnWCDxDSVEuTkFTREFRR1M6TVJTTi5JUV9FQklUREFfRVNULkNZMjAxOC43LzE2LzIwMTguQ09OLkYuVVNELkgBAAAA5sUYAAIAAAAHLTUwLjYyNAEOAAAABQAAAAIxMQEAAAABMAIAAAAKMTAwMzgwMzI3NQMAAAAGMTAwMTg3BAAAAAEyBgAAAAEwBwAAAAMxNjAIAAAAATAJAAAAATEKAAAAATALAAAACzEwODgzODMxNjUyDAAAAAE3DQAAAAk3LzE3LzIwMTgQAAAACTcvMTYvMjAxOMT/GxE1CdYIczlgEjUJ1ggzQ0lRLk5BU0RBUUdTOkJHTkUuSVFfR1JPU1NfTUFSR0lOLjIwMDAuLkxGUi5GLlVTRC5IAQAAAODk3QYCAAAABy0zNy44NDUBCAAAAAUAAAABMQEAAAAKMTg5OTkwMDYzMQMAAAADMTYwAgAAAAQ0MDc0BAAAAAEwBwAAAAk4LzIzLzIwMTgIAAAACTYvMzAvMjAxOAkAAAABMJwL1TgICdYInAvVOAgJ1gg8Q0lRLk5BU0RBUUNNOkNLUFQuSVFfRUFSTklOR19DTy5DWTIwMTcuNy8xNi8yMDE4LkxGUi5GLlVTRC5IAQAAALhRFhECAAAABy0yMi42NzcBCAAAAAUAAAABMQEAAAAKMTg3ODc4NDU3OAMAAAADMTYwAgAAAAE3BAAAAAEwBwAAAAk3LzE2LzIwMTgIAAAACjEyLzMxLzIwMTcJAAAAATApHJQQNQnWCOR0WxI1CdYIL0NJUS5JUVRSNTMzMzg1NzQ0LklRX1RS</t>
  </si>
  <si>
    <t>X1RBUkdFVF9UT1RBTF9SRVYuLlVTRC5IAQAAABDSyh8CAAAAAAAMbRAONQnWCMDbgg41CdYIIENJUS5JUVRSNDA5OTUxODg2LklRX1RSX0VBUk5PVVRTAQAAAI5ebxgCAAAAAjMwAQYAAAAFAAAAAjU0AQAAAAYxMDE0MDMCAAAACTQwOTk1MTg4NgMAAAAJNDA5OTUxOTM2BAAAAAMxNjAGAAAABUZhbHNlDG0QDjUJ1gjA24IONQnWCBZDSVEuMC5JUV9UUl9UT1RBTF9DQVNIBQAAAAAAAAAIAAAAGChJbnZhbGlkIFRyYW5zYWN0aW9uIElkKUlTR280CdYIzFjngTQJ1gghQ0lRLk5BU0RBUUdTOkFOQUIuSVFfQ09NUEFOWV9OQU1FAQAAACFMsgEDAAAAEEFuYXB0eXNCaW8sIEluYy4ARp0ZETUJ1ggS/mQSNQnWCCxDSVEuTkFTREFRR006TkxOSy5JUV9MQVNUU0FMRVBSSUNFLjkvMTUvMjAxNwEAAACVe4wAAgAAAAUxMi42NwApHJQQNQnWCOR0WxI1CdYIIUNJUS5JUVRSMzcxNzE1MTE5LklRX1RSX0JVWUVSTkFNRQEAAAAv7CcWAwAAABxCcmlzdG9sLU15ZXJzIFNxdWliYiBDb21wYW55AFjPEg41CdYIwNuCDjUJ1gggQ0lRLklRVFI0MTM5NTM2NjEuSVFfVFJfRUFSTk9VVFMBAAAAfW6sGAIAAAADNTgwAQYAAAAFAAAAAjU0AQAAAAYxMDE0MDMCAAAACTQxMzk1MzY2MQMAAAAJNDEzOTU3NjQwBAAAAAMxNjAGAAAABUZhbHNlsrNJbzQJ1giB/ZVvNAnWCCVDSVEuSVFUUjU0NzQyMzY4MC5JUV9QUklNQVJZX0lO</t>
  </si>
  <si>
    <t>RFVTVFJZAQAAAAIYcwgDAAAADUJpb3RlY2hub2xvZ3kADG0QDjUJ1gjA24IONQnWCDpDSVEuTkFTREFRR1M6Q1RNWC5JUV9DQVNIX1NUX0lOVkVTVC4uOS8xNS8yMDE3LkxGUi5GLlVTRC5IAQAAANw4mwMCAAAABzMzNS45MTYBCAAAAAUAAAABMQEAAAAKMTg1MjM1OTcyMgMAAAADMTYwAgAAAAQxMDAyBAAAAAEwBwAAAAk5LzE1LzIwMTcIAAAACTYvMzAvMjAxNwkAAAABMMT/GxE1CdYIwptiEjUJ1ghGQ0lRLihJTlZBTElEIElERU5USUZJRVIpLklRX0VCSVREQV8yWVJfQU5OX0NBR1IuLjcvMTYvMjAxOC5MRlIuRi5VU0QuSAUAAAAAAAAACAAAABQoSW52YWxpZCBJZGVudGlmaWVyKd6nfhA1CdYImBJZEjUJ1gg8Q0lRLk5BU0RBUUdNOkFSUUwuSVFfR1JPU1NfTUFSR0lOLjIwMDAuNy8zMS8yMDE4LkxGUi5GLlVTRC5IAQAAAPZhAAADAAAAAk5NAQgAAAAFAAAAATEBAAAACjE4ODg3ODg3NzADAAAAAzE2MAIAAAAENDA3NAQAAAABMAcAAAAJNy8zMS8yMDE4CAAAAAkzLzMxLzIwMTgJAAAAATDWjBE4CAnWCHMknW80CdYIJUNJUS5JUVRSMzE0ODI5MjM2LklRX1BSSU1BUllfSU5EVVNUUlkBAAAARObDEgMAAAANQmlvdGVjaG5vbG9neQAMbRAONQnWCMDbgg41CdYINkNJUS5OQVNEQVFHTTpDUklTLklRX0VCSVREQS4yMDAwLjcvMzEvMjAxOC5MRlIuRi5VU0QuSAEAAAAXagAAAgAAAActNDQuMzgyAQgA</t>
  </si>
  <si>
    <t>AAAFAAAAATEBAAAACjE4ODYyNDc0MjADAAAAAzE2MAIAAAAENDA1MQQAAAABMAcAAAAJNy8zMS8yMDE4CAAAAAkzLzMxLzIwMTgJAAAAATDIMLI3CAnWCN1LpG80CdYIO0NJUS5OQVNEQVFHUzpCR05FLklRX1RPVEFMX1JFVi5DWTIwMTYuNy8zMS8yMDE4LkxGUi5GLlVTRC5IAQAAAODk3QYCAAAABDEuMDcBCAAAAAUAAAABMQEAAAAKMTg5OTg4MTIwNAMAAAADMTYwAgAAAAIyOAQAAAABMAcAAAAJNy8zMS8yMDE4CAAAAAoxMi8zMS8yMDE2CQAAAAEwnAvVOAgJ1giB/ZVvNAnWCClDSVEuSVFUUjU1MzU0ODAyNS5JUV9UUl9JTVBMSUVEX0VRX05JX0xUTQEAAAD5eP4gAwAAAAJOTQCys0lvNAnWCIH9lW80CdYIPUNJUS5OQVNEQVFDTTpBVkVPLklRX1JFVkVOVUVfRVNULkNZMjAyMS43LzE2LzIwMTguQ09OLkYuVVNELkgBAAAA9BYdAAIAAAAFMTE4LjMBDgAAAAUAAAACMTEBAAAAATACAAAACjEwMDA5MzM2MjgDAAAABjEwMDE4MAQAAAABMgYAAAABMAcAAAADMTYwCAAAAAEwCQAAAAExCgAAAAEwCwAAAAsxMDg3MTI2MTEzOQwAAAABNw0AAAAJNy8xNy8yMDE4EAAAAAk3LzE2LzIwMTjE/xsRNQnWCMKbYhI1CdYIOUNJUS5OQVNEQVFHUzpCR05FLklRX1RPVEFMX1JFVi4yMDAwLjcvMzEvMjAxOC5MRlIuRi5VU0QuSAEAAADg5N0GAgAAAAcyNzAuOTMxAQgAAAAFAAAAATEBAAAACjE4ODc2ODg1ODgDAAAA</t>
  </si>
  <si>
    <t>AzE2MAIAAAACMjgEAAAAATAHAAAACTcvMzEvMjAxOAgAAAAJMy8zMS8yMDE4CQAAAAEwnAvVOAgJ1giB/ZVvNAnWCDxDSVEuTkFTREFRR1M6RlBSWC5JUV9UT1RBTF9FUVVJVFkuMTk5Mi43LzMxLzIwMTguTEZSLkYuVVNELkgBAAAAN10zAAIAAAAHNDI4LjEzNwEIAAAABQAAAAExAQAAAAoxODQwNTY1Nzk0AwAAAAMxNjACAAAABDEyNzUEAAAAATAHAAAACTcvMzEvMjAxOAgAAAAJMy8zMS8yMDE2CQAAAAEwyDCyNwgJ1ggZ6aFvNAnWCC1DSVEuTkFTREFRR1M6QkdORS5JUV9FQklUREEuMTk5Mi4uTEZSLkYuVVNELkgBAAAA4OTdBgIAAAAHLTgzLjU3OQEIAAAABQAAAAExAQAAAAoxODUyNzAwNTIxAwAAAAMxNjACAAAABDQwNTEEAAAAATAHAAAACTgvMjMvMjAxOAgAAAAJNi8zMC8yMDE2CQAAAAEwnAvVOAgJ1gicC9U4CAnWCDhDSVEuTkFTREFRR1M6QkdORS5JUV9FQklUREEuQ1kyMDE2LjcvMzEvMjAxOC5MRlIuRi5VU0QuSAEAAADg5N0GAgAAAAgtMTE1LjE1MQEIAAAABQAAAAExAQAAAAoxODk5ODgxMjA0AwAAAAMxNjACAAAABDQwNTEEAAAAATAHAAAACTcvMzEvMjAxOAgAAAAKMTIvMzEvMjAxNgkAAAABMJwL1TgICdYIgf2VbzQJ1ggwQ0lRLk5BU0RBUUNNOlpJT1AuSVFfTEFTVFNBTEVQUklDRS43LzMxLzIwMTguVVNEAQAAALNRsgACAAAABDIuNTkA1owROAgJ1gjDhp9vNAnWCDZDSVEuTkFT</t>
  </si>
  <si>
    <t>REFRR1M6QU5BQi5JUV9FQVJOSU5HX0NPLi43LzE2LzIwMTguTEZSLkYuVVNELkgBAAAAIUyyAQIAAAAHLTMzLjcyMQEIAAAABQAAAAExAQAAAAoxODg3NDAwMDQzAwAAAAMxNjACAAAAATcEAAAAATAHAAAACTcvMTYvMjAxOAgAAAAJMy8zMS8yMDE4CQAAAAEwxP8bETUJ1gjCm2ISNQnWCDFDSVEuSVFUUjQwMzc5MTc2Ny5JUV9UUl9UQVJHRVRfUkVWRU5VRV9FU1QuLlVTRC5IAQAAAJdfERgCAAAAAABYzxIONQnWCMDbgg41CdYIN0NJUS5OQVNEQVFHTTpDUklTLklRX1BFUklPRERBVEVfSVMuMjAwMC43LzMxLzIwMTguTEZSLkYBAAAAF2oAAAUAAAAJMy8zMS8yMDE4AMgwsjcICdYI3UukbzQJ1ghEQ0lRLihJTlZBTElEIElERU5USUZJRVIpLklRX1JFVkVOVUVfRVNULkNZMjAyMS43LzMxLzIwMTguQ09OLkYuVVNELkgFAAAAAAAAAAgAAAAUKEludmFsaWQgSWRlbnRpZmllcinIMLI3CAnWCO02sG80CdYIKkNJUS5JUVRSNTM1NzE5OTk4LklRX1RSX1RBUkdFVF9FQklULi5VU0QuSAEAAAA+cO4fAgAAAAgtMzU0LjczNwEGAAAABQAAAAIzNwEAAAAKMTg1MjU1ODIyOAIAAAAFMjE2NzUDAAAAAzE2MAQAAAABMAcAAAAIMS8xLzE5MDCys0lvNAnWCIH9lW80CdYIJENJUS5PVENQSzpOV0JPLklRX0JFVEFfMVlSLjcvMTYvMjAxOAEAAACjehQAAgAAABEwLjE0NDEzODQ3MDk4MTY0MQApHJQQNQnWCDDXXRI1</t>
  </si>
  <si>
    <t>CdYIOUNJUS5OQVNEQVFHUzpDQUxBLklRX05JX01BUkdJTi4yMDAwLjcvMzEvMjAxOC5MRlIuRi5VU0QuSAEAAAClJ4EGAgAAAAktMTMxLjUxMTUBCAAAAAUAAAABMQEAAAAKMTg4Nzk4MDMwNQMAAAADMTYwAgAAAAQ0MDk0BAAAAAEwBwAAAAk3LzMxLzIwMTgIAAAACTMvMzEvMjAxOAkAAAABMMgwsjcICdYI3UukbzQJ1gggQ0lRLklRMTE2ODYzMjMuSVFfQ09NUEFOWV9USUNLRVIBAAAAs1GyAAMAAAANTmFzZGFxQ006WklPUACys0lvNAnWCMOGn280CdYII0NJUS5JUVRSNDExODcxMDgyLklRX1RSX0NMT1NFRF9EQVRFAQAAAGqnjBgFAAAACjEyLzE2LzIwMTYAsrNJbzQJ1gg1m5NvNAnWCDtDSVEuTkFTREFRR1M6TksuSVFfRUJJVERBX01BUkdJTi4yMDAwLjcvMzEvMjAxOC5MRlIuRi5VU0QuSAEAAAANfaEPAwAAAAJOTQEIAAAABQAAAAExAQAAAAoxODg3MTE4NzkxAwAAAAMxNjACAAAABDQwNDcEAAAAATAHAAAACTcvMzEvMjAxOAgAAAAJMy8zMS8yMDE4CQAAAAEw1owROAgJ1gjDhp9vNAnWCDlDSVEuTkFTREFRR1M6RVBaTS5JUV9UT1RBTF9SRVYuMjAwMC43LzMxLzIwMTguTEZSLkYuVVNELkgBAAAAAyY9AwIAAAACMTABCAAAAAUAAAABMQEAAAAKMTg4NzI0NjA3NwMAAAADMTYwAgAAAAIyOAQAAAABMAcAAAAJNy8zMS8yMDE4CAAAAAkzLzMxLzIwMTgJAAAAATDWjBE4CAnWCCTCmm80CdYIPUNJ</t>
  </si>
  <si>
    <t>US5OQVNEQVFHUzpUU1JPLklRX1JFVkVOVUVfRVNULkNZMjAxOS43LzMxLzIwMTguQ09OLkYuVVNELkgBAAAAaNZYBgIAAAAJNDY2LjcyNzM3AQ4AAAAFAAAAAjExAQAAAAEwAgAAAAoxMDAxNTgwMzQ1AwAAAAYxMDAxODAEAAAAATIGAAAAATAHAAAAAzE2MAgAAAABMAkAAAABMQoAAAABMAsAAAALMTA5ODExMzc0NDMMAAAAATcNAAAACDgvMS8yMDE4EAAAAAk3LzMxLzIwMTicC9U4CAnWCCTCmm80CdYIOUNJUS5FTlhUUEE6SVBILklRX0VBUk5JTkdfQ08uQ1kyMDE2LjcvMTYvMjAxOC5MRlIuRi5VU0QuSAEAAACZgAYAAgAAAAkxMy4zNDMxODYBCAAAAAUAAAABMQEAAAAKMTg4OTU1MjEzNgMAAAADMTYwAgAAAAE3BAAAAAEwBwAAAAk3LzE2LzIwMTgIAAAACjEyLzMxLzIwMTYJAAAAATApHJQQNQnWCHM5YBI1CdYILkNJUS5OQVNEQVFDTTpNVEVNLklRX01BUktFVENBUC43LzMxLzIwMTguVVNELkgBAAAAmZupAQIAAAAKMTQwLjE3MzkyNAEGAAAABQAAAAExAQAAAAoxODg4NzMyOTI3AwAAAAMxNjACAAAABjEwMDA1NAQAAAABMAcAAAAJNy8zMS8yMDE4yDCyNwgJ1ggZ6aFvNAnWCBdDSVEuLklRX0VGRkVDVF9UQVhfUkFURQUAAAAAAAAACAAAABQoSW52YWxpZCBJZGVudGlmaWVyKfWEMkc0CdYIaKoQ9zQJ1gg8Q0lRLk5BU0RBUUdTOkZQUlguSVFfRUJJVERBX0VTVC5DWTIwMTguNy8zMS8yMDE4LkNP</t>
  </si>
  <si>
    <t>Ti5GLlVTRC5IAQAAADddMwACAAAACC0xMjAuODg2AQ4AAAAFAAAAAjExAQAAAAEwAgAAAAoxMDAxOTU2MzQ0AwAAAAYxMDAxODcEAAAAATIGAAAAATAHAAAAAzE2MAgAAAABMAkAAAABMQoAAAABMAsAAAALMTA5Mjc5ODA2OTEMAAAAATcNAAAACDgvMS8yMDE4EAAAAAk3LzMxLzIwMTjWjBE4CAnWCBnpoW80CdYILkNJUS5OQVNEQVFHUzpKTkNFLklRX01BUktFVENBUC43LzE2LzIwMTguVVNELkgBAAAA4nmeDQIAAAAKMjU0LjM0NTM1MQEGAAAABQAAAAExAQAAAAoxODg4MTg2MDM1AwAAAAMxNjACAAAABjEwMDA1NAQAAAABMAcAAAAJNy8xNi8yMDE4KRyUEDUJ1gjkdFsSNQnWCEZDSVEuTkFTREFRR1M6VFNSTy5JUV9UT1RBTF9SRVZfNVlSX0FOTl9DQUdSLjIwMDAuNy8zMS8yMDE4LkxGUi5GLlVTRC5IAQAAAGjWWAYDAAAAAACcC9U4CAnWCCTCmm80CdYIOUNJUS4uSVFfVE9UQUxfUkVWXzJZUl9BTk5fQ0FHUi4yMDAwLjcvMzEvMjAxOC5MRlIuRi5VU0QuSAUAAAABAAAACAAAABQoSW52YWxpZCBJZGVudGlmaWVyKfWEMkc0CdYI9YQyRzQJ1gg9Q0lRLk5BU0RBUUNNOlNSTkUuSVFfQ0FTSF9TVF9JTlZFU1QuMjAwMC41LzUvMjAxNy5MRlIuRi5VU0QuSAEAAABJQ5QDAgAAAAY4My41MDQBCAAAAAUAAAABMQEAAAAKMTgzMzU2NjU5OQMAAAADMTYwAgAAAAQxMDAyBAAAAAEwBwAAAAg1LzUvMjAxNwgA</t>
  </si>
  <si>
    <t>AAAKMTIvMzEvMjAxNgkAAAABMNaMETgICdYIcySdbzQJ1gg2Q0lRLk5BU0RBUUdTOkJHTkUuSVFfRUJJVERBLjE5OTIuNy8zMS8yMDE4LkxGUi5GLlVTRC5IAQAAAODk3QYCAAAABy02NS42MzUBCAAAAAUAAAABMQEAAAAKMTg0MTE4MDE2OAMAAAADMTYwAgAAAAQ0MDUxBAAAAAEwBwAAAAk3LzMxLzIwMTgIAAAACTMvMzEvMjAxNgkAAAABMJwL1TgICdYIgf2VbzQJ1ggiQ0lRLklRVFI1NDgzMzgwMjAuSVFfVFJfUENUX1NPVUdIVAEAAABk+a4gAgAAAAMxMDABBgAAAAUAAAACNTQBAAAABjEwMTAyNAIAAAAJNTQ4MzM4MDIwAwAAAAk1NDgzNDA5ODUEAAAAAzE2MAYAAAAEVHJ1ZQxtEA41CdYIwNuCDjUJ1ggiQ0lRLklRVFI0MDgyOTEzOTUuSVFfVFJfVEFSR0VUTkFNRQEAAABDCFYYAwAAAB1Lb2xsdGFuIFBoYXJtYWNldXRpY2FscywgSW5jLgBYzxIONQnWCMDbgg41CdYIKkNJUS5JUVRSNDA5OTUxODg2LklRX1RSX1RBUkdFVF9FQklULi5VU0QuSAEAAACOXm8YAgAAAAAADG0QDjUJ1gjA24IONQnWCDxDSVEuTkFTREFRR1M6S1VSQS5JUV9FQklUREFfRVNULkNZMjAxOC43LzMxLzIwMTguQ09OLkYuVVNELkgBAAAAuMvaEAMAAAAAANaMETgICdYIcySdbzQJ1ggxQ0lRLklRVFI0MTM5NTM2NjEuSVFfVFJfVEFSR0VUX1JFVkVOVUVfRVNULi5VU0QuSAEAAAB9bqwYAgAAAAAAsrNJbzQJ1giB/ZVvNAnW</t>
  </si>
  <si>
    <t>CDxDSVEuTkFTREFRQ006QVZFTy5JUV9FQklUREFfRVNULkNZMjAxOC43LzE2LzIwMTguQ09OLkYuVVNELkgBAAAA9BYdAAMAAAAAAMT/GxE1CdYIwptiEjUJ1ggpQ0lRLklRMzYxODM4MjUuSVFfTEFTVFNBTEVQUklDRS43LzMxLzIwMTgBAAAAER8oAgIAAAAEMi42NwBJU0dvNAnWCIH9lW80CdYIHkNJUS5JUTI3OTMyOC5JUV9DT01QQU5ZX1RJQ0tFUgEAAAAgQwQAAwAAAA1OYXNkYXFHTTpJTU1VAAxtEA41CdYIqAKKDjUJ1ghGQ0lRLk5BU0RBUUdTOktVUkEuSVFfTUlOT1JJVFlfSU5URVJFU1RfVE9UQUwuMjAwMC41LzUvMjAxNy5MRlIuRi5VU0QuSAEAAAC4y9oQAwAAAAAA1owROAgJ1ghzJJ1vNAnWCD5DSVEuTkFTREFRR1M6S1VSQS5JUV9UT1RBTF9FUVVJVFkuQ1kyMDE2LjcvMzEvMjAxOC5MRlIuRi5VU0QuSAEAAAC4y9oQAgAAAAY1Ni44NzYBCAAAAAUAAAABMQEAAAAKMTg3ODAxMjQzNQMAAAADMTYwAgAAAAQxMjc1BAAAAAEwBwAAAAk3LzMxLzIwMTgIAAAACjEyLzMxLzIwMTYJAAAAATDWjBE4CAnWCHMknW80CdYIMkNJUS5OQVNEQVFHUzpQQllJLklRX0VCSVREQS4uNy8xNi8yMDE4LkxGUi5GLlVTRC5IAQAAAAJqrAcCAAAACC0yMzguNzA3AQgAAAAFAAAAATEBAAAACjE4ODg2Njc3NDMDAAAAAzE2MAIAAAAENDA1MQQAAAABMAcAAAAJNy8xNi8yMDE4CAAAAAkzLzMxLzIwMTgJAAAAATDE</t>
  </si>
  <si>
    <t>/xsRNQnWCBL+ZBI1CdYIPENJUS5OQVNEQVFHUzpLVVJBLklRX0dST1NTX01BUkdJTi4yMDAwLjcvMzEvMjAxOC5MRlIuRi5VU0QuSAEAAAC4y9oQAwAAAAAA1owROAgJ1ghzJJ1vNAnWCD1DSVEuTkFTREFRR006RkFURS5JUV9SRVZFTlVFX0VTVC5DWTIwMjAuNy8zMS8yMDE4LkNPTi5GLlVTRC5IAQAAAGgxVwICAAAABzE2Ljg0NjUBDgAAAAUAAAACMTEBAAAAATACAAAACjEwMDE5Njc0NDgDAAAABjEwMDE4MAQAAAABMgYAAAABMAcAAAADMTYwCAAAAAEwCQAAAAExCgAAAAEwCwAAAAsxMDk4NTcxNTgyMQwAAAABNw0AAAAIOC8xLzIwMTgQAAAACTcvMzEvMjAxONaMETgICdYIw4afbzQJ1gg9Q0lRLk5BU0RBUUdTOk1HTlguSVFfUkVWRU5VRV9FU1QuQ1kyMDE4LjcvMTYvMjAxOC5DT04uRi5VU0QuSAEAAABPKwkAAgAAAAgyNS4zMjkzNwEOAAAABQAAAAIxMQEAAAABMAIAAAAKMTAwMTk3MjkyOQMAAAAGMTAwMTgwBAAAAAEyBgAAAAEwBwAAAAMxNjAIAAAAATAJAAAAATEKAAAAATALAAAACzExMDMzNjMzMjY0DAAAAAE3DQAAAAk3LzE3LzIwMTgQAAAACTcvMTYvMjAxOMT/GxE1CdYIwptiEjUJ1gg1Q0lRLk5BU0RBUUdTOlNHRU4uSVFfTklfTUFSR0lOLi43LzE2LzIwMTguTEZSLkYuVVNELkgBAAAAYYUAAAIAAAAILTM0LjUwNDkBCAAAAAUAAAABMQEAAAAKMTg4NDg5Mjg1MgMAAAADMTYwAgAAAAQ0</t>
  </si>
  <si>
    <t>MDk0BAAAAAEwBwAAAAk3LzE2LzIwMTgIAAAACTMvMzEvMjAxOAkAAAABMMT/GxE1CdYIaGBnEjUJ1gg9Q0lRLk5BU0RBUUNNOk1URU0uSVFfQ0FTSF9TVF9JTlZFU1QuMjAwMC41LzUvMjAxNy5MRlIuRi5VU0QuSAEAAACZm6kBAwAAAAAAyDCyNwgJ1ggZ6aFvNAnWCClDSVEuSVFUUjI1Mzk1NDQ3My5JUV9UUl9JTVBMSUVEX0VRX05JX0xUTQEAAACpCSMPAgAAAAAAsrNJbzQJ1gg1m5NvNAnWCChDSVEuTkFTREFRQ006Q0tQVC5JUV9URVYuNy8xNi8yMDE4LlVTRC5IAQAAALhRFhECAAAACTQ3LjczNTkyNwEGAAAABQAAAAExAQAAAAoxODg4MDA3MTg3AwAAAAMxNjACAAAABjEwMDA2MAQAAAABMAcAAAAJNy8xNi8yMDE4KRyUEDUJ1ggw110SNQnWCENDSVEuTkFTREFRR006QUZNRC5JUV9NSU5PUklUWV9JTlRFUkVTVF9UT1RBTC4uOS8xNS8yMDE3LkxGUi5GLlVTRC5IAQAAANv3DAADAAAAAAApHJQQNQnWCDDXXRI1CdYIJ0NJUS5OQVNEQVFHTTpDUklTLklRX0JFVEFfMVlSLjcvMzEvMjAxOAEAAAAXagAAAgAAABAzLjAwMjgzMTUyNjYxNjI3AMgwsjcICdYI3UukbzQJ1ggxQ0lRLk5BU0RBUUdTOkJHTkUuSVFfREFfQ0YuLjcvMTYvMjAxOC5MRlIuRi5VU0QuSAEAAADg5N0GAgAAAAU2LjEzOAEIAAAABQAAAAExAQAAAAoxODg3Njg4NTg4AwAAAAMxNjACAAAABDIxNjAEAAAAATAHAAAACTcvMTYvMjAx</t>
  </si>
  <si>
    <t>OAgAAAAJMy8zMS8yMDE4CQAAAAEwxP8bETUJ1ghoYGcSNQnWCDxDSVEuTkFTREFRR006WE5DUi5JUV9FQVJOSU5HX0NPLkNZMjAxNi43LzE2LzIwMTguTEZSLkYuVVNELkgBAAAAploLAAIAAAAGMjMuNjI1AQgAAAAFAAAAATEBAAAACjE4NzY5ODQ1MjMDAAAAAzE2MAIAAAABNwQAAAABMAcAAAAJNy8xNi8yMDE4CAAAAAoxMi8zMS8yMDE2CQAAAAEwxP8bETUJ1ggS/mQSNQnWCEBDSVEuKElOVkFMSUQgSURFTlRJRklFUikuSVFfVE9UQUxfREVCVC4yMDAwLjUvNS8yMDE3LkxGUi5GLlVTRC5IBQAAAAAAAAAIAAAAFChJbnZhbGlkIElkZW50aWZpZXIpyDCyNwgJ1gjtNrBvNAnWCDlDSVEuTkFTREFRR1M6QkdORS5JUV9UT1RBTF9SRVYuMTk5Mi43LzMxLzIwMTguTEZSLkYuVVNELkgBAAAA4OTdBgIAAAAFOC4xMTQBCAAAAAUAAAABMQEAAAAKMTg0MTE4MDE2OAMAAAADMTYwAgAAAAIyOAQAAAABMAcAAAAJNy8zMS8yMDE4CAAAAAkzLzMxLzIwMTYJAAAAATCcC9U4CAnWCIH9lW80CdYIPENJUS5OQVNEQVFHTTpJTU1VLklRX0VCSVREQV9FU1QuQ1kyMDIwLjcvMzEvMjAxOC5DT04uRi5VU0QuSAEAAAAgQwQAAwAAAAAAnAvVOAgJ1gjUX5hvNAnWCDZDSVEuTkFTREFRR006Q1JWUy5JUV9FQklUREEuMTk5Mi43LzMxLzIwMTguTEZSLkYuVVNELkgBAAAA9LCmEAIAAAAHLTE3LjcyOQEIAAAABQAAAAExAQAA</t>
  </si>
  <si>
    <t>AAoxODQwMTE2MTU0AwAAAAMxNjACAAAABDQwNTEEAAAAATAHAAAACTcvMzEvMjAxOAgAAAAJMy8zMS8yMDE2CQAAAAEw1owROAgJ1ggZ6aFvNAnWCDFDSVEuTkFTREFRR006WE5DUi5JUV9DQVBFWC4uNy8xNi8yMDE4LkxGUi5GLlVTRC5IAQAAAKZaCwACAAAABi03LjE2MwEIAAAABQAAAAExAQAAAAoxODg3MTI1ODU1AwAAAAMxNjACAAAABDIwMjEEAAAAATAHAAAACTcvMTYvMjAxOAgAAAAJMy8zMS8yMDE4CQAAAAEwxP8bETUJ1ggS/mQSNQnWCDtDSVEuTkFTREFRR006Q1JWUy5JUV9UT1RBTF9SRVYuQ1kyMDE3LjcvMzEvMjAxOC5MRlIuRi5VU0QuSAEAAAD0sKYQAwAAAAAA1owROAgJ1ggZ6aFvNAnWCDZDSVEuTkFTREFRR006QVJSWS5JUV9FQklUREEuMjAwMC43LzMxLzIwMTguTEZSLkYuVVNELkgBAAAA+GEAAAIAAAAILTEwNy4wNDcBCAAAAAUAAAABMQEAAAAKMTg4ODQ3MDY3NgMAAAADMTYwAgAAAAQ0MDUxBAAAAAEwBwAAAAk3LzMxLzIwMTgIAAAACTMvMzEvMjAxOAkAAAABMJwL1TgICdYI1F+YbzQJ1ggjQ0lRLklRVFI1NDgzMzgwMjAuSVFfVFJfVE9UQUxfU1RPQ0sBAAAAZPmuIAIAAAAAAAxtEA41CdYIwNuCDjUJ1ghDQ0lRLk5BU0RBUUNNOlNSTkUuSVFfRUJJVERBXzNZUl9BTk5fQ0FHUi4yMDAwLjcvMzEvMjAxOC5MRlIuRi5VU0QuSAEAAABJQ5QDAwAAAAJOTQEIAAAABQAAAAExAQAA</t>
  </si>
  <si>
    <t>AAoxODg3OTg5ODMxAwAAAAMxNjACAAAABDQyMjIEAAAAATAHAAAACTcvMzEvMjAxOAgAAAAJMy8zMS8yMDE4CQAAAAEw1owROAgJ1ghzJJ1vNAnWCD1DSVEuTkFTREFRR1M6TVJTTi5JUV9SRVZFTlVFX0VTVC5DWTIwMjAuNy8zMS8yMDE4LkNPTi5GLlVTRC5IAQAAAObFGAACAAAABjIzLjczOAEOAAAABQAAAAIxMQEAAAABMAIAAAAKMTAwMzgwMzI4NQMAAAAGMTAwMTgwBAAAAAEyBgAAAAEwBwAAAAMxNjAIAAAAATAJAAAAATEKAAAAATALAAAACzExMDQzNTgxNTE0DAAAAAE3DQAAAAg4LzEvMjAxOBAAAAAJNy8zMS8yMDE41owROAgJ1gjDhp9vNAnWCEJDSVEuTkFTREFRR1M6QU5BQi5JUV9UT1RBTF9SRVZfNVlSX0FOTl9DQUdSLi43LzE2LzIwMTguTEZSLkYuVVNELkgBAAAAIUyyAQMAAAAAAMT/GxE1CdYIwptiEjUJ1gg5Q0lRLk5BU0RBUUdTOkNBTEEuSVFfVE9UQUxfUkVWLjE5OTYuNy8zMS8yMDE4LkxGUi5GLlVTRC5IAQAAAKUngQYCAAAABTQuMTkyAQgAAAAFAAAAATEBAAAACjE4ODc5ODAyNzcDAAAAAzE2MAIAAAACMjgEAAAAATAHAAAACTcvMzEvMjAxOAgAAAAJMy8zMS8yMDE3CQAAAAEwyDCyNwgJ1gjdS6RvNAnWCDdDSVEuTkFTREFRR1M6VFNSTy5JUV9QUkVGX0VRVUlUWS4uNy8xNi8yMDE4LkxGUi5GLlVTRC5IAQAAAGjWWAYDAAAAAADE/xsRNQnWCBL+ZBI1CdYINUNJUS5OQVNEQVFH</t>
  </si>
  <si>
    <t>UzpBVE5YLklRX0NBUEVYLjIwMDAuNy8zMS8yMDE4LkxGUi5GLlVTRC5IAQAAANyZawECAAAABi01LjA2MwEIAAAABQAAAAExAQAAAAoxODg4NzAyOTgyAwAAAAMxNjACAAAABDIwMjEEAAAAATAHAAAACTcvMzEvMjAxOAgAAAAJMy8zMS8yMDE4CQAAAAEw1owROAgJ1ggkwppvNAnWCC9DSVEuKElOVkFMSUQgSURFTlRJRklFUikuSVFfVEVWLjcvMTYvMjAxOC5VU0QuSAUAAAAAAAAACAAAABQoSW52YWxpZCBJZGVudGlmaWVyKd6nfhA1CdYImBJZEjUJ1gguQ0lRLi5JUV9UT1RBTF9SRVYuQ1kyMDE3LjcvMzEvMjAxOC5MRlIuRi5VU0QuSAUAAAABAAAACAAAABQoSW52YWxpZCBJZGVudGlmaWVyKZYkMEc0CdYIliQwRzQJ1gg9Q0lRLk5BU0RBUUdTOkNBTEEuSVFfQ0FTSF9TVF9JTlZFU1QuMjAwMC41LzUvMjAxNy5MRlIuRi5VU0QuSAEAAAClJ4EGAgAAAAY1MS43ODEBCAAAAAUAAAABMQEAAAAKMTgzMjE3NzY2NgMAAAADMTYwAgAAAAQxMDAyBAAAAAEwBwAAAAg1LzUvMjAxNwgAAAAKMTIvMzEvMjAxNgkAAAABMMgwsjcICdYI3UukbzQJ1gguQ0lRLklRVFIyNzM1MDcxODUuSVFfVFJfVEFSR0VUX1NUT0NLUFJFTUlVTV8xTQEAAABxY00QAgAAAAgxMDQuNzQxOAEGAAAABQAAAAI1NAEAAAAGMTAxMDU1AgAAAAkyNzM1MDcxODUDAAAACTI3MzUwNzc4NwQAAAADMTYwBgAAAAVGYWxzZbKzSW80CdYIgf2V</t>
  </si>
  <si>
    <t>bzQJ1ggvQ0lRLkFTWDpJTVUuSVFfVE9UQUxfUkVWLi43LzE2LzIwMTguTEZSLkYuVVNELkgBAAAAmJOpAAIAAAAHMC44ODE2OQEIAAAABQAAAAExAQAAAAoxODc3MzA1MzIwAwAAAAMxNjACAAAAAjI4BAAAAAEwBwAAAAk3LzE2LzIwMTgIAAAACjEyLzMxLzIwMTcJAAAAATApHJQQNQnWCDDXXRI1CdYIHkNJUS4wLklRX1RSX1RBUkdFVF9FQklULi5VU0QuSAUAAAAAAAAACAAAABgoSW52YWxpZCBUcmFuc2FjdGlvbiBJZClJU0dvNAnWCAfi8IE0CdYIPENJUS5OQVNEQVFHUzpHVEhYLklRX1RPVEFMX0VRVUlUWS4xOTkyLjcvMzEvMjAxOC5MRlIuRi5VU0QuSAEAAABlNGkIAwAAAAAA1owROAgJ1ggkwppvNAnWCCJDSVEuWFRSQTpNT1IuSVFfUEVSSU9EREFURV9JUy4xMDAwAQAAAN8RAgAFAAAACjEyLzMxLzIwMTcAnAvVOAgJ1gjUX5hvNAnWCCFDSVEuSVFUUjQxMTg3MTA4Mi5JUV9UUl9CVVlFUk5BTUUBAAAAaqeMGAMAAAATQ2VsZ2VuZSBDb3Jwb3JhdGlvbgCys0lvNAnWCDWbk280CdYINUNJUS5FTlhUUEE6SVBILklRX0VCSVREQS5DWTIwMTcuNy8xNi8yMDE4LkxGUi5GLlVTRC5IAQAAAJmABgACAAAACS00Mi43MzQxNQEIAAAABQAAAAExAQAAAAoxODg5NTUyMTY0AwAAAAMxNjACAAAABDQwNTEEAAAAATAHAAAACTcvMTYvMjAxOAgAAAAKMTIvMzEvMjAxNwkAAAABMCkclBA1CdYIczlgEjUJ1gg+</t>
  </si>
  <si>
    <t>Q0lRLk5BU0RBUUdTOlRTUk8uSVFfVE9UQUxfRVFVSVRZLkNZMjAxNy43LzE2LzIwMTguTEZSLkYuVVNELkgBAAAAaNZYBgIAAAAHMjQ5LjA4NgEIAAAABQAAAAExAQAAAAoxODc3MjI2MzAxAwAAAAMxNjACAAAABDEyNzUEAAAAATAHAAAACTcvMTYvMjAxOAgAAAAKMTIvMzEvMjAxNwkAAAABMMT/GxE1CdYIEv5kEjUJ1gggQ0lRLklRVFI0MzE4NDE1ODEuSVFfVFJfRUFSTk9VVFMBAAAALWG9GQIAAAAAAAxtEA41CdYIDD6FDjUJ1gg6Q0lRLk5BU0RBUUdTOkNBTEEuSVFfVE9UQUxfREVCVC4yMDAwLjcvMzEvMjAxOC5MRlIuRi5VU0QuSAEAAAClJ4EGAgAAAAEwAQgAAAAFAAAAATEBAAAACjE4ODc5ODAzMDUDAAAAAzE2MAIAAAAENDE3MwQAAAABMAcAAAAJNy8zMS8yMDE4CAAAAAkzLzMxLzIwMTgJAAAAATDIMLI3CAnWCN1LpG80CdYIPENJUS5PVENQSzpNQlZYLklRX0VCSVREQV81WVJfQU5OX0NBR1IuLjcvMTYvMjAxOC5MRlIuRi5VU0QuSAEAAADYRIsCAwAAAAJOTQEIAAAABQAAAAExAQAAAAoxODgxMjEzMjQ1AwAAAAMxNjACAAAABDQyMzUEAAAAATAHAAAACTcvMTYvMjAxOAgAAAAKMTIvMzEvMjAxNwkAAAABMN6nfhA1CdYImBJZEjUJ1ggxQ0lRLk5BU0RBUUdNOkFGTUQuSVFfREFfQ0YuLjcvMTYvMjAxOC5MRlIuRi5VU0QuSAEAAADb9wwAAgAAAAgwLjQ0ODQ0MgEIAAAABQAAAAExAQAAAAox</t>
  </si>
  <si>
    <t>ODg5ODY2MDQ5AwAAAAMxNjACAAAABDIxNjAEAAAAATAHAAAACTcvMTYvMjAxOAgAAAAJMy8zMS8yMDE4CQAAAAEwKRyUEDUJ1ggw110SNQnWCDxDSVEuTkFTREFRQ006WklPUC5JUV9UT1RBTF9FUVVJVFkuMTk5Ni43LzMxLzIwMTguTEZSLkYuVVNELkgBAAAAs1GyAAIAAAAGMzQuNTM5AQgAAAAFAAAAATEBAAAACjE4ODc5NzIzNDgDAAAAAzE2MAIAAAAEMTI3NQQAAAABMAcAAAAJNy8zMS8yMDE4CAAAAAkzLzMxLzIwMTcJAAAAATDWjBE4CAnWCMOGn280CdYIKkNJUS5JUVRSNTMzMzg1NzQ0LklRX1RSX1RBUkdFVF9FQklULi5VU0QuSAEAAAAQ0sofAgAAAAAADG0QDjUJ1gjA24IONQnWCChDSVEuTkFTREFRR1M6Q1RNWC5JUV9URVYuNy8xNi8yMDE4LlVTRC5IAQAAANw4mwMCAAAACjY2Mi45MDg1MzcBBgAAAAUAAAABMQEAAAAKMTg4NzY3NDgyOQMAAAADMTYwAgAAAAYxMDAwNjAEAAAAATAHAAAACTcvMTYvMjAxOEadGRE1CdYIwptiEjUJ1ggwQ0lRLklRVFI1NDgzMzgwMjAuSVFfVFJfVEFSR0VUX0VCSVREQV9FU1QuLlVTRC5IAQAAAGT5riACAAAAAAAMbRAONQnWCMDbgg41CdYIOkNJUS5OQVNEQVFHUzpHVEhYLklRX0VBUk5JTkdfQ08uMjAwMC43LzMxLzIwMTguTEZSLkYuVVNELkgBAAAAZTRpCAIAAAAHLTY4LjE4NgEIAAAABQAAAAExAQAAAAoxODg2MzY3NjY3AwAAAAMxNjACAAAAATcEAAAA</t>
  </si>
  <si>
    <t>ATAHAAAACTcvMzEvMjAxOAgAAAAJMy8zMS8yMDE4CQAAAAEw1owROAgJ1ggkwppvNAnWCDpDSVEuTkFTREFRR006SU1NVS5JUV9FQVJOSU5HX0NPLjE5OTIuNy8zMS8yMDE4LkxGUi5GLlVTRC5IAQAAACBDBAACAAAACi01NS42Mzc3NDYBCAAAAAUAAAABMQEAAAAKMTg0MTE3MTIyNAMAAAADMTYwAgAAAAE3BAAAAAEwBwAAAAk3LzMxLzIwMTgIAAAACTMvMzEvMjAxNgkAAAABMJwL1TgICdYI1F+YbzQJ1gg4Q0lRLk5BU0RBUUdTOkNBTEEuSVFfVE9UQUxfRVFVSVRZLi43LzE2LzIwMTguTEZSLkYuVVNELkgBAAAApSeBBgIAAAAHMTQ3Ljg2NwEIAAAABQAAAAExAQAAAAoxODg3OTgwMzA1AwAAAAMxNjACAAAABDEyNzUEAAAAATAHAAAACTcvMTYvMjAxOAgAAAAJMy8zMS8yMDE4CQAAAAEwKRyUEDUJ1gjkdFsSNQnWCDtDSVEuTkFTREFRR1M6RlBSWC5JUV9UT1RBTF9SRVYuQ1kyMDE3LjcvMzEvMjAxOC5MRlIuRi5VU0QuSAEAAAA3XTMAAgAAAAYzOS41MDgBCAAAAAUAAAABMQEAAAAKMTg3NjEzNTk5MQMAAAADMTYwAgAAAAIyOAQAAAABMAcAAAAJNy8zMS8yMDE4CAAAAAoxMi8zMS8yMDE3CQAAAAEw1owROAgJ1ggZ6aFvNAnWCDVDSVEuRU5YVFBBOklQSC5JUV9FQklUREEuQ1kyMDE2LjcvMTYvMjAxOC5MRlIuRi5VU0QuSAEAAACZgAYAAgAAAAkxMS40MzY3MTUBCAAAAAUAAAABMQEAAAAKMTg4OTU1</t>
  </si>
  <si>
    <t>MjEzNgMAAAADMTYwAgAAAAQ0MDUxBAAAAAEwBwAAAAk3LzE2LzIwMTgIAAAACjEyLzMxLzIwMTYJAAAAATApHJQQNQnWCHM5YBI1CdYIPUNJUS5OQVNEQVFHTTpGQVRFLklRX1JFVkVOVUVfRVNULkNZMjAxOS43LzMxLzIwMTguQ09OLkYuVVNELkgBAAAAaDFXAgIAAAAHMi4yOTQxNwEOAAAABQAAAAIxMQEAAAABMAIAAAAKMTAwMTk2NzQ0MwMAAAAGMTAwMTgwBAAAAAEyBgAAAAEwBwAAAAMxNjAIAAAAATAJAAAAATEKAAAAATALAAAACzEwOTg1NzE1OTg4DAAAAAE3DQAAAAg4LzEvMjAxOBAAAAAJNy8zMS8yMDE41owROAgJ1gjDhp9vNAnWCDpDSVEuTkFTREFRR006QVJSWS5JUV9FQVJOSU5HX0NPLjE5OTIuNy8zMS8yMDE4LkxGUi5GLlVTRC5IAQAAAPhhAAACAAAABi04MC41NgEIAAAABQAAAAExAQAAAAoxODQxMDk1MDI2AwAAAAMxNjACAAAAATcEAAAAATAHAAAACTcvMzEvMjAxOAgAAAAJMy8zMS8yMDE2CQAAAAEwnAvVOAgJ1ggkwppvNAnWCDtDSVEuTkFTREFRR1M6RVBaTS5JUV9QUkVGX0VRVUlUWS4yMDAwLjcvMzEvMjAxOC5MRlIuRi5VU0QuSAEAAAADJj0DAwAAAAAA1owROAgJ1ggkwppvNAnWCClDSVEuTkFTREFRR1M6QVROWC5JUV9CVVNJTkVTU19ERVNDUklQVElPTgEAAADcmWsBAwAAAPMNQXRoZW5leCwgSW5jLiwgYSBiaW9waGFybWFjZXV0aWNhbCBjb21wYW55LCBlbmdhZ2VzIGlu</t>
  </si>
  <si>
    <t>IHRoZSBkaXNjb3ZlcnksIGRldmVsb3BtZW50LCBhbmQgY29tbWVyY2lhbGl6YXRpb24gb2YgdmFyaW91cyB0aGVyYXBpZXMgZm9yIHRoZSB0cmVhdG1lbnQgb2YgY2FuY2VyIGFuZCByZWxhdGVkIGNvbmRpdGlvbnMuIFRoZSBjb21wYW554oCZcyBPcmFzY292ZXJ5IHByb2R1Y3QgY2FuZGlkYXRlcyBpbmNsdWRlIE9yYXhvbCwgYW4gb3JhbCBkb3NhZ2UgZm9ybSwgd2hpY2ggaXMgaW4gUGhhc2UgSUlJIHRyaWFsIGZvciBtZXRhc3RhdGljIGJyZWFzdCBjYW5jZXIsIGFzIHdlbGwgYXMgdmFyaW91cyBjbGluaWNhbCBzdHVkaWVzIGluIGFkdmFuY2VkIG1hbGlnbmFuY2VzIGFuZCBnYXN0cmljIGNhbmNlcjsgYW5kIE9yYXRlY2FuLCBhbiBvcmFsIGRvc2FnZSBmb3JtIG9mIGlyaW5vdGVjYW4gdGhhdCBpcyBpbiBhIFBoYXNlIEkgc3R1ZHkgZm9yIHRoZSB0cmVhdG1lbnQgb2YgbWV0YXN0YXRpYyBjb2xvcmVjdGFsIGNhbmNlciwgZ2xpb2JsYXN0b21hLCBsdW5nLCBvdmFyaWFuLCBjZXJ2aWNhbCwgdXBwZXIgZ2FzdHJvaW50ZXN0aW5hbCwgYW5kIHBhbmNyZWF0aWMgY2FuY2VyLiBJdHMgT3Jhc2NvdmVyeSBwcm9kdWN0IGNhbmRpZGF0ZXMgYWxzbyBjb21wcmlzZSBPcmFkb3hlbCwgYW4gb3JhbCBkb3NhZ2UgZm9ybSBvZiBkb2NldGF4ZWwsIHdoaWNoIGlzIGluIFBoYXNlIEkgY2xpbmljYWwgc3R1</t>
  </si>
  <si>
    <t>ZHkgZm9yIGJyZWFzdCwgbHVuZywgcHJvc3RhdGUsIGdhc3RyaWMsIGFuZCBoZWFkIGFuZCBuZWNrIGNhbmNlcnM7IE9yYXRvcG8sIGFuIG9yYWwgZG9zYWdlIGZvcm0gb2YgdG9wb3RlY2FuIHRoYXQgaXMgdW5kZXIgZGV2ZWxvcG1lbnQgdG8gdHJlYXQgbHVuZywgb3ZhcmlhbiwgYW5kIGNlcnZpY2FsIGNhbmNlcjsgYW5kIG9yYWwgZXJpYnVsaW4gY28tYWRtaW5pc3RlcmVkIHdpdGggSE0zMDE4MUEgdGhhdCBpcyB1bmRlciBwcmUtY2xpbmljYWwgZGV2ZWxvcG1lbnQgdG8gdHJlYXQgY2VydGFpbiBwYXRpZW50cyB3aXRoIGJyZWFzdCBjYW5jZXIgYW5kIGFkdmFuY2VkIGxpcG9zYXJjb20uIEluIGFkZGl0aW9uLCB0aGUgY29tcGFueSBvZmZlcnMgU3JjIEtpbmFzZSBwcm9kdWN0IGNhbmRpZGF0ZXMgY29tcHJpc2luZyBLWC0wMSwgYSBjb21wb3VuZCwgd2hpY2ggaXMgaW4gUGhhc2UgMyBzdHVkeSBmb3IgdGhlIHRyZWF0bWVudCBvZiBhY3RpbmljIGtlcmF0b3NpczsgYW5kIEtYLTAyIHRoYXQgaXMgUGhhc2UgSSBjbGluaWNhbCB0cmlhbCBmb3Igc29saWQgdHVtb3IgcGF0aWVudHMuIEZ1cnRoZXIsIGl0IGlzIGRldmVsb3BpbmcgaW50cmFuYXNhbCBmb3JtdWxhdGlvbnMgb2YgZ3JhbmlzZXRyb24sIGEgNS1oeWRyb3h5dHJ5cHRhbWluZSAzIHJlY2VwdG9yIGFudGFnb25pc3QgdG8gcHJldmVu</t>
  </si>
  <si>
    <t>dCBjaGVtb3RoZXJhcHktaW5kdWNlZCBuYXVzZWEgYW5kIHZvbWl0aW5nOyBhbmQgZHVhbCBhYnNvcnB0aW9uIGVuaGFuY2VycyB0byBpbmhpYml0IHRoZSBQLWdwIHRyYW5zcG9ydGVyIGFuZCB0aGUgY3l0b2Nocm9tZSBQNDUwIGVuenltZXMgd2l0aGluIHRoZSBnYXN0cm9pbnRlc3RpbmFsIHRyYWN0LiBUaGUgY29tcGFueSB3YXMgZm9ybWVybHkga25vd24gYXMgS2luZXggUGhhcm1hY2V1dGljYWxzIExMQyBhbmQgY2hhbmdlZCBpdHMgbmFtZSB0byBBdGhlbmV4LCBJbmMuIGluIEF1Z3VzdCAyMDE1LiBBdGhlbmV4LCBJbmMuIHdhcyBmb3VuZGVkIGluIDIwMDMgYW5kIGlzIGhlYWRxdWFydGVyZWQgaW4gQnVmZmFsbywgTmV3IFlvcmsuANaMETgICdYIJMKabzQJ1ggiQ0lRLklRVFI0MDk5NTE4ODYuSVFfVFJfUENUX1NPVUdIVAEAAACOXm8YAgAAAAMxMDABBgAAAAUAAAACNTQBAAAABjEwMTAyNAIAAAAJNDA5OTUxODg2AwAAAAk0MDk5NTE5MzYEAAAAAzE2MAYAAAAEVHJ1ZQxtEA41CdYIwNuCDjUJ1ggwQ0lRLklRVFI1NDI4MDY2ODYuSVFfVFJfVEFSR0VUX0VCSVREQV9FU1QuLlVTRC5IAQAAAJ6SWiACAAAAAACys0lvNAnWCIH9lW80CdYIL0NJUS5PVENQSzpNQlZYLklRX0VCSVREQS4uNy8xNi8yMDE4LkxGUi5GLlVTRC5IAQAAANhEiwICAAAACS0xNy45MTA2MgEIAAAABQAAAAExAQAAAAox</t>
  </si>
  <si>
    <t>ODgxMjEzMjQ1AwAAAAMxNjACAAAABDQwNTEEAAAAATAHAAAACTcvMTYvMjAxOAgAAAAKMTIvMzEvMjAxNwkAAAABMN6nfhA1CdYImBJZEjUJ1ghEQ0lRLk5BU0RBUUdTOk5LLklRX1RPVEFMX1JFVl8yWVJfQU5OX0NBR1IuMjAwMC43LzMxLzIwMTguTEZSLkYuVVNELkgBAAAADX2hDwIAAAAILTQzLjQ2MDUBCAAAAAUAAAABMQEAAAAKMTg4NzExODc5MQMAAAADMTYwAgAAAAQ0MjA3BAAAAAEwBwAAAAk3LzMxLzIwMTgIAAAACTMvMzEvMjAxOAkAAAABMNaMETgICdYIGemhbzQJ1gg1Q0lRLk5BU0RBUUdTOkFEWFMuSVFfVE9UQUxfUkVWLi43LzE2LzIwMTguTEZSLkYuVVNELkgBAAAAnux4AAIAAAAIOC42MTc5MzUBCAAAAAUAAAABMQEAAAAKMTg5Mjc4ODU0OAMAAAADMTYwAgAAAAIyOAQAAAABMAcAAAAJNy8xNi8yMDE4CAAAAAk0LzMwLzIwMTgJAAAAATApHJQQNQnWCOR0WxI1CdYIPkNJUS5OQVNEQVFHUzpCR05FLklRX1RPVEFMX0VRVUlUWS5DWTIwMTcuNy8zMS8yMDE4LkxGUi5GLlVTRC5IAQAAAODk3QYCAAAABjY4MS45NAEIAAAABQAAAAExAQAAAAoxODk5ODgxMTk0AwAAAAMxNjACAAAABDEyNzUEAAAAATAHAAAACTcvMzEvMjAxOAgAAAAKMTIvMzEvMjAxNwkAAAABMJwL1TgICdYIgf2VbzQJ1ggjQ0lRLk5BU0RBUUdNOkxQVFguSVFfUEVSSU9EREFURV9JUy4BAAAADDYJBwUAAAAJNi8zMC8y</t>
  </si>
  <si>
    <t>MDE4ACkclBA1CdYIMNddEjUJ1gg8Q0lRLk5BU0RBUUdTOk1SU04uSVFfRUJJVERBX0VTVC5DWTIwMTguNy8zMS8yMDE4LkNPTi5GLlVTRC5IAQAAAObFGAACAAAABy01MC42MjQBDgAAAAUAAAACMTEBAAAAATACAAAACjEwMDM4MDMyNzUDAAAABjEwMDE4NwQAAAABMgYAAAABMAcAAAADMTYwCAAAAAEwCQAAAAExCgAAAAEwCwAAAAsxMDk4MTQxNzI3MwwAAAABNw0AAAAIOC8xLzIwMTgQAAAACTcvMzEvMjAxONaMETgICdYIw4afbzQJ1gg4Q0lRLk5BU0RBUUdTOkFOQUIuSVFfVE9UQUxfRVFVSVRZLi43LzE2LzIwMTguTEZSLkYuVVNELkgBAAAAIUyyAQIAAAAHMjk0LjUyNwEIAAAABQAAAAExAQAAAAoxODg3NDAwMDQzAwAAAAMxNjACAAAABDEyNzUEAAAAATAHAAAACTcvMTYvMjAxOAgAAAAJMy8zMS8yMDE4CQAAAAEwxP8bETUJ1gjCm2ISNQnWCDBDSVEuT1RDUEs6TldCTy5JUV9QRVJJT0REQVRFX0lTLi43LzE2LzIwMTguTEZSLkYBAAAAo3oUAAUAAAAJMy8zMS8yMDE4ACkclBA1CdYIczlgEjUJ1ggnQ0lRLk5BU0RBUUdTOkZQUlguSVFfQkVUQV81WVIuNy8zMS8yMDE4AQAAADddMwACAAAAEDMuMzM2NjQyMDkwOTcyNDQA1owROAgJ1ggZ6aFvNAnWCDtDSVEuTkFTREFRR1M6QVROWC5JUV9UT1RBTF9SRVYuQ1kyMDE3LjcvMzEvMjAxOC5MRlIuRi5VU0QuSAEAAADcmWsBAgAAAAYzOC4wNDMBCAAA</t>
  </si>
  <si>
    <t>AAUAAAABMQEAAAAKMTg3OTkwNzYzNQMAAAADMTYwAgAAAAIyOAQAAAABMAcAAAAJNy8zMS8yMDE4CAAAAAoxMi8zMS8yMDE3CQAAAAEw1owROAgJ1ggkwppvNAnWCDlDSVEuT1RDUEs6TUJWWC5JUV9FQklUREFfRVNULkNZMjAxOC43LzE2LzIwMTguQ09OLkYuVVNELkgBAAAA2ESLAgMAAAAAAN6nfhA1CdYImBJZEjUJ1gg2Q0lRLk5BU0RBUUdTOkFEWFMuSVFfVE9UQUxfREVCVC4uNy8xNi8yMDE4LkxGUi5GLlVTRC5IAQAAAJ7seAACAAAAATABCAAAAAUAAAABMQEAAAAKMTg5Mjc4ODU0OAMAAAADMTYwAgAAAAQ0MTczBAAAAAEwBwAAAAk3LzE2LzIwMTgIAAAACTQvMzAvMjAxOAkAAAABMCkclBA1CdYI5HRbEjUJ1ggrQ0lRLk5BU0RBUUdTOkdUSFguSVFfTEFTVFNBTEVQUklDRS41LzUvMjAxNwEAAABlNGkIAwAAAAAA1owROAgJ1ggkwppvNAnWCCJDSVEuSVFUUjQwODI5MTM5NS5JUV9UUl9UT1RBTF9DQVNIAQAAAEMIVhgCAAAAAABYzxIONQnWCMDbgg41CdYIPENJUS5OQVNEQVFHTTpJTU1VLklRX0VBUk5JTkdfQ08uQ1kyMDE3LjcvMzEvMjAxOC5MRlIuRi5VU0QuSAEAAAAgQwQAAgAAAAstMjMzLjg3ODY3MgEIAAAABQAAAAExAQAAAAoxODczNDkzNTI4AwAAAAMxNjACAAAAATcEAAAAATAHAAAACTcvMzEvMjAxOAgAAAAKMTIvMzEvMjAxNwkAAAABMJwL1TgICdYI1F+YbzQJ1gg+Q0lRLk5BU0RB</t>
  </si>
  <si>
    <t>UUdTOk1SU04uSVFfVE9UQUxfRVFVSVRZLkNZMjAxNy43LzE2LzIwMTguTEZSLkYuVVNELkgBAAAA5sUYAAIAAAAGNjkuOTk0AQgAAAAFAAAAATEBAAAACjE4ODA1NDczOTUDAAAAAzE2MAIAAAAEMTI3NQQAAAABMAcAAAAJNy8xNi8yMDE4CAAAAAoxMi8zMS8yMDE3CQAAAAEwKRyUEDUJ1ghzOWASNQnWCDhDSVEuTkFTREFRR006QUZNRC5JUV9FQklUREEuQ1kyMDE3LjcvMTYvMjAxOC5MRlIuRi5VU0QuSAEAAADb9wwAAgAAAAotMzIuMzExNDc5AQgAAAAFAAAAATEBAAAACjE4NzkxNDc2OTYDAAAAAzE2MAIAAAAENDA1MQQAAAABMAcAAAAJNy8xNi8yMDE4CAAAAAoxMi8zMS8yMDE3CQAAAAEwKRyUEDUJ1ggw110SNQnWCDxDSVEuTkFTREFRR1M6RlBSWC5JUV9UT1RBTF9FUVVJVFkuMjAwMC43LzMxLzIwMTguTEZSLkYuVVNELkgBAAAAN10zAAIAAAAHMzYyLjIxNgEIAAAABQAAAAExAQAAAAoxODg3NDAyMjI3AwAAAAMxNjACAAAABDEyNzUEAAAAATAHAAAACTcvMzEvMjAxOAgAAAAJMy8zMS8yMDE4CQAAAAEwyDCyNwgJ1ggZ6aFvNAnWCClDSVEuSVFUUjI1Mzk1NDQ3My5JUV9CVVNJTkVTU19ERVNDUklQVElPTgEAAAClCCMPAwAAAK4CQXMgb2YgSmFudWFyeSA5LCAyMDE0LCB0d28gZXhwZXJpbWVudGFsIGJsb29kIGNhbmNlciBkcnVncyB3ZXJlIGFjcXVpcmVkIGJ5IFN1bmVzaXMgUGhhcm1hY2V1</t>
  </si>
  <si>
    <t>dGljYWxzLCBJbmMuIFR3byBleHBlcmltZW50YWwgYmxvb2QgY2FuY2VyIGRydWdzIGNvbXByaXNlcyB0aGUgbGljZW5zZSBmb3IgdHdvIGJsb29kIGNhbmNlciBkcnVncyB3aGljaCBpbmNsdWRlIFNOUy0wNjIsIGEgbWVkaWF0b3Igb2YgcmVjZXB0b3Igc2lnbmFsaW5nIGZvciBibG9vZCBjYW5jZXJzIGFuZCBQREsxLCBhIGNhbmNlciBzaWduYWxpbmcgcGF0aHdheS4AsrNJbzQJ1gg1m5NvNAnWCD1DSVEuTkFTREFRQ006QVZFTy5JUV9SRVZFTlVFX0VTVC5DWTIwMTkuNy8xNi8yMDE4LkNPTi5GLlVTRC5IAQAAAPQWHQACAAAABzE5LjQyMzUBDgAAAAUAAAACMTEBAAAAATACAAAACjEwMDA3NDgwNzgDAAAABjEwMDE4MAQAAAABMgYAAAABMAcAAAADMTYwCAAAAAEwCQAAAAExCgAAAAEwCwAAAAsxMDg3MTYwOTA1NgwAAAABNw0AAAAJNy8xNy8yMDE4EAAAAAk3LzE2LzIwMTjE/xsRNQnWCMKbYhI1CdYIQ0NJUS5OQVNEQVFDTTpTUk5FLklRX0VCSVREQV8yWVJfQU5OX0NBR1IuMjAwMC43LzMxLzIwMTguTEZSLkYuVVNELkgBAAAASUOUAwMAAAACTk0BCAAAAAUAAAABMQEAAAAKMTg4Nzk4OTgzMQMAAAADMTYwAgAAAAQ0MjA5BAAAAAEwBwAAAAk3LzMxLzIwMTgIAAAACTMvMzEvMjAxOAkAAAABMNaMETgICdYIcySdbzQJ1gg/Q0lRLk5BU0RBUUdTOlRTUk8uSVFfTkVUX1dPUktJTkdfQ0FQLjE5OTYu</t>
  </si>
  <si>
    <t>Ny8zMS8yMDE4LkxGUi5GLlVTRC5IAQAAAGjWWAYCAAAABy03Mi4xMzgBCAAAAAUAAAABMQEAAAAKMTg4NjMzNzQ1MQMAAAADMTYwAgAAAAQxMzExBAAAAAEwBwAAAAk3LzMxLzIwMTgIAAAACTMvMzEvMjAxNwkAAAABMJwL1TgICdYIJMKabzQJ1ggoQ0lRLihJTlZBTElEIElERU5USUZJRVIpLklRX0NPTVBBTllfTkFNRQUAAAAAAAAACAAAABQoSW52YWxpZCBJZGVudGlmaWVyKcgwsjcICdYIQsWtDjUJ1ghGQ0lRLihJTlZBTElEIElERU5USUZJRVIpLklRX0VCSVREQV8zWVJfQU5OX0NBR1IuLjcvMTYvMjAxOC5MRlIuRi5VU0QuSAUAAAAAAAAACAAAABQoSW52YWxpZCBJZGVudGlmaWVyKd6nfhA1CdYImBJZEjUJ1gg/Q0lRLk5BU0RBUUNNOkFWRU8uSVFfRUJJVERBXzVZUl9BTk5fQ0FHUi4uNy8xNi8yMDE4LkxGUi5GLlVTRC5IAQAAAPQWHQADAAAAAADE/xsRNQnWCHM5YBI1CdYIRENJUS5OQVNEQVFHUzpOSy5JUV9UT1RBTF9SRVZfM1lSX0FOTl9DQUdSLjIwMDAuNy8zMS8yMDE4LkxGUi5GLlVTRC5IAQAAAA19oQ8CAAAACC01Ni41MzY2AQgAAAAFAAAAATEBAAAACjE4ODcxMTg3OTEDAAAAAzE2MAIAAAAENDIyMAQAAAABMAcAAAAJNy8zMS8yMDE4CAAAAAkzLzMxLzIwMTgJAAAAATDWjBE4CAnWCBnpoW80CdYILENJUS5JUVRSNTUwMjU5Mzk3LklRX1RSX1RPVEFMX0dST1NTX1RWLlVTRC5IBQAA</t>
  </si>
  <si>
    <t>AAAAAAAIAAAAGihJbnZhbGlkIEN1cnJlbmN5IFJlcXVlc3QpDG0QDjUJ1gh3eYAONQnWCCxDSVEuSVFUUjQyMjg4NzcwMS5JUV9UUl9UT1RBTF9HUk9TU19UVi5VU0QuSAUAAAAAAAAACAAAABooSW52YWxpZCBDdXJyZW5jeSBSZXF1ZXN0KQxtEA41CdYIwNuCDjUJ1gg4Q0lRLk5BU0RBUUdNOlhOQ1IuSVFfVE9UQUxfRVFVSVRZLi43LzE2LzIwMTguTEZSLkYuVVNELkgBAAAAploLAAIAAAAHNTM3LjY2NAEIAAAABQAAAAExAQAAAAoxODg3MTI1ODU1AwAAAAMxNjACAAAABDEyNzUEAAAAATAHAAAACTcvMTYvMjAxOAgAAAAJMy8zMS8yMDE4CQAAAAEwxP8bETUJ1ggS/mQSNQnWCCFDSVEuT1RDUEs6TldCTy5JUV9FRkZFQ1RfVEFYX1JBVEUBAAAAo3oUAAMAAAAAACkclBA1CdYIMNddEjUJ1gg4Q0lRLk5BU0RBUUdTOk1SU04uSVFfRUJJVERBLkNZMjAxNy43LzMxLzIwMTguTEZSLkYuVVNELkgBAAAA5sUYAAIAAAAHLTM4LjY4OQEIAAAABQAAAAExAQAAAAoxODgwNTQ3Mzk1AwAAAAMxNjACAAAABDQwNTEEAAAAATAHAAAACTcvMzEvMjAxOAgAAAAKMTIvMzEvMjAxNwkAAAABMNaMETgICdYIw4afbzQJ1gg7Q0lRLk5BU0RBUUdTOktVUkEuSVFfUFJFRl9FUVVJVFkuMjAwMC43LzMxLzIwMTguTEZSLkYuVVNELkgBAAAAuMvaEAMAAAAAANaMETgICdYIcySdbzQJ1ghCQ0lRLk5BU0RBUUdTOlBCWUkuSVFf</t>
  </si>
  <si>
    <t>VE9UQUxfUkVWXzJZUl9BTk5fQ0FHUi4uNy8xNi8yMDE4LkxGUi5GLlVTRC5IAQAAAAJqrAcDAAAAAADE/xsRNQnWCBL+ZBI1CdYIPUNJUS5OQVNEQVFHTTpBUlFMLklRX0VCSVREQV9NQVJHSU4uMjAwMC43LzMxLzIwMTguTEZSLkYuVVNELkgBAAAA9mEAAAMAAAACTk0BCAAAAAUAAAABMQEAAAAKMTg4ODc4ODc3MAMAAAADMTYwAgAAAAQ0MDQ3BAAAAAEwBwAAAAk3LzMxLzIwMTgIAAAACTMvMzEvMjAxOAkAAAABMNaMETgICdYIcySdbzQJ1gg8Q0lRLk5BU0RBUUNNOlpJT1AuSVFfRUFSTklOR19DTy5DWTIwMTYuNy8zMS8yMDE4LkxGUi5GLlVTRC5IAQAAALNRsgACAAAACC0xNjUuMjk3AQgAAAAFAAAAATEBAAAACjE4NzcyMDQ0MTYDAAAAAzE2MAIAAAABNwQAAAABMAcAAAAJNy8zMS8yMDE4CAAAAAoxMi8zMS8yMDE2CQAAAAEw1owROAgJ1gjDhp9vNAnWCCJDSVEuSVFUUjQxMzk1MzY2MS5JUV9UUl9UT1RBTF9DQVNIAQAAAH1urBgCAAAAAzIwMAEGAAAABQAAAAI1NAEAAAAGMTAxMDU2AgAAAAk0MTM5NTM2NjEDAAAACTQxMzk1NzY0MAQAAAADMTYwBgAAAAVGYWxzZbKzSW80CdYIgf2VbzQJ1ggpQ0lRLlhUUkE6TU9SLklRX01BUktFVENBUC43LzMxLzIwMTguVVNELkgBAAAA3xECAAIAAAALNDE4My44NjI3NjgBBgAAAAUAAAABMQEAAAAKMTg4NjE1MTU5OAMAAAADMTYwAgAAAAYxMDAwNTQEAAAA</t>
  </si>
  <si>
    <t>ATAHAAAACTcvMzEvMjAxOJwL1TgICdYI1F+YbzQJ1ghDQ0lRLk5BU0RBUUdTOlRTUk8uSVFfTUlOT1JJVFlfSU5URVJFU1RfVE9UQUwuLjkvMTUvMjAxNy5MRlIuRi5VU0QuSAEAAABo1lgGAwAAAAAAxP8bETUJ1ggS/mQSNQnWCClDSVEuTkFTREFRR1M6TVJTTi5JUV9CVVNJTkVTU19ERVNDUklQVElPTgEAAADmxRgAAwAAAKYITWVyc2FuYSBUaGVyYXBldXRpY3MsIEluYy4sIGEgY2xpbmljYWwgc3RhZ2UgYmlvcGhhcm1hY2V1dGljYWwgY29tcGFueSBmb2N1c2luZyBvbiB0aGUgZGV2ZWxvcG1lbnQgb2Ygb25jb2xvZ3kgdGhlcmFwZXV0aWNzIGluIHRoZSBVbml0ZWQgU3RhdGVzIGFuZCBDYW5hZGEuIFRoZSBjb21wYW55IGRldmVsb3BzIERvbGFmbGV4aW4sIGFuIGFudGlib2R5IGRydWcgY29uanVnYXRlIChBREMpIHBsYXRmb3JtIGRlc2lnbmVkIHRvIGVuaGFuY2UgdGhlIHBvdGVuY3kgYW5kIGVmZmljYWN5IG9mIEFEQ3Mgd2hpbGUgc2ltdWx0YW5lb3VzbHkgZW5oYW5jaW5nIHRoZSBzYWZldHkgYW5kIHRvbGVyYWJpbGl0eS4gSXRzIGxlYWQgcHJvZHVjdCBjYW5kaWRhdGVzIGluY2x1ZGUgWE1ULTE1MjIsIGFuIEFEQyB0YXJnZXRpbmcgSEVSMi1leHByZXNzaW5nIHR1bW9ycywgd2hpY2ggaXMgaW4gUGhhc2UgSSBjbGluaWNhbCB0cmlhbCBmb3IgdHJlYXRpbmcgcGF0aWVudHMgd2l0aCBi</t>
  </si>
  <si>
    <t>cmVhc3QgY2FuY2VyLCBub24tc21hbGwtY2VsbC1sdW5nLWNhbmNlciAoTlNDTEMpLCBhbmQgZ2FzdHJpYyBjYW5jZXI7IGFuZCBYTVQtMTUzNiwgYW4gQURDIHRhcmdldGluZyBOYVBpMmIgdGhhdCBpcyBpbiBQaGFzZSBJIGNsaW5pY2FsIHRyaWFsIGZvciB0aGUgdHJlYXRtZW50IG9mIHBhdGllbnRzIHdpdGggb3ZhcmlhbiBjYW5jZXIsIE5TQ0xDLCBhbmQgb3RoZXIgY2FuY2Vycy4gTWVyc2FuYSBUaGVyYXBldXRpY3MsIEluYy4gaGFzIHN0cmF0ZWdpYyBhbGxpYW5jZXMgd2l0aCBUYWtlZGEgUGhhcm1hY2V1dGljYWwgQ29tcGFueSBMaW1pdGVkOyBNZXJjayBLR2FBOyBhbmQgQXNhbmEgQmlvU2NpZW5jZXMsIExMQy4gVGhlIGNvbXBhbnkgd2FzIGZvcm1lcmx5IGtub3duIGFzIE5hbm9waGFybWEgQ29ycC4gYW5kIGNoYW5nZWQgaXRzIG5hbWUgdG8gTWVyc2FuYSBUaGVyYXBldXRpY3MsIEluYy4gaW4gTm92ZW1iZXIgMjAwNS4gTWVyc2FuYSBUaGVyYXBldXRpY3MsIEluYy4gd2FzIGluY29ycG9yYXRlZCBpbiAyMDAyIGFuZCBpcyBiYXNlZCBpbiBDYW1icmlkZ2UsIE1hc3NhY2h1c2V0dHMuANaMETgICdYI44uTDjUJ1ghDQ0lRLk5BU0RBUUdTOkVQWk0uSVFfRUJJVERBXzJZUl9BTk5fQ0FHUi4yMDAwLjcvMzEvMjAxOC5MRlIuRi5VU0QuSAEAAAADJj0DAwAAAAJOTQEIAAAABQAAAAExAQAA</t>
  </si>
  <si>
    <t>AAoxODg3MjQ2MDc3AwAAAAMxNjACAAAABDQyMDkEAAAAATAHAAAACTcvMzEvMjAxOAgAAAAJMy8zMS8yMDE4CQAAAAEw1owROAgJ1ghzJJ1vNAnWCDBDSVEuTkFTREFRQ006TVRFTS5JUV9MQVNUU0FMRVBSSUNFLjcvMzEvMjAxOC5VU0QBAAAAmZupAQIAAAAENS4xOADIMLI3CAnWCBnpoW80CdYILUNJUS5OQVNEQVFHUzpFUFpNLklRX0RJVklERU5EX1lJRUxELjcvMzEvMjAxOAEAAAADJj0DAwAAAAAA1owROAgJ1ghzJJ1vNAnWCD1DSVEuTkFTREFRQ006WklPUC5JUV9DQVNIX1NUX0lOVkVTVC4yMDAwLjUvNS8yMDE3LkxGUi5GLlVTRC5IAQAAALNRsgACAAAABjY2LjQ0NwEIAAAABQAAAAExAQAAAAoxODM5MzQxMTk0AwAAAAMxNjACAAAABDEwMDIEAAAAATAHAAAACDUvNS8yMDE3CAAAAAkzLzMxLzIwMTcJAAAAATDWjBE4CAnWCMOGn280CdYIIUNJUS5FTlhUUEE6SVBILklRX0VGRkVDVF9UQVhfUkFURQEAAACZgAYAAwAAAAJOTQEIAAAABQAAAAExAQAAAAoxODg5NTUyMTY0AwAAAAI1MAIAAAAENDM3NgQAAAABMAcAAAAJOC8yMy8yMDE4CAAAAAoxMi8zMS8yMDE3CQAAAAEwKRyUEDUJ1ghzOWASNQnWCENDSVEuTkFTREFRR1M6RVBaTS5JUV9FQklUREFfM1lSX0FOTl9DQUdSLjIwMDAuNy8zMS8yMDE4LkxGUi5GLlVTRC5IAQAAAAMmPQMDAAAAAk5NAQgAAAAFAAAAATEBAAAACjE4ODcyNDYwNzcD</t>
  </si>
  <si>
    <t>AAAAAzE2MAIAAAAENDIyMgQAAAABMAcAAAAJNy8zMS8yMDE4CAAAAAkzLzMxLzIwMTgJAAAAATDWjBE4CAnWCHMknW80CdYIJ0NJUS5OQVNEQVFHUzpCR05FLklRX0JFVEFfNVlSLjcvMTYvMjAxOAEAAADg5N0GAgAAABEwLjYxMjEyNTE0MTY2MTY3MgDE/xsRNQnWCGhgZxI1CdYIM0NJUS5PVENQSzpOV0JPLklRX1RPVEFMX0RFQlQuLjkvMTUvMjAxNy5MRlIuRi5VU0QuSAEAAACjehQAAgAAAAYzMi4wMjYBCAAAAAUAAAABMQEAAAAKMTg1NTMyNjM3MQMAAAADMTYwAgAAAAQ0MTczBAAAAAEwBwAAAAk5LzE1LzIwMTcIAAAACTYvMzAvMjAxNwkAAAABMCkclBA1CdYIMNddEjUJ1gg3Q0lRLk5BU0RBUUdTOk5LLklRX1RPVEFMX1JFVi4yMDAwLjcvMzEvMjAxOC5MRlIuRi5VU0QuSAEAAAANfaEPAgAAAAUwLjAzOQEIAAAABQAAAAExAQAAAAoxODg3MTE4NzkxAwAAAAMxNjACAAAAAjI4BAAAAAEwBwAAAAk3LzMxLzIwMTgIAAAACTMvMzEvMjAxOAkAAAABMNaMETgICdYIw4afbzQJ1gg8Q0lRLk5BU0RBUUdNOkFSUlkuSVFfR1JPU1NfTUFSR0lOLjIwMDAuNy8zMS8yMDE4LkxGUi5GLlVTRC5IAQAAAPhhAAACAAAABzM3LjI2NTYBCAAAAAUAAAABMQEAAAAKMTg4ODQ3MDY3NgMAAAADMTYwAgAAAAQ0MDc0BAAAAAEwBwAAAAk3LzMxLzIwMTgIAAAACTMvMzEvMjAxOAkAAAABMJwL1TgICdYI1F+YbzQJ1ggq</t>
  </si>
  <si>
    <t>Q0lRLi5JUV9QRVJJT0REQVRFX0lTLjIwMDAuNy8zMS8yMDE4LkxGUi5GBQAAAAEAAAAIAAAAFChJbnZhbGlkIElkZW50aWZpZXIpliQwRzQJ1giWJDBHNAnWCDxDSVEuTkFTREFRR1M6RVBaTS5JUV9HUk9TU19NQVJHSU4uMjAwMC43LzMxLzIwMTguTEZSLkYuVVNELkgBAAAAAyY9AwMAAAACTk0BCAAAAAUAAAABMQEAAAAKMTg4NzI0NjA3NwMAAAADMTYwAgAAAAQ0MDc0BAAAAAEwBwAAAAk3LzMxLzIwMTgIAAAACTMvMzEvMjAxOAkAAAABMNaMETgICdYIcySdbzQJ1gg1Q0lRLk5BU0RBUUdTOk1SU04uSVFfQ0FQRVguMTk5Ni43LzMxLzIwMTguTEZSLkYuVVNELkgBAAAA5sUYAAIAAAAFLTEuMTYBCAAAAAUAAAABMQEAAAAKMTg4OTA5NjU5NwMAAAADMTYwAgAAAAQyMDIxBAAAAAEwBwAAAAk3LzMxLzIwMTgIAAAACTMvMzEvMjAxNwkAAAABMNaMETgICdYIw4afbzQJ1gg/Q0lRLk5BU0RBUUdTOk1SU04uSVFfRUJJVERBXzJZUl9BTk5fQ0FHUi4uNy8xNi8yMDE4LkxGUi5GLlVTRC5IAQAAAObFGAADAAAAAAApHJQQNQnWCHM5YBI1CdYIRkNJUS5OQVNEQVFDTTpNVEVNLklRX01JTk9SSVRZX0lOVEVSRVNUX1RPVEFMLjIwMDAuNS81LzIwMTcuTEZSLkYuVVNELkgBAAAAmZupAQMAAAAAAMgwsjcICdYIGemhbzQJ1ggtQ0lRLk5BU0RBUUdNOkFSUUwuSVFfRElWSURFTkRfWUlFTEQuNy8zMS8yMDE4AQAA</t>
  </si>
  <si>
    <t>APZhAAADAAAAAADWjBE4CAnWCHMknW80CdYIPkNJUS5OQVNEQVFHUzpTR0VOLklRX1RPVEFMX0VRVUlUWS5DWTIwMTYuNy8xNi8yMDE4LkxGUi5GLlVTRC5IAQAAAGGFAAACAAAABzYzNC4wODcBCAAAAAUAAAABMQEAAAAKMTg3NDY5NjE5NgMAAAADMTYwAgAAAAQxMjc1BAAAAAEwBwAAAAk3LzE2LzIwMTgIAAAACjEyLzMxLzIwMTYJAAAAATDE/xsRNQnWCGhgZxI1CdYINENJUS5OQVNEQVFHUzpCR05FLklRX0VCSVREQV9NQVJHSU4uMjAwMC4uTEZSLkYuVVNELkgBAAAA4OTdBgIAAAAILTcwLjE0MTYBCAAAAAUAAAABMQEAAAAKMTg5OTkwMDYzMQMAAAADMTYwAgAAAAQ0MDQ3BAAAAAEwBwAAAAk4LzIzLzIwMTgIAAAACTYvMzAvMjAxOAkAAAABMJwL1TgICdYInAvVOAgJ1gguQ0lRLklRVFIzMTQ4MjkyMzYuSVFfVFJfVEFSR0VUX1NUT0NLUFJFTUlVTV8xTQEAAAC06cMSAgAAAAAAWM8SDjUJ1gjA24IONQnWCC5DSVEuTkFTREFRR006TkxOSy5JUV9NQVJLRVRDQVAuOS8xNS8yMDE3LlVTRC5IAQAAAJV7jAACAAAACjM3Mi43NjQ1ODkBBgAAAAUAAAABMQEAAAAKMTg1MTg5MTQwOAMAAAADMTYwAgAAAAYxMDAwNTQEAAAAATAHAAAACTkvMTUvMjAxNykclBA1CdYI5HRbEjUJ1gg6Q0lRLk5BU0RBUUNNOlpJT1AuSVFfRUFSTklOR19DTy4yMDAwLjcvMzEvMjAxOC5MRlIuRi5VU0QuSAEAAACzUbIAAgAA</t>
  </si>
  <si>
    <t>AActNTQuODU2AQgAAAAFAAAAATEBAAAACjE4ODc5NzIzNTkDAAAAAzE2MAIAAAABNwQAAAABMAcAAAAJNy8zMS8yMDE4CAAAAAkzLzMxLzIwMTgJAAAAATDWjBE4CAnWCMOGn280CdYILkNJUS4uSVFfRUJJVF9NQVJHSU4uMjAwMC43LzMxLzIwMTguTEZSLkYuVVNELkgFAAAAAQAAAAgAAAAUKEludmFsaWQgSWRlbnRpZmllcin1hDJHNAnWCPWEMkc0CdYIPUNJUS5OQVNEQVFHUzpDQUxBLklRX0VCSVREQV9NQVJHSU4uMjAwMC43LzMxLzIwMTguTEZSLkYuVVNELkgBAAAApSeBBgIAAAAJLTEzOC41MTY2AQgAAAAFAAAAATEBAAAACjE4ODc5ODAzMDUDAAAAAzE2MAIAAAAENDA0NwQAAAABMAcAAAAJNy8zMS8yMDE4CAAAAAkzLzMxLzIwMTgJAAAAATDIMLI3CAnWCN1LpG80CdYIQ0NJUS5OQVNEQVFHTTpGQVRFLklRX0VCSVREQV8zWVJfQU5OX0NBR1IuMjAwMC43LzMxLzIwMTguTEZSLkYuVVNELkgBAAAAaDFXAgMAAAACTk0BCAAAAAUAAAABMQEAAAAKMTg4ODUwMDUyNwMAAAADMTYwAgAAAAQ0MjIyBAAAAAEwBwAAAAk3LzMxLzIwMTgIAAAACTMvMzEvMjAxOAkAAAABMNaMETgICdYIw4afbzQJ1gg7Q0lRLk5BU0RBUUNNOlpJT1AuSVFfUFJFRl9FUVVJVFkuMjAwMC43LzMxLzIwMTguTEZSLkYuVVNELkgBAAAAs1GyAAIAAAAHMTQ5LjAzOQEIAAAABQAAAAExAQAAAAoxODg3OTcyMzU5AwAAAAMxNjAC</t>
  </si>
  <si>
    <t>AAAABDEwMDUEAAAAATAHAAAACTcvMzEvMjAxOAgAAAAJMy8zMS8yMDE4CQAAAAEw1owROAgJ1gjDhp9vNAnWCC1DSVEuTkFTREFRR006TFBUWC5JUV9ESVZJREVORF9ZSUVMRC43LzE2LzIwMTgBAAAADDYJBwMAAAAAACkclBA1CdYIMNddEjUJ1gg8Q0lRLk5BU0RBUUdNOklNTVUuSVFfRUJJVERBX0VTVC5DWTIwMTguNy8xNi8yMDE4LkNPTi5GLlVTRC5IAQAAACBDBAADAAAAAADE/xsRNQnWCBL+ZBI1CdYIJUNJUS5JUVRSNTM1NzE5OTk4LklRX1RSX01BSl9NSU5fU1RBS0UBAAAAPnDuHwMAAAAITWFqb3JpdHkAsrNJbzQJ1giB/ZVvNAnWCB1DSVEuTkFTREFRR006QVJSWS5JUV9FWENIQU5HRQEAAAD4YQAAAwAAAAhOYXNkYXFHTQCcC9U4CAnWCNRfmG80CdYIHUNJUS4lVVNQTVJULklRX0xBU1RTQUxFUFJJQ0UuAQAAAFntWgACAAAAATUAnAvVOAgJ1gh3eYAONQnWCCFDSVEuSVExMDkxMjc1ODkuSVFfQ09NUEFOWV9USUNLRVIBAAAApSeBBgMAAAANTmFzZGFxR1M6Q0FMQQAMbRAONQnWCB8VnQ41CdYIJ0NJUS5OQVNEQVFHUzpUU1JPLklRX0JFVEFfNVlSLjcvMTYvMjAxOAEAAABo1lgGAgAAABAxLjIyMjUwOTMyNTg3Mjk2AMT/GxE1CdYIEv5kEjUJ1gguQ0lRLklRVFIyNjM3MTg2NDcuSVFfVFJfVEFSR0VUX1NUT0NLUFJFTUlVTV8xVwEAAAD3BrgPAgAAAAAAsrNJbzQJ1giB/ZVvNAnWCDhDSVEu</t>
  </si>
  <si>
    <t>TkFTREFRR006WE5DUi5JUV9FQklUREEuQ1kyMDE2LjcvMTYvMjAxOC5MRlIuRi5VU0QuSAEAAACmWgsAAgAAAAYyNC4zNjIBCAAAAAUAAAABMQEAAAAKMTg3Njk4NDUyMwMAAAADMTYwAgAAAAQ0MDUxBAAAAAEwBwAAAAk3LzE2LzIwMTgIAAAACjEyLzMxLzIwMTYJAAAAATDE/xsRNQnWCBL+ZBI1CdYIJUNJUS5JUVRSMzA3ODYzOTg0LklRX1RSX01BSl9NSU5fU1RBS0UBAAAAsKFZEgMAAAAITWFqb3JpdHkAWM8SDjUJ1gjA24IONQnWCD1DSVEuTkFTREFRQ006Q0tQVC5JUV9SRVZFTlVFX0VTVC5DWTIwMjAuNy8xNi8yMDE4LkNPTi5GLlVTRC5IAQAAALhRFhECAAAAAzIuMQEOAAAABQAAAAIxMQEAAAABMAIAAAAKMTAwMzY2NTYwNwMAAAAGMTAwMTgwBAAAAAEyBgAAAAEwBwAAAAMxNjAIAAAAATAJAAAAATEKAAAAATALAAAACzEwODc4NzA3NzM2DAAAAAE3DQAAAAk3LzE3LzIwMTgQAAAACTcvMTYvMjAxOCkclBA1CdYIMNddEjUJ1gg9Q0lRLk5BU0RBUUdNOlhOQ1IuSVFfUkVWRU5VRV9FU1QuQ1kyMDE5LjcvMTYvMjAxOC5DT04uRi5VU0QuSAEAAACmWgsAAgAAAAgzMy4zMzIwMwEOAAAABQAAAAIxMQEAAAABMAIAAAAKMTAwMjAyNTI1MgMAAAAGMTAwMTgwBAAAAAEyBgAAAAEwBwAAAAMxNjAIAAAAATAJAAAAATEKAAAAATALAAAACzEwOTE1ODMyNTg1DAAAAAE3DQAAAAk3LzE3LzIwMTgQAAAACTcv</t>
  </si>
  <si>
    <t>MTYvMjAxOMT/GxE1CdYIEv5kEjUJ1ghCQ0lRLk5BU0RBUUdTOkNBTEEuSVFfVE9UQUxfUkVWXzNZUl9BTk5fQ0FHUi4uNy8xNi8yMDE4LkxGUi5GLlVTRC5IAQAAAKUngQYDAAAAAAApHJQQNQnWCOR0WxI1CdYIL0NJUS5JUVRSNDA4NDA3ODIyLklRX1RSX0lNUExJRURfRVZfRklOQUwuLlVTRC5IAQAAAA7PVxgCAAAACjE4OS45NDU2NTUBBgAAAAUAAAACNTQBAAAABjEwMjA0NQIAAAAJNDA4NDA3ODIyAwAAAAk0MDg0MTA1NDEEAAAAAzE2MAYAAAAFRmFsc2Wys0lvNAnWCIH9lW80CdYINUNJUS5OQVNEQVFDTTpDS1BULklRX1RPVEFMX1JFVi4uNy8xNi8yMDE4LkxGUi5GLlVTRC5IAQAAALhRFhECAAAABTEuMzc1AQgAAAAFAAAAATEBAAAACjE4ODgwMDcyMjMDAAAAAzE2MAIAAAACMjgEAAAAATAHAAAACTcvMTYvMjAxOAgAAAAJMy8zMS8yMDE4CQAAAAEwKRyUEDUJ1ggw110SNQnWCDlDSVEuTkFTREFRR1M6R1RIWC5JUV9UT1RBTF9SRVYuMjAwMC43LzMxLzIwMTguTEZSLkYuVVNELkgBAAAAZTRpCAMAAAAAAJwL1TgICdYIJMKabzQJ1gg1Q0lRLk5BU0RBUUdTOlRTUk8uSVFfQ0FQRVguMTk5Mi43LzMxLzIwMTguTEZSLkYuVVNELkgBAAAAaNZYBgIAAAAGLTIuNTEzAQgAAAAFAAAAATEBAAAACjE4NDA5MzQ2NjMDAAAAAzE2MAIAAAAEMjAyMQQAAAABMAcAAAAJNy8zMS8yMDE4CAAAAAkzLzMxLzIw</t>
  </si>
  <si>
    <t>MTYJAAAAATCcC9U4CAnWCCTCmm80CdYIIUNJUS5OQVNEQVFHTTpJTU1VLklRX0NPTVBBTllfTkFNRQEAAAAgQwQAAwAAABJJbW11bm9tZWRpY3MsIEluYy4AnAvVOAgJ1gioAooONQnWCC9DSVEuLklRX0VCSVREQV9FU1QuQ1kyMDE5LjcvMzEvMjAxOC5DT04uRi5VU0QuSAUAAAABAAAACAAAABQoSW52YWxpZCBJZGVudGlmaWVyKfWEMkc0CdYI9YQyRzQJ1ghDQ0lRLihJTlZBTElEIElERU5USUZJRVIpLklRX0VCSVREQV9FU1QuQ1kyMDE5LjcvMTYvMjAxOC5DT04uRi5VU0QuSAUAAAAAAAAACAAAABQoSW52YWxpZCBJZGVudGlmaWVyKSAKgRA1CdYImBJZEjUJ1ggdQ0lRLk5BU0RBUUdTOk1SU04uSVFfRVhDSEFOR0UBAAAA5sUYAAMAAAAITmFzZGFxR1MA1owROAgJ1gjji5MONQnWCDpDSVEuTkFTREFRR1M6TksuSVFfVE9UQUxfRVFVSVRZLjIwMDAuNy8zMS8yMDE4LkxGUi5GLlVTRC5IAQAAAA19oQ8CAAAABjIwMC4zNgEIAAAABQAAAAExAQAAAAoxODg3MTE4NzkxAwAAAAMxNjACAAAABDEyNzUEAAAAATAHAAAACTcvMzEvMjAxOAgAAAAJMy8zMS8yMDE4CQAAAAEw1owROAgJ1ggZ6aFvNAnWCC5DSVEuTkFTREFRR1M6TVJTTi5JUV9NQVJLRVRDQVAuNy8xNi8yMDE4LlVTRC5IAQAAAObFGAACAAAACjM1My4xNDY1NzMBBgAAAAUAAAABMQEAAAAKMTg4OTA5NDEwMAMAAAADMTYwAgAAAAYxMDAwNTQE</t>
  </si>
  <si>
    <t>AAAAATAHAAAACTcvMTYvMjAxOEadGRE1CdYIczlgEjUJ1gg0Q0lRLk5BU0RBUUdTOkJHTkUuSVFfUkVWRU5VRV9FU1QuQ1kyMDIwLi5DT04uRi5VU0QuSAEAAADg5N0GAgAAAAgzNzUuOTA3NgEOAAAABQAAAAIxMQEAAAABMAIAAAAKMTAwMzMyNjI3NwMAAAAGMTAwMTgwBAAAAAEyBgAAAAEwBwAAAAMxNjAIAAAAATAJAAAAATEKAAAAATALAAAACzExMDMyMjg1NzY5DAAAAAE3DQAAAAk4LzI0LzIwMTgQAAAACTgvMjMvMjAxOJwL1TgICdYInAvVOAgJ1gg4Q0lRLlhUUkE6TU9SLklRX1JFVkVOVUVfRVNULkNZMjAyMC43LzMxLzIwMTguQ09OLkYuVVNELkgBAAAA3xECAAIAAAAQMTMzLjU2NjE1NTY4ODk4NAEOAAAABQAAAAIxMQEAAAABMAIAAAAKMTAwMDk4OTAwNwMAAAAGMTAwMTgwBAAAAAEzBgAAAAEwBwAAAAMxNjAIAAAAATAJAAAAATEKAAAAATALAAAACzExMDAxMzE1MTc0DAAAAAE3DQAAAAg4LzEvMjAxOBAAAAAJNy8zMS8yMDE4nAvVOAgJ1gjUX5hvNAnWCDlDSVEuTkFTREFRR1M6QURYUy5JUV9FQklUREFfTUFSR0lOLi43LzE2LzIwMTguTEZSLkYuVVNELkgBAAAAnux4AAMAAAACTk0BCAAAAAUAAAABMQEAAAAKMTg5Mjc4ODU0OAMAAAADMTYwAgAAAAQ0MDQ3BAAAAAEwBwAAAAk3LzE2LzIwMTgIAAAACTQvMzAvMjAxOAkAAAABMCkclBA1CdYI5HRbEjUJ1ggnQ0lRLk5BU0RBUUdNOklNTVUu</t>
  </si>
  <si>
    <t>SVFfUEVSSU9EREFURV9JUy4xMDAwAQAAACBDBAAFAAAACTYvMzAvMjAxNwCcC9U4CAnWCNRfmG80CdYIKUNJUS5JUVRSNTM1NzE5OTk4LklRX1RSX0lNUExJRURfRVFfTklfTFRNAQAAAD5w7h8DAAAAAk5NALKzSW80CdYIgf2VbzQJ1gglQ0lRLk5BU0RBUUdTOkNBTEEuSVFfRklSU1RQUklDSU5HREFURQEAAAClJ4EGBQAAAAkxMC8zLzIwMTQAyDCyNwgJ1ggfFZ0ONQnWCDxDSVEuTkFTREFRR006Q1JWUy5JUV9FQklUREFfRVNULkNZMjAxOS43LzMxLzIwMTguQ09OLkYuVVNELkgBAAAA9LCmEAIAAAAILTExNC41MzkBDgAAAAUAAAACMTEBAAAAATACAAAACjEwMDMzNzAzNTYDAAAABjEwMDE4NwQAAAABMgYAAAABMAcAAAADMTYwCAAAAAEwCQAAAAExCgAAAAEwCwAAAAsxMDk1NTQ2MTg0MQwAAAABNw0AAAAIOC8xLzIwMTgQAAAACTcvMzEvMjAxONaMETgICdYIGemhbzQJ1ggnQ0lRLk5BU0RBUUdNOkFSUUwuSVFfQkVUQV8yWVIuNy8zMS8yMDE4AQAAAPZhAAACAAAAETAuNDgxMjQ1MDE5ODMxNzkzANaMETgICdYIcySdbzQJ1gg8Q0lRLk5BU0RBUUdTOkJHTkUuSVFfRUJJVERBX0VTVC5DWTIwMTguNy8xNi8yMDE4LkNPTi5GLlVTRC5IAQAAAODk3QYCAAAACS0zMTQuNjM1NAEOAAAABQAAAAIxMQEAAAABMAIAAAAKMTAwMzMyNjI2MwMAAAAGMTAwMTg3BAAAAAEyBgAAAAEwBwAAAAMxNjAIAAAAATAJ</t>
  </si>
  <si>
    <t>AAAAATEKAAAAATALAAAACzEwOTY3MTM5MTg3DAAAAAE3DQAAAAk3LzE3LzIwMTgQAAAACTcvMTYvMjAxOMT/GxE1CdYIaGBnEjUJ1gg8Q0lRLk5BU0RBUUdTOlBCWUkuSVFfRUFSTklOR19DTy5DWTIwMTYuNy8xNi8yMDE4LkxGUi5GLlVTRC5IAQAAAAJqrAcCAAAACC0yNzYuMDExAQgAAAAFAAAAATEBAAAACjE4NzgwNjMzMzADAAAAAzE2MAIAAAABNwQAAAABMAcAAAAJNy8xNi8yMDE4CAAAAAoxMi8zMS8yMDE2CQAAAAEwxP8bETUJ1ggS/mQSNQnWCDBDSVEuTkFTREFRR1M6Q0FMQS5JUV9MQVNUU0FMRVBSSUNFLjcvMTYvMjAxOC5VU0QBAAAApSeBBgIAAAADNC43ACkclBA1CdYI5HRbEjUJ1ghHQ0lRLk5BU0RBUUdTOlRTUk8uSVFfTUlOT1JJVFlfSU5URVJFU1RfVE9UQUwuMjAwMC43LzMxLzIwMTguTEZSLkYuVVNELkgBAAAAaNZYBgMAAAAAAJwL1TgICdYIJMKabzQJ1gg9Q0lRLk5BU0RBUUNNOkNLUFQuSVFfUkVWRU5VRV9FU1QuQ1kyMDIxLjcvMTYvMjAxOC5DT04uRi5VU0QuSAEAAAC4URYRAwAAAAAAKRyUEDUJ1ggw110SNQnWCCdDSVEuTkFTREFRQ006WklPUC5JUV9CRVRBXzJZUi43LzMxLzIwMTgBAAAAs1GyAAIAAAAQMS40ODI3NDg4ODM2Njg0NwDWjBE4CAnWCMOGn280CdYIOkNJUS5OQVNEQVFHUzpBVE5YLklRX0VBUk5JTkdfQ08uMTk5Mi43LzMxLzIwMTguTEZSLkYuVVNELkgBAAAA</t>
  </si>
  <si>
    <t>3JlrAQIAAAAHLTE3LjcyOAEIAAAABQAAAAExAQAAAAoxODQyNDkwMjczAwAAAAMxNjACAAAAATcEAAAAATAHAAAACTcvMzEvMjAxOAgAAAAKMTIvMzEvMjAxNAkAAAABMNaMETgICdYIJMKabzQJ1gg8Q0lRLk5BU0RBUUdTOkVQWk0uSVFfVE9UQUxfRVFVSVRZLjE5OTIuNy8zMS8yMDE4LkxGUi5GLlVTRC5IAQAAAAMmPQMCAAAABjI3OS4wMQEIAAAABQAAAAExAQAAAAoxODQwNjMwMzk0AwAAAAMxNjACAAAABDEyNzUEAAAAATAHAAAACTcvMzEvMjAxOAgAAAAJMy8zMS8yMDE2CQAAAAEw1owROAgJ1ghzJJ1vNAnWCCBDSVEuSVFUUjI2MzcxODY0Ny5JUV9UUl9FQVJOT1VUUwEAAAD3BrgPAgAAAAAAsrNJbzQJ1giB/ZVvNAnWCDhDSVEuT1RDUEs6TUJWWC5JUV9UT1RBTF9SRVYuQ1kyMDE2LjcvMTYvMjAxOC5MRlIuRi5VU0QuSAEAAADYRIsCAgAAAAgwLjE0ODA1NAEIAAAABQAAAAExAQAAAAoxODgxMjEzMjIwAwAAAAMxNjACAAAAAjI4BAAAAAEwBwAAAAk3LzE2LzIwMTgIAAAACjEyLzMxLzIwMTYJAAAAATDep34QNQnWCJgSWRI1CdYIN0NJUS4oSU5WQUxJRCBJREVOVElGSUVSKS5JUV9MQVNUU0FMRVBSSUNFLjcvMzEvMjAxOC5VU0QFAAAAAAAAAAgAAAAUKEludmFsaWQgSWRlbnRpZmllcinIMLI3CAnWCO02sG80CdYILENJUS5OQVNEQVFHUzpTR0VOLklRX0xBU1RTQUxFUFJJQ0UuOS8xNS8yMDE3</t>
  </si>
  <si>
    <t>AQAAAGGFAAACAAAABTUzLjc5AEadGRE1CdYIaGBnEjUJ1gguQ0lRLklRVFI0MjQzNDIwNDYuSVFfVFJfVEFSR0VUX1NUT0NLUFJFTUlVTV8xTQEAAAAe8koZAgAAAAAADG0QDjUJ1gjA24IONQnWCC5DSVEuRU5YVFBBOklQSC5JUV9DQVBFWC4uNy8xNi8yMDE4LkxGUi5GLlVTRC5IAQAAAJmABgACAAAACS0zLjU1OTA3OAEIAAAABQAAAAExAQAAAAoxODg5NTUyMTY0AwAAAAMxNjACAAAABDIwMjEEAAAAATAHAAAACTcvMTYvMjAxOAgAAAAKMTIvMzEvMjAxNwkAAAABMCkclBA1CdYIczlgEjUJ1ggzQ0lRLk5BU0RBUUdTOkJHTkUuSVFfRUFSTklOR19DTy5DWTIwMTYuLkxGUi5GLlVTRC5IAQAAAODk3QYCAAAACC0xMTkuMjE3AQgAAAAFAAAAATEBAAAACjE4OTk4ODEyMDQDAAAAAzE2MAIAAAABNwQAAAABMAcAAAAJOC8yMy8yMDE4CAAAAAoxMi8zMS8yMDE2CQAAAAEwnAvVOAgJ1gicC9U4CAnWCDpDSVEuTkFTREFRR006Q1JWUy5JUV9QUkVGX0VRVUlUWS4yMDAwLjUvNS8yMDE3LkxGUi5GLlVTRC5IAQAAAPSwphADAAAAAADWjBE4CAnWCBnpoW80CdYIQkNJUS5OQVNEQVFHUzpCR05FLklRX1RPVEFMX1JFVl8yWVJfQU5OX0NBR1IuLjcvMTYvMjAxOC5MRlIuRi5VU0QuSAEAAADg5N0GAgAAAAg0NzcuODQ1NgEIAAAABQAAAAExAQAAAAoxODg3Njg4NTg4AwAAAAMxNjACAAAABDQyMDcEAAAAATAHAAAA</t>
  </si>
  <si>
    <t>CTcvMTYvMjAxOAgAAAAJMy8zMS8yMDE4CQAAAAEwxP8bETUJ1ghoYGcSNQnWCDZDSVEuWFRSQTpNT1IuSVFfVE9UQUxfUkVWLkNZMjAxNi43LzMxLzIwMTguTEZSLkYuVVNELkgBAAAA3xECAAIAAAAJNTIuNTEwODM2AQgAAAAFAAAAATEBAAAACjE4NzgzMjMxNTQDAAAAAzE2MAIAAAACMjgEAAAAATAHAAAACTcvMzEvMjAxOAgAAAAKMTIvMzEvMjAxNgkAAAABMJwL1TgICdYI1F+YbzQJ1gg6Q0lRLk5BU0RBUUdTOk5LLklRX0VBUk5JTkdfQ08uQ1kyMDE3LjcvMzEvMjAxOC5MRlIuRi5VU0QuSAEAAAANfaEPAgAAAActOTYuNDIzAQgAAAAFAAAAATEBAAAACjE4NzgwMTI1OTcDAAAAAzE2MAIAAAABNwQAAAABMAcAAAAJNy8zMS8yMDE4CAAAAAoxMi8zMS8yMDE3CQAAAAEw1owROAgJ1ggZ6aFvNAnWCDZDSVEuTkFTREFRR1M6RVBaTS5JUV9FQklUREEuMjAwMC43LzMxLzIwMTguTEZSLkYuVVNELkgBAAAAAyY9AwIAAAAILTEzNy4yNzEBCAAAAAUAAAABMQEAAAAKMTg4NzI0NjA3NwMAAAADMTYwAgAAAAQ0MDUxBAAAAAEwBwAAAAk3LzMxLzIwMTgIAAAACTMvMzEvMjAxOAkAAAABMNaMETgICdYIcySdbzQJ1gg9Q0lRLk5BU0RBUUdNOkFGTUQuSVFfUkVWRU5VRV9FU1QuQ1kyMDIxLjcvMTYvMjAxOC5DT04uRi5VU0QuSAEAAADb9wwAAgAAAA81Mi43NDA0NzUzNzA3ODIBDgAAAAUAAAACMTEBAAAAATAC</t>
  </si>
  <si>
    <t>AAAACjEwMDI4ODQxMDUDAAAABjEwMDE4MAQAAAABMwYAAAABMAcAAAADMTYwCAAAAAEwCQAAAAExCgAAAAEwCwAAAAsxMDg4NzE3NTk5NgwAAAABNw0AAAAJNy8xNy8yMDE4EAAAAAk3LzE2LzIwMTgpHJQQNQnWCDDXXRI1CdYILkNJUS5OQVNEQVFHUzpDQUxBLklRX01BUktFVENBUC45LzE1LzIwMTcuVVNELkgBAAAApSeBBgIAAAAKNTMzLjkyNDA0OQEGAAAABQAAAAExAQAAAAoxODUyNDc0NjMzAwAAAAMxNjACAAAABjEwMDA1NAQAAAABMAcAAAAJOS8xNS8yMDE3KRyUEDUJ1gjkdFsSNQnWCDlDSVEuTkFTREFRQ006WklPUC5JUV9UT1RBTF9SRVYuMjAwMC43LzMxLzIwMTguTEZSLkYuVVNELkgBAAAAs1GyAAIAAAAFNC45MzgBCAAAAAUAAAABMQEAAAAKMTg4Nzk3MjM1OQMAAAADMTYwAgAAAAIyOAQAAAABMAcAAAAJNy8zMS8yMDE4CAAAAAkzLzMxLzIwMTgJAAAAATDWjBE4CAnWCMOGn280CdYIIENJUS5FTlhUUEE6SVBILklRX1BFUklPRERBVEVfSVMuAQAAAJmABgAFAAAACjEyLzMxLzIwMTcAKRyUEDUJ1ghzOWASNQnWCCVDSVEuSVFUUjQyMjg4NzcwMS5JUV9UUl9NQUpfTUlOX1NUQUtFAQAAABXBNBkDAAAACE1ham9yaXR5AAxtEA41CdYIwNuCDjUJ1ggyQ0lRLi5JUV9ORVRfV09SS0lOR19DQVAuMTk5Ni43LzMxLzIwMTguTEZSLkYuVVNELkgFAAAAAQAAAAgAAAAUKEludmFsaWQgSWRlbnRp</t>
  </si>
  <si>
    <t>Zmllcin1hDJHNAnWCPWEMkc0CdYIMkNJUS5OQVNEQVFHUzpTR0VOLklRX05FVF9XT1JLSU5HX0NBUC4uLkxGUi5GLlVTRC5IAQAAAGGFAAACAAAABjc2Ljk5NwEIAAAABQAAAAExAQAAAAoxODk3MjMzNTE4AwAAAAMxNjACAAAABDEzMTEEAAAAATAHAAAACTgvMjMvMjAxOAgAAAAJNi8zMC8yMDE4CQAAAAEwRp0ZETUJ1ghGnRkRNQnWCD9DSVEuTkFTREFRR1M6TVJTTi5JUV9ORVRfV09SS0lOR19DQVAuMjAwMC43LzMxLzIwMTguTEZSLkYuVVNELkgBAAAA5sUYAAIAAAAHLTI1LjkzOAEIAAAABQAAAAExAQAAAAoxODg5MDk2NjUzAwAAAAMxNjACAAAABDEzMTEEAAAAATAHAAAACTcvMzEvMjAxOAgAAAAJMy8zMS8yMDE4CQAAAAEw1owROAgJ1gjDhp9vNAnWCClDSVEuSVFUUjQwMzc5MTc2Ny5JUV9CVVNJTkVTU19ERVNDUklQVElPTgEAAABwXxEYAwAAAJcERW5nTWFiIEFHLCBhIHN0YXJ0LXVwIGJpb3RlY2hub2xvZ3kgY29tcGFueSwgc3BlY2lhbGl6ZXMgaW4gZW5naW5lZXJlZCBtb25vY2xvbmFsIGFudGlib2R5IGJhc2VkIG1vbGVjdWxlcyBlbmhhbmNpbmcgaW1tdW5lIGF0dGFja3MgYWdhaW5zdCB0dW1vcnMuIEl0cyBwcm9qZWN0cyBpbmNsdWRlIGEgVC1jZWxsIGJpc3BlY2lmaWMgYW50aWJvZHkgZm9yIGEgaGlnaCB1bm1ldCBtZWRpY2FsIG5lZWQgaGVtYXRvbG9naWNhbCBtYWxpZ25hbmN5</t>
  </si>
  <si>
    <t>OyBhbmQgYSBULWNlbGwgYmlzcGVjaWZpYyBhbnRpYm9keSB0YXJnZXRpbmcgYSB0dW1vciBhbnRpZ2VuIGV4cHJlc3NlZCBvbiBoZW1hdG9sb2dpY2FsIG1hbGlnbmFuY2llcyBhbmQgc29saWQgdHVtb3JzLiBUaGUgY29tcGFueSB3YXMgZm91bmRlZCBpbiAyMDEzIGFuZCBpcyBoZWFkcXVhcnRlcmVkIGluIFBmYWZmaWtvbiwgU3dpdHplcmxhbmQuIEFzIG9mIFNlcHRlbWJlciAyNywgMjAxNiwgRW5nTWFiIEFHIG9wZXJhdGVzIGFzIGEgc3Vic2lkaWFyeSBvZiBDZWxnZW5lIENvcnBvcmF0aW9uLgAMbRAONQnWCMDbgg41CdYIO0NJUS5OQVNEQVFHUzpLVVJBLklRX1RPVEFMX1JFVi5DWTIwMTYuNy8zMS8yMDE4LkxGUi5GLlVTRC5IAQAAALjL2hADAAAAAADWjBE4CAnWCHMknW80CdYILUNJUS5OQVNEQVFHTTpYTkNSLklRX0RJVklERU5EX1lJRUxELjcvMTYvMjAxOAEAAACmWgsAAwAAAAAARp0ZETUJ1ggS/mQSNQnWCDFDSVEuTkFTREFRR006QUZNRC5JUV9DQVBFWC4uNy8xNi8yMDE4LkxGUi5GLlVTRC5IAQAAANv3DAACAAAACS0wLjg0NzYwNAEIAAAABQAAAAExAQAAAAoxODg5ODY2MDQ5AwAAAAMxNjACAAAABDIwMjEEAAAAATAHAAAACTcvMTYvMjAxOAgAAAAJMy8zMS8yMDE4CQAAAAEwKRyUEDUJ1ggw110SNQnWCCVDSVEuTkFTREFRQ006Q0tQVC5JUV9GSVJTVFBSSUNJTkdEQVRFAQAAALhR</t>
  </si>
  <si>
    <t>FhEFAAAACTExLzQvMjAxNgApHJQQNQnWCDDXXRI1CdYIK0NJUS5OWVNFOkJIVk4uSVFfRUJJVERBLjIwMDAuMTAvMTgvMjAxNi4uLi4BAAAA3GcgDwMAAAAAALKzSW80CdYINZuTbzQJ1gg7Q0lRLk5BU0RBUUdTOkFOQUIuSVFfVE9UQUxfUkVWLkNZMjAxNi43LzE2LzIwMTguTEZSLkYuVVNELkgBAAAAIUyyAQIAAAAGMTYuNjg0AQgAAAAFAAAAATEBAAAACjE4NzcwNjUxOTYDAAAAAzE2MAIAAAACMjgEAAAAATAHAAAACTcvMTYvMjAxOAgAAAAKMTIvMzEvMjAxNgkAAAABMMT/GxE1CdYIwptiEjUJ1gg4Q0lRLk5BU0RBUUdTOlBCWUkuSVFfVE9UQUxfRVFVSVRZLi43LzE2LzIwMTguTEZSLkYuVVNELkgBAAAAAmqsBwIAAAAGNTcuNDU2AQgAAAAFAAAAATEBAAAACjE4ODg2Njc3NDMDAAAAAzE2MAIAAAAEMTI3NQQAAAABMAcAAAAJNy8xNi8yMDE4CAAAAAkzLzMxLzIwMTgJAAAAATDE/xsRNQnWCBL+ZBI1CdYIJENJUS5OQVNEQVFHTTpMUFRYLklRX0VGRkVDVF9UQVhfUkFURQEAAAAMNgkHAwAAAAJOTQEIAAAABQAAAAExAQAAAAoxODk5MTUzNzgxAwAAAAMxNjACAAAABDQzNzYEAAAAATAHAAAACTgvMjMvMjAxOAgAAAAJNi8zMC8yMDE4CQAAAAEwKRyUEDUJ1ggw110SNQnWCEJDSVEuTkFTREFRR1M6Sk5DRS5JUV9UT1RBTF9SRVZfM1lSX0FOTl9DQUdSLi43LzE2LzIwMTguTEZSLkYuVVNELkgBAAAA</t>
  </si>
  <si>
    <t>4nmeDQMAAAAAAN6nfhA1CdYImBJZEjUJ1ggxQ0lRLklRVFIzMTIxMjI1MDQuSVFfVFJfVEFSR0VUX1JFVkVOVUVfRVNULi5VU0QuSAEAAACInJoSAgAAAAAAWM8SDjUJ1gjA24IONQnWCDhDSVEuTkFTREFRR1M6QURYUy5JUV9HUk9TU19NQVJHSU4uLjcvMTYvMjAxOC5MRlIuRi5VU0QuSAEAAACe7HgAAgAAAAMxMDABCAAAAAUAAAABMQEAAAAKMTg5Mjc4ODU0OAMAAAADMTYwAgAAAAQ0MDc0BAAAAAEwBwAAAAk3LzE2LzIwMTgIAAAACTQvMzAvMjAxOAkAAAABMCkclBA1CdYI5HRbEjUJ1ggtQ0lRLk5BU0RBUUdNOkNSVlMuSVFfRElWSURFTkRfWUlFTEQuNy8zMS8yMDE4AQAAAPSwphADAAAAAADWjBE4CAnWCBnpoW80CdYIQ0NJUS5OQVNEQVFHTTpDUklTLklRX0VCSVREQV8yWVJfQU5OX0NBR1IuMjAwMC43LzMxLzIwMTguTEZSLkYuVVNELkgBAAAAF2oAAAMAAAACTk0BCAAAAAUAAAABMQEAAAAKMTg4NjI0NzQyMAMAAAADMTYwAgAAAAQ0MjA5BAAAAAEwBwAAAAk3LzMxLzIwMTgIAAAACTMvMzEvMjAxOAkAAAABMMgwsjcICdYI3UukbzQJ1gg7Q0lRLk5BU0RBUUdNOkFSUUwuSVFfUFJFRl9FUVVJVFkuMjAwMC43LzMxLzIwMTguTEZSLkYuVVNELkgBAAAA9mEAAAIAAAAGMTIuNjI1AQgAAAAFAAAAATEBAAAACjE4ODg3ODg3NzADAAAAAzE2MAIAAAAEMTAwNQQAAAABMAcAAAAJNy8zMS8yMDE4CAAA</t>
  </si>
  <si>
    <t>AAkzLzMxLzIwMTgJAAAAATDWjBE4CAnWCHMknW80CdYIKUNJUS5JUVRSMjQ1ODMxMDA3LklRX0JVU0lORVNTX0RFU0NSSVBUSU9OAQAAAHaIAAADAAAAqA5Bc3RleCBQaGFybWFjZXV0aWNhbHMsIEluYy4gZGlzY292ZXJzIGFuZCBkZXZlbG9wcyBzbWFsbC1tb2xlY3VsZSB0aGVyYXBldXRpY3Mgd2l0aCBhIGZvY3VzIG9uIG9uY29sb2d5IGFuZCBoZW1hdG9sb2d5LiBJdCBwcm92aWRlcyBQeXJhbWlkLCBhIGZyYWdtZW50LWJhc2VkIGRydWcgZGlzY292ZXJ5IHBsYXRmb3JtLiBUaGUgY29tcGFueSBvZmZlcnMgRGFjb2dlbiAoZGVjaXRhYmluZSkgZm9yIGluamVjdGlvbiBmb3IgdGhlIHRyZWF0bWVudCBvZiBwYXRpZW50cyB3aXRoIG15ZWxvZHlzcGxhc3RpYyBzeW5kcm9tZSAoTURTKS4gSXRzIHByb2R1Y3RzIGluY2x1ZGUgU0dJLTExMCwgYSBzbWFsbCBtb2xlY3VsZSBETkEtaHlwb21ldGh5YXRpbmcgYWdlbnQgdGhhdCB0cmVhdHMgTURTLCBhY3V0ZSBteWVsb2lkIGxldWtlbWlhLCBwbGF0aW51bSByZXNpc3RhbnQgb3ZhcmlhbiBjYW5jZXIsIGFuZCBoZXBhdG9jZWxsdWxhciBjYXJjaW5vbWE7IGFuZCBBVDEzMzg3LCBhIHNtYWxsIG1vbGVjdWxlIGluaGliaXRvciBmb3IgSHNwOTAsIHdoaWNoIHN0dWRpZXMgcGF0aWVudHMgd2l0aCByZWZyYWN0b3J5IGdhc3Ryb2ludGVzdGluYWwgc3Ry</t>
  </si>
  <si>
    <t>b21hbCB0dW1vcnMsIGNhc3RyYXRpb24gcmVzaXN0YW50IHByb3N0YXRlIGNhbmNlciwgYW5kIG5vbi1zbWFsbCBjZWxsIGx1bmcgY2FuY2VyLiBUaGUgY29tcGFueeKAmXMgcHJvZHVjdHMgYWxzbyBjb21wcmlzZSBBVDc1MTksIGEgc21hbGwgbW9sZWN1bGUgdGFyZ2V0ZWQgaW5oaWJpdG9yIG9mIHNldmVyYWwgY3ljbGluLWRlcGVuZGVudCBraW5hc2VzLCB3aGljaCBjb21iaW5lcyBib3J0ZXpvbWliIGluIHBhdGllbnRzIHdpdGggbXVsdGlwbGUgbXllbG9tYTsgQVQ5MjgzLCBhIHNtYWxsIG1vbGVjdWxlIGluaGliaXRvciBvZiBraW5hc2VzIHRoYXQgc3R1ZGllcyBjaGVtb3RoZXJhcHkgcmVmcmFjdG9yeSBtdWx0aXBsZSBteWVsb21hIHBhdGllbnQgcG9wdWxhdGlvbiBhbmQgcGVkaWF0cmljIGxldWtlbWlhOyBhbmQgQW11dmF0aW5pYiwgYSBtdWx0aS10YXJnZXRlZCB0eXJvc2luZSBraW5hc2UgaW5oaWJpdG9yIHRoYXQgc3R1ZGllcyBjYW5jZXIgdHJlYXRtZW50LiBJbiBhZGRpdGlvbiwgaXQsIHRvZ2V0aGVyIHdpdGggaXRzIHBhcnRuZXJzLCBkZXZlbG9wcyBMRUUwMTEsIGEgc2VsZWN0aXZlIGluaGliaXRvciBvZiBDREs0IGFuZCBDREs2IGluIFBoYXNlIEkgYW5kIFBoYXNlIEkvSUkgY2xpbmljYWwgdHJpYWxzOyBKTko0Mjc1NjQ5MyBGR0ZyIGluaGliaXRvciB0aGF0IGlzIGluIFBo</t>
  </si>
  <si>
    <t>YXNlIEkgY2xpbmljYWwgdHJpYWwgZm9yIGNhbmNlciB0cmVhdG1lbnQ7IEFaRDMyOTMsIGEgUGhhc2UgSSBjbGluaWNhbCB0cmlhbCBwcm9kdWN0IGZvciB0cmVhdGluZyBBbHpoZWltZXLigJlzIGRpc2Vhc2U7IGFuZCBBVDEzMTQ44oCUQUNHIEtpbmFzZSBJbmhpYml0b3IgdGhhdCBpcyBpbiBQaGFzZSBJIGNsaW5pY2FsIHRyaWFsLiBBc3RleCBQaGFybWFjZXV0aWNhbHMsIEluYy4gaGFzIGEgY2xpbmljYWwgY29sbGFib3JhdGlvbiB3aXRoIEdlbmVudGVjaC4gVGhlIGNvbXBhbnkgd2FzIGZvcm1lcmx5IGtub3duIGFzIFN1cGVyR2VuIEluYy4gYW5kIGNoYW5nZWQgaXRzIG5hbWUgdG8gQXN0ZXggUGhhcm1hY2V1dGljYWxzLCBJbmMuIGluIFNlcHRlbWJlciAyMDExLiBUaGUgY29tcGFueSB3YXMgZm91bmRlZCBpbiAxOTkxIGFuZCBpcyBoZWFkcXVhcnRlcmVkIGluIER1YmxpbiwgQ2FsaWZvcm5pYS4gQXMgb2YgT2N0b2JlciAxMSwgMjAxMywgQXN0ZXggUGhhcm1hY2V1dGljYWxzLCBJbmMuIG9wZXJhdGVzIGFzIGEgc3Vic2lkaWFyeSBvZiBPdHN1a2EgQW1lcmljYSwgSW5jLgCys0lvNAnWCIH9lW80CdYIKENJUS4uSVFfQ0FQRVguMTk5Mi43LzMxLzIwMTguTEZSLkYuVVNELkgFAAAAAQAAAAgAAAAUKEludmFsaWQgSWRlbnRpZmllcimWJDBHNAnWCJYkMEc0CdYIJ0NJUS5OQVNEQVFHTTpB</t>
  </si>
  <si>
    <t>UlJZLklRX0JFVEFfMVlSLjcvMzEvMjAxOAEAAAD4YQAAAgAAABMtMC4wNjYyNzg5MjYyMDc2NzQ5AJwL1TgICdYIJMKabzQJ1ggrQ0lRLklRVFIzMTIxMjI1MDQuSVFfVFJfVE9UQUxfR1JPU1NfVFYuLlVTRAEAAACInJoSAgAAAAk2MC4wOTk4ODYAWM8SDjUJ1gjA24IONQnWCCdDSVEuQVNYOklNVS5JUV9ESVZJREVORF9ZSUVMRC43LzE2LzIwMTgBAAAAmJOpAAMAAAAAACkclBA1CdYIMNddEjUJ1ggdQ0lRLk5BU0RBUUdTOkFOQUIuSVFfRVhDSEFOR0UBAAAAIUyyAQMAAAAITmFzZGFxR1MARp0ZETUJ1ggS/mQSNQnWCD1DSVEuTkFTREFRR006Q1JJUy5JUV9SRVZFTlVFX0VTVC5DWTIwMTguNy8zMS8yMDE4LkNPTi5GLlVTRC5IAQAAABdqAAACAAAABzkuNzkwOTgBDgAAAAUAAAACMTEBAAAAATACAAAACjEwMDEzODc3NDMDAAAABjEwMDE4MAQAAAABMgYAAAABMAcAAAADMTYwCAAAAAEwCQAAAAExCgAAAAEwCwAAAAsxMDk1MTI0MjY5NAwAAAABNw0AAAAIOC8xLzIwMTgQAAAACTcvMzEvMjAxOMgwsjcICdYI3UukbzQJ1ggqQ0lRLklRVFI0MDg0MDc4MjIuSVFfVFJfVEFSR0VUX0VCSVQuLlVTRC5IAQAAAA7PVxgCAAAAAACys0lvNAnWCIH9lW80CdYIKUNJUS5JUVRSNTMzNjM5NTAxLklRX0JVU0lORVNTX0RFU0NSSVBUSU9OAQAAAFuO2gEDAAAAxgpBcyBvZiBEZWNlbWJlciAyOSwgMjAxNywgR2Fs</t>
  </si>
  <si>
    <t>ZW5hIEJpb3BoYXJtYSwgSW5jLiB3YXMgYWNxdWlyZWQgYnkgU0VMTEFTIExpZmUgU2NpZW5jZXMgR3JvdXAgQUcsIGluIGEgcmV2ZXJzZSBtZXJnZXIgdHJhbnNhY3Rpb24uIEdhbGVuYSBCaW9waGFybWEsIEluYy4sIGEgYmlvcGhhcm1hY2V1dGljYWwgY29tcGFueSwgZGV2ZWxvcHMgaGVtYXRvbG9neSBhbmQgb25jb2xvZ3kgdGhlcmFwZXV0aWNzIHRoYXQgYWRkcmVzcyB1bm1ldCBtZWRpY2FsIG5lZWRzLiBUaGUgY29tcGFueSBkZXZlbG9wcyBHQUxFLTQwMSAoYW5hZ3JlbGlkZSBjb250cm9sbGVkIHJlbGVhc2UpLCB3aGljaCBjb21wbGV0ZWQgUGhhc2UgSUkgY2xpbmljYWwgdHJpYWwgZm9yIHRoZSB0cmVhdG1lbnQgb2YgcGF0aWVudHMgd2l0aCBteWVsb3Byb2xpZmVyYXRpdmUgbmVvcGxhc21zIHRvIGxvd2VyIGVsZXZhdGVkIHBsYXRlbGV0IGxldmVscy4gSXQgYWxzbyBkZXZlbG9wcyBOZXVWYXggKG5lbGlwZXBpbXV0LVMpLCB3aGljaCBpcyBpbiBQaGFzZSBJSWIgY2xpbmljYWwgdHJpYWwgaW4gY29tYmluYXRpb24gd2l0aCB0cmFzdHV6dW1hYiBmb3IgSEVSMiAxKyBhbmQgMisgbm9kZSBwb3NpdGl2ZSBhbmQgaGlnaC1yaXNrIG5vZGUgbmVnYXRpdmUgYnJlYXN0IGNhbmNlciBwYXRpZW50czsgUGhhc2UgSUkgY2xpbmljYWwgdHJpYWwgaW4gY29tYmluYXRpb24gd2l0aCB0cmFzdHV6</t>
  </si>
  <si>
    <t>dW1hYiBmb3IgSEVSMiAzKyBicmVhc3QgY2FuY2VyIHBhdGllbnRzOyBQaGFzZSBJSSBjbGluaWNhbCB0cmlhbCBmb3Igd29tZW4gd2l0aCBkdWN0YWwgY2FyY2lub21hIGluIHNpdHUgb2YgdGhlIGJyZWFzdDsgYW5kIFBoYXNlIElJIGNsaW5pY2FsIHRyaWFsIGZvciBwYXRpZW50cyB3aXRoIGdhc3RyaWMgY2FuY2VyLiBJbiBhZGRpdGlvbiwgdGhlIGNvbXBhbnkgZGV2ZWxvcHMgR0FMRS0zMDEgYW5kIEdBTEUtMzAyIGZvciBvdmFyaWFuLCBlbmRvbWV0cmlhbCwgYW5kIGJyZWFzdCBjYW5jZXJzLiBJdCBoYXMgc3RyYXRlZ2ljIGRldmVsb3BtZW50IGFuZCBjb21tZXJjaWFsaXphdGlvbiBwYXJ0bmVyc2hpcCB3aXRoIERyLiBSZWRkeeKAmXMgTGFib3JhdG9yaWVzIEx0ZC4gZm9yIE5ldVZheCBpbiBicmVhc3QgYW5kIGdhc3RyaWMgY2FuY2Vycy4gVGhlIGNvbXBhbnkgd2FzIGZvcm1lcmx5IGtub3duIGFzIFJYaSBQaGFybWFjZXV0aWNhbHMgQ29ycG9yYXRpb24gYW5kIGNoYW5nZWQgaXRzIG5hbWUgdG8gR2FsZW5hIEJpb3BoYXJtYSwgSW5jLiBpbiBTZXB0ZW1iZXIgMjAxMS4gR2FsZW5hIEJpb3BoYXJtYSwgSW5jLiB3YXMgZm91bmRlZCBpbiAyMDAzIGFuZCBpcyBiYXNlZCBpbiBTYW4gUmFtb24sIENhbGlmb3JuaWEuDQoADG0QDjUJ1gjA24IONQnWCDxDSVEuTkFTREFRR006QVJSWS5JUV9U</t>
  </si>
  <si>
    <t>T1RBTF9FUVVJVFkuMTk5Ni43LzMxLzIwMTguTEZSLkYuVVNELkgBAAAA+GEAAAIAAAAGMjcuNzE0AQgAAAAFAAAAATEBAAAACjE4ODg0NzA2NTYDAAAAAzE2MAIAAAAEMTI3NQQAAAABMAcAAAAJNy8zMS8yMDE4CAAAAAkzLzMxLzIwMTcJAAAAATCcC9U4CAnWCCTCmm80CdYIO0NJUS5OQVNEQVFHTTpBUlJZLklRX0VCSVRfTUFSR0lOLjIwMDAuNy8zMS8yMDE4LkxGUi5GLlVTRC5IAQAAAPhhAAACAAAACC0xMjguNzE2AQgAAAAFAAAAATEBAAAACjE4ODg0NzA2NzYDAAAAAzE2MAIAAAAENDA1MwQAAAABMAcAAAAJNy8zMS8yMDE4CAAAAAkzLzMxLzIwMTgJAAAAATCcC9U4CAnWCNRfmG80CdYIO0NJUS5OQVNEQVFHTTpDUklTLklRX1BSRUZfRVFVSVRZLjIwMDAuNy8zMS8yMDE4LkxGUi5GLlVTRC5IAQAAABdqAAADAAAAAADIMLI3CAnWCN1LpG80CdYIOUNJUS5OQVNEQVFHUzpCR05FLklRX0VCSVREQV9NQVJHSU4uLjcvMTYvMjAxOC5MRlIuRi5VU0QuSAEAAADg5N0GAgAAAAYtNTUuOTUBCAAAAAUAAAABMQEAAAAKMTg4NzY4ODU4OAMAAAADMTYwAgAAAAQ0MDQ3BAAAAAEwBwAAAAk3LzE2LzIwMTgIAAAACTMvMzEvMjAxOAkAAAABMMT/GxE1CdYIaGBnEjUJ1ggiQ0lRLklRVFIyNTM5NTQ0NzMuSVFfVFJfVEFSR0VUTkFNRQEAAACpCSMPAwAAACNUd28gRXhwZXJpbWVudGFsIEJsb29kIENhbmNlciBE</t>
  </si>
  <si>
    <t>cnVncwCys0lvNAnWCDWbk280CdYIPENJUS5OQVNEQVFDTTpNVEVNLklRX0VCSVREQV9FU1QuQ1kyMDE5LjcvMzEvMjAxOC5DT04uRi5VU0QuSAEAAACZm6kBAwAAAAAAyDCyNwgJ1ggZ6aFvNAnWCDFDSVEuTkFTREFRR006SU1NVS5JUV9EQV9DRi4uNy8xNi8yMDE4LkxGUi5GLlVTRC5IAQAAACBDBAACAAAACDEuMjMwNTQxAQgAAAAFAAAAATEBAAAACjE4ODg1MjMzODQDAAAAAzE2MAIAAAAEMjE2MAQAAAABMAcAAAAJNy8xNi8yMDE4CAAAAAkzLzMxLzIwMTgJAAAAATDE/xsRNQnWCGhgZxI1CdYIP0NJUS5OQVNEQVFHTTpGQVRFLklRX05FVF9XT1JLSU5HX0NBUC4yMDAwLjcvMzEvMjAxOC5MRlIuRi5VU0QuSAEAAABoMVcCAgAAAAYtOS44MzkBCAAAAAUAAAABMQEAAAAKMTg4ODUwMDUyNwMAAAADMTYwAgAAAAQxMzExBAAAAAEwBwAAAAk3LzMxLzIwMTgIAAAACTMvMzEvMjAxOAkAAAABMNaMETgICdYIw4afbzQJ1gg8Q0lRLk5BU0RBUUdTOkZQUlguSVFfRUFSTklOR19DTy5DWTIwMTcuNy8zMS8yMDE4LkxGUi5GLlVTRC5IAQAAADddMwACAAAACC0xNTAuMjIyAQgAAAAFAAAAATEBAAAACjE4NzYxMzU5OTEDAAAAAzE2MAIAAAABNwQAAAABMAcAAAAJNy8zMS8yMDE4CAAAAAoxMi8zMS8yMDE3CQAAAAEwyDCyNwgJ1ggZ6aFvNAnWCDpDSVEuTkFTREFRR1M6TVJTTi5JUV9DQVNIX1NUX0lOVkVTVC4u</t>
  </si>
  <si>
    <t>OS8xNS8yMDE3LkxGUi5GLlVTRC5IAQAAAObFGAACAAAABjc3LjIzMgEIAAAABQAAAAExAQAAAAoxODUzMzU0MDU2AwAAAAMxNjACAAAABDEwMDIEAAAAATAHAAAACTkvMTUvMjAxNwgAAAAJNi8zMC8yMDE3CQAAAAEwKRyUEDUJ1ghzOWASNQnWCDJDSVEuQVNYOklNVS5JUV9FQklUREEuQ1kyMDE3LjcvMTYvMjAxOC5MRlIuRi5VU0QuSAEAAACYk6kAAgAAAAktMi4wNjY2MjQBCAAAAAUAAAABMQEAAAAKMTg3NzMwNTMyMAMAAAADMTYwAgAAAAQ0MDUxBAAAAAEwBwAAAAk3LzE2LzIwMTgIAAAACjEyLzMxLzIwMTcJAAAAATApHJQQNQnWCDDXXRI1CdYIO0NJUS5OQVNEQVFHUzpDQUxBLklRX1RPVEFMX1JFVi5DWTIwMTYuNy8zMS8yMDE4LkxGUi5GLlVTRC5IAQAAAKUngQYDAAAAAADIMLI3CAnWCN1LpG80CdYIPUNJUS5OQVNEQVFHUzpBVE5YLklRX1JFVkVOVUVfRVNULkNZMjAyMS43LzMxLzIwMTguQ09OLkYuVVNELkgBAAAA3JlrAQIAAAAJMzA0LjIxMDMzAQ4AAAAFAAAAAjExAQAAAAEwAgAAAAoxMDAzNzc4NDE5AwAAAAYxMDAxODAEAAAAATIGAAAAATAHAAAAAzE2MAgAAAABMAkAAAABMQoAAAABMAsAAAALMTA5OTU0MjM0NDEMAAAAATcNAAAACDgvMS8yMDE4EAAAAAk3LzMxLzIwMTjWjBE4CAnWCCTCmm80CdYIJENJUS5PVENQSzpNQlZYLklRX0JFVEFfMllSLjcvMTYvMjAxOAEAAADYRIsCAgAA</t>
  </si>
  <si>
    <t>ABAxLjA4OTUyOTMwMjE1NjIyACAKgRA1CdYImBJZEjUJ1ghHQ0lRLk5BU0RBUUdNOklNTVUuSVFfTUlOT1JJVFlfSU5URVJFU1RfVE9UQUwuMjAwMC43LzMxLzIwMTguTEZSLkYuVVNELkgBAAAAIEMEAAIAAAAJLTAuODEwMTY5AQgAAAAFAAAAATEBAAAACjE4ODg1MjMzODQDAAAAAzE2MAIAAAAEMTMxMgQAAAABMAcAAAAJNy8zMS8yMDE4CAAAAAkzLzMxLzIwMTgJAAAAATCcC9U4CAnWCNRfmG80CdYIPENJUS5OQVNEQVFHTTpDUklTLklRX1RPVEFMX0VRVUlUWS4yMDAwLjcvMzEvMjAxOC5MRlIuRi5VU0QuSAEAAAAXagAAAgAAAAYxNC40NjcBCAAAAAUAAAABMQEAAAAKMTg4NjI0NzQyMAMAAAADMTYwAgAAAAQxMjc1BAAAAAEwBwAAAAk3LzMxLzIwMTgIAAAACTMvMzEvMjAxOAkAAAABMMgwsjcICdYI3UukbzQJ1gguQ0lRLklRVFI0MjI4ODc3MDEuSVFfVFJfVEFSR0VUX1NUT0NLUFJFTUlVTV8xTQEAAAAVwTQZAgAAAAAADG0QDjUJ1gjA24IONQnWCC1DSVEuTkFTREFRR1M6S1VSQS5JUV9NQVJLRVRDQVAuNS81LzIwMTcuVVNELkgBAAAAuMvaEAIAAAAKMTgxLjA2NzkwMgEGAAAABQAAAAExAQAAAAoxODMxOTMxNjA2AwAAAAMxNjACAAAABjEwMDA1NAQAAAABMAcAAAAINS81LzIwMTfWjBE4CAnWCHMknW80CdYIK0NJUS5JUVRSMzcxNzE1MTE5LklRX1RSX1RPVEFMX0dST1NTX1RWLi5VU0QBAAAA</t>
  </si>
  <si>
    <t>L+wnFgIAAAADNTIwAQYAAAAFAAAAAjU0AQAAAAYxMDIwODgCAAAACTM3MTcxNTExOQMAAAAJMzcxNzI0MTQ2BAAAAAMxNjAGAAAABUZhbHNlWM8SDjUJ1gjA24IONQnWCD1DSVEuTkFTREFRR1M6VFNSTy5JUV9SRVZFTlVFX0VTVC5DWTIwMTkuNy8xNi8yMDE4LkNPTi5GLlVTRC5IAQAAAGjWWAYCAAAACTQ2Ni44NjgwOAEOAAAABQAAAAIxMQEAAAABMAIAAAAKMTAwMTU4MDM0NQMAAAAGMTAwMTgwBAAAAAEyBgAAAAEwBwAAAAMxNjAIAAAAATAJAAAAATEKAAAAATALAAAACzEwOTY3MjE1OTg4DAAAAAE3DQAAAAk3LzE3LzIwMTgQAAAACTcvMTYvMjAxOMT/GxE1CdYIEv5kEjUJ1gg7Q0lRLk5BU0RBUUdNOkZBVEUuSVFfVE9UQUxfUkVWLkNZMjAxNy43LzMxLzIwMTguTEZSLkYuVVNELkgBAAAAaDFXAgIAAAAFNC4xMDYBCAAAAAUAAAABMQEAAAAKMTg3NzA2OTA5MAMAAAADMTYwAgAAAAIyOAQAAAABMAcAAAAJNy8zMS8yMDE4CAAAAAoxMi8zMS8yMDE3CQAAAAEw1owROAgJ1gjDhp9vNAnWCDhDSVEuTkFTREFRR1M6R1RIWC5JUV9FQklUREEuQ1kyMDE2LjcvMzEvMjAxOC5MRlIuRi5VU0QuSAEAAABlNGkIAgAAAActMzAuMzI0AQgAAAAFAAAAATEBAAAACjE4NzUzMjczMDEDAAAAAzE2MAIAAAAENDA1MQQAAAABMAcAAAAJNy8zMS8yMDE4CAAAAAoxMi8zMS8yMDE2CQAAAAEwnAvVOAgJ1ggkwppvNAnW</t>
  </si>
  <si>
    <t>CClDSVEuTkFTREFRR1M6TUdOWC5JUV9CVVNJTkVTU19ERVNDUklQVElPTgEAAABPKwkAAwAAALwOTWFjcm9HZW5pY3MsIEluYy4sIGEgYmlvcGhhcm1hY2V1dGljYWwgY29tcGFueSwgZm9jdXNlcyBvbiB0aGUgZGlzY292ZXJ5IGFuZCBkZXZlbG9wbWVudCBvZiBhbnRpYm9keS1iYXNlZCB0aGVyYXBldXRpY3MgZm9yIHRoZSB0cmVhdG1lbnQgb2YgY2FuY2VyIHByaW1hcmlseSBieSBtb2R1bGF0aW5nIHRoZSBodW1hbiBpbW11bmUgc3lzdGVtLCBhcyB3ZWxsIGFzIHZhcmlvdXMgYXV0b2ltbXVuZSBkaXNvcmRlcnMgYW5kIGluZmVjdGlvdXMgZGlzZWFzZXMgaW4gdGhlIFVuaXRlZCBTdGF0ZXMuIFRoZSBjb21wYW554oCZcyBhZHZhbmNlZCBjbGluaWNhbCBwcm9kdWN0IGNhbmRpZGF0ZSBpcyBNYXJnZXR1eGltYWIsIGEgbW9ub2Nsb25hbCBhbnRpYm9keSwgd2hpY2ggaXMgaW4gUGhhc2UgSUlJIGNsaW5pY2FsIHRyaWFsIHRoYXQgdGFyZ2V0cyBodW1hbiBlcGlkZXJtYWwgZ3Jvd3RoIGZhY3RvciByZWNlcHRvciAyLWV4cHJlc3NpbmcgdHVtb3JzLCBzdWNoIGFzIHZhcmlvdXMgYnJlYXN0IGFuZCBnYXN0cm9lc29waGFnZWFsIGNhbmNlcnMuIEl0IGlzIGFsc28gZGV2ZWxvcGluZyBGbG90ZXR1enVtYWIsIGEgREFSVCBtb2xlY3VsZSB0aGF0IHRhcmdldHMgQ0QxMjMgYW5kIENEMzsgTUdBMDEy</t>
  </si>
  <si>
    <t>LCBhIG1vbm9jbG9uYWwgYW50aWJvZHksIHdoaWNoIHRhcmdldHMgcHJvZ3JhbW1lZCBjZWxsIGRlYXRoIHByb3RlaW4gMSAoUEQtMSk7IE1HRDAxMywgYSBEQVJUIG1vbGVjdWxlIHRoYXQgZW5hYmxlcyB0aGUgY28tYmxvY2thZGUgd2l0aCBhIHNpbmdsZSByZWNvbWJpbmFudCBhZ2VudCBvZiB0d28gaW1tdW5lIGNoZWNrcG9pbnQgbW9sZWN1bGVzOyBNR0QwMTksIGEgcHJlY2xpbmljYWwgREFSVCBtb2xlY3VsZSBkZXNpZ25lZCB0byByZWNvZ25pemUgdGhlIGltbXVuZSBjaGVja3BvaW50cyBQRC0xIGFuZCBjeXRvdG94aWMgVC1seW1waG9jeXRlLWFzc29jaWF0ZWQgcHJvdGVpbiA0IChDVExBLTQpOyBhbmQgRW5vYmxpdHV6dW1hYiwgYSBtb25vY2xvbmFsIGFudGlib2R5IHRoYXQgdGFyZ2V0cyBCNy1IMy4gSW4gYWRkaXRpb24sIHRoZSBjb21wYW55IGRldmVsb3BzIE1HRDAwOSwgYSBEQVJUIG1vbGVjdWxlIHJlY29nbml6ZXMgQjctSDMgYW5kIENEMzsgTUdDMDE4LCBhIEI3LUgzIGFudGlib2R5LWRydWcgY29uanVnYXRlOyBNR0QwMDcsIGEgREFSVCBtb2xlY3VsZSwgd2hpY2ggdGFyZ2V0cyBnbHljb3Byb3RlaW4gQTMzIGFuZCBDRDM7IFRlcGxpenVtYWIsIGFuIGFudGktQ0QzIG1vbm9jbG9uYWwgYW50aWJvZHkgdG8gdHJlYXQgdHlwZSAxIGRpYWJldGVzOyBNR0QwMTAsIGEgREFSVCBt</t>
  </si>
  <si>
    <t>b2xlY3VsZSBkZXNpZ25lZCB0byBhZGRyZXNzIGxpbWl0YXRpb25zIG9mIGV4aXN0aW5nIEIgY2VsbC10YXJnZXRlZCB0aGVyYXBpZXMgYnkgYmluZGluZyB0byB0aGUgQ0QzMkIgYW5kIENENzlCIHByb3RlaW5zIGZvdW5kIG9uIGh1bWFuIEIgY2VsbHM7IGFuZCBNR0QwMTQsIGEgREFSVCBtb2xlY3VsZSB0aGF0IHRhcmdldHMgdGhlIGVudmVsb3BlIHByb3RlaW4gb2YgaHVtYW4gaW1tdW5vZGVmaWNpZW5jeSB2aXJ1cywgb3IgSElWLWluZmVjdGVkIGNlbGxzIGFuZCBDRDMtZXhwcmVzc2luZyBUIGNlbGxzLiBJdCBoYXMgc3RyYXRlZ2ljIGNvbGxhYm9yYXRpb25zIHdpdGggSW5jeXRlIENvcnBvcmF0aW9uOyBMZXMgTGFib3JhdG9pcmVzIFNlcnZpZXIgYW5kIEluc3RpdHV0IGRlIFJlY2hlcmNoZXMgU2VydmllcjsgYW5kIEYuIEhvZmZtYW5uLUxhIFJvY2hlIEx0ZC4gYW5kIEhvZmZtYW5uLUxhIFJvY2hlIEluYy4gTWFjcm9HZW5pY3MsIEluYy4gd2FzIGZvdW5kZWQgaW4gMjAwMCBhbmQgaXMgaGVhZHF1YXJ0ZXJlZCBpbiBSb2NrdmlsbGUsIE1hcnlsYW5kLgBGnRkRNQnWCMKbYhI1CdYIJkNJUS5OQVNEQVFHUzpOSy5JUV9URVYuNy8zMS8yMDE4LlVTRC5IAQAAAA19oQ8CAAAACjE1OC41NDM2NjYBBgAAAAUAAAABMQEAAAAKMTg4NzExNjkyOQMAAAADMTYwAgAAAAYxMDAwNjAEAAAAATAHAAAA</t>
  </si>
  <si>
    <t>CTcvMzEvMjAxONaMETgICdYIw4afbzQJ1gg8Q0lRLk5BU0RBUUdTOkpOQ0UuSVFfRUJJVERBX0VTVC5DWTIwMTkuNy8xNi8yMDE4LkNPTi5GLlVTRC5IAQAAAOJ5ng0CAAAABy0zNC4zNzYBDgAAAAUAAAACMTEBAAAAATACAAAACjEwMDM2MjkyMDIDAAAABjEwMDE4NwQAAAABMgYAAAABMAcAAAADMTYwCAAAAAEwCQAAAAExCgAAAAEwCwAAAAsxMDg4NzQxNzUyOAwAAAABNw0AAAAJNy8xNy8yMDE4EAAAAAk3LzE2LzIwMTgpHJQQNQnWCJgSWRI1CdYIRUNJUS4oSU5WQUxJRCBJREVOVElGSUVSKS5JUV9DQVNIX1NUX0lOVkVTVC4yMDAwLjcvMzEvMjAxOC5MRlIuRi5VU0QuSAUAAAAAAAAACAAAABQoSW52YWxpZCBJZGVudGlmaWVyKcgwsjcICdYI7TawbzQJ1ggrQ0lRLklRVFI1NDI4MDY2ODYuSVFfVFJfVE9UQUxfR1JPU1NfVFYuLlVTRAEAAACeklogAgAAAAAAsrNJbzQJ1giB/ZVvNAnWCCBDSVEuSVFUUjQwMzc5MTc2Ny5JUV9UUl9FQVJOT1VUUwEAAACXXxEYAgAAAAsyNDYzLjk2NDUxOQEGAAAABQAAAAI1NAEAAAAGMTAxNDAzAgAAAAk0MDM3OTE3NjcDAAAACTQwMzc5MjEwOQQAAAADMTYwBgAAAAVGYWxzZVjPEg41CdYIwNuCDjUJ1gg2Q0lRLk5BU0RBUUdTOlBCWUkuSVFfVE9UQUxfREVCVC4uNy8xNi8yMDE4LkxGUi5GLlVTRC5IAQAAAAJqrAcCAAAABjQ4LjU1NgEIAAAABQAAAAExAQAAAAox</t>
  </si>
  <si>
    <t>ODg4NjY3NzQzAwAAAAMxNjACAAAABDQxNzMEAAAAATAHAAAACTcvMTYvMjAxOAgAAAAJMy8zMS8yMDE4CQAAAAEwxP8bETUJ1ggS/mQSNQnWCENDSVEuTkFTREFRR006QVJRTC5JUV9FQklUREFfMllSX0FOTl9DQUdSLjIwMDAuNy8zMS8yMDE4LkxGUi5GLlVTRC5IAQAAAPZhAAADAAAAAk5NAQgAAAAFAAAAATEBAAAACjE4ODg3ODg3NzADAAAAAzE2MAIAAAAENDIwOQQAAAABMAcAAAAJNy8zMS8yMDE4CAAAAAkzLzMxLzIwMTgJAAAAATDWjBE4CAnWCMOGn280CdYIP0NJUS5OQVNEQVFHUzpGUFJYLklRX0VCSVREQV8yWVJfQU5OX0NBR1IuLjcvMTYvMjAxOC5MRlIuRi5VU0QuSAEAAAA3XTMAAwAAAAJOTQEIAAAABQAAAAExAQAAAAoxODg3NDAyMjI3AwAAAAMxNjACAAAABDQyMDkEAAAAATAHAAAACTcvMTYvMjAxOAgAAAAJMy8zMS8yMDE4CQAAAAEwKRyUEDUJ1ghzOWASNQnWCCVDSVEuTkFTREFRR1M6QURYUy5JUV9GSVJTVFBSSUNJTkdEQVRFAQAAAJ7seAAFAAAACTcvMjgvMjAwNQApHJQQNQnWCOR0WxI1CdYINkNJUS5OQVNEQVFHTTpJTU1VLklRX0VBUk5JTkdfQ08uLjcvMTYvMjAxOC5MRlIuRi5VU0QuSAEAAAAgQwQAAgAAAAstMjEwLjExNjQzNwEIAAAABQAAAAExAQAAAAoxODg4NTIzMzg0AwAAAAMxNjACAAAAATcEAAAAATAHAAAACTcvMTYvMjAxOAgAAAAJMy8zMS8yMDE4CQAAAAEwxP8b</t>
  </si>
  <si>
    <t>ETUJ1ggS/mQSNQnWCCNDSVEuSVFUUjQwODI5MTM5NS5JUV9UUl9DTE9TRURfREFURQEAAABDCFYYBQAAAAoxMS8yOS8yMDE2AFjPEg41CdYIwNuCDjUJ1ggVQ0lRLi5JUV9UUl9UT1RBTF9DQVNIBQAAAAAAAAAIAAAAFChJbnZhbGlkIElkZW50aWZpZXIpnAvVOAgJ1gh3eYAONQnWCENDSVEuTkFTREFRR1M6VFNSTy5JUV9FQklUREFfNVlSX0FOTl9DQUdSLjIwMDAuNy8zMS8yMDE4LkxGUi5GLlVTRC5IAQAAAGjWWAYDAAAAAk5NAQgAAAAFAAAAATEBAAAACjE4ODYzMzc0NjYDAAAAAzE2MAIAAAAENDIzNQQAAAABMAcAAAAJNy8zMS8yMDE4CAAAAAkzLzMxLzIwMTgJAAAAATCcC9U4CAnWCCTCmm80CdYIO0NJUS5OQVNEQVFHUzpLVVJBLklRX0VCSVRfTUFSR0lOLjIwMDAuNy8zMS8yMDE4LkxGUi5GLlVTRC5IAQAAALjL2hADAAAAAADWjBE4CAnWCHMknW80CdYIOkNJUS5OQVNEQVFHTTpOTE5LLklRX0NBU0hfU1RfSU5WRVNULi43LzE2LzIwMTguTEZSLkYuVVNELkgBAAAAlXuMAAIAAAAHMTQzLjg5MQEIAAAABQAAAAExAQAAAAoxODg4MzU0MjA3AwAAAAMxNjACAAAABDEwMDIEAAAAATAHAAAACTcvMTYvMjAxOAgAAAAJMy8zMS8yMDE4CQAAAAEwKRyUEDUJ1gjkdFsSNQnWCCFDSVEuTkFTREFRR1M6VFNSTy5JUV9DT01QQU5ZX05BTUUBAAAAaNZYBgMAAAAMVGVzYXJvLCBJbmMuAJwL1TgICdYID2WM</t>
  </si>
  <si>
    <t>DjUJ1ggiQ0lRLklRVFI0MDg0MDc4MjIuSVFfVFJfVE9UQUxfQ0FTSAEAAAAOz1cYAgAAAAIxMgEGAAAABQAAAAI1NAEAAAAGMTAxMDU2AgAAAAk0MDg0MDc4MjIDAAAACTQwODQxMDU0MQQAAAADMTYwBgAAAAVGYWxzZbKzSW80CdYIgf2VbzQJ1gg/Q0lRLkVOWFRQQTpJUEguSVFfVE9UQUxfUkVWXzNZUl9BTk5fQ0FHUi4uNy8xNi8yMDE4LkxGUi5GLlVTRC5IAQAAAJmABgACAAAABzc5LjQyNTUBCAAAAAUAAAABMQEAAAAKMTg4OTU1MjE2NAMAAAACNTACAAAABDQyMjAEAAAAATAHAAAACTcvMTYvMjAxOAgAAAAKMTIvMzEvMjAxNwkAAAABMCkclBA1CdYIczlgEjUJ1gg6Q0lRLk5BU0RBUUdTOkFEWFMuSVFfQ0FTSF9TVF9JTlZFU1QuLjkvMTUvMjAxNy5MRlIuRi5VU0QuSAEAAACe7HgAAgAAAAk4OS40MDUzMTEBCAAAAAUAAAABMQEAAAAKMTg1ODg2OTg5NwMAAAADMTYwAgAAAAQxMDAyBAAAAAEwBwAAAAk5LzE1LzIwMTcIAAAACTcvMzEvMjAxNwkAAAABMCkclBA1CdYI5HRbEjUJ1gg/Q0lRLk5BU0RBUUdNOkFSUlkuSVFfTkVUX1dPUktJTkdfQ0FQLjE5OTYuNy8zMS8yMDE4LkxGUi5GLlVTRC5IAQAAAPhhAAACAAAABy0xOC45NDQBCAAAAAUAAAABMQEAAAAKMTg4ODQ3MDY1NgMAAAADMTYwAgAAAAQxMzExBAAAAAEwBwAAAAk3LzMxLzIwMTgIAAAACTMvMzEvMjAxNwkAAAABMJwL1TgICdYI1F+Y</t>
  </si>
  <si>
    <t>bzQJ1ggpQ0lRLk5BU0RBUUdTOktVUkEuSVFfQlVTSU5FU1NfREVTQ1JJUFRJT04BAAAAuMvaEAMAAADcBkt1cmEgT25jb2xvZ3ksIEluYy4sIGEgY2xpbmljYWwtc3RhZ2UgYmlvcGhhcm1hY2V1dGljYWwgY29tcGFueSwgZGV2ZWxvcHMgbWVkaWNpbmVzIGZvciB0aGUgdHJlYXRtZW50IG9mIGNhbmNlcnMuIEl0cyBwaXBlbGluZSBjb25zaXN0cyBvZiBzbWFsbCBtb2xlY3VsZSBwcm9kdWN0IGNhbmRpZGF0ZXMgdGhhdCB0YXJnZXQgY2FuY2VyLiBUaGUgY29tcGFueeKAmXMgbGVhZCBwcm9kdWN0IGNhbmRpZGF0ZSBpcyBUaXBpZmFybmliLCBhbiBvcmFsIGZhcm5lc3lsIHRyYW5zZmVyYXNlIGluaGliaXRvciB0aGF0IGlzIGluIFBoYXNlIElJIGNsaW5pY2FsIHRyaWFscyBmb3IgdGhlIHRyZWF0bWVudCBvZiBzb2xpZCB0dW1vcnMsIHBlcmlwaGVyYWwgVC1jZWxsIGx5bXBob21hcywgbXllbG9keXNwbGFzdGljIHN5bmRyb21lcywgYWN1dGUgbXllbG9pZCBsZXVrZW1pYSwgYW5kIGNocm9uaWMgbXllbG9tb25vY3l0aWMgbGV1a2VtaWEuIEl0IGlzIGFsc28gZGV2ZWxvcGluZyBLTy05NDcsIGEgc21hbGwgbW9sZWN1bGUgaW5oaWJpdG9yIG9mIGV4dHJhY2VsbHVsYXIgc2lnbmFsIHJlbGF0ZWQga2luYXNlIHVzZWQgZm9yIHRoZSB0cmVhdG1lbnQgb2YgcGF0aWVudHMgd2l0aCB0dW1vcnMgdGhh</t>
  </si>
  <si>
    <t>dCBoYXZlIG11dGF0aW9ucyBpbiwgb3Igb3RoZXIgZHlzcmVndWxhdGlvbiBvZiwgdGhlIG1pdG9nZW4tYWN0aXZhdGVkIHByb3RlaW4ga2luYXNlOyBhbmQgS08tNTM5LCBhIHNtYWxsIG1vbGVjdWxlIGluaGliaXRvciBvZiB0aGUgbWVuaW4tbWl4ZWQgbGluZWFnZSBsZXVrZW1pYS4gVGhlIGNvbXBhbnkgd2FzIGZvdW5kZWQgaW4gMjAxNCBhbmQgaXMgaGVhZHF1YXJ0ZXJlZCBpbiBTYW4gRGllZ28sIENhbGlmb3JuaWEuANaMETgICdYIcySdbzQJ1gg8Q0lRLk5BU0RBUUdTOlBCWUkuSVFfRUJJVERBX0VTVC5DWTIwMTguNy8xNi8yMDE4LkNPTi5GLlVTRC5IAQAAAAJqrAcCAAAACC0yOS4zNjQ3AQ4AAAAFAAAAAjExAQAAAAEwAgAAAAoxMDAxNTEzMDc0AwAAAAYxMDAxODcEAAAAATIGAAAAATAHAAAAAzE2MAgAAAABMAkAAAABMQoAAAABMAsAAAALMTA5NDIwODk2MDkMAAAAATcNAAAACTcvMTcvMjAxOBAAAAAJNy8xNi8yMDE4xP8bETUJ1ggS/mQSNQnWCDVDSVEuTkFTREFRR1M6QVROWC5JUV9DQVBFWC4xOTkyLjcvMzEvMjAxOC5MRlIuRi5VU0QuSAEAAADcmWsBAgAAAAYtMC4xNzgBCAAAAAUAAAABMQEAAAAKMTg0MjQ5MDI3MwMAAAADMTYwAgAAAAQyMDIxBAAAAAEwBwAAAAk3LzMxLzIwMTgIAAAACjEyLzMxLzIwMTQJAAAAATDWjBE4CAnWCCTCmm80CdYII0NJUS5JUVRSNTMzNjM5NTAxLklR</t>
  </si>
  <si>
    <t>X1RSX0NMT1NFRF9EQVRFAQAAAE2xzh8FAAAACjEyLzI5LzIwMTcADG0QDjUJ1gjA24IONQnWCChDSVEuTkFTREFRR1M6S1VSQS5JUV9URVYuNy8zMS8yMDE4LlVTRC5IAQAAALjL2hACAAAACjYyMy4zMTk0MjIBBgAAAAUAAAABMQEAAAAKMTg4NzM4MjI4MQMAAAADMTYwAgAAAAYxMDAwNjAEAAAAATAHAAAACTcvMzEvMjAxONaMETgICdYIcySdbzQJ1gg8Q0lRLk5BU0RBUUdTOk1HTlguSVFfRUJJVERBX0VTVC5DWTIwMTguNy8xNi8yMDE4LkNPTi5GLlVTRC5IAQAAAE8rCQACAAAACi0xNzcuNTI2MjEBDgAAAAUAAAACMTEBAAAAATACAAAACjEwMDE5NzI5MjkDAAAABjEwMDE4NwQAAAABMgYAAAABMAcAAAADMTYwCAAAAAEwCQAAAAExCgAAAAEwCwAAAAsxMDg4NTkzOTQ1OAwAAAABNw0AAAAJNy8xNy8yMDE4EAAAAAk3LzE2LzIwMTjE/xsRNQnWCMKbYhI1CdYIRkNJUS4oSU5WQUxJRCBJREVOVElGSUVSKS5JUV9FQklUREFfNVlSX0FOTl9DQUdSLi43LzE2LzIwMTguTEZSLkYuVVNELkgFAAAAAAAAAAgAAAAUKEludmFsaWQgSWRlbnRpZmllcinep34QNQnWCJgSWRI1CdYILkNJUS5JUVRSNDA5OTUxODg2LklRX1RSX1RBUkdFVF9TVE9DS1BSRU1JVU1fMVcBAAAAjl5vGAIAAAAAAAxtEA41CdYIwNuCDjUJ1gg4Q0lRLk5BU0RBUUdTOkNBTEEuSVFfRUJJVERBLkNZMjAxNi43LzE2LzIwMTguTEZSLkYu</t>
  </si>
  <si>
    <t>VVNELkgBAAAApSeBBgIAAAAHLTM3LjczNwEIAAAABQAAAAExAQAAAAoxODc3OTU1NjAxAwAAAAMxNjACAAAABDQwNTEEAAAAATAHAAAACTcvMTYvMjAxOAgAAAAKMTIvMzEvMjAxNgkAAAABMCkclBA1CdYI5HRbEjUJ1ggnQ0lRLk5BU0RBUUdTOkVQWk0uSVFfUEVSSU9EREFURV9JUy4xMDAwAQAAAAMmPQMFAAAACjEyLzMxLzIwMTcA1owROAgJ1ggkwppvNAnWCClDSVEuSVEzNjE4MzgzMS5JUV9MQVNUU0FMRVBSSUNFLjcvMTYvMjAxOAEAAAAXHygCAgAAAAQyLjc1AAxtEA41CdYIDD6FDjUJ1ggvQ0lRLklRVFIzMTQ4MjkyMzYuSVFfVFJfSU1QTElFRF9FVl9GSU5BTC4uVVNELkgBAAAAtOnDEgIAAAADMjU4AFjPEg41CdYIwNuCDjUJ1gg3Q0lRLk5BU0RBUUdTOkFEWFMuSVFfUFJFRl9FUVVJVFkuLjcvMTYvMjAxOC5MRlIuRi5VU0QuSAEAAACe7HgAAwAAAAAAKRyUEDUJ1gjkdFsSNQnWCBdDSVEuMC5JUV9UUl9UT1RBTF9TVE9DSwUAAAAAAAAACAAAABgoSW52YWxpZCBUcmFuc2FjdGlvbiBJZClJU0dvNAnWCMxY54E0CdYIOENJUS5OQVNEQVFHUzpOSy5JUV9QUkVGX0VRVUlUWS4yMDAwLjUvNS8yMDE3LkxGUi5GLlVTRC5IAQAAAA19oQ8DAAAAAADWjBE4CAnWCBnpoW80CdYII0NJUS5JUVRSNDA3NzYwNjkyLklRX1RSX1RPVEFMX1NUT0NLAQAAADTvTRgCAAAAAAAMbRAONQnWCAw+hQ41CdYIPUNJ</t>
  </si>
  <si>
    <t>US5OQVNEQVFHUzpLVVJBLklRX0NBU0hfU1RfSU5WRVNULjIwMDAuNS81LzIwMTcuTEZSLkYuVVNELkgBAAAAuMvaEAIAAAAFNjcuNzkBCAAAAAUAAAABMQEAAAAKMTgzMTkzMTYwOAMAAAADMTYwAgAAAAQxMDAyBAAAAAEwBwAAAAg1LzUvMjAxNwgAAAAKMTIvMzEvMjAxNgkAAAABMNaMETgICdYIcySdbzQJ1gg7Q0lRLk5BU0RBUUdTOlRTUk8uSVFfUFJFRl9FUVVJVFkuMjAwMC43LzMxLzIwMTguTEZSLkYuVVNELkgBAAAAaNZYBgMAAAAAAJwL1TgICdYIJMKabzQJ1ggjQ0lRLklRVFI0MDk5NTE4ODYuSVFfVFJfQ0xPU0VEX0RBVEUBAAAAjl5vGAUAAAAJNC8yOC8yMDE3AAxtEA41CdYIwNuCDjUJ1ghHQ0lRLk5BU0RBUUdTOkVQWk0uSVFfTUlOT1JJVFlfSU5URVJFU1RfVE9UQUwuMjAwMC43LzMxLzIwMTguTEZSLkYuVVNELkgBAAAAAyY9AwMAAAAAANaMETgICdYIJMKabzQJ1gg5Q0lRLk9UQ1BLOk5XQk8uSVFfRUFSTklOR19DTy5DWTIwMTcuNy8xNi8yMDE4LkxGUi5GLlVTRC5IAQAAAKN6FAACAAAABy03My4xNDMBCAAAAAUAAAABMQEAAAAKMTg4MzI0OTA4NgMAAAADMTYwAgAAAAE3BAAAAAEwBwAAAAk3LzE2LzIwMTgIAAAACjEyLzMxLzIwMTcJAAAAATApHJQQNQnWCDDXXRI1CdYIIUNJUS5JUVRSNTYzOTE5MDQ5LklRX1RSX0JVWUVSTkFNRQEAAADJuJwhAwAAABVFbGkgTGlsbHkgYW5kIENv</t>
  </si>
  <si>
    <t>bXBhbnkADG0QDjUJ1gjA24IONQnWCEZDSVEuTkFTREFRR006RkFURS5JUV9UT1RBTF9SRVZfM1lSX0FOTl9DQUdSLjIwMDAuNy8zMS8yMDE4LkxGUi5GLlVTRC5IAQAAAGgxVwIDAAAAAADWjBE4CAnWCMOGn280CdYIOkNJUS5PVENQSzpOV0JPLklRX1JFVkVOVUVfRVNULkNZMjAxOC43LzE2LzIwMTguQ09OLkYuVVNELkgBAAAAo3oUAAMAAAAAACkclBA1CdYIczlgEjUJ1gg1Q0lRLk5BU0RBUUdNOkZBVEUuSVFfREFfQ0YuMjAwMC43LzMxLzIwMTguTEZSLkYuVVNELkgBAAAAaDFXAgIAAAAFMS4wNTEBCAAAAAUAAAABMQEAAAAKMTg4ODUwMDUyNwMAAAADMTYwAgAAAAQyMTYwBAAAAAEwBwAAAAk3LzMxLzIwMTgIAAAACTMvMzEvMjAxOAkAAAABMNaMETgICdYIw4afbzQJ1gg1Q0lRLk5BU0RBUUdNOkZBVEUuSVFfQ0FQRVguMjAwMC43LzMxLzIwMTguTEZSLkYuVVNELkgBAAAAaDFXAgIAAAAGLTEuNzU0AQgAAAAFAAAAATEBAAAACjE4ODg1MDA1MjcDAAAAAzE2MAIAAAAEMjAyMQQAAAABMAcAAAAJNy8zMS8yMDE4CAAAAAkzLzMxLzIwMTgJAAAAATDWjBE4CAnWCMOGn280CdYIOENJUS5OQVNEQVFHTTpMUFRYLklRX0VCSVREQS5DWTIwMTYuNy8xNi8yMDE4LkxGUi5GLlVTRC5IAQAAAAw2CQcCAAAABi0yNC4xNQEIAAAABQAAAAExAQAAAAoxODc1NTU5OTM5AwAAAAMxNjACAAAABDQwNTEEAAAAATAH</t>
  </si>
  <si>
    <t>AAAACTcvMTYvMjAxOAgAAAAKMTIvMzEvMjAxNgkAAAABMCkclBA1CdYIMNddEjUJ1gg4Q0lRLk5BU0RBUUdTOk5LLklRX0VBUk5JTkdfQ08uMTk5Ni43LzMxLzIwMTguTEZSLkYuVVNELkgBAAAADX2hDwIAAAAILTExNC42NDcBCAAAAAUAAAABMQEAAAAKMTg4NzExODc2NwMAAAADMTYwAgAAAAE3BAAAAAEwBwAAAAk3LzMxLzIwMTgIAAAACTMvMzEvMjAxNwkAAAABMNaMETgICdYIGemhbzQJ1ggjQ0lRLk5BU0RBUUNNOkFWRU8uSVFfUEVSSU9EREFURV9JUy4BAAAA9BYdAAUAAAAJNi8zMC8yMDE4AMT/GxE1CdYIwptiEjUJ1ggvQ0lRLklRVFIzMjE4NjUyOTcuSVFfVFJfSU1QTElFRF9FVl9GSU5BTC4uVVNELkgBAAAAUUYvEwIAAAAAAFjPEg41CdYIDD6FDjUJ1ghBQ0lRLk5BU0RBUUdTOk5LLklRX0VCSVREQV8zWVJfQU5OX0NBR1IuMjAwMC43LzMxLzIwMTguTEZSLkYuVVNELkgBAAAADX2hDwMAAAACTk0BCAAAAAUAAAABMQEAAAAKMTg4NzExODc5MQMAAAADMTYwAgAAAAQ0MjIyBAAAAAEwBwAAAAk3LzMxLzIwMTgIAAAACTMvMzEvMjAxOAkAAAABMNaMETgICdYIGemhbzQJ1gg4Q0lRLk5BU0RBUUdTOk1SU04uSVFfVE9UQUxfRVFVSVRZLi43LzE2LzIwMTguTEZSLkYuVVNELkgBAAAA5sUYAAIAAAAGNTYuNTQ3AQgAAAAFAAAAATEBAAAACjE4ODkwOTY2NTMDAAAAAzE2MAIAAAAEMTI3NQQAAAAB</t>
  </si>
  <si>
    <t>MAcAAAAJNy8xNi8yMDE4CAAAAAkzLzMxLzIwMTgJAAAAATApHJQQNQnWCHM5YBI1CdYIP0NJUS5OQVNEQVFHTTpGQVRFLklRX05FVF9XT1JLSU5HX0NBUC4xOTkyLjcvMzEvMjAxOC5MRlIuRi5VU0QuSAEAAABoMVcCAgAAAAYtNS4yMjYBCAAAAAUAAAABMQEAAAAKMTg0MzU0NDMyMQMAAAADMTYwAgAAAAQxMzExBAAAAAEwBwAAAAk3LzMxLzIwMTgIAAAACTMvMzEvMjAxNgkAAAABMNaMETgICdYIw4afbzQJ1gg8Q0lRLk5BU0RBUUdTOk1SU04uSVFfVE9UQUxfRVFVSVRZLjE5OTYuNy8zMS8yMDE4LkxGUi5GLlVTRC5IAQAAAObFGAACAAAABjMxLjEzOAEIAAAABQAAAAExAQAAAAoxODg5MDk2NTk3AwAAAAMxNjACAAAABDEyNzUEAAAAATAHAAAACTcvMzEvMjAxOAgAAAAJMy8zMS8yMDE3CQAAAAEw1owROAgJ1gjDhp9vNAnWCCxDSVEuSVFUUjU2MzkxOTA0OS5JUV9UUl9UT1RBTF9HUk9TU19UVi5VU0QuSAUAAAAAAAAACAAAABooSW52YWxpZCBDdXJyZW5jeSBSZXF1ZXN0KQxtEA41CdYIwNuCDjUJ1ggjQ0lRLklRVFIyNDU4MzEwMDcuSVFfVFJfQ0xPU0VEX0RBVEUBAAAAXxWnDgUAAAAKMTAvMTEvMjAxMwCys0lvNAnWCIH9lW80CdYIP0NJUS5OQVNEQVFHUzpCR05FLklRX05FVF9XT1JLSU5HX0NBUC4xOTkyLjcvMzEvMjAxOC5MRlIuRi5VU0QuSAEAAADg5N0GAgAAAAYtMTEuMjcBCAAAAAUAAAAB</t>
  </si>
  <si>
    <t>MQEAAAAKMTg0MTE4MDE2OAMAAAADMTYwAgAAAAQxMzExBAAAAAEwBwAAAAk3LzMxLzIwMTgIAAAACTMvMzEvMjAxNgkAAAABMJwL1TgICdYIgf2VbzQJ1ggzQ0lRLk5BU0RBUUdTOlNHRU4uSVFfRUJJVERBX0VTVC5DWTIwMTkuLkNPTi5GLlVTRC5IAQAAAGGFAAACAAAABy0xMzcuMzIBDgAAAAUAAAACMTEBAAAAATACAAAACjEwMDAxMjQ3MjcDAAAABjEwMDE4NwQAAAABMgYAAAABMAcAAAADMTYwCAAAAAEwCQAAAAExCgAAAAEwCwAAAAsxMDk5OTM0OTM0NgwAAAABNw0AAAAJOC8yNC8yMDE4EAAAAAk4LzIzLzIwMTjE/xsRNQnWCMT/GxE1CdYIFkNJUS4wLklRX1RSX1BDVF9TT1VHSFQFAAAAAAAAAAgAAAAYKEludmFsaWQgVHJhbnNhY3Rpb24gSWQpSVNHbzQJ1ggH4vCBNAnWCC1DSVEuTkFTREFRR1M6VFNSTy5JUV9ESVZJREVORF9ZSUVMRC43LzE2LzIwMTgBAAAAaNZYBgMAAAAAAEadGRE1CdYIEv5kEjUJ1gggQ0lRLklRNTQzMzkwNzUuSVFfQ09NUEFOWV9USUNLRVIBAAAAAyY9AwMAAAANTmFzZGFxR1M6RVBaTQCys0lvNAnWCCTCmm80CdYIPENJUS5OQVNEQVFHUzpDVE1YLklRX0VCSVREQV9FU1QuQ1kyMDIwLjcvMTYvMjAxOC5DT04uRi5VU0QuSAEAAADcOJsDAwAAAAAAxP8bETUJ1gjCm2ISNQnWCDdDSVEuTkFTREFRR1M6UEJZSS5JUV9QUkVGX0VRVUlUWS4uOS8xNS8yMDE3LkxGUi5GLlVT</t>
  </si>
  <si>
    <t>RC5IAQAAAAJqrAcDAAAAAADE/xsRNQnWCBL+ZBI1CdYILkNJUS5OQVNEQVFHUzpHVEhYLklRX01BUktFVENBUC43LzMxLzIwMTguVVNELkgBAAAAZTRpCAIAAAALMTY4NC45NTgwMjUBBgAAAAUAAAABMQEAAAAKMTg4NjM2NzQxMAMAAAADMTYwAgAAAAYxMDAwNTQEAAAAATAHAAAACTcvMzEvMjAxOJwL1TgICdYIJMKabzQJ1gg+Q0lRLk5BU0RBUUdNOkxQVFguSVFfVE9UQUxfRVFVSVRZLkNZMjAxNi43LzE2LzIwMTguTEZSLkYuVVNELkgBAAAADDYJBwIAAAAFLTI5LjcBCAAAAAUAAAABMQEAAAAKMTg3NTU1OTkzOQMAAAADMTYwAgAAAAQxMjc1BAAAAAEwBwAAAAk3LzE2LzIwMTgIAAAACjEyLzMxLzIwMTYJAAAAATApHJQQNQnWCDDXXRI1CdYIPUNJUS5OQVNEQVFHTTpBUlFMLklRX1JFVkVOVUVfRVNULkNZMjAyMS43LzMxLzIwMTguQ09OLkYuVVNELkgBAAAA9mEAAAIAAAAGMzkuMTkxAQ4AAAAFAAAAAjExAQAAAAEwAgAAAAoxMDAyNjc5NTU3AwAAAAYxMDAxODAEAAAAATIGAAAAATAHAAAAAzE2MAgAAAABMAkAAAABMQoAAAABMAsAAAALMTA5NDY2MjIxNjYMAAAAATcNAAAACDgvMS8yMDE4EAAAAAk3LzMxLzIwMTjWjBE4CAnWCHMknW80CdYIN0NJUS5OQVNEQVFHTTpJTU1VLklRX0VCSVRfTUFSR0lOLi43LzE2LzIwMTguTEZSLkYuVVNELkgBAAAAIEMEAAMAAAACTk0BCAAAAAUAAAABMQEAAAAK</t>
  </si>
  <si>
    <t>MTg4ODUyMzM4NAMAAAADMTYwAgAAAAQ0MDUzBAAAAAEwBwAAAAk3LzE2LzIwMTgIAAAACTMvMzEvMjAxOAkAAAABMMT/GxE1CdYIEv5kEjUJ1ggtQ0lRLk5BU0RBUUdTOk1HTlguSVFfRElWSURFTkRfWUlFTEQuNy8xNi8yMDE4AQAAAE8rCQADAAAAAABGnRkRNQnWCMKbYhI1CdYIMUNJUS5OQVNEQVFHUzpTR0VOLklRX0RBX0NGLi43LzE2LzIwMTguTEZSLkYuVVNELkgBAAAAYYUAAAIAAAAGMjYuNDk1AQgAAAAFAAAAATEBAAAACjE4ODQ4OTI4NTIDAAAAAzE2MAIAAAAEMjE2MAQAAAABMAcAAAAJNy8xNi8yMDE4CAAAAAkzLzMxLzIwMTgJAAAAATDE/xsRNQnWCGhgZxI1CdYIOUNJUS5OQVNEQVFHUzpGUFJYLklRX05JX01BUkdJTi4yMDAwLjcvMzEvMjAxOC5MRlIuRi5VU0QuSAEAAAA3XTMAAgAAAAktMjIxLjc0NDYBCAAAAAUAAAABMQEAAAAKMTg4NzQwMjIyNwMAAAADMTYwAgAAAAQ0MDk0BAAAAAEwBwAAAAk3LzMxLzIwMTgIAAAACTMvMzEvMjAxOAkAAAABMNaMETgICdYIGemhbzQJ1ggtQ0lRLk5BU0RBUUNNOlNSTkUuSVFfRElWSURFTkRfWUlFTEQuNy8zMS8yMDE4AQAAAElDlAMDAAAAAADWjBE4CAnWCHMknW80CdYIP0NJUS5OQVNEQVFDTTpTUk5FLklRX05FVF9XT1JLSU5HX0NBUC4yMDAwLjcvMzEvMjAxOC5MRlIuRi5VU0QuSAEAAABJQ5QDAgAAAActMzguMDU3AQgAAAAFAAAAATEBAAAA</t>
  </si>
  <si>
    <t>CjE4ODc5ODk4MzEDAAAAAzE2MAIAAAAEMTMxMQQAAAABMAcAAAAJNy8zMS8yMDE4CAAAAAkzLzMxLzIwMTgJAAAAATDWjBE4CAnWCHMknW80CdYIQ0NJUS5OQVNEQVFHTTpMUFRYLklRX01JTk9SSVRZX0lOVEVSRVNUX1RPVEFMLi45LzE1LzIwMTcuTEZSLkYuVVNELkgBAAAADDYJBwMAAAAAACkclBA1CdYIMNddEjUJ1gg7Q0lRLk5BU0RBUUdNOkFSUUwuSVFfVE9UQUxfUkVWLkNZMjAxNi43LzMxLzIwMTguTEZSLkYuVVNELkgBAAAA9mEAAAIAAAAFNC43MDkBCAAAAAUAAAABMQEAAAAKMTg3ODUwODY5NQMAAAADMTYwAgAAAAIyOAQAAAABMAcAAAAJNy8zMS8yMDE4CAAAAAoxMi8zMS8yMDE2CQAAAAEw1owROAgJ1ghzJJ1vNAnWCC5DSVEuSVFUUjQwOTk1MTg4Ni5JUV9UUl9UQVJHRVRfU1RPQ0tQUkVNSVVNXzFNAQAAAI5ebxgCAAAAAAAMbRAONQnWCMDbgg41CdYIMkNJUS5OQVNEQVFHUzpBTkFCLklRX0VCSVREQS4uNy8xNi8yMDE4LkxGUi5GLlVTRC5IAQAAACFMsgECAAAABy0zNC4zNTIBCAAAAAUAAAABMQEAAAAKMTg4NzQwMDA0MwMAAAADMTYwAgAAAAQ0MDUxBAAAAAEwBwAAAAk3LzE2LzIwMTgIAAAACTMvMzEvMjAxOAkAAAABMMT/GxE1CdYIwptiEjUJ1ggxQ0lRLk5BU0RBUUdTOkNBTEEuSVFfQ0FQRVguLjcvMTYvMjAxOC5MRlIuRi5VU0QuSAEAAAClJ4EGAgAAAAYtMS4yMDUBCAAAAAUA</t>
  </si>
  <si>
    <t>AAABMQEAAAAKMTg4Nzk4MDMwNQMAAAADMTYwAgAAAAQyMDIxBAAAAAEwBwAAAAk3LzE2LzIwMTgIAAAACTMvMzEvMjAxOAkAAAABMCkclBA1CdYI5HRbEjUJ1gg7Q0lRLk5BU0RBUUdTOkNUTVguSVFfVE9UQUxfUkVWLkNZMjAxNy43LzE2LzIwMTguTEZSLkYuVVNELkgBAAAA3DibAwIAAAAGNzEuNjIzAQgAAAAFAAAAATEBAAAACjE4NzczMTY3NjkDAAAAAzE2MAIAAAACMjgEAAAAATAHAAAACTcvMTYvMjAxOAgAAAAKMTIvMzEvMjAxNwkAAAABMMT/GxE1CdYIwptiEjUJ1gg8Q0lRLk5BU0RBUUdTOkJHTkUuSVFfVE9UQUxfRVFVSVRZLjE5OTYuNy8zMS8yMDE4LkxGUi5GLlVTRC5IAQAAAODk3QYCAAAABzMwOC40MTcBCAAAAAUAAAABMQEAAAAKMTg4NzY4ODU4MwMAAAADMTYwAgAAAAQxMjc1BAAAAAEwBwAAAAk3LzMxLzIwMTgIAAAACTMvMzEvMjAxNwkAAAABMJwL1TgICdYIgf2VbzQJ1ggdQ0lRLjAuSVFfQlVTSU5FU1NfREVTQ1JJUFRJT04BAAAAVYR3AwMAAAAAALKzSW80CdYIB+LwgTQJ1gglQ0lRLklRVFI1NDI4MDY2ODYuSVFfUFJJTUFSWV9JTkRVU1RSWQEAAACZUdECAwAAAA1CaW90ZWNobm9sb2d5AElTR280CdYIgf2VbzQJ1gghQ0lRLk5BU0RBUUNNOkNLUFQuSVFfQ09NUEFOWV9OQU1FAQAAALhRFhEDAAAAHUNoZWNrcG9pbnQgVGhlcmFwZXV0aWNzLCBJbmMuACkclBA1CdYIMNddEjUJ</t>
  </si>
  <si>
    <t>1ggvQ0lRLklRVFI0MDM3OTE3NjcuSVFfVFJfVEFSR0VUX1RPVEFMX1JFVi4uVVNELkgBAAAAl18RGAIAAAAAAFjPEg41CdYIwNuCDjUJ1ggdQ0lRLk5BU0RBUUdTOk1HTlguSVFfRVhDSEFOR0UBAAAATysJAAMAAAAITmFzZGFxR1MARp0ZETUJ1gjCm2ISNQnWCChDSVEuLklRX0RBX0NGLjIwMDAuNy8zMS8yMDE4LkxGUi5GLlVTRC5IBQAAAAEAAAAIAAAAFChJbnZhbGlkIElkZW50aWZpZXIp9YQyRzQJ1gj1hDJHNAnWCCVDSVEuSVFUUjMwMjg2NjYyNy5JUV9UUl9NQUpfTUlOX1NUQUtFAQAAAMNgDRIDAAAACE1ham9yaXR5AFjPEg41CdYIDD6FDjUJ1gg8Q0lRLk5BU0RBUUdTOk1SU04uSVFfRUJJVERBX0VTVC5DWTIwMjAuNy8xNi8yMDE4LkNPTi5GLlVTRC5IAQAAAObFGAACAAAABy03My45NTUBDgAAAAUAAAACMTEBAAAAATACAAAACjEwMDM4MDMyODUDAAAABjEwMDE4NwQAAAABMgYAAAABMAcAAAADMTYwCAAAAAEwCQAAAAExCgAAAAEwCwAAAAsxMDg4MzgzMTM0MAwAAAABNw0AAAAJNy8xNy8yMDE4EAAAAAk3LzE2LzIwMTjE/xsRNQnWCHM5YBI1CdYIOkNJUS5OQVNEQVFHTTpJTU1VLklRX0VBUk5JTkdfQ08uMjAwMC43LzMxLzIwMTguTEZSLkYuVVNELkgBAAAAIEMEAAIAAAALLTIxMC4xMTY0MzcBCAAAAAUAAAABMQEAAAAKMTg4ODUyMzM4NAMAAAADMTYwAgAAAAE3BAAAAAEwBwAAAAk3LzMx</t>
  </si>
  <si>
    <t>LzIwMTgIAAAACTMvMzEvMjAxOAkAAAABMJwL1TgICdYI1F+YbzQJ1ggvQ0lRLklRVFI1MzU3MTk5OTguSVFfVFJfVEFSR0VUX1RPVEFMX1JFVi4uVVNELkgBAAAAPnDuHwIAAAAGMzIuMTM2AQYAAAAFAAAAAjM3AQAAAAoxODUyNTU4MjI4AgAAAAIyOAMAAAADMTYwBAAAAAEwBwAAAAgxLzEvMTkwMLKzSW80CdYIgf2VbzQJ1ghBQ0lRLihJTlZBTElEIElERU5USUZJRVIpLklRX0NBU0hfU1RfSU5WRVNULi43LzE2LzIwMTguTEZSLkYuVVNELkgFAAAAAAAAAAgAAAAUKEludmFsaWQgSWRlbnRpZmllcinep34QNQnWCJgSWRI1CdYIOENJUS5OQVNEQVFHUzpOSy5JUV9UT1RBTF9ERUJULjIwMDAuNy8zMS8yMDE4LkxGUi5GLlVTRC5IAQAAAA19oQ8CAAAABTcuMDIzAQgAAAAFAAAAATEBAAAACjE4ODcxMTg3OTEDAAAAAzE2MAIAAAAENDE3MwQAAAABMAcAAAAJNy8zMS8yMDE4CAAAAAkzLzMxLzIwMTgJAAAAATDWjBE4CAnWCMOGn280CdYIJENJUS4oSU5WQUxJRCBJREVOVElGSUVSKS5JUV9FWENIQU5HRQUAAAAAAAAACAAAABQoSW52YWxpZCBJZGVudGlmaWVyKcgwsjcICdYIQsWtDjUJ1ggpQ0lRLklRMzYxODM4MjUuSVFfTEFTVFNBTEVQUklDRS43LzE2LzIwMTgBAAAAER8oAgIAAAAEMi41OQAMbRAONQnWCAw+hQ41CdYIP0NJUS5OQVNEQVFHUzpUU1JPLklRX0VCSVREQV8yWVJfQU5OX0NBR1IuLjcv</t>
  </si>
  <si>
    <t>MTYvMjAxOC5MRlIuRi5VU0QuSAEAAABo1lgGAwAAAAJOTQEIAAAABQAAAAExAQAAAAoxODg2MzM3NDY2AwAAAAMxNjACAAAABDQyMDkEAAAAATAHAAAACTcvMTYvMjAxOAgAAAAJMy8zMS8yMDE4CQAAAAEwxP8bETUJ1ggS/mQSNQnWCDFDSVEuTkFTREFRR1M6VFNSTy5JUV9DQVBFWC4uNy8xNi8yMDE4LkxGUi5GLlVTRC5IAQAAAGjWWAYCAAAABi01LjgwNwEIAAAABQAAAAExAQAAAAoxODg2MzM3NDY2AwAAAAMxNjACAAAABDIwMjEEAAAAATAHAAAACTcvMTYvMjAxOAgAAAAJMy8zMS8yMDE4CQAAAAEwxP8bETUJ1ggS/mQSNQnWCDhDSVEuWFRSQTpNT1IuSVFfQ0FTSF9TVF9JTlZFU1QuMjAwMC41LzUvMjAxNy5MRlIuRi5VU0QuSAEAAADfEQIAAgAAAAoyOTMuOTYyODg1AQgAAAAFAAAAATEBAAAACjE4Mzk5NDA3MjEDAAAAAzE2MAIAAAAEMTAwMgQAAAABMAcAAAAINS81LzIwMTcIAAAACTMvMzEvMjAxNwkAAAABMJwL1TgICdYI1F+YbzQJ1ggrQ0lRLklRVFI0MDM3OTE3NjcuSVFfVFJfSU1QTElFRF9FVl9FQklUX0ZXRAEAAACXXxEYAgAAAAAAWM8SDjUJ1gjA24IONQnWCCBDSVEuSVEyODQ2MjExMy5JUV9DT01QQU5ZX1RJQ0tFUgEAAAAhTLIBAwAAAA1OYXNkYXFHUzpBTkFCAAxtEA41CdYIW8eODjUJ1gguQ0lRLklRVFI0MzE4NDE1ODEuSVFfVFJfVEFSR0VUX1NUT0NLUFJFTUlVTV8xTQEAAAAt</t>
  </si>
  <si>
    <t>Yb0ZAgAAAAAADG0QDjUJ1ggMPoUONQnWCCtDSVEuT1RDUEs6TUJWWC5JUV9NQVJLRVRDQVAuNy8xNi8yMDE4LlVTRC5IAQAAANhEiwICAAAACDcuNDgzMTM2AQYAAAAFAAAAATEBAAAACjE4ODEyMTMyMzUDAAAAAzE2MAIAAAAGMTAwMDU0BAAAAAEwBwAAAAk3LzE2LzIwMTjep34QNQnWCJgSWRI1CdYIPENJUS5OQVNEQVFDTTpDS1BULklRX0VCSVREQV9FU1QuQ1kyMDE5LjcvMTYvMjAxOC5DT04uRi5VU0QuSAEAAAC4URYRAgAAAAUtNDEuNgEOAAAABQAAAAIxMQEAAAABMAIAAAAKMTAwMzY2NTYwMgMAAAAGMTAwMTg3BAAAAAEyBgAAAAEwBwAAAAMxNjAIAAAAATAJAAAAATEKAAAAATALAAAACzEwODc4NzAwNDkyDAAAAAE3DQAAAAk3LzE3LzIwMTgQAAAACTcvMTYvMjAxOCkclBA1CdYI5HRbEjUJ1gg2Q0lRLkFTWDpJTVUuSVFfRUFSTklOR19DTy5DWTIwMTcuNy8xNi8yMDE4LkxGUi5GLlVTRC5IAQAAAJiTqQACAAAACS0yLjA2NzU4MQEIAAAABQAAAAExAQAAAAoxODc3MzA1MzIwAwAAAAMxNjACAAAAATcEAAAAATAHAAAACTcvMTYvMjAxOAgAAAAKMTIvMzEvMjAxNwkAAAABMCkclBA1CdYIMNddEjUJ1gguQ0lRLklRVFIzNzE3MTUxMTkuSVFfVFJfVEFSR0VUX1NUT0NLUFJFTUlVTV8xVwEAAAAv7CcWAgAAAAAAWM8SDjUJ1gjA24IONQnWCBhDSVEuLklRX1RSX0lNUExJRURfRVFfQlYFAAAAAAAA</t>
  </si>
  <si>
    <t>AAgAAAAUKEludmFsaWQgSWRlbnRpZmllcimcC9U4CAnWCHd5gA41CdYIJ0NJUS5OQVNEQVFHUzpDVE1YLklRX0JFVEFfMllSLjcvMTYvMjAxOAEAAADcOJsDAgAAABEwLjc0NTQ1MTc4NTk3NzE3MQDE/xsRNQnWCMKbYhI1CdYIL0NJUS5JUVRSNDIyODg3NzAxLklRX1RSX1RBUkdFVF9UT1RBTF9SRVYuLlVTRC5IAQAAABXBNBkCAAAAAAAMbRAONQnWCMDbgg41CdYIOkNJUS4uSVFfTUlOT1JJVFlfSU5URVJFU1RfVE9UQUwuMjAwMC43LzMxLzIwMTguTEZSLkYuVVNELkgFAAAAAQAAAAgAAAAUKEludmFsaWQgSWRlbnRpZmllcin1hDJHNAnWCPWEMkc0CdYIQ0NJUS5OQVNEQVFHTTpDUlZTLklRX0VCSVREQV8zWVJfQU5OX0NBR1IuMjAwMC43LzMxLzIwMTguTEZSLkYuVVNELkgBAAAA9LCmEAMAAAAAANaMETgICdYIGemhbzQJ1gg5Q0lRLk5BU0RBUUdNOkNSVlMuSVFfVE9UQUxfREVCVC4yMDAwLjUvNS8yMDE3LkxGUi5GLlVTRC5IAQAAAPSwphACAAAAATABCAAAAAUAAAABMQEAAAAKMTg0MDExNjE3MwMAAAADMTYwAgAAAAQ0MTczBAAAAAEwBwAAAAg1LzUvMjAxNwgAAAAJMy8zMS8yMDE3CQAAAAEw1owROAgJ1ggZ6aFvNAnWCD1DSVEuTkFTREFRR006TFBUWC5JUV9SRVZFTlVFX0VTVC5DWTIwMjEuNy8xNi8yMDE4LkNPTi5GLlVTRC5IAQAAAAw2CQcCAAAAATABDgAAAAUAAAACMTEBAAAAATACAAAA</t>
  </si>
  <si>
    <t>CjEwMDM2Mzk1NjIDAAAABjEwMDE4MAQAAAABMgYAAAABMAcAAAADMTYwCAAAAAEwCQAAAAExCgAAAAEwCwAAAAsxMDg4MjAyMDQ4MwwAAAABNw0AAAAJNy8xNy8yMDE4EAAAAAk3LzE2LzIwMTgpHJQQNQnWCDDXXRI1CdYILkNJUS5OQVNEQVFHTTpBUlFMLklRX01BUktFVENBUC43LzMxLzIwMTguVVNELkgBAAAA9mEAAAIAAAAKNDk2Ljg4MTEyOAEGAAAABQAAAAExAQAAAAoxODg4Nzg3NDUyAwAAAAMxNjACAAAABjEwMDA1NAQAAAABMAcAAAAJNy8zMS8yMDE41owROAgJ1ghzJJ1vNAnWCDZDSVEuTkFTREFRR1M6RlBSWC5JUV9FQVJOSU5HX0NPLi43LzE2LzIwMTguTEZSLkYuVVNELkgBAAAAN10zAAIAAAAILTEzNy4xNjkBCAAAAAUAAAABMQEAAAAKMTg4NzQwMjIyNwMAAAADMTYwAgAAAAE3BAAAAAEwBwAAAAk3LzE2LzIwMTgIAAAACTMvMzEvMjAxOAkAAAABMCkclBA1CdYIczlgEjUJ1gg3Q0lRLk5BU0RBUUdNOkFSUUwuSVFfUEVSSU9EREFURV9JUy4yMDAwLjcvMzEvMjAxOC5MRlIuRgEAAAD2YQAABQAAAAkzLzMxLzIwMTgA1owROAgJ1ghzJJ1vNAnWCBtDSVEuQVNYOklNVS5JUV9DT01QQU5ZX05BTUUBAAAAmJOpAAMAAAAPSW11Z2VuZSBMaW1pdGVkACkclBA1CdYIMNddEjUJ1ggkQ0lRLk5BU0RBUUdTOkpOQ0UuSVFfRUZGRUNUX1RBWF9SQVRFAQAAAOJ5ng0DAAAAAk5NAQgAAAAFAAAAATEB</t>
  </si>
  <si>
    <t>AAAACjE4OTk2MTkxODIDAAAAAzE2MAIAAAAENDM3NgQAAAABMAcAAAAJOC8yMy8yMDE4CAAAAAk2LzMwLzIwMTgJAAAAATDep34QNQnWCJgSWRI1CdYIOkNJUS5OQVNEQVFHTTpJTU1VLklRX0NBU0hfU1RfSU5WRVNULi45LzE1LzIwMTcuTEZSLkYuVVNELkgBAAAAIEMEAAIAAAAKMTU0LjkwMTc5NQEIAAAABQAAAAExAQAAAAoxODU0MzgyMzE0AwAAAAMxNjACAAAABDEwMDIEAAAAATAHAAAACTkvMTUvMjAxNwgAAAAJNi8zMC8yMDE3CQAAAAEwxP8bETUJ1ggS/mQSNQnWCDBDSVEuTkFTREFRR1M6QkdORS5JUV9MQVNUU0FMRVBSSUNFLjcvMzEvMjAxOC5VU0QBAAAA4OTdBgIAAAAGMTg5LjY2AJwL1TgICdYIgf2VbzQJ1ggjQ0lRLklRVFI1NDc0MjM2ODAuSVFfVFJfVE9UQUxfU1RPQ0sBAAAAwAWhIAIAAAAAAAxtEA41CdYIwNuCDjUJ1gg2Q0lRLkFTWDpJTVUuSVFfRUFSTklOR19DTy5DWTIwMTYuNy8xNi8yMDE4LkxGUi5GLlVTRC5IAQAAAJiTqQACAAAACS0yLjMwNzEzOAEIAAAABQAAAAExAQAAAAoxODc3MzA1ODczAwAAAAMxNjACAAAAATcEAAAAATAHAAAACTcvMTYvMjAxOAgAAAAKMTIvMzEvMjAxNgkAAAABMCkclBA1CdYIMNddEjUJ1ggrQ0lRLk5BU0RBUUdNOklNTVUuSVFfTEFTVFNBTEVQUklDRS41LzUvMjAxNwEAAAAgQwQAAgAAAAQ2LjM2AJwL1TgICdYI1F+YbzQJ1ggvQ0lRLklRVFIy</t>
  </si>
  <si>
    <t>NzM1MDcxODUuSVFfVFJfVEFSR0VUX1RPVEFMX1JFVi4uVVNELkgBAAAAcWNNEAIAAAAFOS4wMTIBBgAAAAUAAAACMzcBAAAACjE2OTE3NjgyNjQCAAAAAjI4AwAAAAMxNjAEAAAAATAHAAAACDEvMS8xOTAwsrNJbzQJ1giB/ZVvNAnWCEZDSVEuTkFTREFRR1M6Q0FMQS5JUV9UT1RBTF9SRVZfM1lSX0FOTl9DQUdSLjIwMDAuNy8zMS8yMDE4LkxGUi5GLlVTRC5IAQAAAKUngQYDAAAAAADIMLI3CAnWCN1LpG80CdYIPENJUS5OQVNEQVFHUzpQQllJLklRX0VCSVREQV9FU1QuQ1kyMDE5LjcvMTYvMjAxOC5DT04uRi5VU0QuSAEAAAACaqwHAgAAAAc4NS45NTM3AQ4AAAAFAAAAAjExAQAAAAEwAgAAAAoxMDAxNTEzMDc5AwAAAAYxMDAxODcEAAAAATIGAAAAATAHAAAAAzE2MAgAAAABMAkAAAABMQoAAAABMAsAAAALMTA5NDIwNzQ4MTQMAAAAATcNAAAACTcvMTcvMjAxOBAAAAAJNy8xNi8yMDE4xP8bETUJ1ggS/mQSNQnWCD1DSVEuTkFTREFRR1M6TVJTTi5JUV9SRVZFTlVFX0VTVC5DWTIwMTguNy8xNi8yMDE4LkNPTi5GLlVTRC5IAQAAAObFGAACAAAABjE1LjQyOQEOAAAABQAAAAIxMQEAAAABMAIAAAAKMTAwMzgwMzI3NQMAAAAGMTAwMTgwBAAAAAEyBgAAAAEwBwAAAAMxNjAIAAAAATAJAAAAATEKAAAAATALAAAACzExMDQxNzgzODA3DAAAAAE3DQAAAAk3LzE3LzIwMTgQAAAACTcvMTYvMjAxOMT/GxE1</t>
  </si>
  <si>
    <t>CdYIczlgEjUJ1gg8Q0lRLk5BU0RBUUdNOklNTVUuSVFfRUJJVERBX0VTVC5DWTIwMTguNy8zMS8yMDE4LkNPTi5GLlVTRC5IAQAAACBDBAADAAAAAACcC9U4CAnWCNRfmG80CdYIIUNJUS5JUTI4Mjc3NDQ1Ni5JUV9DT01QQU5ZX1RJQ0tFUgEAAAC4y9oQAwAAAA1OYXNkYXFHUzpLVVJBALKzSW80CdYIcySdbzQJ1gg0Q0lRLihJTlZBTElEIElERU5USUZJRVIpLklRX01BUktFVENBUC41LzUvMjAxNy5VU0QuSAUAAAAAAAAACAAAABQoSW52YWxpZCBJZGVudGlmaWVyKcgwsjcICdYI7TawbzQJ1ggzQ0lRLk5BU0RBUUdTOkNUTVguSVFfUEVSSU9EREFURV9JUy4uNy8xNi8yMDE4LkxGUi5GAQAAANw4mwMFAAAACTMvMzEvMjAxOADE/xsRNQnWCMKbYhI1CdYIOUNJUS5OQVNEQVFHUzpBVE5YLklRX1RPVEFMX1JFVi4xOTkyLjcvMzEvMjAxOC5MRlIuRi5VU0QuSAEAAADcmWsBAgAAAAUxLjIxMQEIAAAABQAAAAExAQAAAAoxODQyNDkwMjczAwAAAAMxNjACAAAAAjI4BAAAAAEwBwAAAAk3LzMxLzIwMTgIAAAACjEyLzMxLzIwMTQJAAAAATDWjBE4CAnWCCTCmm80CdYIN0NJUS5PVENQSzpOV0JPLklRX0NBU0hfU1RfSU5WRVNULi45LzE1LzIwMTcuTEZSLkYuVVNELkgBAAAAo3oUAAIAAAAFMC4wMjIBCAAAAAUAAAABMQEAAAAKMTg1NTMyNjM3MQMAAAADMTYwAgAAAAQxMDAyBAAAAAEwBwAAAAk5LzE1LzIw</t>
  </si>
  <si>
    <t>MTcIAAAACTYvMzAvMjAxNwkAAAABMCkclBA1CdYIMNddEjUJ1gglQ0lRLkVOWFRQQTpJUEguSVFfVEVWLjcvMTYvMjAxOC5VU0QuSAEAAACZgAYAAgAAAAoxODAuNzM4NjI0AQYAAAAFAAAAATEBAAAACjE4ODk1NTIxNjIDAAAAAzE2MAIAAAAGMTAwMDYwBAAAAAEwBwAAAAk3LzE2LzIwMTgpHJQQNQnWCHM5YBI1CdYIJUNJUS5JUVRSNTUxMTY2MjkyLklRX1RSX0lNUExJRURfRVFfQlYBAAAAVCHaIAIAAAAINS4wNjc1ODMBBgAAAAUAAAACNTQBAAAABjEwMjA5NwIAAAAJNTUxMTY2MjkyAwAAAAk1NTExNzMzNzUEAAAAAzE2MAYAAAAFRmFsc2UMbRAONQnWCMDbgg41CdYIMENJUS4uSVFfQ0FTSF9TVF9JTlZFU1QuMjAwMC41LzUvMjAxNy5MRlIuRi5VU0QuSAUAAAABAAAACAAAABQoSW52YWxpZCBJZGVudGlmaWVyKfWEMkc0CdYI9YQyRzQJ1gg7Q0lRLk5BU0RBUUdTOkVQWk0uSVFfVE9UQUxfUkVWLkNZMjAxNy43LzMxLzIwMTguTEZSLkYuVVNELkgBAAAAAyY9AwIAAAACMTABCAAAAAUAAAABMQEAAAAKMTg3ODA4MTA2NAMAAAADMTYwAgAAAAIyOAQAAAABMAcAAAAJNy8zMS8yMDE4CAAAAAoxMi8zMS8yMDE3CQAAAAEw1owROAgJ1ghzJJ1vNAnWCDFDSVEuSVFUUjQwODI5MTM5NS5JUV9UUl9UQVJHRVRfUkVWRU5VRV9FU1QuLlVTRC5IAQAAAEMIVhgCAAAAAABYzxIONQnWCMDbgg41CdYINkNJUS5O</t>
  </si>
  <si>
    <t>QVNEQVFHUzpDQUxBLklRX1RPVEFMX0RFQlQuLjkvMTUvMjAxNy5MRlIuRi5VU0QuSAEAAAClJ4EGAgAAAAEwAQgAAAAFAAAAATEBAAAACjE4NTI0NzUwNzkDAAAAAzE2MAIAAAAENDE3MwQAAAABMAcAAAAJOS8xNS8yMDE3CAAAAAk2LzMwLzIwMTcJAAAAATApHJQQNQnWCOR0WxI1CdYIHENJUS4uSVFfQlVTSU5FU1NfREVTQ1JJUFRJT04FAAAAAAAAAAgAAAAUKEludmFsaWQgSWRlbnRpZmllcimcC9U4CAnWCHd5gA41CdYIL0NJUS5JUVRSNTQ4MzM4MDIwLklRX1RSX1RBUkdFVF9UT1RBTF9SRVYuLlVTRC5IAQAAAGT5riACAAAAAAAMbRAONQnWCMDbgg41CdYIO0NJUS5OQVNEQVFHTTpBRk1ELklRX1RPVEFMX1JFVi5DWTIwMTYuNy8xNi8yMDE4LkxGUi5GLlVTRC5IAQAAANv3DAACAAAACDYuODE4MzI2AQgAAAAFAAAAATEBAAAACjE4NzkxNDc2NjIDAAAAAzE2MAIAAAACMjgEAAAAATAHAAAACTcvMTYvMjAxOAgAAAAKMTIvMzEvMjAxNgkAAAABMCkclBA1CdYIMNddEjUJ1gg2Q0lRLk5BU0RBUUdTOkJHTkUuSVFfRUFSTklOR19DTy4uNy8xNi8yMDE4LkxGUi5GLlVTRC5IAQAAAODk3QYCAAAACC0xNDcuNzkyAQgAAAAFAAAAATEBAAAACjE4ODc2ODg1ODgDAAAAAzE2MAIAAAABNwQAAAABMAcAAAAJNy8xNi8yMDE4CAAAAAkzLzMxLzIwMTgJAAAAATDE/xsRNQnWCGhgZxI1CdYIQkNJUS4oSU5WQUxJ</t>
  </si>
  <si>
    <t>RCBJREVOVElGSUVSKS5JUV9UT1RBTF9SRVYuQ1kyMDE2LjcvMzEvMjAxOC5MRlIuRi5VU0QuSAUAAAAAAAAACAAAABQoSW52YWxpZCBJZGVudGlmaWVyKcgwsjcICdYI7TawbzQJ1gg6Q0lRLk5BU0RBUUNNOk1URU0uSVFfRUFSTklOR19DTy4xOTkyLjcvMzEvMjAxOC5MRlIuRi5VU0QuSAEAAACZm6kBAwAAAAAAyDCyNwgJ1ggZ6aFvNAnWCDFDSVEuLklRX1RPVEFMX0VRVUlUWS5DWTIwMTYuNy8zMS8yMDE4LkxGUi5GLlVTRC5IBQAAAAEAAAAIAAAAFChJbnZhbGlkIElkZW50aWZpZXIp9YQyRzQJ1gj1hDJHNAnWCDZDSVEuTkFTREFRR1M6Q0FMQS5JUV9FQklUREEuMTk5Mi43LzMxLzIwMTguTEZSLkYuVVNELkgBAAAApSeBBgIAAAAHLTM0LjIyOQEIAAAABQAAAAExAQAAAAoxODQwOTgyNjQ2AwAAAAMxNjACAAAABDQwNTEEAAAAATAHAAAACTcvMzEvMjAxOAgAAAAJMy8zMS8yMDE2CQAAAAEwyDCyNwgJ1gjdS6RvNAnWCB5DSVEuSVEzNjE4MzgyMi5JUV9DT01QQU5ZX05BTUUBAAAADh8oAgMAAAAxVW5pdGVkIFN0YXRlcyBUcmVhc3VyeSBDb25zdGFudCBNYXR1cml0eSAtIDEgWWVhcgAMbRAONQnWCHd5gA41CdYIJ0NJUS5OQVNEQVFHUzpCR05FLklRX0JFVEFfMllSLjcvMzEvMjAxOAEAAADg5N0GAgAAABEwLjg3MDE4NzE3MTEyNTEzOQCcC9U4CAnWCIH9lW80CdYIIkNJUS5JUVRSNTUzNTQ4MDI1</t>
  </si>
  <si>
    <t>LklRX1RSX1RPVEFMX0NBU0gBAAAA+Xj+IAIAAAAKMzgxLjM5MTAyMQEGAAAABQAAAAI1NAEAAAAGMTAxMDU2AgAAAAk1NTM1NDgwMjUDAAAACTU1MzU2NDk3MQQAAAADMTYwBgAAAAVGYWxzZbKzSW80CdYIgf2VbzQJ1gg1Q0lRLk5BU0RBUUNNOkFWRU8uSVFfVE9UQUxfUkVWLi43LzE2LzIwMTguTEZSLkYuVVNELkgBAAAA9BYdAAIAAAAFNi4wNzMBCAAAAAUAAAABMQEAAAAKMTg4NzIzNDI5NQMAAAADMTYwAgAAAAIyOAQAAAABMAcAAAAJNy8xNi8yMDE4CAAAAAkzLzMxLzIwMTgJAAAAATDE/xsRNQnWCMKbYhI1CdYIGkNJUS5PVENQSzpNQlZYLklRX0VYQ0hBTkdFAQAAANhEiwIDAAAABU9UQ1BLAN6nfhA1CdYImBJZEjUJ1gg8Q0lRLk5BU0RBUUdNOkNSVlMuSVFfRUJJVERBX0VTVC5DWTIwMjAuNy8zMS8yMDE4LkNPTi5GLlVTRC5IAQAAAPSwphACAAAABy05My41MzkBDgAAAAUAAAACMTEBAAAAATACAAAACjEwMDMzNzAzNTcDAAAABjEwMDE4NwQAAAABMgYAAAABMAcAAAADMTYwCAAAAAEwCQAAAAExCgAAAAEwCwAAAAsxMDk1NTQ2MTgwNQwAAAABNw0AAAAIOC8xLzIwMTgQAAAACTcvMzEvMjAxONaMETgICdYIGemhbzQJ1gg9Q0lRLk5BU0RBUUdNOkNSVlMuSVFfUkVWRU5VRV9FU1QuQ1kyMDIxLjcvMzEvMjAxOC5DT04uRi5VU0QuSAEAAAD0sKYQAgAAAAY1LjA4ODUBDgAAAAUAAAACMTEBAAAA</t>
  </si>
  <si>
    <t>ATACAAAACjEwMDMzNzAzNTgDAAAABjEwMDE4MAQAAAABMgYAAAABMAcAAAADMTYwCAAAAAEwCQAAAAExCgAAAAEwCwAAAAsxMDk1NTQ2MTc3NQwAAAABNw0AAAAIOC8xLzIwMTgQAAAACTcvMzEvMjAxONaMETgICdYIGemhbzQJ1gg6Q0lRLk5BU0RBUUdNOkFSUlkuSVFfUFJFRl9FUVVJVFkuMjAwMC41LzUvMjAxNy5MRlIuRi5VU0QuSAEAAAD4YQAAAwAAAAAAnAvVOAgJ1ggkwppvNAnWCDxDSVEuTkFTREFRR1M6QVROWC5JUV9UT1RBTF9FUVVJVFkuMTk5Ni43LzMxLzIwMTguTEZSLkYuVVNELkgBAAAA3JlrAQIAAAAGLTMuNjE3AQgAAAAFAAAAATEBAAAACjE4ODg3MDI5NzYDAAAAAzE2MAIAAAAEMTI3NQQAAAABMAcAAAAJNy8zMS8yMDE4CAAAAAkzLzMxLzIwMTcJAAAAATDWjBE4CAnWCCTCmm80CdYILENJUS5JUVRSMzEyMTIyNTA0LklRX1RSX1RPVEFMX0dST1NTX1RWLlVTRC5IBQAAAAAAAAAIAAAAGihJbnZhbGlkIEN1cnJlbmN5IFJlcXVlc3QpDG0QDjUJ1gjA24IONQnWCDtDSVEuTkFTREFRR1M6Sk5DRS5JUV9ORVRfV09SS0lOR19DQVAuLjcvMTYvMjAxOC5MRlIuRi5VU0QuSAEAAADieZ4NAgAAAActNTAuNTI1AQgAAAAFAAAAATEBAAAACjE4ODgxODYzNzQDAAAAAzE2MAIAAAAEMTMxMQQAAAABMAcAAAAJNy8xNi8yMDE4CAAAAAkzLzMxLzIwMTgJAAAAATApHJQQNQnWCJgSWRI1CdYIPUNJ</t>
  </si>
  <si>
    <t>US5OQVNEQVFHUzpDQUxBLklRX1JFVkVOVUVfRVNULkNZMjAyMS43LzMxLzIwMTguQ09OLkYuVVNELkgBAAAApSeBBgIAAAAHMjM1LjYzMQEOAAAABQAAAAIxMQEAAAABMAIAAAAKMTAwMjg5NjQzMwMAAAAGMTAwMTgwBAAAAAEyBgAAAAEwBwAAAAMxNjAIAAAAATAJAAAAATEKAAAAATALAAAACzEwOTEzMjc4NDQ5DAAAAAE3DQAAAAg4LzEvMjAxOBAAAAAJNy8zMS8yMDE4yDCyNwgJ1gjdS6RvNAnWCDlDSVEuWFRSQTpNT1IuSVFfVE9UQUxfRVFVSVRZLkNZMjAxNy43LzMxLzIwMTguTEZSLkYuVVNELkgBAAAA3xECAAIAAAAKNDMwLjY4MDg4MwEIAAAABQAAAAExAQAAAAoxODc4MzIzMTU3AwAAAAMxNjACAAAABDEyNzUEAAAAATAHAAAACTcvMzEvMjAxOAgAAAAKMTIvMzEvMjAxNwkAAAABMJwL1TgICdYI1F+YbzQJ1gg6Q0lRLk5BU0RBUUdTOkNBTEEuSVFfRUFSTklOR19DTy4xOTkyLjcvMzEvMjAxOC5MRlIuRi5VU0QuSAEAAAClJ4EGAgAAAActMzQuMzY4AQgAAAAFAAAAATEBAAAACjE4NDA5ODI2NDYDAAAAAzE2MAIAAAABNwQAAAABMAcAAAAJNy8zMS8yMDE4CAAAAAkzLzMxLzIwMTYJAAAAATDIMLI3CAnWCN1LpG80CdYIKUNJUS5JUVRSNTMzMzg1NzQ0LklRX0JVU0lORVNTX0RFU0NSSVBUSU9OAQAAAMx26BUDAAAAjwRJRk0gVGhlcmFwZXV0aWNzLCBJbmMuLCBhIGJpb3BoYXJtYWNldXRpY2Fs</t>
  </si>
  <si>
    <t>IGNvbXBhbnksIGRldmVsb3BzIGEgcG9ydGZvbGlvIG9mIHNtYWxsIG1vbGVjdWxlcyB0YXJnZXRpbmcgdGhlIGlubmF0ZSBpbW11bmUgc3lzdGVtIGZvciB0aGUgdHJlYXRtZW50IG9mIGNhbmNlciBhbmQgaW5mbGFtbWF0b3J5IGRpc29yZGVycy4gSXQgZm9jdXNlcyBvbiB0cmFuc2Zvcm1hdGl2ZSB0aGVyYXBpZXMgdG8gaW1wcm92ZSB0aGUgbGl2ZXMgb2YgcGF0aWVudHMgd2l0aCBzZXJpb3VzIGFuZCBsaWZlIHRocmVhdGVuaW5nIGRpc2Vhc2VzLiBUaGUgY29tcGFueSB3YXMgaW5jb3Jwb3JhdGVkIGluIDIwMTUgYW5kIGlzIGhlYWRxdWFydGVyZWQgaW4gQ2FtYnJpZGdlLCBNYXNzYWNodXNldHRzIHdpdGggYSBzdWJzaWRpYXJ5IGluIEJvbm4sIEdlcm1hbnkuIEFzIG9mIFNlcHRlbWJlciA3LCAyMDE3LCBJRk0gVGhlcmFwZXV0aWNzLCBJbmMuIG9wZXJhdGVzIGFzIGEgc3Vic2lkaWFyeSBvZiBCcmlzdG9sLU15ZXJzIFNxdWliYiBDb21wYW55LgAMbRAONQnWCMDbgg41CdYIQkNJUS5OQVNEQVFDTTpBVkVPLklRX1RPVEFMX1JFVl81WVJfQU5OX0NBR1IuLjcvMTYvMjAxOC5MRlIuRi5VU0QuSAEAAAD0Fh0AAgAAAAgtMjAuMTg0OQEIAAAABQAAAAExAQAAAAoxODg3MjM0Mjk1AwAAAAMxNjACAAAABDQyMzMEAAAAATAHAAAACTcvMTYvMjAxOAgAAAAJMy8zMS8yMDE4CQAAAAEwxP8bETUJ1ghz</t>
  </si>
  <si>
    <t>OWASNQnWCCxDSVEuLklRX1RPVEFMX0RFQlQuMjAwMC41LzUvMjAxNy5MRlIuRi5VU0QuSAUAAAABAAAACAAAABQoSW52YWxpZCBJZGVudGlmaWVyKfWEMkc0CdYI9YQyRzQJ1gg1Q0lRLk5BU0RBUUdTOk5LLklRX1BFUklPRERBVEVfSVMuMjAwMC43LzMxLzIwMTguTEZSLkYBAAAADX2hDwUAAAAJMy8zMS8yMDE4ANaMETgICdYIw4afbzQJ1ggpQ0lRLklRVFI1NjE2MDYzNjUuSVFfVFJfSU1QTElFRF9FUV9OSV9MVE0BAAAA3W55IQIAAAAAALKzSW80CdYINZuTbzQJ1gglQ0lRLk5BU0RBUUdTOk5LLklRX0JFVEFfNVlSLjcvMzEvMjAxOAEAAAANfaEPAgAAABAyLjg3NDA3NTM3MzMyMzcxANaMETgICdYIGemhbzQJ1ggvQ0lRLklRVFIzNzE3MTUxMTkuSVFfVFJfSU1QTElFRF9FVl9GSU5BTC4uVVNELkgBAAAAL+wnFgIAAAADNTIwAQYAAAAFAAAAAjU0AQAAAAYxMDIwNDUCAAAACTM3MTcxNTExOQMAAAAJMzcxNzI0MTQ2BAAAAAMxNjAGAAAABUZhbHNlWM8SDjUJ1gjA24IONQnWCDNDSVEuTkFTREFRR1M6Q0FMQS5JUV9QRVJJT0REQVRFX0lTLi43LzE2LzIwMTguTEZSLkYBAAAApSeBBgUAAAAJMy8zMS8yMDE4ACkclBA1CdYI5HRbEjUJ1ggkQ0lRLk5BU0RBUUdNOkZBVEUuSVFfRUZGRUNUX1RBWF9SQVRFAQAAAGgxVwIDAAAAAADWjBE4CAnWCMu2tYs0CdYIJUNJUS5JUVRSNDA3NzYwNjkyLklRX1BS</t>
  </si>
  <si>
    <t>SU1BUllfSU5EVVNUUlkBAAAAt+4qAAMAAAANQmlvdGVjaG5vbG9neQAMbRAONQnWCAw+hQ41CdYIKENJUS5OQVNEQVFHUzpQQllJLklRX1RFVi43LzE2LzIwMTguVVNELkgBAAAAAmqsBwIAAAALMTk1Ny4wMDQxNTgBBgAAAAUAAAABMQEAAAAKMTg4ODY2NzExNQMAAAADMTYwAgAAAAYxMDAwNjAEAAAAATAHAAAACTcvMTYvMjAxOEadGRE1CdYIEv5kEjUJ1ghDQ0lRLihJTlZBTElEIElERU5USUZJRVIpLklRX0dST1NTX01BUkdJTi4yMDAwLjcvMzEvMjAxOC5MRlIuRi5VU0QuSAUAAAAAAAAACAAAABQoSW52YWxpZCBJZGVudGlmaWVyKcgwsjcICdYI7TawbzQJ1gg/Q0lRLk5BU0RBUUdNOklNTVUuSVFfTkVUX1dPUktJTkdfQ0FQLjE5OTYuNy8zMS8yMDE4LkxGUi5GLlVTRC5IAQAAACBDBAACAAAACi04Mi40Njc4NTgBCAAAAAUAAAABMQEAAAAKMTg4ODUyMzM5MgMAAAADMTYwAgAAAAQxMzExBAAAAAEwBwAAAAk3LzMxLzIwMTgIAAAACTMvMzEvMjAxNwkAAAABMJwL1TgICdYI1F+YbzQJ1ghDQ0lRLk5BU0RBUUdTOlBCWUkuSVFfTUlOT1JJVFlfSU5URVJFU1RfVE9UQUwuLjkvMTUvMjAxNy5MRlIuRi5VU0QuSAEAAAACaqwHAwAAAAAAxP8bETUJ1ggS/mQSNQnWCBRDSVEuLklRX1RSX0JVWUVSTkFNRQUAAAAAAAAACAAAABQoSW52YWxpZCBJZGVudGlmaWVyKZwL1TgICdYId3mADjUJ1ggdQ0lRLk5B</t>
  </si>
  <si>
    <t>U0RBUUdNOklNTVUuSVFfRVhDSEFOR0UBAAAAIEMEAAMAAAAITmFzZGFxR00AnAvVOAgJ1gioAooONQnWCD1DSVEuTkFTREFRQ006WklPUC5JUV9SRVZFTlVFX0VTVC5DWTIwMjAuNy8zMS8yMDE4LkNPTi5GLlVTRC5IAQAAALNRsgACAAAABTkuMzQ2AQ4AAAAFAAAAAjExAQAAAAEwAgAAAAoxMDAwODk4MDc2AwAAAAYxMDAxODAEAAAAATIGAAAAATAHAAAAAzE2MAgAAAABMAkAAAABMQoAAAABMAsAAAALMTA5MzE1MzM1ODEMAAAAATcNAAAACDgvMS8yMDE4EAAAAAk3LzMxLzIwMTjWjBE4CAnWCMOGn280CdYIIENJUS5JUTM2MTgzODQwLklRX0xBU1RTQUxFUFJJQ0UuAQAAACAfKAICAAAABDIuOTEAnAvVOAgJ1gh3eYAONQnWCENDSVEuTkFTREFRR1M6U0dFTi5JUV9NSU5PUklUWV9JTlRFUkVTVF9UT1RBTC4uOS8xNS8yMDE3LkxGUi5GLlVTRC5IAQAAAGGFAAADAAAAAADE/xsRNQnWCGhgZxI1CdYIOENJUS5OQVNEQVFHTTpDUlZTLklRX0VCSVREQS5DWTIwMTcuNy8zMS8yMDE4LkxGUi5GLlVTRC5IAQAAAPSwphACAAAABy01NS42ODIBCAAAAAUAAAABMQEAAAAKMTg3NzIyMDgwNQMAAAADMTYwAgAAAAQ0MDUxBAAAAAEwBwAAAAk3LzMxLzIwMTgIAAAACjEyLzMxLzIwMTcJAAAAATDWjBE4CAnWCBnpoW80CdYIPENJUS5OQVNEQVFHTTpGQVRFLklRX0VBUk5JTkdfQ08uQ1kyMDE2LjcvMzEvMjAxOC5M</t>
  </si>
  <si>
    <t>RlIuRi5VU0QuSAEAAABoMVcCAgAAAActMzMuNDYyAQgAAAAFAAAAATEBAAAACjE4NzcwNjkwNjcDAAAAAzE2MAIAAAABNwQAAAABMAcAAAAJNy8zMS8yMDE4CAAAAAoxMi8zMS8yMDE2CQAAAAEw1owROAgJ1gjDhp9vNAnWCCdDSVEuTkFTREFRR1M6RVBaTS5JUV9CRVRBXzVZUi43LzMxLzIwMTgBAAAAAyY9AwIAAAAQMi4wMDI1NDQ0NTYzODE1OQDWjBE4CAnWCHMknW80CdYIN0NJUS5OQVNEQVFDTTpDS1BULklRX0VCSVRfTUFSR0lOLi43LzE2LzIwMTguTEZSLkYuVVNELkgBAAAAuFEWEQMAAAACTk0BCAAAAAUAAAABMQEAAAAKMTg4ODAwNzIyMwMAAAADMTYwAgAAAAQ0MDUzBAAAAAEwBwAAAAk3LzE2LzIwMTgIAAAACTMvMzEvMjAxOAkAAAABMCkclBA1CdYI5HRbEjUJ1ggpQ0lRLklRVFI0MTE4NzEwODIuSVFfQlVTSU5FU1NfREVTQ1JJUFRJT04BAAAAVKOvAwMAAAD9BUFjZXR5bG9uIFBoYXJtYWNldXRpY2FscywgSW5jLiBlbmdhZ2VzIGluIHRoZSBkZXZlbG9wbWVudCBvZiBzbWFsbCBtb2xlY3VsZSBkcnVncyB0YXJnZXRpbmcgZXBpZ2VuZXRpYyBtZWNoYW5pc21zIGZvciB0aGUgZW5oYW5jZW1lbnQgb2YgdGhlcmFwZXV0aWMgb3V0Y29tZXMgaW4gY2FuY2VyIGFuZCBvdGhlciBjcml0aWNhbCBodW1hbiBkaXNlYXNlcy4gVGhlIGNvbXBhbnnigJlzIGVwaWdlbmV0aWMgZHJ1ZyBkaXNjb3Zl</t>
  </si>
  <si>
    <t>cnkgcGxhdGZvcm0gaGFzIHlpZWxkZWQgYSBwcm9wcmlldGFyeSBwb3J0Zm9saW8gb2Ygb3B0aW1pemVkIENsYXNzIEkgYW5kIENsYXNzIElJIGhpc3RvbmUgZGVhY2V0eWxhc2Ugc2VsZWN0aXZlIGNvbXBvdW5kcyBmb3Igb3JhbCBhZG1pbmlzdHJhdGlvbi4gSXQgb2ZmZXJzIEFDWS0xMjE1IGFuZCBBQ1ktMjQxIGxlYWQgZHJ1ZyBjYW5kaWRhdGVzIHRoYXQgYXJlIHNlbGVjdGl2ZSBIREFDNiBpbmhpYml0b3JzIGN1cnJlbnRseSBpbiBQaGFzZSAyIGFuZCBQaGFzZSAxYiBjbGluaWNhbCBkZXZlbG9wbWVudCBmb3IgdGhlIHRyZWF0bWVudCBvZiBtdWx0aXBsZSBteWVsb21hLiBBY2V0eWxvbiBQaGFybWFjZXV0aWNhbHMsIEluYy4gd2FzIGZvdW5kZWQgaW4gMjAwOCBhbmQgaXMgYmFzZWQgaW4gQm9zdG9uLCBNYXNzYWNodXNldHRzLiBBcyBvZiBEZWNlbWJlciAxNiwgMjAxNiwgQWNldHlsb24gUGhhcm1hY2V1dGljYWxzLCBJbmMuIG9wZXJhdGVzIGFzIGEgc3Vic2lkaWFyeSBvZiBDZWxnZW5lIENvcnBvcmF0aW9uLgCys0lvNAnWCDWbk280CdYILENJUS5JUVRSMzA3ODYzOTg0LklRX1RSX1RPVEFMX0dST1NTX1RWLlVTRC5IBQAAAAAAAAAIAAAAGihJbnZhbGlkIEN1cnJlbmN5IFJlcXVlc3QpDG0QDjUJ1gjA24IONQnWCD9DSVEuTkFTREFRQ006WklPUC5JUV9ORVRfV09SS0lOR19DQVAuMjAw</t>
  </si>
  <si>
    <t>MC43LzMxLzIwMTguTEZSLkYuVVNELkgBAAAAs1GyAAIAAAAGMTAuOTQ1AQgAAAAFAAAAATEBAAAACjE4ODc5NzIzNTkDAAAAAzE2MAIAAAAEMTMxMQQAAAABMAcAAAAJNy8zMS8yMDE4CAAAAAkzLzMxLzIwMTgJAAAAATDWjBE4CAnWCMOGn280CdYIN0NJUS5OQVNEQVFHUzpOSy5JUV9UT1RBTF9SRVYuMTk5Ni43LzMxLzIwMTguTEZSLkYuVVNELkgBAAAADX2hDwIAAAAFMC4wNDkBCAAAAAUAAAABMQEAAAAKMTg4NzExODc2NwMAAAADMTYwAgAAAAIyOAQAAAABMAcAAAAJNy8zMS8yMDE4CAAAAAkzLzMxLzIwMTcJAAAAATDWjBE4CAnWCMOGn280CdYIOUNJUS5PVENQSzpOV0JPLklRX0VCSVREQV9FU1QuQ1kyMDIwLjcvMTYvMjAxOC5DT04uRi5VU0QuSAEAAACjehQAAwAAAAAAKRyUEDUJ1ghzOWASNQnWCCtDSVEuTkFTREFRR006Q1JWUy5JUV9MQVNUU0FMRVBSSUNFLjUvNS8yMDE3AQAAAPSwphACAAAABDkuOTkA1owROAgJ1ggZ6aFvNAnWCBBDSVEuLklRX0VYQ0hBTkdFBQAAAAAAAAAIAAAAFChJbnZhbGlkIElkZW50aWZpZXIp9YQyRzQJ1gjm5Qv3NAnWCDZDSVEuTkFTREFRR1M6QU5BQi5JUV9UT1RBTF9ERUJULi43LzE2LzIwMTguTEZSLkYuVVNELkgBAAAAIUyyAQIAAAAGMTMuMzM0AQgAAAAFAAAAATEBAAAACjE4ODc0MDAwNDMDAAAAAzE2MAIAAAAENDE3MwQAAAABMAcAAAAJNy8xNi8yMDE4</t>
  </si>
  <si>
    <t>CAAAAAkzLzMxLzIwMTgJAAAAATDE/xsRNQnWCBL+ZBI1CdYIOkNJUS5OQVNEQVFDTTpBVkVPLklRX0NBU0hfU1RfSU5WRVNULi45LzE1LzIwMTcuTEZSLkYuVVNELkgBAAAA9BYdAAIAAAAGNDAuMTI3AQgAAAAFAAAAATEBAAAACjE4NTI1NzM3MTADAAAAAzE2MAIAAAAEMTAwMgQAAAABMAcAAAAJOS8xNS8yMDE3CAAAAAk2LzMwLzIwMTcJAAAAATDE/xsRNQnWCHM5YBI1CdYIRkNJUS5OQVNEQVFHUzpCR05FLklRX1RPVEFMX1JFVl8yWVJfQU5OX0NBR1IuMjAwMC43LzMxLzIwMTguTEZSLkYuVVNELkgBAAAA4OTdBgIAAAAINDc3Ljg0NTYBCAAAAAUAAAABMQEAAAAKMTg4NzY4ODU4OAMAAAADMTYwAgAAAAQ0MjA3BAAAAAEwBwAAAAk3LzMxLzIwMTgIAAAACTMvMzEvMjAxOAkAAAABMJwL1TgICdYI1F+YbzQJ1gglQ0lRLk5BU0RBUUNNOlNSTkUuSVFfRklSU1RQUklDSU5HREFURQEAAABJQ5QDBQAAAAk5LzIyLzIwMDkA1owROAgJ1ghzJJ1vNAnWCDxDSVEuTkFTREFRR1M6RVBaTS5JUV9FQklUREFfRVNULkNZMjAxOS43LzMxLzIwMTguQ09OLkYuVVNELkgBAAAAAyY9AwMAAAAAANaMETgICdYIcySdbzQJ1gg1Q0lRLk9UQ1BLOk1CVlguSVFfR1JPU1NfTUFSR0lOLi43LzE2LzIwMTguTEZSLkYuVVNELkgBAAAA2ESLAgMAAAAAAN6nfhA1CdYImBJZEjUJ1ggwQ0lRLi5JUV9SRVZFTlVFX0VTVC5DWTIw</t>
  </si>
  <si>
    <t>MjEuNy8zMS8yMDE4LkNPTi5GLlVTRC5IBQAAAAEAAAAIAAAAFChJbnZhbGlkIElkZW50aWZpZXIpliQwRzQJ1giWJDBHNAnWCDdDSVEuRU5YVFBBOklQSC5JUV9DQVNIX1NUX0lOVkVTVC4uNy8xNi8yMDE4LkxGUi5GLlVTRC5IAQAAAJmABgACAAAACTEzOS40MjEyMwEIAAAABQAAAAExAQAAAAoxODg5NTUyMTY0AwAAAAMxNjACAAAABDEwMDIEAAAAATAHAAAACTcvMTYvMjAxOAgAAAAKMTIvMzEvMjAxNwkAAAABMCkclBA1CdYIczlgEjUJ1gg8Q0lRLk5BU0RBUUdTOk1SU04uSVFfRUFSTklOR19DTy5DWTIwMTYuNy8xNi8yMDE4LkxGUi5GLlVTRC5IAQAAAObFGAACAAAABS0xMy43AQgAAAAFAAAAATEBAAAACjE4ODA1NDczODMDAAAAAzE2MAIAAAABNwQAAAABMAcAAAAJNy8xNi8yMDE4CAAAAAoxMi8zMS8yMDE2CQAAAAEwKRyUEDUJ1ghzOWASNQnWCCtDSVEuLklRX0VCSVREQS5DWTIwMTcuNy8zMS8yMDE4LkxGUi5GLlVTRC5IBQAAAAEAAAAIAAAAFChJbnZhbGlkIElkZW50aWZpZXIp9YQyRzQJ1gj1hDJHNAnWCDFDSVEuSVFUUjQwNzc2MDY5Mi5JUV9UUl9UQVJHRVRfUkVWRU5VRV9FU1QuLlVTRC5IAQAAADTvTRgCAAAAAABYzxIONQnWCAw+hQ41CdYIOUNJUS5OQVNEQVFDTTpaSU9QLklRX1RPVEFMX1JFVi4xOTkyLjcvMzEvMjAxOC5MRlIuRi5VU0QuSAEAAACzUbIAAgAAAAU2LjAyOQEIAAAA</t>
  </si>
  <si>
    <t>BQAAAAExAQAAAAoxODM5MzQxMDY3AwAAAAMxNjACAAAAAjI4BAAAAAEwBwAAAAk3LzMxLzIwMTgIAAAACTMvMzEvMjAxNgkAAAABMNaMETgICdYIw4afbzQJ1ggnQ0lRLk5BU0RBUUNNOkNLUFQuSVFfQkVUQV8xWVIuNy8xNi8yMDE4AQAAALhRFhECAAAAEjAuMDkyNDgwOTYzNzE2OTA4OQApHJQQNQnWCOR0WxI1CdYIN0NJUS5OQVNEQVFHTTpYTkNSLklRX0VCSVRfTUFSR0lOLi43LzE2LzIwMTguTEZSLkYuVVNELkgBAAAAploLAAIAAAAJLTIwOS40MTkxAQgAAAAFAAAAATEBAAAACjE4ODcxMjU4NTUDAAAAAzE2MAIAAAAENDA1MwQAAAABMAcAAAAJNy8xNi8yMDE4CAAAAAkzLzMxLzIwMTgJAAAAATDE/xsRNQnWCBL+ZBI1CdYIPENJUS5OQVNEQVFDTTpNVEVNLklRX1RPVEFMX0VRVUlUWS4xOTkyLjcvMzEvMjAxOC5MRlIuRi5VU0QuSAEAAACZm6kBAwAAAAAAyDCyNwgJ1ggZ6aFvNAnWCDpDSVEuT1RDUEs6TldCTy5JUV9SRVZFTlVFX0VTVC5DWTIwMTkuNy8xNi8yMDE4LkNPTi5GLlVTRC5IAQAAAKN6FAADAAAAAAApHJQQNQnWCHM5YBI1CdYILkNJUS5OQVNEQVFHTTpDUlZTLklRX01BUktFVENBUC43LzMxLzIwMTguVVNELkgBAAAA9LCmEAIAAAAKMjg4LjE0MDgzMgEGAAAABQAAAAExAQAAAAoxODg2MzY3Mjg0AwAAAAMxNjACAAAABjEwMDA1NAQAAAABMAcAAAAJNy8zMS8yMDE41owROAgJ1ggZ</t>
  </si>
  <si>
    <t>6aFvNAnWCCRDSVEuTkFTREFRR1M6TUdOWC5JUV9FRkZFQ1RfVEFYX1JBVEUBAAAATysJAAMAAAAAAMT/GxE1CdYIwptiEjUJ1gg8Q0lRLk5BU0RBUUdTOkpOQ0UuSVFfRUFSTklOR19DTy5DWTIwMTYuNy8xNi8yMDE4LkxGUi5GLlVTRC5IAQAAAOJ5ng0CAAAABy0xMy43MDMBCAAAAAUAAAABMQEAAAAKMTg3NzcxNjQ5MgMAAAADMTYwAgAAAAE3BAAAAAEwBwAAAAk3LzE2LzIwMTgIAAAACjEyLzMxLzIwMTYJAAAAATDep34QNQnWCJgSWRI1CdYILkNJUS5PVENQSzpNQlZYLklRX0RBX0NGLi43LzE2LzIwMTguTEZSLkYuVVNELkgBAAAA2ESLAgIAAAAIMC4xNTk4NDIBCAAAAAUAAAABMQEAAAAKMTg4MTIxMzI0NQMAAAADMTYwAgAAAAQyMTYwBAAAAAEwBwAAAAk3LzE2LzIwMTgIAAAACjEyLzMxLzIwMTcJAAAAATDep34QNQnWCGhgZxI1CdYIMkNJUS5YVFJBOk1PUi5JUV9QRVJJT0REQVRFX0lTLjIwMDAuNy8zMS8yMDE4LkxGUi5GAQAAAN8RAgAFAAAACTMvMzEvMjAxOACcC9U4CAnWCNRfmG80CdYIOkNJUS5OQVNEQVFHUzpBVE5YLklRX0VBUk5JTkdfQ08uMjAwMC43LzMxLzIwMTguTEZSLkYuVVNELkgBAAAA3JlrAQIAAAAGLTk3LjcxAQgAAAAFAAAAATEBAAAACjE4ODg3MDI5ODIDAAAAAzE2MAIAAAABNwQAAAABMAcAAAAJNy8zMS8yMDE4CAAAAAkzLzMxLzIwMTgJAAAAATDWjBE4CAnWCCTCmm80</t>
  </si>
  <si>
    <t>CdYIPENJUS5OQVNEQVFDTTpNVEVNLklRX1RPVEFMX0VRVUlUWS4xOTk2LjcvMzEvMjAxOC5MRlIuRi5VU0QuSAEAAACZm6kBAgAAAAotMTUuMDUwOTE4AQgAAAAFAAAAATEBAAAACjE4ODg3MzMwMDIDAAAAAzE2MAIAAAAEMTI3NQQAAAABMAcAAAAJNy8zMS8yMDE4CAAAAAkzLzMxLzIwMTcJAAAAATDIMLI3CAnWCBnpoW80CdYII0NJUS5JUVRSNDIyODg3NzAxLklRX1RSX1RPVEFMX1NUT0NLAQAAABXBNBkCAAAACDEuMDI0OTEzAQYAAAAFAAAAAjU0AQAAAAYxMDEwNTcCAAAACTQyMjg4NzcwMQMAAAAJNDMwNDA2MzQzBAAAAAMxNjAGAAAABUZhbHNlDG0QDjUJ1gjA24IONQnWCD5DSVEuTkFTREFRR1M6R1RIWC5JUV9DQVNIX1NUX0lOVkVTVC4yMDAwLjcvMzEvMjAxOC5MRlIuRi5VU0QuSAEAAABlNGkIAgAAAAcxOTQuMzg3AQgAAAAFAAAAATEBAAAACjE4ODYzNjc2NjcDAAAAAzE2MAIAAAAEMTAwMgQAAAABMAcAAAAJNy8zMS8yMDE4CAAAAAkzLzMxLzIwMTgJAAAAATCcC9U4CAnWCCTCmm80CdYIOUNJUS5OQVNEQVFHUzpOSy5JUV9UT1RBTF9SRVYuQ1kyMDE2LjcvMzEvMjAxOC5MRlIuRi5VU0QuSAEAAAANfaEPAgAAAAUwLjA0NAEIAAAABQAAAAExAQAAAAoxODc4MDEyNTc4AwAAAAMxNjACAAAAAjI4BAAAAAEwBwAAAAk3LzMxLzIwMTgIAAAACjEyLzMxLzIwMTYJAAAAATDWjBE4CAnWCMOGn280</t>
  </si>
  <si>
    <t>CdYIMENJUS5OQVNEQVFHUzpBRFhTLklRX0xBU1RTQUxFUFJJQ0UuNy8xNi8yMDE4LlVTRAEAAACe7HgAAgAAAAQxLjQ0ACkclBA1CdYI5HRbEjUJ1gg2Q0lRLk5BU0RBUUdNOkFGTUQuSVFfVE9UQUxfREVCVC4uOS8xNS8yMDE3LkxGUi5GLlVTRC5IAQAAANv3DAACAAAABjguMDI1MQEIAAAABQAAAAExAQAAAAoxODUxMTcwNDYyAwAAAAMxNjACAAAABDQxNzMEAAAAATAHAAAACTkvMTUvMjAxNwgAAAAJNi8zMC8yMDE3CQAAAAEwKRyUEDUJ1ggw110SNQnWCDVDSVEuRU5YVFBBOklQSC5JUV9UT1RBTF9FUVVJVFkuLjcvMTYvMjAxOC5MRlIuRi5VU0QuSAEAAACZgAYAAgAAAAoxMDMuMjEzMjU2AQgAAAAFAAAAATEBAAAACjE4ODk1NTIxNjQDAAAAAzE2MAIAAAAEMTI3NQQAAAABMAcAAAAJNy8xNi8yMDE4CAAAAAoxMi8zMS8yMDE3CQAAAAEwKRyUEDUJ1ghzOWASNQnWCB9DSVEuSVE5MjA2Njc3LklRX0NPTVBBTllfVElDS0VSAQAAAJV7jAADAAAADU5hc2RhcUdNOk5MTksADG0QDjUJ1gjMspoONQnWCChDSVEuTkFTREFRR006Q1JWUy5JUV9URVYuNy8zMS8yMDE4LlVTRC5IAQAAAPSwphACAAAACjE0NC4yMDc4MzIBBgAAAAUAAAABMQEAAAAKMTg4NjM2NzI4NAMAAAADMTYwAgAAAAYxMDAwNjAEAAAAATAHAAAACTcvMzEvMjAxONaMETgICdYIGemhbzQJ1ggrQ0lRLklRVFI1NTM1NDgwMjUuSVFfVFJf</t>
  </si>
  <si>
    <t>VE9UQUxfR1JPU1NfVFYuLlVTRAEAAAD5eP4gAgAAAAozOTMuNTE0NDg2AQYAAAAFAAAAAjU0AQAAAAYxMDIwODgCAAAACTU1MzU0ODAyNQMAAAAJNTUzNTY0OTcxBAAAAAMxNjAGAAAABUZhbHNlsrNJbzQJ1giB/ZVvNAnWCCpDSVEuT1RDUEs6TUJWWC5JUV9ESVZJREVORF9ZSUVMRC43LzE2LzIwMTgBAAAA2ESLAgMAAAAAAN6nfhA1CdYImBJZEjUJ1gg1Q0lRLk5BU0RBUUdTOlNHRU4uSVFfVE9UQUxfRVFVSVRZLkNZMjAxNi4uTEZSLkYuVVNELkgBAAAAYYUAAAIAAAAHNjM0LjA4NwEIAAAABQAAAAExAQAAAAoxODc0Njk2MTk2AwAAAAMxNjACAAAABDEyNzUEAAAAATAHAAAACTgvMjMvMjAxOAgAAAAKMTIvMzEvMjAxNgkAAAABMMT/GxE1CdYIxP8bETUJ1gglQ0lRLk5BU0RBUUdTOkJHTkUuSVFfRklSU1RQUklDSU5HREFURQEAAADg5N0GBQAAAAgyLzMvMjAxNgCcC9U4CAnWCKgCig41CdYIOkNJUS5OQVNEQVFHUzpOSy5JUV9HUk9TU19NQVJHSU4uMjAwMC43LzMxLzIwMTguTEZSLkYuVVNELkgBAAAADX2hDwIAAAADMTAwAQgAAAAFAAAAATEBAAAACjE4ODcxMTg3OTEDAAAAAzE2MAIAAAAENDA3NAQAAAABMAcAAAAJNy8zMS8yMDE4CAAAAAkzLzMxLzIwMTgJAAAAATDWjBE4CAnWCMOGn280CdYILkNJUS5PVENQSzpNQlZYLklRX0NBUEVYLi43LzE2LzIwMTguTEZSLkYuVVNELkgBAAAA2ESLAgIA</t>
  </si>
  <si>
    <t>AAAJLTAuMDIxMDcyAQgAAAAFAAAAATEBAAAACjE4ODEyMTMyNDUDAAAAAzE2MAIAAAAEMjAyMQQAAAABMAcAAAAJNy8xNi8yMDE4CAAAAAoxMi8zMS8yMDE3CQAAAAEw3qd+EDUJ1giYElkSNQnWCDdDSVEuTkFTREFRR1M6Q1RNWC5JUV9FQklUX01BUkdJTi4uNy8xNi8yMDE4LkxGUi5GLlVTRC5IAQAAANw4mwMCAAAACC03MS44NDM3AQgAAAAFAAAAATEBAAAACjE4ODc2NzUzMTYDAAAAAzE2MAIAAAAENDA1MwQAAAABMAcAAAAJNy8xNi8yMDE4CAAAAAkzLzMxLzIwMTgJAAAAATDE/xsRNQnWCMKbYhI1CdYIOENJUS5OQVNEQVFHTTpBUlJZLklRX0VCSVREQS5DWTIwMTYuNy8zMS8yMDE4LkxGUi5GLlVTRC5IAQAAAPhhAAACAAAABi04NC40OAEIAAAABQAAAAExAQAAAAoxODczMjAzNzk1AwAAAAMxNjACAAAABDQwNTEEAAAAATAHAAAACTcvMzEvMjAxOAgAAAAKMTIvMzEvMjAxNgkAAAABMJwL1TgICdYI1F+YbzQJ1ghKQ0lRLihJTlZBTElEIElERU5USUZJRVIpLklRX01JTk9SSVRZX0lOVEVSRVNUX1RPVEFMLi43LzE2LzIwMTguTEZSLkYuVVNELkgFAAAAAAAAAAgAAAAUKEludmFsaWQgSWRlbnRpZmllcinep34QNQnWCJgSWRI1CdYINkNJUS5BU1g6SU1VLklRX0VCSVREQV9FU1QuQ1kyMDIwLjcvMTYvMjAxOC5DT04uRi5VU0QuSAEAAACYk6kAAwAAAAAAKRyUEDUJ1ggw110SNQnWCDlDSVEuTkFT</t>
  </si>
  <si>
    <t>REFRQ006U1JORS5JUV9UT1RBTF9SRVYuMTk5Mi43LzMxLzIwMTguTEZSLkYuVVNELkgBAAAASUOUAwIAAAAFNC42MDEBCAAAAAUAAAABMQEAAAAKMTg0MjI1MTEyMwMAAAADMTYwAgAAAAIyOAQAAAABMAcAAAAJNy8zMS8yMDE4CAAAAAkzLzMxLzIwMTYJAAAAATDWjBE4CAnWCHMknW80CdYIL0NJUS5JUVRSMjYzNzE4NjQ3LklRX1RSX1RBUkdFVF9UT1RBTF9SRVYuLlVTRC5IAQAAAPcGuA8CAAAAAACys0lvNAnWCIH9lW80CdYIPENJUS5OQVNEQVFHUzpUU1JPLklRX0VBUk5JTkdfQ08uQ1kyMDE3LjcvMzEvMjAxOC5MRlIuRi5VU0QuSAEAAABo1lgGAgAAAAgtNDk2LjEyNgEIAAAABQAAAAExAQAAAAoxODc3MjI2MzAxAwAAAAMxNjACAAAAATcEAAAAATAHAAAACTcvMzEvMjAxOAgAAAAKMTIvMzEvMjAxNwkAAAABMJwL1TgICdYIJMKabzQJ1ggjQ0lRLk5BU0RBUUdNOklNTVUuSVFfUEVSSU9EREFURV9JUy4BAAAAIEMEAAUAAAAJMy8zMS8yMDE4AMT/GxE1CdYIaGBnEjUJ1gg8Q0lRLk5BU0RBUUdTOkFUTlguSVFfRUJJVERBX0VTVC5DWTIwMTguNy8zMS8yMDE4LkNPTi5GLlVTRC5IAQAAANyZawECAAAACS05My41ODEzMgEOAAAABQAAAAIxMQEAAAABMAIAAAAKMTAwMzc3ODM2NAMAAAAGMTAwMTg3BAAAAAEyBgAAAAEwBwAAAAMxNjAIAAAAATAJAAAAATEKAAAAATALAAAACzExMDQxNzMzNDcyDAAA</t>
  </si>
  <si>
    <t>AAE3DQAAAAg4LzEvMjAxOBAAAAAJNy8zMS8yMDE41owROAgJ1ggkwppvNAnWCERDSVEuKElOVkFMSUQgSURFTlRJRklFUikuSVFfUkVWRU5VRV9FU1QuQ1kyMDE5LjcvMzEvMjAxOC5DT04uRi5VU0QuSAUAAAAAAAAACAAAABQoSW52YWxpZCBJZGVudGlmaWVyKcgwsjcICdYI7TawbzQJ1ggpQ0lRLk5BU0RBUUdNOkFGTUQuSVFfQlVTSU5FU1NfREVTQ1JJUFRJT04BAAAA2/cMAAMAAACCDUFmZmltZWQgTi5WLiwgYSBjbGluaWNhbC1zdGFnZSBiaW9waGFybWFjZXV0aWNhbCBjb21wYW55LCBmb2N1c2VzIG9uIGRpc2NvdmVyaW5nIGFuZCBkZXZlbG9waW5nIGNhbmNlciBpbW11bm90aGVyYXBpZXMgaW4gdGhlIFVuaXRlZCBTdGF0ZXMsIEV1cm9wZSwgYW5kIEdlcm1hbnkuIEl0cyBsZWFkIGNhbmRpZGF0ZSBpcyBBRk0xMywgYSBuYXR1cmFsIGtpbGxlciBjZWxsIChOSy1jZWxsKSBUYW5kQWIsIHdoaWNoIGlzIGluIFBoYXNlIDJhIGNsaW5pY2FsIHN0dWR5IG9mIHJlbGFwc2VkIENEMzAtcG9zaXRpdmUgbHltcGhvbWEgYW5kIFBoYXNlIDFiIGNsaW5pY2FsIHN0dWR5IG9mIGFudGktUEQtMSBhbnRpYm9keSBLZXl0cnVkYSAocGVtYnJvbGl6dW1hYikgaW4gcGF0aWVudHMgd2l0aCByZWxhcHNlZCBIb2Rna2luIGx5bXBob21hLiBUaGUgY29tcGFueeKAmXMgcHJvZHVjdHMgaW5jbHVkZSBBRk0yNCwg</t>
  </si>
  <si>
    <t>YSBOSy1jZWxsIGJpc3BlY2lmaWMgYW50aWJvZHkgdGFyZ2V0cyBFR0ZSLXdpbGQgdHlwZSByZXByZXNlbnRzIGEgdmFsaWRhdGVkIGFudGlnZW4gZXhwcmVzc2VkIGJ5IHZhcmlvdXMgc29saWQgdHVtb3JzOyBBRk0yNiwgd2hpY2ggYmluZHMgdG8gQiBjZWxsIG1hdHVyYXRpb24gYW50aWdlbiAoQkNNQSkgZm9yIHRoZSB0cmVhdG1lbnQgb2YgbXVsdGlwbGUgbXllbG9tYTsgYW5kIFRyaXNwZWNpZmljIEFicyBmb3IgdGhlIHRyZWF0bWVudCBvZiBtdWx0aXBsZSBteWVsb21hLiBJdHMgcHJvZHVjdHMgYWxzbyBjb21wcmlzZSBBRk0xMSwgYSBUIGNlbGwgVGFuZEFiLCB3aGljaCBpcyBpbiBQaGFzZSAxIGNsaW5pY2FsIHRyaWFsIGluIHBhdGllbnRzIHdpdGggcmVsYXBzZWQgQ0QxOSsgQiBjZWxsIG1hbGlnbmFuY2llcywgaW5jbHVkaW5nIG5vbi1Ib2Rna2luIEx5bXBob21hIGFuZCBhY3V0ZSBseW1waG9jeXRpYyBsZXVrZW1pYSAoQU1MKTsgYW5kIEFNVjU2NCwgYSBDRDMzL0NEMy1zcGVjaWZpYyBULWNlbGwgVGFuZEFiIGlzIGluIFBoYXNlIDEgY2xpbmljYWwgc3R1ZHkgb2YgcmVmcmFjdG9yeSBBTUwuIFRoZSBjb21wYW55IGhhcyBsaWNlbnNlIGFncmVlbWVudHMgd2l0aCBBbXBoaXZlbmEgVGhlcmFwZXV0aWNzLCBJbmMuLCBEZXV0c2NoZXMgS3JlYnNmb3JzY2h1bmdzemVudHJ1bSwgYW5k</t>
  </si>
  <si>
    <t>IFhvbWEgSXJlbGFuZCBMaW1pdGVkOyByZXNlYXJjaCBmdW5kaW5nIGFncmVlbWVudCB3aXRoIFRoZSBMZXVrZW1pYSAmIEx5bXBob21hIFNvY2lldHk7IGFuZCBjb2xsYWJvcmF0aW9uIHdpdGggTWVyY2sgU2hhcnAgJiBEb2htZSBCLlYuIEl0IGFsc28gaGFzIGEgY2xpbmljYWwgZGV2ZWxvcG1lbnQgYW5kIGNvbW1lcmNpYWxpemF0aW9uIGNvbGxhYm9yYXRpb24gd2l0aCBUaGUgVW5pdmVyc2l0eSBvZiBUZXhhcyBNRCBBbmRlcnNvbiBDYW5jZXIgQ2VudGVyIHRvIGV2YWx1YXRlIEFGTTEzIGluIGNvbWJpbmF0aW9uIHdpdGggTUQgQW5kZXJzb27igJlzIE5LLWNlbGwgcHJvZHVjdC4gVGhlIGNvbXBhbnkgd2FzIGZvcm1lcmx5IGtub3duIGFzIEFmZmltZWQgVGhlcmFwZXV0aWNzIEIuVi4gYW5kIGNoYW5nZWQgaXRzIG5hbWUgdG8gQWZmaW1lZCBOLlYuIGluIE9jdG9iZXIgMjAxNC4gQWZmaW1lZCBOLlYuIHdhcyBmb3VuZGVkIGluIDIwMDAgYW5kIGlzIGhlYWRxdWFydGVyZWQgaW4gSGVpZGVsYmVyZywgR2VybWFueS4AKRyUEDUJ1ggw110SNQnWCCdDSVEuTkFTREFRR1M6S1VSQS5JUV9CRVRBXzVZUi43LzMxLzIwMTgBAAAAuMvaEAIAAAAQNC4yNDMxMTE3MDQ1ODc3NQDWjBE4CAnWCHMknW80CdYIMUNJUS5OQVNEQVFHUzpNR05YLklRX0RBX0NGLi43LzE2LzIwMTguTEZSLkYuVVNELkgBAAAA</t>
  </si>
  <si>
    <t>TysJAAIAAAAFNi41ODgBCAAAAAUAAAABMQEAAAAKMTg4NzExNDk0NQMAAAADMTYwAgAAAAQyMTYwBAAAAAEwBwAAAAk3LzE2LzIwMTgIAAAACTMvMzEvMjAxOAkAAAABMMT/GxE1CdYIwptiEjUJ1gg9Q0lRLk5BU0RBUUdTOkFEWFMuSVFfUkVWRU5VRV9FU1QuQ1kyMDIwLjcvMTYvMjAxOC5DT04uRi5VU0QuSAEAAACe7HgAAgAAAAYxNC4yNzUBDgAAAAUAAAACMTEBAAAAATACAAAACTY1MDY1NTA1NwMAAAAGMTAwMTgwBAAAAAEyBgAAAAEwBwAAAAMxNjAIAAAAATAJAAAAATEKAAAAATALAAAACzEwOTI0MTAwOTI5DAAAAAE3DQAAAAk3LzE3LzIwMTgQAAAACTcvMTYvMjAxOCkclBA1CdYI5HRbEjUJ1ghFQ0lRLihJTlZBTElEIElERU5USUZJRVIpLklRX1RPVEFMX0VRVUlUWS5DWTIwMTYuNy8xNi8yMDE4LkxGUi5GLlVTRC5IBQAAAAAAAAAIAAAAFChJbnZhbGlkIElkZW50aWZpZXIp3qd+EDUJ1giYElkSNQnWCCNDSVEuSVFUUjUzMzM4NTc0NC5JUV9UUl9DTE9TRURfREFURQEAAAAQ0sofBQAAAAg5LzcvMjAxNwAMbRAONQnWCHd5gA41CdYIPENJUS5OQVNEQVFHUzpOSy5JUV9UT1RBTF9FUVVJVFkuQ1kyMDE2LjcvMzEvMjAxOC5MRlIuRi5VU0QuSAEAAAANfaEPAgAAAAcyOTMuNDE4AQgAAAAFAAAAATEBAAAACjE4NzgwMTI1NzgDAAAAAzE2MAIAAAAEMTI3NQQAAAABMAcAAAAJNy8zMS8yMDE4CAAA</t>
  </si>
  <si>
    <t>AAoxMi8zMS8yMDE2CQAAAAEw1owROAgJ1ggZ6aFvNAnWCD5DSVEuTkFTREFRR1M6QVROWC5JUV9UT1RBTF9FUVVJVFkuQ1kyMDE2LjcvMzEvMjAxOC5MRlIuRi5VU0QuSAEAAADcmWsBAgAAAAYzNC42NjkBCAAAAAUAAAABMQEAAAAKMTg3OTkwNzYxOQMAAAADMTYwAgAAAAQxMjc1BAAAAAEwBwAAAAk3LzMxLzIwMTgIAAAACjEyLzMxLzIwMTYJAAAAATDWjBE4CAnWCCTCmm80CdYIO0NJUS5OQVNEQVFHUzpQQllJLklRX05FVF9XT1JLSU5HX0NBUC4uNy8xNi8yMDE4LkxGUi5GLlVTRC5IAQAAAAJqrAcCAAAABy0yNS40ODQBCAAAAAUAAAABMQEAAAAKMTg4ODY2Nzc0MwMAAAADMTYwAgAAAAQxMzExBAAAAAEwBwAAAAk3LzE2LzIwMTgIAAAACTMvMzEvMjAxOAkAAAABMMT/GxE1CdYIEv5kEjUJ1gg5Q0lRLk5BU0RBUUdTOktVUkEuSVFfVE9UQUxfUkVWLjE5OTYuNy8zMS8yMDE4LkxGUi5GLlVTRC5IAQAAALjL2hADAAAAAADWjBE4CAnWCHMknW80CdYIOkNJUS5PVENQSzpNQlZYLklRX1JFVkVOVUVfRVNULkNZMjAxOS43LzE2LzIwMTguQ09OLkYuVVNELkgBAAAA2ESLAgMAAAAAAN6nfhA1CdYImBJZEjUJ1gg/Q0lRLk5BU0RBUUdTOlBCWUkuSVFfRUJJVERBXzNZUl9BTk5fQ0FHUi4uNy8xNi8yMDE4LkxGUi5GLlVTRC5IAQAAAAJqrAcDAAAAAk5NAQgAAAAFAAAAATEBAAAACjE4ODg2Njc3NDMDAAAA</t>
  </si>
  <si>
    <t>AzE2MAIAAAAENDIyMgQAAAABMAcAAAAJNy8xNi8yMDE4CAAAAAkzLzMxLzIwMTgJAAAAATDE/xsRNQnWCBL+ZBI1CdYINUNJUS5OQVNEQVFHUzpUU1JPLklRX0NBUEVYLjE5OTYuNy8zMS8yMDE4LkxGUi5GLlVTRC5IAQAAAGjWWAYCAAAABi00LjMwNQEIAAAABQAAAAExAQAAAAoxODg2MzM3NDUxAwAAAAMxNjACAAAABDIwMjEEAAAAATAHAAAACTcvMzEvMjAxOAgAAAAJMy8zMS8yMDE3CQAAAAEwnAvVOAgJ1ggkwppvNAnWCCVDSVEuTkFTREFRR1M6U0dFTi5JUV9NQVJLRVRDQVAuLlVTRC5IAQAAAGGFAAACAAAADDEyMDQ5LjA5NzY1NAEGAAAABQAAAAExAQAAAAoxODk3MjMzMjUxAwAAAAMxNjACAAAABjEwMDA1NAQAAAABMAcAAAAJOC8yMi8yMDE4Rp0ZETUJ1ghGnRkRNQnWCDdDSVEuTkFTREFRR1M6QkdORS5JUV9QRVJJT0REQVRFX0lTLjIwMDAuNy8zMS8yMDE4LkxGUi5GAQAAAODk3QYFAAAACTMvMzEvMjAxOACcC9U4CAnWCIH9lW80CdYIIkNJUS5JUVRSNTMzNjM5NTAxLklRX1RSX1RBUkdFVE5BTUUBAAAATbHOHwMAAAAWR2FsZW5hIEJpb3BoYXJtYSwgSW5jLgAMbRAONQnWCMDbgg41CdYIOUNJUS5PVENQSzpNQlZYLklRX0VCSVREQV9FU1QuQ1kyMDIwLjcvMTYvMjAxOC5DT04uRi5VU0QuSAEAAADYRIsCAwAAAAAA3qd+EDUJ1giYElkSNQnWCClDSVEuSVFUUjQyNDM0MjA0Ni5JUV9UUl9J</t>
  </si>
  <si>
    <t>TVBMSUVEX0VRX05JX0xUTQEAAAAe8koZAgAAAAAADG0QDjUJ1gjA24IONQnWCCJDSVEuSVFUUjU1MDI1OTM5Ny5JUV9UUl9UT1RBTF9DQVNIAQAAAMVKzCACAAAACzkwODguOTIyNTM4AQYAAAAFAAAAAjU0AQAAAAYxMDEwNTYCAAAACTU1MDI1OTM5NwMAAAAJNTUwMjY0NTY0BAAAAAMxNjAGAAAABUZhbHNlDG0QDjUJ1gh3eYAONQnWCChDSVEuTkFTREFRR006RkFURS5JUV9URVYuNy8zMS8yMDE4LlVTRC5IAQAAAGgxVwICAAAACjM5OC4yMjE5MjIBBgAAAAUAAAABMQEAAAAKMTg4ODQ5Nzg5MgMAAAADMTYwAgAAAAYxMDAwNjAEAAAAATAHAAAACTcvMzEvMjAxONaMETgICdYIw4afbzQJ1ggrQ0lRLklRVFIzMjE4NjUyOTcuSVFfVFJfVE9UQUxfR1JPU1NfVFYuLlVTRAEAAABRRi8TAgAAAAAAWM8SDjUJ1ggMPoUONQnWCC9DSVEuTkFTREFRR1M6QkdORS5JUV9FQklUREEuQ1kyMDE3Li5MRlIuRi5VU0QuSAEAAADg5N0GAgAAAActNzcuMzkyAQgAAAAFAAAAATEBAAAACjE4OTk4ODExOTQDAAAAAzE2MAIAAAAENDA1MQQAAAABMAcAAAAJOC8yMy8yMDE4CAAAAAoxMi8zMS8yMDE3CQAAAAEwnAvVOAgJ1gicC9U4CAnWCD1DSVEuTkFTREFRR006Q1JWUy5JUV9DQVNIX1NUX0lOVkVTVC4yMDAwLjUvNS8yMDE3LkxGUi5GLlVTRC5IAQAAAPSwphACAAAABzEyMi4wNjQBCAAAAAUAAAABMQEAAAAKMTg0MDEx</t>
  </si>
  <si>
    <t>NjE3MwMAAAADMTYwAgAAAAQxMDAyBAAAAAEwBwAAAAg1LzUvMjAxNwgAAAAJMy8zMS8yMDE3CQAAAAEw1owROAgJ1ggZ6aFvNAnWCENDSVEuKElOVkFMSUQgSURFTlRJRklFUikuSVFfVE9UQUxfRVFVSVRZLjIwMDAuNy8zMS8yMDE4LkxGUi5GLlVTRC5IBQAAAAAAAAAIAAAAFChJbnZhbGlkIElkZW50aWZpZXIpyDCyNwgJ1gjtNrBvNAnWCCxDSVEuSVFUUjQwODI5MTM5NS5JUV9UUl9UQVJHRVRfRUJJVERBLi5VU0QuSAEAAABDCFYYAgAAAAYtMjkuNDgBBgAAAAUAAAACMzcBAAAACjE4MjY3NTIzNTkCAAAABTIxNjc3AwAAAAMxNjAEAAAAATAHAAAACDEvMS8xOTAwWM8SDjUJ1gjA24IONQnWCDFDSVEuTkFTREFRR1M6TUdOWC5JUV9DQVBFWC4uNy8xNi8yMDE4LkxGUi5GLlVTRC5IAQAAAE8rCQACAAAABi00Mi40MwEIAAAABQAAAAExAQAAAAoxODg3MTE0OTQ1AwAAAAMxNjACAAAABDIwMjEEAAAAATAHAAAACTcvMTYvMjAxOAgAAAAJMy8zMS8yMDE4CQAAAAEwxP8bETUJ1gjCm2ISNQnWCDFDSVEuSVFUUjU2MzkxOTA0OS5JUV9UUl9UQVJHRVRfUkVWRU5VRV9FU1QuLlVTRC5IAQAAAMm4nCECAAAAAAAMbRAONQnWCMDbgg41CdYILkNJUS5JUVRSMjYzNzE4NjQ3LklRX1RSX1RBUkdFVF9TVE9DS1BSRU1JVU1fMU0BAAAA9wa4DwIAAAAAALKzSW80CdYIgf2VbzQJ1gg3Q0lRLk5BU0RBUUNNOlNSTkUu</t>
  </si>
  <si>
    <t>SVFfUEVSSU9EREFURV9JUy4yMDAwLjcvMzEvMjAxOC5MRlIuRgEAAABJQ5QDBQAAAAkzLzMxLzIwMTgA1owROAgJ1ghzJJ1vNAnWCCJDSVEuSVFUUjM3MTcxNTExOS5JUV9UUl9QQ1RfU09VR0hUAQAAAC/sJxYCAAAAAzEwMABYzxIONQnWCMDbgg41CdYIOUNJUS4oSU5WQUxJRCBJREVOVElGSUVSKS5JUV9FQklUREEuLjcvMTYvMjAxOC5MRlIuRi5VU0QuSAUAAAAAAAAACAAAABQoSW52YWxpZCBJZGVudGlmaWVyKd6nfhA1CdYImBJZEjUJ1ggvQ0lRLk5BU0RBUUdTOlNHRU4uSVFfVE9UQUxfRVFVSVRZLi4uTEZSLkYuVVNELkgBAAAAYYUAAAIAAAAIMTM4Mi40MzkBCAAAAAUAAAABMQEAAAAKMTg5NzIzMzUxOAMAAAADMTYwAgAAAAQxMjc1BAAAAAEwBwAAAAk4LzIzLzIwMTgIAAAACTYvMzAvMjAxOAkAAAABMMT/GxE1CdYIxP8bETUJ1ggeQ0lRLklRMTM1NjQ3LklRX0NPTVBBTllfVElDS0VSAQAAAN8RAgADAAAACFhUUkE6TU9SALKzSW80CdYI1F+YbzQJ1gg6Q0lRLk5BU0RBUUdTOkJHTkUuSVFfRUFSTklOR19DTy4xOTk2LjcvMzEvMjAxOC5MRlIuRi5VU0QuSAEAAADg5N0GAgAAAAgtMTQ3LjgzOQEIAAAABQAAAAExAQAAAAoxODg3Njg4NTgzAwAAAAMxNjACAAAAATcEAAAAATAHAAAACTcvMzEvMjAxOAgAAAAJMy8zMS8yMDE3CQAAAAEwnAvVOAgJ1giB/ZVvNAnWCCxDSVEuSVFUUjMxNDgyOTIz</t>
  </si>
  <si>
    <t>Ni5JUV9UUl9UT1RBTF9HUk9TU19UVi5VU0QuSAUAAAAAAAAACAAAABooSW52YWxpZCBDdXJyZW5jeSBSZXF1ZXN0KQxtEA41CdYIwNuCDjUJ1gg6Q0lRLk5BU0RBUUdTOkNBTEEuSVFfUFJFRl9FUVVJVFkuMjAwMC41LzUvMjAxNy5MRlIuRi5VU0QuSAEAAAClJ4EGAwAAAAAAyDCyNwgJ1gjdS6RvNAnWCDpDSVEuTkFTREFRR1M6Sk5DRS5JUV9DQVNIX1NUX0lOVkVTVC4uOS8xNS8yMDE3LkxGUi5GLlVTRC5IAQAAAOJ5ng0CAAAABzI3MC44MDMBCAAAAAUAAAABMQEAAAAKMTg1Mjc5NjIwNwMAAAADMTYwAgAAAAQxMDAyBAAAAAEwBwAAAAk5LzE1LzIwMTcIAAAACTYvMzAvMjAxNwkAAAABMN6nfhA1CdYImBJZEjUJ1gg8Q0lRLk9UQ1BLOk5XQk8uSVFfRUJJVERBXzNZUl9BTk5fQ0FHUi4uNy8xNi8yMDE4LkxGUi5GLlVTRC5IAQAAAKN6FAADAAAAAk5NAQgAAAAFAAAAATEBAAAACjE4ODkzMDI4MjQDAAAAAzE2MAIAAAAENDIyMgQAAAABMAcAAAAJNy8xNi8yMDE4CAAAAAkzLzMxLzIwMTgJAAAAATApHJQQNQnWCDDXXRI1CdYIQ0NJUS5OQVNEQVFHUzpUU1JPLklRX0VCSVREQV8zWVJfQU5OX0NBR1IuMjAwMC43LzMxLzIwMTguTEZSLkYuVVNELkgBAAAAaNZYBgMAAAACTk0BCAAAAAUAAAABMQEAAAAKMTg4NjMzNzQ2NgMAAAADMTYwAgAAAAQ0MjIyBAAAAAEwBwAAAAk3LzMxLzIwMTgIAAAACTMvMzEv</t>
  </si>
  <si>
    <t>MjAxOAkAAAABMJwL1TgICdYIJMKabzQJ1gglQ0lRLklRVFI0MTM5NTM2NjEuSVFfUFJJTUFSWV9JTkRVU1RSWQEAAADxrVMMAwAAAA1CaW90ZWNobm9sb2d5ALKzSW80CdYIgf2VbzQJ1ggrQ0lRLlhUUkE6TU9SLklRX0xBU1RTQUxFUFJJQ0UuNy8zMS8yMDE4LlVTRAEAAADfEQIAAgAAAAoxMzEuNTM4OTEyAJwL1TgICdYI1F+YbzQJ1ggxQ0lRLklRVFI1NTM1NDgwMjUuSVFfVFJfVEFSR0VUX1JFVkVOVUVfRVNULi5VU0QuSAEAAAD5eP4gAgAAAAg0LjU5OTc4MQCys0lvNAnWCIH9lW80CdYILUNJUS5OQVNEQVFHUzpBTkFCLklRX0RJVklERU5EX1lJRUxELjcvMTYvMjAxOAEAAAAhTLIBAwAAAAAARp0ZETUJ1gjCm2ISNQnWCB1DSVEuTkFTREFRR006QUZNRC5JUV9FWENIQU5HRQEAAADb9wwAAwAAAAhOYXNkYXFHTQApHJQQNQnWCDDXXRI1CdYIO0NJUS5OQVNEQVFHTTpJTU1VLklRX1RPVEFMX1JFVi5DWTIwMTYuNy8xNi8yMDE4LkxGUi5GLlVTRC5IAQAAACBDBAACAAAACDIuOTU3MjQxAQgAAAAFAAAAATEBAAAACjE4NzM0OTM0OTEDAAAAAzE2MAIAAAACMjgEAAAAATAHAAAACTcvMTYvMjAxOAgAAAAKMTIvMzEvMjAxNgkAAAABMMT/GxE1CdYIaGBnEjUJ1gghQ0lRLklRVFI0MzE4NDE1ODEuSVFfVFJfQlVZRVJOQU1FAQAAAC1hvRkDAAAAD0Jpb3ZlcmF0aXYgSW5jLgAMbRAONQnWCAw+hQ41CdYI</t>
  </si>
  <si>
    <t>LENJUS5OQVNEQVFHTTpYTkNSLklRX0xBU1RTQUxFUFJJQ0UuOS8xNS8yMDE3AQAAAKZaCwACAAAABTIxLjczAEadGRE1CdYIEv5kEjUJ1ggwQ0lRLk5BU0RBUUdTOkpOQ0UuSVFfTEFTVFNBTEVQUklDRS43LzE2LzIwMTguVVNEAQAAAOJ5ng0CAAAABDcuODMAKRyUEDUJ1gjkdFsSNQnWCCNDSVEuSVFUUjU1MDI1OTM5Ny5JUV9UUl9UT1RBTF9TVE9DSwEAAADFSswgAgAAAAAADG0QDjUJ1gh3eYAONQnWCCVDSVEuTkFTREFRR1M6UEJZSS5JUV9GSVJTVFBSSUNJTkdEQVRFAQAAAAJqrAcFAAAACTQvMTgvMjAxMgBGnRkRNQnWCBL+ZBI1CdYIJENJUS5PVENQSzpOV0JPLklRX0JFVEFfMllSLjcvMTYvMjAxOAEAAACjehQAAgAAABEwLjk1NDIxNjkyNzY5MzI3MwApHJQQNQnWCDDXXRI1CdYIIUNJUS5JUTIyODQ4OTY5OC5JUV9DT01QQU5ZX1RJQ0tFUgEAAADieZ4NAwAAAA1OYXNkYXFHUzpKTkNFAAxtEA41CdYIHxWdDjUJ1ggpQ0lRLk9UQ1BLOk5XQk8uSVFfTEFTVFNBTEVQUklDRS45LzE1LzIwMTcBAAAAo3oUAAIAAAAGMC4xODc1ACkclBA1CdYIMNddEjUJ1gggQ0lRLklRVFI0MDgyOTEzOTUuSVFfVFJfRUFSTk9VVFMBAAAAQwhWGAIAAAAFMTcyLjUBBgAAAAUAAAACNTQBAAAABjEwMTQwMwIAAAAJNDA4MjkxMzk1AwAAAAk0MDgzMDQwMTMEAAAAAzE2MAYAAAAFRmFsc2VYzxIONQnWCMDbgg41CdYI</t>
  </si>
  <si>
    <t>MkNJUS4uSVFfTkVUX1dPUktJTkdfQ0FQLjIwMDAuNy8zMS8yMDE4LkxGUi5GLlVTRC5IBQAAAAEAAAAIAAAAFChJbnZhbGlkIElkZW50aWZpZXIp9YQyRzQJ1gj1hDJHNAnWCCxDSVEuSVFUUjI3MzUwNzE4NS5JUV9UUl9UT1RBTF9HUk9TU19UVi5VU0QuSAUAAAAAAAAACAAAABooSW52YWxpZCBDdXJyZW5jeSBSZXF1ZXN0KUlTR280CdYIgf2VbzQJ1gg3Q0lRLk5BU0RBUUdTOkpOQ0UuSVFfUFJFRl9FUVVJVFkuLjkvMTUvMjAxNy5MRlIuRi5VU0QuSAEAAADieZ4NAwAAAAAA3qd+EDUJ1giYElkSNQnWCD9DSVEuKElOVkFMSUQgSURFTlRJRklFUikuSVFfVE9UQUxfRVFVSVRZLi43LzE2LzIwMTguTEZSLkYuVVNELkgFAAAAAAAAAAgAAAAUKEludmFsaWQgSWRlbnRpZmllcinep34QNQnWCJgSWRI1CdYIOUNJUS5OQVNEQVFHUzpOSy5JUV9FQklUX01BUkdJTi4yMDAwLjcvMzEvMjAxOC5MRlIuRi5VU0QuSAEAAAANfaEPAwAAAAJOTQEIAAAABQAAAAExAQAAAAoxODg3MTE4NzkxAwAAAAMxNjACAAAABDQwNTMEAAAAATAHAAAACTcvMzEvMjAxOAgAAAAJMy8zMS8yMDE4CQAAAAEw1owROAgJ1gjDhp9vNAnWCCNDSVEuSVFUUjMwNzg2Mzk4NC5JUV9UUl9DTE9TRURfREFURQEAAACwoVkSBQAAAAk3LzMxLzIwMTUAWM8SDjUJ1gjA24IONQnWCDxDSVEuTkFTREFRR1M6TUdOWC5JUV9FQVJOSU5HX0NPLkNZ</t>
  </si>
  <si>
    <t>MjAxNy43LzE2LzIwMTguTEZSLkYuVVNELkgBAAAATysJAAIAAAAHLTE5LjYyNgEIAAAABQAAAAExAQAAAAoxODc2MTM1MTcyAwAAAAMxNjACAAAAATcEAAAAATAHAAAACTcvMTYvMjAxOAgAAAAKMTIvMzEvMjAxNwkAAAABMMT/GxE1CdYIwptiEjUJ1ggkQ0lRLk5BU0RBUUdNOlhOQ1IuSVFfRUZGRUNUX1RBWF9SQVRFAQAAAKZaCwADAAAAAk5NAQgAAAAFAAAAATEBAAAACjE4OTkxMTc5MTEDAAAAAzE2MAIAAAAENDM3NgQAAAABMAcAAAAJOC8yMy8yMDE4CAAAAAk2LzMwLzIwMTgJAAAAATDE/xsRNQnWCBL+ZBI1CdYIMUNJUS5JUVRSNDA4NDA3ODIyLklRX1RSX1RBUkdFVF9SRVZFTlVFX0VTVC4uVVNELkgBAAAADs9XGAIAAAAAALKzSW80CdYIgf2VbzQJ1gguQ0lRLklRVFI1MzM2Mzk1MDEuSVFfVFJfVEFSR0VUX1NUT0NLUFJFTUlVTV8xTQEAAABNsc4fAgAAAAAADG0QDjUJ1gjA24IONQnWCDVDSVEuT1RDUEs6TUJWWC5JUV9FQklUREEuQ1kyMDE3LjcvMTYvMjAxOC5MRlIuRi5VU0QuSAEAAADYRIsCAgAAAAktMTcuOTEwNjIBCAAAAAUAAAABMQEAAAAKMTg4MTIxMzI0NQMAAAADMTYwAgAAAAQ0MDUxBAAAAAEwBwAAAAk3LzE2LzIwMTgIAAAACjEyLzMxLzIwMTcJAAAAATDep34QNQnWCJgSWRI1CdYIMENJUS5JUVRSNTYxNjA2MzY1LklRX1RSX1RBUkdFVF9FQklUREFfRVNULi5VU0QuSAEAAADd</t>
  </si>
  <si>
    <t>bnkhAgAAAAAAsrNJbzQJ1gg1m5NvNAnWCENDSVEuKElOVkFMSUQgSURFTlRJRklFUikuSVFfRUJJVERBX0VTVC5DWTIwMjAuNy8xNi8yMDE4LkNPTi5GLlVTRC5IBQAAAAAAAAAIAAAAFChJbnZhbGlkIElkZW50aWZpZXIpIAqBEDUJ1giYElkSNQnWCCtDSVEuSVFUUjMxMjEyMjUwNC5JUV9UUl9JTVBMSUVEX0VWX0VCSVRfRldEAQAAAIicmhICAAAAAABYzxIONQnWCMDbgg41CdYIPUNJUS5OQVNEQVFDTTpNVEVNLklRX1JFVkVOVUVfRVNULkNZMjAxOS43LzMxLzIwMTguQ09OLkYuVVNELkgBAAAAmZupAQIAAAABMAEOAAAABQAAAAIxMQEAAAABMAIAAAAKMTAwMzgxNjU5OQMAAAAGMTAwMTgwBAAAAAEyBgAAAAEwBwAAAAMxNjAIAAAAATAJAAAAATEKAAAAATALAAAACzEwODg3MzM2Mzk0DAAAAAE3DQAAAAg4LzEvMjAxOBAAAAAJNy8zMS8yMDE4yDCyNwgJ1ggZ6aFvNAnWCD9DSVEuTkFTREFRR006Q1JJUy5JUV9ORVRfV09SS0lOR19DQVAuMTk5Ni43LzMxLzIwMTguTEZSLkYuVVNELkgBAAAAF2oAAAIAAAAGLTMuOTEyAQgAAAAFAAAAATEBAAAACjE4ODYyNDczOTUDAAAAAzE2MAIAAAAEMTMxMQQAAAABMAcAAAAJNy8zMS8yMDE4CAAAAAkzLzMxLzIwMTcJAAAAATDIMLI3CAnWCN1LpG80CdYIQ0NJUS5OQVNEQVFHUzpGUFJYLklRX01JTk9SSVRZX0lOVEVSRVNUX1RPVEFMLi45LzE1LzIwMTcuTEZS</t>
  </si>
  <si>
    <t>LkYuVVNELkgBAAAAN10zAAMAAAAAACkclBA1CdYIczlgEjUJ1gg8Q0lRLk5BU0RBUUdNOkZBVEUuSVFfRUJJVERBX0VTVC5DWTIwMjAuNy8zMS8yMDE4LkNPTi5GLlVTRC5IAQAAAGgxVwIDAAAAAADWjBE4CAnWCMOGn280CdYINkNJUS5OQVNEQVFHTTpMUFRYLklRX1RPVEFMX0RFQlQuLjkvMTUvMjAxNy5MRlIuRi5VU0QuSAEAAAAMNgkHAgAAAAEwAQgAAAAFAAAAATEBAAAACjE4NTMxNzIxODUDAAAAAzE2MAIAAAAENDE3MwQAAAABMAcAAAAJOS8xNS8yMDE3CAAAAAk2LzMwLzIwMTcJAAAAATApHJQQNQnWCDDXXRI1CdYILENJUS5JUVRSNDAzNzkxNzY3LklRX1RSX1RPVEFMX0dST1NTX1RWLlVTRC5IBQAAAAAAAAAIAAAAGihJbnZhbGlkIEN1cnJlbmN5IFJlcXVlc3QpDG0QDjUJ1gjA24IONQnWCC5DSVEuKElOVkFMSUQgSURFTlRJRklFUikuSVFfQkVUQV8yWVIuNy8xNi8yMDE4BQAAAAAAAAAIAAAAFChJbnZhbGlkIElkZW50aWZpZXIpIAqBEDUJ1giYElkSNQnWCDxDSVEuTkFTREFRR1M6U0dFTi5JUV9FQVJOSU5HX0NPLkNZMjAxNy43LzE2LzIwMTguTEZSLkYuVVNELkgBAAAAYYUAAAIAAAAHLTEyNS41MwEIAAAABQAAAAExAQAAAAoxODc0Njk2MjIwAwAAAAMxNjACAAAAATcEAAAAATAHAAAACTcvMTYvMjAxOAgAAAAKMTIvMzEvMjAxNwkAAAABMMT/GxE1CdYIaGBnEjUJ1ggwQ0lRLk5BU0RB</t>
  </si>
  <si>
    <t>UUdTOkdUSFguSVFfTEFTVFNBTEVQUklDRS43LzMxLzIwMTguVVNEAQAAAGU0aQgCAAAABTUxLjM1AJwL1TgICdYIJMKabzQJ1ghCQ0lRLihJTlZBTElEIElERU5USUZJRVIpLklRX1RPVEFMX1JFVi5DWTIwMTcuNy8xNi8yMDE4LkxGUi5GLlVTRC5IBQAAAAAAAAAIAAAAFChJbnZhbGlkIElkZW50aWZpZXIp3qd+EDUJ1giYElkSNQnWCDxDSVEuTkFTREFRR1M6TVJTTi5JUV9UT1RBTF9FUVVJVFkuMjAwMC43LzMxLzIwMTguTEZSLkYuVVNELkgBAAAA5sUYAAIAAAAGNTYuNTQ3AQgAAAAFAAAAATEBAAAACjE4ODkwOTY2NTMDAAAAAzE2MAIAAAAEMTI3NQQAAAABMAcAAAAJNy8zMS8yMDE4CAAAAAkzLzMxLzIwMTgJAAAAATDWjBE4CAnWCMOGn280CdYIRkNJUS5OQVNEQVFHTTpGQVRFLklRX01JTk9SSVRZX0lOVEVSRVNUX1RPVEFMLjIwMDAuNS81LzIwMTcuTEZSLkYuVVNELkgBAAAAaDFXAgMAAAAAANaMETgICdYIw4afbzQJ1ggiQ0lRLlhUUkE6TU9SLklRX0JFVEFfMVlSLjcvMzEvMjAxOAEAAADfEQIAAgAAABEwLjgwNDg4NTc1MTMxMjA0NgCcC9U4CAnWCNRfmG80CdYIP0NJUS5OQVNEQVFHTTpJTU1VLklRX05FVF9XT1JLSU5HX0NBUC4xOTkyLjcvMzEvMjAxOC5MRlIuRi5VU0QuSAEAAAAgQwQAAgAAAAotMTAuOTM2ODcxAQgAAAAFAAAAATEBAAAACjE4NDExNzEyMjQDAAAAAzE2MAIAAAAEMTMx</t>
  </si>
  <si>
    <t>MQQAAAABMAcAAAAJNy8zMS8yMDE4CAAAAAkzLzMxLzIwMTYJAAAAATCcC9U4CAnWCNRfmG80CdYIP0NJUS5OQVNEQVFHTTpDUklTLklRX05FVF9XT1JLSU5HX0NBUC4yMDAwLjcvMzEvMjAxOC5MRlIuRi5VU0QuSAEAAAAXagAAAgAAAAYtMy43MDIBCAAAAAUAAAABMQEAAAAKMTg4NjI0NzQyMAMAAAADMTYwAgAAAAQxMzExBAAAAAEwBwAAAAk3LzMxLzIwMTgIAAAACTMvMzEvMjAxOAkAAAABMMgwsjcICdYI3UukbzQJ1ggzQ0lRLk5BU0RBUUdTOkJHTkUuSVFfVE9UQUxfRVFVSVRZLjE5OTYuLkxGUi5GLlVTRC5IAQAAAODk3QYCAAAABzI3MC4xNzIBCAAAAAUAAAABMQEAAAAKMTg5OTkwMDYxOAMAAAADMTYwAgAAAAQxMjc1BAAAAAEwBwAAAAk4LzIzLzIwMTgIAAAACTYvMzAvMjAxNwkAAAABMJwL1TgICdYInAvVOAgJ1ggkQ0lRLk5BU0RBUUdNOkFSUlkuSVFfRUZGRUNUX1RBWF9SQVRFAQAAAPhhAAADAAAAAk5NAQgAAAAFAAAAATEBAAAACjE5MDA1MjQ0MjkDAAAAAzE2MAIAAAAENDM3NgQAAAABMAcAAAAJOC8yMy8yMDE4CAAAAAk2LzMwLzIwMTgJAAAAATCcC9U4CAnWCCTCmm80CdYIOUNJUS5OQVNEQVFHTTpJTU1VLklRX1RPVEFMX1JFVi4xOTk2LjcvMzEvMjAxOC5MRlIuRi5VU0QuSAEAAAAgQwQAAgAAAAgzLjM4MTYwMQEIAAAABQAAAAExAQAAAAoxODg4NTIzMzkyAwAAAAMxNjACAAAAAjI4</t>
  </si>
  <si>
    <t>BAAAAAEwBwAAAAk3LzMxLzIwMTgIAAAACTMvMzEvMjAxNwkAAAABMJwL1TgICdYI1F+YbzQJ1ggiQ0lRLklRVFI0MDk5NTE4ODYuSVFfVFJfVEFSR0VUTkFNRQEAAACOXm8YAwAAABhWaXJ0dHUgQmlvbG9naWNzIExpbWl0ZWQADG0QDjUJ1gjA24IONQnWCEZDSVEuTkFTREFRR1M6S1VSQS5JUV9UT1RBTF9SRVZfMllSX0FOTl9DQUdSLjIwMDAuNy8zMS8yMDE4LkxGUi5GLlVTRC5IAQAAALjL2hADAAAAAADWjBE4CAnWCHMknW80CdYIKkNJUS5JUVRSNTUwMjU5Mzk3LklRX1RSX1RBUkdFVF9FQklULi5VU0QuSAEAAADFSswgAgAAAAgtNDQzLjc3NgEGAAAABQAAAAIzNwEAAAAKMTg3NjU2NTUyOAIAAAAFMjE2NzUDAAAAAzE2MAQAAAABMAcAAAAIMS8xLzE5MDAMbRAONQnWCHd5gA41CdYIJ0NJUS5OQVNEQVFHUzpNR05YLklRX0JFVEFfMllSLjcvMTYvMjAxOAEAAABPKwkAAgAAABAxLjUxMzY0MzcxMjY4MDc2AMT/GxE1CdYIwptiEjUJ1gg5Q0lRLk5BU0RBUUdTOktVUkEuSVFfVE9UQUxfUkVWLjE5OTIuNy8zMS8yMDE4LkxGUi5GLlVTRC5IAQAAALjL2hADAAAAAADWjBE4CAnWCHMknW80CdYIKENJUS5OQVNEQVFHUzpGUFJYLklRX1RFVi43LzE2LzIwMTguVVNELkgBAAAAN10zAAIAAAAKMjE4LjI4NjMyOAEGAAAABQAAAAExAQAAAAoxODg3NDAyMTYwAwAAAAMxNjACAAAABjEwMDA2MAQAAAABMAcA</t>
  </si>
  <si>
    <t>AAAJNy8xNi8yMDE4KRyUEDUJ1ghzOWASNQnWCDxDSVEuTkFTREFRR1M6RlBSWC5JUV9FQklUREFfRVNULkNZMjAxOS43LzE2LzIwMTguQ09OLkYuVVNELkgBAAAAN10zAAIAAAAILTE0My42NDcBDgAAAAUAAAACMTEBAAAAATACAAAACjEwMDE5NTYzNDkDAAAABjEwMDE4NwQAAAABMgYAAAABMAcAAAADMTYwCAAAAAEwCQAAAAExCgAAAAEwCwAAAAsxMDkyNzk4MDU0NwwAAAABNw0AAAAJNy8xNy8yMDE4EAAAAAk3LzE2LzIwMTgpHJQQNQnWCHM5YBI1CdYIRkNJUS5OQVNEQVFHTTpBUlJZLklRX1RPVEFMX1JFVl8zWVJfQU5OX0NBR1IuMjAwMC43LzMxLzIwMTguTEZSLkYuVVNELkgBAAAA+GEAAAIAAAAHMjQuMjY0MwEIAAAABQAAAAExAQAAAAoxODg4NDcwNjc2AwAAAAMxNjACAAAABDQyMjAEAAAAATAHAAAACTcvMzEvMjAxOAgAAAAJMy8zMS8yMDE4CQAAAAEwnAvVOAgJ1ggkwppvNAnWCD9DSVEuTkFTREFRR006QVJRTC5JUV9ORVRfV09SS0lOR19DQVAuMTk5Mi43LzMxLzIwMTguTEZSLkYuVVNELkgBAAAA9mEAAAIAAAAGLTguMDEzAQgAAAAFAAAAATEBAAAACjE4NDE5OTI1NjkDAAAAAzE2MAIAAAAEMTMxMQQAAAABMAcAAAAJNy8zMS8yMDE4CAAAAAkzLzMxLzIwMTYJAAAAATDWjBE4CAnWCHMknW80CdYIPENJUS5OQVNEQVFHUzpHVEhYLklRX0VCSVREQV9FU1QuQ1kyMDIwLjcvMzEvMjAxOC5D</t>
  </si>
  <si>
    <t>T04uRi5VU0QuSAEAAABlNGkIAgAAAAotMTQ5Ljg1MTYxAQ4AAAAFAAAAAjExAQAAAAEwAgAAAAoxMDAzNzUyODI5AwAAAAYxMDAxODcEAAAAATIGAAAAATAHAAAAAzE2MAgAAAABMAkAAAABMQoAAAABMAsAAAALMTA4Nzg2MTg1MjkMAAAAATcNAAAACDgvMS8yMDE4EAAAAAk3LzMxLzIwMTicC9U4CAnWCCTCmm80CdYIQkNJUS4oSU5WQUxJRCBJREVOVElGSUVSKS5JUV9UT1RBTF9SRVYuQ1kyMDE2LjcvMTYvMjAxOC5MRlIuRi5VU0QuSAUAAAAAAAAACAAAABQoSW52YWxpZCBJZGVudGlmaWVyKd6nfhA1CdYImBJZEjUJ1gg5Q0lRLk5BU0RBUUdTOktVUkEuSVFfTklfTUFSR0lOLjIwMDAuNy8zMS8yMDE4LkxGUi5GLlVTRC5IAQAAALjL2hADAAAAAADWjBE4CAnWCHMknW80CdYIPkNJUS5OQVNEQVFHUzpCR05FLklRX1RPVEFMX0VRVUlUWS5DWTIwMTYuNy8xNi8yMDE4LkxGUi5GLlVTRC5IAQAAAODk3QYCAAAABzM1Mi45MDcBCAAAAAUAAAABMQEAAAAKMTg3NjM1NzQzNgMAAAADMTYwAgAAAAQxMjc1BAAAAAEwBwAAAAk3LzE2LzIwMTgIAAAACjEyLzMxLzIwMTYJAAAAATDE/xsRNQnWCGhgZxI1CdYIRkNJUS5OQVNEQVFHTTpDUklTLklRX1RPVEFMX1JFVl8zWVJfQU5OX0NBR1IuMjAwMC43LzMxLzIwMTguTEZSLkYuVVNELkgBAAAAF2oAAAIAAAAGMC4wNTgxAQgAAAAFAAAAATEBAAAACjE4ODYyNDc0</t>
  </si>
  <si>
    <t>MjADAAAAAzE2MAIAAAAENDIyMAQAAAABMAcAAAAJNy8zMS8yMDE4CAAAAAkzLzMxLzIwMTgJAAAAATDIMLI3CAnWCN1LpG80CdYIL0NJUS5JUVRSMzEyMTIyNTA0LklRX1RSX1RBUkdFVF9UT1RBTF9SRVYuLlVTRC5IAQAAAIicmhICAAAABTYuNTU1AFjPEg41CdYIwNuCDjUJ1gg3Q0lRLlhUUkE6TU9SLklRX0VBUk5JTkdfQ08uQ1kyMDE3LjcvMzEvMjAxOC5MRlIuRi5VU0QuSAEAAADfEQIAAgAAAAotODMuODQ1NDI0AQgAAAAFAAAAATEBAAAACjE4NzgzMjMxNTcDAAAAAzE2MAIAAAABNwQAAAABMAcAAAAJNy8zMS8yMDE4CAAAAAoxMi8zMS8yMDE3CQAAAAEwnAvVOAgJ1gjUX5hvNAnWCClDSVEuSVFUUjQwODI5MTM5NS5JUV9UUl9JTVBMSUVEX0VRX05JX0xUTQEAAABDCFYYAwAAAAJOTQBYzxIONQnWCMDbgg41CdYINENJUS5YVFJBOk1PUi5JUV9UT1RBTF9SRVYuMjAwMC43LzMxLzIwMTguTEZSLkYuVVNELkgBAAAA3xECAAIAAAAJNzEuMTQ2NDUyAQgAAAAFAAAAATEBAAAACjE4ODYxNTE2NDgDAAAAAzE2MAIAAAACMjgEAAAAATAHAAAACTcvMzEvMjAxOAgAAAAJMy8zMS8yMDE4CQAAAAEwnAvVOAgJ1gjUX5hvNAnWCCJDSVEuSVFUUjQyNDM0MjA0Ni5JUV9UUl9UQVJHRVROQU1FAQAAAB7yShkDAAAAEkFnYWxpbW11bmUgTGltaXRlZAAMbRAONQnWCMDbgg41CdYIPkNJUS5OQVNEQVFHUzpTR0VO</t>
  </si>
  <si>
    <t>LklRX1RPVEFMX0VRVUlUWS5DWTIwMTcuNy8xNi8yMDE4LkxGUi5GLlVTRC5IAQAAAGGFAAACAAAABzY3Ny41NjkBCAAAAAUAAAABMQEAAAAKMTg3NDY5NjIyMAMAAAADMTYwAgAAAAQxMjc1BAAAAAEwBwAAAAk3LzE2LzIwMTgIAAAACjEyLzMxLzIwMTcJAAAAATDE/xsRNQnWCGhgZxI1CdYIJ0NJUS5OQVNEQVFHTTpMUFRYLklRX0JFVEFfNVlSLjcvMTYvMjAxOAEAAAAMNgkHAwAAAAAAKRyUEDUJ1ggw110SNQnWCENDSVEuTkFTREFRR1M6QkdORS5JUV9FQklUREFfMllSX0FOTl9DQUdSLjIwMDAuNy8zMS8yMDE4LkxGUi5GLlVTRC5IAQAAAODk3QYDAAAAAk5NAQgAAAAFAAAAATEBAAAACjE4ODc2ODg1ODgDAAAAAzE2MAIAAAAENDIwOQQAAAABMAcAAAAJNy8zMS8yMDE4CAAAAAkzLzMxLzIwMTgJAAAAATCcC9U4CAnWCNRfmG80CdYIL0NJUS5JUVRSNTQ4MzM4MDIwLklRX1RSX0lNUExJRURfRVZfRklOQUwuLlVTRC5IAQAAAGT5riACAAAAAzEyOQEGAAAABQAAAAI1NAEAAAAGMTAyMDQ1AgAAAAk1NDgzMzgwMjADAAAACTU0ODM0MDk4NQQAAAADMTYwBgAAAAVGYWxzZQxtEA41CdYIwNuCDjUJ1ggZQ0lRLjAuSVFfVFJfTUFKX01JTl9TVEFLRQUAAAAAAAAACAAAABgoSW52YWxpZCBUcmFuc2FjdGlvbiBJZClJU0dvNAnWCAfi8IE0CdYIPENJUS5OQVNEQVFHTTpDUklTLklRX0VBUk5JTkdfQ08uQ1ky</t>
  </si>
  <si>
    <t>MDE3LjcvMzEvMjAxOC5MRlIuRi5VU0QuSAEAAAAXagAAAgAAAActNTMuMzE3AQgAAAAFAAAAATEBAAAACjE4NzgwMTE2NTcDAAAAAzE2MAIAAAABNwQAAAABMAcAAAAJNy8zMS8yMDE4CAAAAAoxMi8zMS8yMDE3CQAAAAEwyDCyNwgJ1gjdS6RvNAnWCEZDSVEuTkFTREFRR006SU1NVS5JUV9UT1RBTF9SRVZfNVlSX0FOTl9DQUdSLjIwMDAuNy8zMS8yMDE4LkxGUi5GLlVTRC5IAQAAACBDBAACAAAACC0xMS45NzI2AQgAAAAFAAAAATEBAAAACjE4ODg1MjMzODQDAAAAAzE2MAIAAAAENDIzMwQAAAABMAcAAAAJNy8zMS8yMDE4CAAAAAkzLzMxLzIwMTgJAAAAATCcC9U4CAnWCNRfmG80CdYIMkNJUS5OQVNEQVFHTTpOTE5LLklRX0VCSVREQS4uNy8xNi8yMDE4LkxGUi5GLlVTRC5IAQAAAJV7jAACAAAABy02Ny4zMDgBCAAAAAUAAAABMQEAAAAKMTg4ODM1NDIwNwMAAAADMTYwAgAAAAQ0MDUxBAAAAAEwBwAAAAk3LzE2LzIwMTgIAAAACTMvMzEvMjAxOAkAAAABMCkclBA1CdYI5HRbEjUJ1gg8Q0lRLk5BU0RBUUdNOkNSVlMuSVFfRUFSTklOR19DTy5DWTIwMTcuNy8zMS8yMDE4LkxGUi5GLlVTRC5IAQAAAPSwphACAAAABy01NS42NjMBCAAAAAUAAAABMQEAAAAKMTg3NzIyMDgwNQMAAAADMTYwAgAAAAE3BAAAAAEwBwAAAAk3LzMxLzIwMTgIAAAACjEyLzMxLzIwMTcJAAAAATDWjBE4CAnWCBnpoW80CdYI</t>
  </si>
  <si>
    <t>IUNJUS5JUVRSNDA3NzYwNjkyLklRX1RSX0JVWUVSTkFNRQEAAAA0700YAwAAABRBc3RlbGxhcyBQaGFybWEgSW5jLgAMbRAONQnWCAw+hQ41CdYIPENJUS5OQVNEQVFHTTpJTU1VLklRX0VBUk5JTkdfQ08uQ1kyMDE2LjcvMTYvMjAxOC5MRlIuRi5VU0QuSAEAAAAgQwQAAgAAAAotNzAuNjI0MTExAQgAAAAFAAAAATEBAAAACjE4NzM0OTM0OTEDAAAAAzE2MAIAAAABNwQAAAABMAcAAAAJNy8xNi8yMDE4CAAAAAoxMi8zMS8yMDE2CQAAAAEwxP8bETUJ1ggS/mQSNQnWCC1DSVEuT1RDUEs6TUJWWC5JUV9MQVNUU0FMRVBSSUNFLjcvMTYvMjAxOC5VU0QBAAAA2ESLAgIAAAAFMC44MzUA3qd+EDUJ1giYElkSNQnWCD5DSVEuTkFTREFRR006QUZNRC5JUV9UT1RBTF9FUVVJVFkuQ1kyMDE3LjcvMTYvMjAxOC5MRlIuRi5VU0QuSAEAAADb9wwAAgAAAAkzNy45MTkwNjgBCAAAAAUAAAABMQEAAAAKMTg3OTE0NzY5NgMAAAADMTYwAgAAAAQxMjc1BAAAAAEwBwAAAAk3LzE2LzIwMTgIAAAACjEyLzMxLzIwMTcJAAAAATApHJQQNQnWCDDXXRI1CdYII0NJUS5OQVNEQVFHUzpOSy5JUV9GSVJTVFBSSUNJTkdEQVRFAQAAAA19oQ8FAAAACTcvMjgvMjAxNQDWjBE4CAnWCIjN/IE0CdYIQ0NJUS5OQVNEQVFHTTpBRk1ELklRX01JTk9SSVRZX0lOVEVSRVNUX1RPVEFMLi43LzE2LzIwMTguTEZSLkYuVVNELkgBAAAA2/cM</t>
  </si>
  <si>
    <t>AAMAAAAAACkclBA1CdYIMNddEjUJ1gg2Q0lRLk5BU0RBUUdTOkZQUlguSVFfVE9UQUxfREVCVC4uNy8xNi8yMDE4LkxGUi5GLlVTRC5IAQAAADddMwACAAAAATABCAAAAAUAAAABMQEAAAAKMTg4NzQwMjIyNwMAAAADMTYwAgAAAAQ0MTczBAAAAAEwBwAAAAk3LzE2LzIwMTgIAAAACTMvMzEvMjAxOAkAAAABMCkclBA1CdYIczlgEjUJ1ghAQ0lRLkVOWFRQQTpJUEguSVFfTUlOT1JJVFlfSU5URVJFU1RfVE9UQUwuLjcvMTYvMjAxOC5MRlIuRi5VU0QuSAEAAACZgAYAAwAAAAAAKRyUEDUJ1ghzOWASNQnWCDpDSVEuTkFTREFRQ006U1JORS5JUV9QUkVGX0VRVUlUWS4yMDAwLjUvNS8yMDE3LkxGUi5GLlVTRC5IAQAAAElDlAMDAAAAAADWjBE4CAnWCHMknW80CdYIK0NJUS5OQVNEQVFHUzpUU1JPLklRX0xBU1RTQUxFUFJJQ0UuNS81LzIwMTcBAAAAaNZYBgIAAAAGMTQ1LjEzAJwL1TgICdYIJMKabzQJ1gg6Q0lRLk5BU0RBUUdNOlhOQ1IuSVFfQ0FTSF9TVF9JTlZFU1QuLjkvMTUvMjAxNy5MRlIuRi5VU0QuSAEAAACmWgsAAgAAAAcxODguNDg5AQgAAAAFAAAAATEBAAAACjE4NTIyNDIzOTADAAAAAzE2MAIAAAAEMTAwMgQAAAABMAcAAAAJOS8xNS8yMDE3CAAAAAk2LzMwLzIwMTcJAAAAATDE/xsRNQnWCBL+ZBI1CdYIPkNJUS5OQVNEQVFDTTpNVEVNLklRX1RPVEFMX0VRVUlUWS5DWTIwMTYuNy8zMS8y</t>
  </si>
  <si>
    <t>MDE4LkxGUi5GLlVTRC5IAQAAAJmbqQECAAAABy0xMy44ODUBCAAAAAUAAAABMQEAAAAKMTg4MTExODc0NAMAAAADMTYwAgAAAAQxMjc1BAAAAAEwBwAAAAk3LzMxLzIwMTgIAAAACjEyLzMxLzIwMTYJAAAAATDIMLI3CAnWCBnpoW80CdYIPUNJUS5OQVNEQVFHUzpBTkFCLklRX1JFVkVOVUVfRVNULkNZMjAxOS43LzE2LzIwMTguQ09OLkYuVVNELkgBAAAAIUyyAQIAAAAEMjMuMgEOAAAABQAAAAIxMQEAAAABMAIAAAAKMTAwMzYyOTM3OQMAAAAGMTAwMTgwBAAAAAEyBgAAAAEwBwAAAAMxNjAIAAAAATAJAAAAATEKAAAAATALAAAACzEwODg3NTEzMzcyDAAAAAE3DQAAAAk3LzE3LzIwMTgQAAAACTcvMTYvMjAxOMT/GxE1CdYIwptiEjUJ1gg9Q0lRLk5BU0RBUUdNOk5MTksuSVFfUkVWRU5VRV9FU1QuQ1kyMDIxLjcvMTYvMjAxOC5DT04uRi5VU0QuSAEAAACVe4wAAgAAAAE4AQ4AAAAFAAAAAjExAQAAAAEwAgAAAAoxMDAxNDI2MDc4AwAAAAYxMDAxODAEAAAAATIGAAAAATAHAAAAAzE2MAgAAAABMAkAAAABMQoAAAABMAsAAAALMTA5NDk2NDIyMDQMAAAAATcNAAAACTcvMTcvMjAxOBAAAAAJNy8xNi8yMDE4KRyUEDUJ1gjkdFsSNQnWCDdDSVEuTkFTREFRR006QUZNRC5JUV9FQklUX01BUkdJTi4uNy8xNi8yMDE4LkxGUi5GLlVTRC5IAQAAANv3DAADAAAAAk5NAQgAAAAFAAAAATEBAAAACjE4ODk4NjYw</t>
  </si>
  <si>
    <t>NDkDAAAAAjUwAgAAAAQ0MDUzBAAAAAEwBwAAAAk3LzE2LzIwMTgIAAAACTMvMzEvMjAxOAkAAAABMCkclBA1CdYIMNddEjUJ1ggmQ0lRLk9UQ1BLOk5XQk8uSVFfQlVTSU5FU1NfREVTQ1JJUFRJT04BAAAAo3oUAAMAAACABU5vcnRod2VzdCBCaW90aGVyYXBldXRpY3MsIEluYy4sIGEgYmlvdGVjaG5vbG9neSBjb21wYW55LCBkaXNjb3ZlcnMgYW5kIGRldmVsb3BzIHBlcnNvbmFsaXplZCBpbW11bmUgdGhlcmFwaWVzIGZvciBjYW5jZXIgaW4gdGhlIFVuaXRlZCBTdGF0ZXMgYW5kIGludGVybmF0aW9uYWxseS4gVGhlIGNvbXBhbnkgZGV2ZWxvcHMgaXRzIHByb2R1Y3RzIGJhc2VkIG9uIERDVmF4LCBhIHBsYXRmb3JtIHRlY2hub2xvZ3kgdGhhdCB1c2VzIGFjdGl2YXRlZCBkZW5kcml0aWMgY2VsbHMgdG8gbW9iaWxpemUgYSBwYXRpZW504oCZcyBvd24gaW1tdW5lIHN5c3RlbSB0byBhdHRhY2sgY2FuY2VyLiBJdCBpcyBkZXZlbG9waW5nIERDVmF4LUwsIGEgcHJvZHVjdCBpbiBQaGFzZSBJSUkgY2xpbmljYWwgdHJpYWxzIHRvIHRyZWF0IEdsaW9ibGFzdG9tZSBtdWx0aWZvcm1lLCBhIGJyYWluIGNhbmNlcjsgYW5kIERDVmF4LURpcmVjdCwgYSBwcm9kdWN0IGluIFBoYXNlIEkvSUkgY2xpbmljYWwgdHJpYWxzIHRvIHRyZWF0IHZhcmlvdXMgdHlwZXMgb2YgaW5vcGVyYWJsZSBzb2xpZCB0dW1v</t>
  </si>
  <si>
    <t>ciBjYW5jZXJzLiBUaGUgY29tcGFueSB3YXMgZm91bmRlZCBpbiAxOTk2IGFuZCBpcyBoZWFkcXVhcnRlcmVkIGluIEJldGhlc2RhLCBNYXJ5bGFuZC4AKRyUEDUJ1ggw110SNQnWCDhDSVEuTkFTREFRR1M6TVJTTi5JUV9FQklUREEuQ1kyMDE2LjcvMTYvMjAxOC5MRlIuRi5VU0QuSAEAAADmxRgAAgAAAActMTMuMTY2AQgAAAAFAAAAATEBAAAACjE4ODA1NDczODMDAAAAAzE2MAIAAAAENDA1MQQAAAABMAcAAAAJNy8xNi8yMDE4CAAAAAoxMi8zMS8yMDE2CQAAAAEwxP8bETUJ1ghzOWASNQnWCENDSVEuTkFTREFRR006QVJRTC5JUV9FQklUREFfNVlSX0FOTl9DQUdSLjIwMDAuNy8zMS8yMDE4LkxGUi5GLlVTRC5IAQAAAPZhAAADAAAAAk5NAQgAAAAFAAAAATEBAAAACjE4ODg3ODg3NzADAAAAAzE2MAIAAAAENDIzNQQAAAABMAcAAAAJNy8zMS8yMDE4CAAAAAkzLzMxLzIwMTgJAAAAATDWjBE4CAnWCMOGn280CdYIQ0NJUS5OQVNEQVFHUzpCR05FLklRX0VCSVREQV8zWVJfQU5OX0NBR1IuMjAwMC43LzMxLzIwMTguTEZSLkYuVVNELkgBAAAA4OTdBgMAAAACTk0BCAAAAAUAAAABMQEAAAAKMTg4NzY4ODU4OAMAAAADMTYwAgAAAAQ0MjIyBAAAAAEwBwAAAAk3LzMxLzIwMTgIAAAACTMvMzEvMjAxOAkAAAABMJwL1TgICdYI1F+YbzQJ1gg8Q0lRLk5BU0RBUUdNOklNTVUuSVFfRUFSTklOR19DTy5DWTIw</t>
  </si>
  <si>
    <t>MTcuNy8xNi8yMDE4LkxGUi5GLlVTRC5IAQAAACBDBAACAAAACy0yMzMuODc4NjcyAQgAAAAFAAAAATEBAAAACjE4NzM0OTM1MjgDAAAAAzE2MAIAAAABNwQAAAABMAcAAAAJNy8xNi8yMDE4CAAAAAoxMi8zMS8yMDE3CQAAAAEwxP8bETUJ1ggS/mQSNQnWCDRDSVEuT1RDUEs6TUJWWC5JUV9FQklUX01BUkdJTi4uNy8xNi8yMDE4LkxGUi5GLlVTRC5IAQAAANhEiwIDAAAAAADep34QNQnWCJgSWRI1CdYIPUNJUS5BU1g6SU1VLklRX01JTk9SSVRZX0lOVEVSRVNUX1RPVEFMLi43LzE2LzIwMTguTEZSLkYuVVNELkgBAAAAmJOpAAMAAAAAACkclBA1CdYIMNddEjUJ1gg2Q0lRLk5BU0RBUUdTOktVUkEuSVFfRUJJVERBLjE5OTIuNy8zMS8yMDE4LkxGUi5GLlVTRC5IAQAAALjL2hACAAAABy0yNi4xOTIBCAAAAAUAAAABMQEAAAAKMTg0MjI4MDcxNwMAAAADMTYwAgAAAAQ0MDUxBAAAAAEwBwAAAAk3LzMxLzIwMTgIAAAACTMvMzEvMjAxNgkAAAABMNaMETgICdYIcySdbzQJ1ggjQ0lRLklRVFI0MTE4NzEwODIuSVFfVFJfVE9UQUxfU1RPQ0sBAAAAaqeMGAIAAAAAALKzSW80CdYINZuTbzQJ1ggxQ0lRLk5BU0RBUUdTOkJHTkUuSVFfRUFSTklOR19DTy4yMDAwLi5MRlIuRi5VU0QuSAEAAADg5N0GAgAAAAgtMjQ3LjM5NQEIAAAABQAAAAExAQAAAAoxODk5OTAwNjMxAwAAAAMxNjACAAAAATcEAAAAATAHAAAA</t>
  </si>
  <si>
    <t>CTgvMjMvMjAxOAgAAAAJNi8zMC8yMDE4CQAAAAEwnAvVOAgJ1gicC9U4CAnWCC1DSVEuTkFTREFRR1M6VFNSTy5JUV9ESVZJREVORF9ZSUVMRC43LzMxLzIwMTgBAAAAaNZYBgMAAAAAAJwL1TgICdYIJMKabzQJ1ggnQ0lRLk5BU0RBUUdTOlNHRU4uSVFfQkVUQV8yWVIuNy8xNi8yMDE4AQAAAGGFAAACAAAAEDEuNjg3MTkzNTkxNjIxNTgAxP8bETUJ1ghoYGcSNQnWCD5DSVEuTkFTREFRR1M6Sk5DRS5JUV9UT1RBTF9FUVVJVFkuQ1kyMDE2LjcvMTYvMjAxOC5MRlIuRi5VU0QuSAEAAADieZ4NAgAAAAU2OS45NQEIAAAABQAAAAExAQAAAAoxODc3NzE2NDkyAwAAAAMxNjACAAAABDEyNzUEAAAAATAHAAAACTcvMTYvMjAxOAgAAAAKMTIvMzEvMjAxNgkAAAABMN6nfhA1CdYImBJZEjUJ1ggXQ0lRLjAuSVFfVFJfQ0xPU0VEX0RBVEUFAAAAAAAAAAgAAAAYKEludmFsaWQgVHJhbnNhY3Rpb24gSWQpSVNHbzQJ1ggH4vCBNAnWCD1DSVEuTkFTREFRR1M6S1VSQS5JUV9SRVZFTlVFX0VTVC5DWTIwMjAuNy8zMS8yMDE4LkNPTi5GLlVTRC5IAQAAALjL2hACAAAABTM3Ny4zAQ4AAAAFAAAAAjExAQAAAAEwAgAAAAoxMDAzMTg0OTkxAwAAAAYxMDAxODAEAAAAATIGAAAAATAHAAAAAzE2MAgAAAABMAkAAAABMQoAAAABMAsAAAALMTEwMzMzODAzMjUMAAAAATcNAAAACDgvMS8yMDE4EAAAAAk3LzMxLzIwMTjWjBE4</t>
  </si>
  <si>
    <t>CAnWCHMknW80CdYIG0NJUS5OQVNEQVFHUzpOSy5JUV9FWENIQU5HRQEAAAANfaEPAwAAAAhOYXNkYXFHUwDWjBE4CAnWCEVr+oE0CdYIQ0NJUS5OQVNEQVFHUzpBVE5YLklRX0VCSVREQV8yWVJfQU5OX0NBR1IuMjAwMC43LzMxLzIwMTguTEZSLkYuVVNELkgBAAAA3JlrAQMAAAAAANaMETgICdYIJMKabzQJ1ggvQ0lRLklRVFI0MDM3OTE3NjcuSVFfVFJfSU1QTElFRF9FVl9GSU5BTC4uVVNELkgBAAAAl18RGAIAAAALMzA5Mi4xODIzODkBBgAAAAUAAAACNTQBAAAABjEwMjA0NQIAAAAJNDAzNzkxNzY3AwAAAAk0MDM3OTIxMDkEAAAAAzE2MAYAAAAFRmFsc2VYzxIONQnWCMDbgg41CdYIKUNJUS5JUTM2MTgzODE2LklRX0xBU1RTQUxFUFJJQ0UuNy8zMS8yMDE4AQAAAAgfKAICAAAABDIuMDMASVNHbzQJ1giB/ZVvNAnWCEZDSVEuTkFTREFRQ006U1JORS5JUV9UT1RBTF9SRVZfM1lSX0FOTl9DQUdSLjIwMDAuNy8zMS8yMDE4LkxGUi5GLlVTRC5IAQAAAElDlAMCAAAACDI0Mi4xMzUyAQgAAAAFAAAAATEBAAAACjE4ODc5ODk4MzEDAAAAAzE2MAIAAAAENDIyMAQAAAABMAcAAAAJNy8zMS8yMDE4CAAAAAkzLzMxLzIwMTgJAAAAATDWjBE4CAnWCHMknW80CdYIOUNJUS5BU1g6SU1VLklRX0VCSVREQV8zWVJfQU5OX0NBR1IuLjcvMTYvMjAxOC5MRlIuRi5VU0QuSAEAAACYk6kAAwAAAAAAKRyUEDUJ1ggw</t>
  </si>
  <si>
    <t>110SNQnWCCJDSVEuSVFUUjUzMzM4NTc0NC5JUV9UUl9UT1RBTF9DQVNIAQAAABDSyh8CAAAAAzMwMAEGAAAABQAAAAI1NAEAAAAGMTAxMDU2AgAAAAk1MzMzODU3NDQDAAAACTUzMzM4NTgyNAQAAAADMTYwBgAAAAVGYWxzZQxtEA41CdYIwNuCDjUJ1gg4Q0lRLk5BU0RBUUdTOkZQUlguSVFfRUJJVERBLkNZMjAxNy43LzMxLzIwMTguTEZSLkYuVVNELkgBAAAAN10zAAIAAAAILTE0OC44ODkBCAAAAAUAAAABMQEAAAAKMTg3NjEzNTk5MQMAAAADMTYwAgAAAAQ0MDUxBAAAAAEwBwAAAAk3LzMxLzIwMTgIAAAACjEyLzMxLzIwMTcJAAAAATDWjBE4CAnWCBnpoW80CdYIIUNJUS5OQVNEQVFHUzpNUlNOLklRX0NPTVBBTllfTkFNRQEAAADmxRgAAwAAABpNZXJzYW5hIFRoZXJhcGV1dGljcywgSW5jLgDWjBE4CAnWCOOLkw41CdYIOUNJUS5OQVNEQVFHTTpJTU1VLklRX05JX01BUkdJTi4yMDAwLjcvMzEvMjAxOC5MRlIuRi5VU0QuSAEAAAAgQwQAAwAAAAJOTQEIAAAABQAAAAExAQAAAAoxODg4NTIzMzg0AwAAAAMxNjACAAAABDQwOTQEAAAAATAHAAAACTcvMzEvMjAxOAgAAAAJMy8zMS8yMDE4CQAAAAEwnAvVOAgJ1gjUX5hvNAnWCDxDSVEuTkFTREFRR1M6QkdORS5JUV9UT1RBTF9FUVVJVFkuMjAwMC43LzMxLzIwMTguTEZSLkYuVVNELkgBAAAA4OTdBgIAAAAIMTM1OC43MjIBCAAAAAUAAAABMQEAAAAK</t>
  </si>
  <si>
    <t>MTg4NzY4ODU4OAMAAAADMTYwAgAAAAQxMjc1BAAAAAEwBwAAAAk3LzMxLzIwMTgIAAAACTMvMzEvMjAxOAkAAAABMJwL1TgICdYIgf2VbzQJ1gg5Q0lRLk5BU0RBUUdTOlRTUk8uSVFfVE9UQUxfUkVWLjE5OTYuNy8zMS8yMDE4LkxGUi5GLlVTRC5IAQAAAGjWWAYCAAAABjYwLjc5MQEIAAAABQAAAAExAQAAAAoxODg2MzM3NDUxAwAAAAMxNjACAAAAAjI4BAAAAAEwBwAAAAk3LzMxLzIwMTgIAAAACTMvMzEvMjAxNwkAAAABMJwL1TgICdYIJMKabzQJ1ggpQ0lRLk5BU0RBUUdNOklNTVUuSVFfQlVTSU5FU1NfREVTQ1JJUFRJT04BAAAAIEMEAAMAAACODkltbXVub21lZGljcywgSW5jLiwgYSBjbGluaWNhbC1zdGFnZSBiaW9waGFybWFjZXV0aWNhbCBjb21wYW55LCBmb2N1c2VzIG9uIHRoZSBkZXZlbG9wbWVudCBvZiBtb25vY2xvbmFsIGFudGlib2R5LWJhc2VkIHByb2R1Y3RzIGZvciB0aGUgdGFyZ2V0ZWQgdHJlYXRtZW50IG9mIGNhbmNlciwgYXV0b2ltbXVuZSBkaXNvcmRlcnMsIGFuZCBvdGhlciBkaXNlYXNlcy4gVGhlIGNvbXBhbnkgZW5nYWdlcyBpbiBkZXZlbG9waW5nIGFudGlib2R5LWRydWcgY29uanVnYXRlIChBREMpIHByb2R1Y3RzIGNvbXByaXNpbmcgSU1NVS0xMzIsIGFuIEFEQyB0aGF0IGNvbnRhaW5zIFNOLTM4LCB3aGljaCBpcyBpbiBQaGFzZSBJSSB0cmlhbHMgdXNlZCBmb3Ig</t>
  </si>
  <si>
    <t>dGhlIHRyZWF0bWVudCBvZiBwYXRpZW50cyB3aXRoIG1ldGFzdGF0aWMgdHJpcGxlLW5lZ2F0aXZlIGJyZWFzdCBjYW5jZXIsIGFuZCBzbWFsbC1jZWxsIGFuZCBub24tc21hbGwtY2VsbCBsdW5nIGNhbmNlcnM7IElNTVUtMTMwLCBhbiBhbnRpLUNFQUNBTjUtU04tMzggQURDIHRoYXQgaXMgaW4gUGhhc2UgSUkgdHJpYWxzIGZvciB0aGUgdHJlYXRtZW50IG9mIHNvbGlkIHR1bW9ycyBhbmQgbWV0YXN0YXRpYyBjb2xvcmVjdGFsIGNhbmNlcjsgYW5kIElNTVUtMTQwIHRoYXQgdGFyZ2V0cyBITEEtRFIgZm9yIHRoZSBwb3RlbnRpYWwgdHJlYXRtZW50IG9mIGxpcXVpZCBjYW5jZXJzLiBJdCBhbHNvIGRldmVsb3BzIHByb2R1Y3RzIGZvciB0aGUgdHJlYXRtZW50IG9mIGNhbmNlciBhbmQgYXV0b2ltbXVuZSBkaXNlYXNlcywgaW5jbHVkaW5nIGVwcmF0dXp1bWFiLCBhbnRpLUNEMjIgYW50aWJvZHk7IHZlbHR1enVtYWIsIGFudGktQ0QyMCBhbnRpYm9keTsgbWlsYXR1enVtYWIsIGFudGktQ0Q3NCBhbnRpYm9keTsgYW5kIElNTVUtMTE0LCBhIGh1bWFuaXplZCBhbnRpLUhMQS1EUiBhbnRpYm9keS4gVGhlIGNvbXBhbnkgYWxzbyBwcm92aWRlcyBMZXVrb1NjYW4sIGEgZGlhZ25vc3RpYyBpbWFnaW5nIHByb2R1Y3QgdG8gZGV0ZXJtaW5lIHRoZSBsb2NhdGlvbiBhbmQgZXh0ZW50IG9mIGluZmVjdGlv</t>
  </si>
  <si>
    <t>bi9pbmZsYW1tYXRpb24gaW4gYm9uZS4gSW4gYWRkaXRpb24sIGl0IG9mZmVycyBvdGhlciBwcm9kdWN0IGNhbmRpZGF0ZXMgZm9yIHRoZSB0cmVhdG1lbnQgb2Ygc29saWQgdHVtb3JzIGFuZCBoZW1hdG9sb2dpYyBtYWxpZ25hbmNpZXMsIGFzIHdlbGwgYXMgb3RoZXIgZGlzZWFzZXMsIHdoaWNoIGFyZSBpbiB2YXJpb3VzIHN0YWdlcyBvZiBjbGluaWNhbCBhbmQgcHJlLWNsaW5pY2FsIGRldmVsb3BtZW50LiBUaGUgY29tcGFueSBoYXMgYSByZXNlYXJjaCBjb2xsYWJvcmF0aW9uIHdpdGggVGhlIEJheWVyIEdyb3VwIHRvIHN0dWR5IGVwcmF0dXp1bWFiIGFzIGEgdGhvcml1bS0yMjctbGFiZWxlZCBhbnRpYm9keTsgYSBjb2xsYWJvcmF0aW9uIGFncmVlbWVudCB3aXRoIFVuaXZlcnNpdHkgb2YgV2lzY29uc2luIENhcmJvbmUgQ2FuY2VyIENlbnRlciB0byBleHBhbmQgSU1NVS0xMzIgaW50byBwcm9zdGF0ZSBjYW5jZXI7IGFuZCBhIGNvbGxhYm9yYXRpb24gYWdyZWVtZW50IHdpdGggWWFsZSBDYW5jZXIgQ2VudGVyIHRvIGV2YWx1YXRlIGl0cyBBREMgcHJvZHVjdCBhcyBhIHNpbmdsZSBhZ2VudCBpbiB0d28gcGhhc2UgSUkgc3R1ZGllcyBpbiBwYXRpZW50cyB3aXRoIHBlcnNpc3RlbnQgb3IgcmVjdXJyZW50IGVuZG9tZXRyaWFsIGFuZCBjZXJ2aWNhbCBjYW5jZXJzLiBJbW11bm9tZWRpY3Ms</t>
  </si>
  <si>
    <t>IEluYy4gd2FzIGZvdW5kZWQgaW4gMTk4MiBhbmQgaXMgaGVhZHF1YXJ0ZXJlZCBpbiBNb3JyaXMgUGxhaW5zLCBOZXcgSmVyc2V5LgCcC9U4CAnWCA9ljA41CdYINUNJUS5OQVNEQVFHTTpDUlZTLklRX0NBUEVYLjE5OTYuNy8zMS8yMDE4LkxGUi5GLlVTRC5IAQAAAPSwphACAAAABi0xLjY5NgEIAAAABQAAAAExAQAAAAoxODg2MzY3NTc5AwAAAAMxNjACAAAABDIwMjEEAAAAATAHAAAACTcvMzEvMjAxOAgAAAAJMy8zMS8yMDE3CQAAAAEw1owROAgJ1ggZ6aFvNAnWCCVDSVEuTkFTREFRR1M6TUdOWC5JUV9GSVJTVFBSSUNJTkdEQVRFAQAAAE8rCQAFAAAACjEwLzEwLzIwMTMARp0ZETUJ1gjCm2ISNQnWCCpDSVEuSVFUUjU2MTYwNjM2NS5JUV9UUl9UQVJHRVRfRUJJVC4uVVNELkgBAAAA3W55IQIAAAAAALKzSW80CdYINZuTbzQJ1gglQ0lRLklRVFI1MzMzODU3NDQuSVFfVFJfSU1QTElFRF9FUV9CVgEAAAAQ0sofAgAAAAAADG0QDjUJ1gjA24IONQnWCDZDSVEuTkFTREFRQ006WklPUC5JUV9FQklUREEuMjAwMC43LzMxLzIwMTguTEZSLkYuVVNELkgBAAAAs1GyAAIAAAAHLTU1LjMxNwEIAAAABQAAAAExAQAAAAoxODg3OTcyMzU5AwAAAAMxNjACAAAABDQwNTEEAAAAATAHAAAACTcvMzEvMjAxOAgAAAAJMy8zMS8yMDE4CQAAAAEw1owROAgJ1gjDhp9vNAnWCD1DSVEuTkFTREFRR1M6QVROWC5JUV9F</t>
  </si>
  <si>
    <t>QklUREFfTUFSR0lOLjIwMDAuNy8zMS8yMDE4LkxGUi5GLlVTRC5IAQAAANyZawECAAAACS0xMTEuNzcxNwEIAAAABQAAAAExAQAAAAoxODg4NzAyOTgyAwAAAAMxNjACAAAABDQwNDcEAAAAATAHAAAACTcvMzEvMjAxOAgAAAAJMy8zMS8yMDE4CQAAAAEw1owROAgJ1ggkwppvNAnWCCVDSVEuSVFUUjQxMzk1MzY2MS5JUV9UUl9JTVBMSUVEX0VRX0JWAQAAAH1urBgDAAAAAk5NALKzSW80CdYIgf2VbzQJ1gg9Q0lRLk5BU0RBUUdNOkFSUlkuSVFfUkVWRU5VRV9FU1QuQ1kyMDE5LjcvMzEvMjAxOC5DT04uRi5VU0QuSAEAAAD4YQAAAgAAAAgyNzQuMzMyOAEOAAAABQAAAAIxMQEAAAABMAIAAAAJMjU4MzgwODk0AwAAAAYxMDAxODAEAAAAATIGAAAAATAHAAAAAzE2MAgAAAABMAkAAAABMQoAAAABMAsAAAALMTA5ODQwOTMyMzEMAAAAATcNAAAACDgvMS8yMDE4EAAAAAk3LzMxLzIwMTicC9U4CAnWCNRfmG80CdYIM0NJUS5OQVNEQVFHUzpBTkFCLklRX1BFUklPRERBVEVfSVMuLjcvMTYvMjAxOC5MRlIuRgEAAAAhTLIBBQAAAAkzLzMxLzIwMTgAxP8bETUJ1ggS/mQSNQnWCCNDSVEuSVFUUjQxMzk1MzY2MS5JUV9UUl9UT1RBTF9TVE9DSwEAAAB9bqwYAgAAAAAAsrNJbzQJ1giB/ZVvNAnWCDhDSVEuTkFTREFRQ006QVZFTy5JUV9FQklUREEuQ1kyMDE3LjcvMTYvMjAxOC5MRlIuRi5VU0QuSAEAAAD0Fh0A</t>
  </si>
  <si>
    <t>AgAAAActMjYuNzA4AQgAAAAFAAAAATEBAAAACjE4NzgwODI2NTMDAAAAAzE2MAIAAAAENDA1MQQAAAABMAcAAAAJNy8xNi8yMDE4CAAAAAoxMi8zMS8yMDE3CQAAAAEwxP8bETUJ1gjCm2ISNQnWCDBDSVEuWFRSQTpNT1IuSVFfQ0FQRVguMjAwMC43LzMxLzIwMTguTEZSLkYuVVNELkgBAAAA3xECAAIAAAAJLTEuNTY2OTc5AQgAAAAFAAAAATEBAAAACjE4ODYxNTE2NDgDAAAAAzE2MAIAAAAEMjAyMQQAAAABMAcAAAAJNy8zMS8yMDE4CAAAAAkzLzMxLzIwMTgJAAAAATCcC9U4CAnWCNRfmG80CdYINUNJUS5OQVNEQVFHTTpDUlZTLklRX0NBUEVYLjE5OTIuNy8zMS8yMDE4LkxGUi5GLlVTRC5IAQAAAPSwphACAAAABi0yLjAzNwEIAAAABQAAAAExAQAAAAoxODQwMTE2MTU0AwAAAAMxNjACAAAABDIwMjEEAAAAATAHAAAACTcvMzEvMjAxOAgAAAAJMy8zMS8yMDE2CQAAAAEw1owROAgJ1ggZ6aFvNAnWCDVDSVEuTkFTREFRR006Q1JWUy5JUV9EQV9DRi4yMDAwLjcvMzEvMjAxOC5MRlIuRi5VU0QuSAEAAAD0sKYQAgAAAAUwLjg1NwEIAAAABQAAAAExAQAAAAoxODg2MzY3NTkxAwAAAAMxNjACAAAABDIxNjAEAAAAATAHAAAACTcvMzEvMjAxOAgAAAAJMy8zMS8yMDE4CQAAAAEw1owROAgJ1ggZ6aFvNAnWCDRDSVEuT1RDUEs6TUJWWC5JUV9QUkVGX0VRVUlUWS4uNy8xNi8yMDE4LkxGUi5GLlVTRC5IAQAA</t>
  </si>
  <si>
    <t>ANhEiwICAAAACDAuMDA5OTc4AQgAAAAFAAAAATEBAAAACjE4ODEyMTMyNDUDAAAAAzE2MAIAAAAEMTAwNQQAAAABMAcAAAAJNy8xNi8yMDE4CAAAAAoxMi8zMS8yMDE3CQAAAAEw3qd+EDUJ1giYElkSNQnWCDxDSVEuRU5YVFBBOklQSC5JUV9FQklUREFfMllSX0FOTl9DQUdSLi43LzE2LzIwMTguTEZSLkYuVVNELkgBAAAAmYAGAAMAAAACTk0BCAAAAAUAAAABMQEAAAAKMTg4OTU1MjE2NAMAAAACNTACAAAABDQyMDkEAAAAATAHAAAACTcvMTYvMjAxOAgAAAAKMTIvMzEvMjAxNwkAAAABMCkclBA1CdYIczlgEjUJ1gg9Q0lRLk5BU0RBUUdTOlRTUk8uSVFfRUJJVERBX01BUkdJTi4yMDAwLjcvMzEvMjAxOC5MRlIuRi5VU0QuSAEAAABo1lgGAgAAAAktMTc2Ljc3OTkBCAAAAAUAAAABMQEAAAAKMTg4NjMzNzQ2NgMAAAADMTYwAgAAAAQ0MDQ3BAAAAAEwBwAAAAk3LzMxLzIwMTgIAAAACTMvMzEvMjAxOAkAAAABMJwL1TgICdYIJMKabzQJ1ghDQ0lRLk5BU0RBUUdNOlhOQ1IuSVFfTUlOT1JJVFlfSU5URVJFU1RfVE9UQUwuLjkvMTUvMjAxNy5MRlIuRi5VU0QuSAEAAACmWgsAAwAAAAAAxP8bETUJ1ggS/mQSNQnWCCJDSVEuSVFUUjQwOTk1MTg4Ni5JUV9UUl9UT1RBTF9DQVNIAQAAAI5ebxgCAAAAAAAMbRAONQnWCMDbgg41CdYIMUNJUS5BU1g6SU1VLklRX1BSRUZfRVFVSVRZLi45LzE1LzIwMTcuTEZS</t>
  </si>
  <si>
    <t>LkYuVVNELkgBAAAAmJOpAAMAAAAAACkclBA1CdYIMNddEjUJ1gg3Q0lRLlhUUkE6TU9SLklRX0dST1NTX01BUkdJTi4yMDAwLjcvMzEvMjAxOC5MRlIuRi5VU0QuSAEAAADfEQIAAgAAAAMxMDABCAAAAAUAAAABMQEAAAAKMTg4NjE1MTY0OAMAAAACNTACAAAABDQwNzQEAAAAATAHAAAACTcvMzEvMjAxOAgAAAAJMy8zMS8yMDE4CQAAAAEwnAvVOAgJ1gjUX5hvNAnWCENDSVEuTkFTREFRQ006TVRFTS5JUV9FQklUREFfNVlSX0FOTl9DQUdSLjIwMDAuNy8zMS8yMDE4LkxGUi5GLlVTRC5IAQAAAJmbqQEDAAAAAADIMLI3CAnWCN1LpG80CdYINkNJUS5OQVNEQVFDTTpBVkVPLklRX0VBUk5JTkdfQ08uLjcvMTYvMjAxOC5MRlIuRi5VU0QuSAEAAAD0Fh0AAgAAAActNjUuMTczAQgAAAAFAAAAATEBAAAACjE4ODcyMzQyOTUDAAAAAzE2MAIAAAABNwQAAAABMAcAAAAJNy8xNi8yMDE4CAAAAAkzLzMxLzIwMTgJAAAAATDE/xsRNQnWCMKbYhI1CdYINUNJUS5YVFJBOk1PUi5JUV9FQVJOSU5HX0NPLjE5OTIuNy8zMS8yMDE4LkxGUi5GLlVTRC5IAQAAAN8RAgACAAAACi0zNy43NjY0NDgBCAAAAAUAAAABMQEAAAAKMTgzOTk0MDY5MAMAAAADMTYwAgAAAAE3BAAAAAEwBwAAAAk3LzMxLzIwMTgIAAAACTMvMzEvMjAxNgkAAAABMJwL1TgICdYI1F+YbzQJ1gglQ0lRLklRVFIyNjM3MTg2NDcuSVFfVFJfSU1QTElF</t>
  </si>
  <si>
    <t>RF9FUV9CVgEAAAD3BrgPAgAAAAAAsrNJbzQJ1giB/ZVvNAnWCClDSVEuT1RDUEs6TUJWWC5JUV9MQVNUU0FMRVBSSUNFLjkvMTUvMjAxNwEAAADYRIsCAgAAAAgyLjEwMDAwMgDep34QNQnWCJgSWRI1CdYIPENJUS5OQVNEQVFDTTpaSU9QLklRX1RPVEFMX0VRVUlUWS4xOTkyLjcvMzEvMjAxOC5MRlIuRi5VU0QuSAEAAACzUbIAAgAAAAY3Ny44MTMBCAAAAAUAAAABMQEAAAAKMTgzOTM0MTA2NwMAAAADMTYwAgAAAAQxMjc1BAAAAAEwBwAAAAk3LzMxLzIwMTgIAAAACTMvMzEvMjAxNgkAAAABMNaMETgICdYIw4afbzQJ1gg4Q0lRLk5BU0RBUUdNOklNTVUuSVFfVE9UQUxfRVFVSVRZLi43LzE2LzIwMTguTEZSLkYuVVNELkgBAAAAIEMEAAIAAAAJNzEuODE5NDM2AQgAAAAFAAAAATEBAAAACjE4ODg1MjMzODQDAAAAAzE2MAIAAAAEMTI3NQQAAAABMAcAAAAJNy8xNi8yMDE4CAAAAAkzLzMxLzIwMTgJAAAAATDE/xsRNQnWCBL+ZBI1CdYIKUNJUS5OQVNEQVFHUzpFUFpNLklRX0JVU0lORVNTX0RFU0NSSVBUSU9OAQAAAAMmPQMDAAAAlAxFcGl6eW1lLCBJbmMuLCBhIGNsaW5pY2FsIHN0YWdlIGJpb3BoYXJtYWNldXRpY2FsIGNvbXBhbnksIGRpc2NvdmVycyBhbmQgZGV2ZWxvcHMgbm92ZWwgZXBpZ2VuZXRpYyBtZWRpY2luZXMgZm9yIHBhdGllbnRzIHdpdGggY2FuY2VyIGFuZCBvdGhlciBkaXNlYXNl</t>
  </si>
  <si>
    <t>cyBpbiB0aGUgVW5pdGVkIFN0YXRlcy4gSXRzIHByb2R1Y3QgY2FuZGlkYXRlcyBpbmNsdWRlIHRhemVtZXRvc3RhdCwgYW4gaW5oaWJpdG9yIG9mIHRoZSBFWkgyLCB3aGljaCBpcyBpbiBQaGFzZSBJSSBjbGluaWNhbCB0cmlhbCBmb3IgcGF0aWVudHMgd2l0aCByZWxhcHNlZCBvciByZWZyYWN0b3J5IG5vbi1ob2Rna2luIGx5bXBob21hIChOSEwpOyBQaGFzZSBJSSBjbGluaWNhbCB0cmlhbCBmb3IgcmVsYXBzZWQgb3IgcmVmcmFjdG9yeSBwYXRpZW50cyB3aXRoIG1lc290aGVsaW9tYTsgUGhhc2UgSSBkb3NlLWVzY2FsYXRpb24gYW5kIGV4cGFuc2lvbiBzdHVkeSBmb3IgY2hpbGRyZW4gd2l0aCBJTkkxLW5lZ2F0aXZlIHNvbGlkIHR1bW9yczsgUGhhc2UgSUkgY2xpbmljYWwgdHJpYWxzIGZvciBwYXRpZW50cyB3aXRoIHJlbGFwc2VkIG9yIHJlZnJhY3RvcnkgZGlmZnVzZSBsYXJnZSBCLWNlbGwgbHltcGhvbWEgKERMQkNMKTsgUGhhc2UgSWIvSUkgY2xpbmljYWwgdHJpYWwgaW4gZWxkZXJseSBwYXRpZW50cyB3aXRoIERMQkNMOyBhbmQgUGhhc2UgSUkgY2xpbmljYWwgdHJpYWwgZm9yIHJlbGFwc2VkIG9yIHJlZnJhY3RvcnkgcGF0aWVudHMgd2l0aCBtZXNvdGhlbGlvbWEgY2hhcmFjdGVyaXplZCBieSBCQVAxIGxvc3Mtb2YtZnVuY3Rpb24sOyBhbmQgUGhhc2UgSWIvSUkgY2xpbmljYWwg</t>
  </si>
  <si>
    <t>dHJpYWwgZm9yIHRoZSB0cmVhdG1lbnQgb2YgcGF0aWVudHMgd2l0aCByZWxhcHNlZCBvciByZWZyYWN0b3J5IG1ldGFzdGF0aWMgbm9uLXNtYWxsIGNlbGwgbHVuZyBjYW5jZXIsIGFzIHdlbGwgYXMgUGhhc2UgSUkgY2xpbmljYWwgdHJpYWwgaW4gYWR1bHQgcGF0aWVudHMgd2l0aCBvdmFyaWFuIGNhbmNlci4gVGhlIGNvbXBhbnkgaXMgYWxzbyBkZXZlbG9waW5nIGFkZGl0aW9uYWwgcHJvZ3JhbXMsIHN1Y2ggYXMgcGlub21ldG9zdGF0LCBhbiBpbnRyYXZlbm91c2x5IGFkbWluaXN0ZXJlZCBzbWFsbCBtb2xlY3VsZSBpbmhpYml0b3Igb2YgRE9UMUwgZm9yIHRoZSB0cmVhdG1lbnQgb2YgYWN1dGUgbGV1a2VtaWFzOyBhbmQgUFJNVDUgaW5oaWJpdG9yIHRoYXQgaXMgaW4gUGhhc2UgSSBjbGluaWNhbCB0cmlhbCBmb3IgcGF0aWVudHMgd2l0aCBzb2xpZCB0dW1vcnMgYW5kIE5ITC4gSXQgaGFzIGNvbGxhYm9yYXRpb24gYWdyZWVtZW50cyB3aXRoIENlbGdlbmUgQ29ycG9yYXRpb24sIEdlbmVudGVjaCBJbmMuLCBhbmQgR2xheG8gR3JvdXAgTGltaXRlZCwgYXMgd2VsbCBhcyB3aXRoIFJvY2hlIE1vbGVjdWxhciBTeXN0ZW1zLCBJbmMuLCBFaXNhaSBDby4gTHRkLiwgYW5kIEx5bXBob21hIFN0dWR5IEFzc29jaWF0aW9uLiBFcGl6eW1lLCBJbmMuIHdhcyBmb3VuZGVkIGluIDIwMDcgYW5kIGlz</t>
  </si>
  <si>
    <t>IGhlYWRxdWFydGVyZWQgaW4gQ2FtYnJpZGdlLCBNYXNzYWNodXNldHRzLgDWjBE4CAnWCHMknW80CdYIKUNJUS5OQVNEQVFHUzpTR0VOLklRX0VCSVREQS4uLkxGUi5GLlVTRC5IAQAAAGGFAAACAAAACC0xNjQuOTM1AQgAAAAFAAAAATEBAAAACjE4OTcyMzM1MTgDAAAAAzE2MAIAAAAENDA1MQQAAAABMAcAAAAJOC8yMy8yMDE4CAAAAAk2LzMwLzIwMTgJAAAAATBGnRkRNQnWCEadGRE1CdYIOUNJUS5OQVNEQVFDTTpNVEVNLklRX1RPVEFMX1JFVi4xOTkyLjcvMzEvMjAxOC5MRlIuRi5VU0QuSAEAAACZm6kBAwAAAAAAyDCyNwgJ1ggZ6aFvNAnWCD1DSVEuTkFTREFRR006QVJRTC5JUV9DQVNIX1NUX0lOVkVTVC4yMDAwLjUvNS8yMDE3LkxGUi5GLlVTRC5IAQAAAPZhAAACAAAABTM3LjU0AQgAAAAFAAAAATEBAAAACjE4NDE5OTI1MTIDAAAAAzE2MAIAAAAEMTAwMgQAAAABMAcAAAAINS81LzIwMTcIAAAACTMvMzEvMjAxNwkAAAABMNaMETgICdYIw4afbzQJ1ggiQ0lRLklRVFI0MDc3NjA2OTIuSVFfVFJfVE9UQUxfQ0FTSAEAAAA0700YAgAAAAo0NjEuMzUzNDQ5AQYAAAAFAAAAAjU0AQAAAAYxMDEwNTYCAAAACTQwNzc2MDY5MgMAAAAJNDA3Nzg1MzIwBAAAAAMxNjAGAAAABUZhbHNlDG0QDjUJ1ggMPoUONQnWCDZDSVEuTkFTREFRR1M6UEJZSS5JUV9UT1RBTF9ERUJULi45LzE1LzIwMTcuTEZSLkYu</t>
  </si>
  <si>
    <t>VVNELkgBAAAAAmqsBwIAAAABMAEIAAAABQAAAAExAQAAAAoxODUyOTk0MTc2AwAAAAMxNjACAAAABDQxNzMEAAAAATAHAAAACTkvMTUvMjAxNwgAAAAJNi8zMC8yMDE3CQAAAAEwxP8bETUJ1ggS/mQSNQnWCDhDSVEuTkFTREFRR006QUZNRC5JUV9HUk9TU19NQVJHSU4uLjcvMTYvMjAxOC5MRlIuRi5VU0QuSAEAAADb9wwAAgAAAAMxMDABCAAAAAUAAAABMQEAAAAKMTg4OTg2NjA0OQMAAAACNTACAAAABDQwNzQEAAAAATAHAAAACTcvMTYvMjAxOAgAAAAJMy8zMS8yMDE4CQAAAAEwKRyUEDUJ1ggw110SNQnWCDdDSVEuWFRSQTpNT1IuSVFfRUJJVERBX0VTVC5DWTIwMTkuNy8zMS8yMDE4LkNPTi5GLlVTRC5IAQAAAN8RAgACAAAAES05MS4wNDQ1NjQxMDE0NjM3AQ4AAAAFAAAAAjExAQAAAAEwAgAAAAoxMDAwODAyMDE1AwAAAAYxMDAxODcEAAAAATMGAAAAATAHAAAAAzE2MAgAAAABMAkAAAABMQoAAAABMAsAAAALMTEwMDEzMTUyNTQMAAAAATcNAAAACDgvMS8yMDE4EAAAAAk3LzMxLzIwMTicC9U4CAnWCNRfmG80CdYIO0NJUS5OQVNEQVFDTTpNVEVNLklRX0VCSVRfTUFSR0lOLjIwMDAuNy8zMS8yMDE4LkxGUi5GLlVTRC5IAQAAAJmbqQEDAAAAAk5NAQgAAAAFAAAAATEBAAAACjE4ODg3MzMwMDQDAAAAAzE2MAIAAAAENDA1MwQAAAABMAcAAAAJNy8zMS8yMDE4CAAAAAkzLzMxLzIwMTgJAAAAATDI</t>
  </si>
  <si>
    <t>MLI3CAnWCBnpoW80CdYIN0NJUS5OQVNEQVFHUzpOSy5JUV9UT1RBTF9ERUJULjIwMDAuNS81LzIwMTcuTEZSLkYuVVNELkgBAAAADX2hDwIAAAAEOC4yMQEIAAAABQAAAAExAQAAAAoxODMxOTg3OTM3AwAAAAMxNjACAAAABDQxNzMEAAAAATAHAAAACDUvNS8yMDE3CAAAAAoxMi8zMS8yMDE2CQAAAAEw1owROAgJ1ggZ6aFvNAnWCCJDSVEuSVFUUjU1MTE2NjI5Mi5JUV9UUl9QQ1RfU09VR0hUAQAAAFQh2iACAAAAAzEwMAEGAAAABQAAAAI1NAEAAAAGMTAxMDI0AgAAAAk1NTExNjYyOTIDAAAACTU1MTE3MzM3NQQAAAADMTYwBgAAAARUcnVlDG0QDjUJ1gjA24IONQnWCD1DSVEuTkFTREFRR1M6R1RIWC5JUV9FQklUREFfTUFSR0lOLjIwMDAuNy8zMS8yMDE4LkxGUi5GLlVTRC5IAQAAAGU0aQgDAAAAAACcC9U4CAnWCCTCmm80CdYIJUNJUS5JUVRSNDExODcxMDgyLklRX1BSSU1BUllfSU5EVVNUUlkBAAAAVKOvAwMAAAAPUGhhcm1hY2V1dGljYWxzALKzSW80CdYINZuTbzQJ1ggnQ0lRLk5BU0RBUUdTOk1SU04uSVFfQkVUQV8yWVIuNy8xNi8yMDE4AQAAAObFGAACAAAAETAuNjE2MDY5NzcwNjEzMjExACkclBA1CdYIczlgEjUJ1ggyQ0lRLi5JUV9ORVRfV09SS0lOR19DQVAuMTk5Mi43LzMxLzIwMTguTEZSLkYuVVNELkgFAAAAAQAAAAgAAAAUKEludmFsaWQgSWRlbnRpZmllcin1hDJHNAnWCPWEMkc0</t>
  </si>
  <si>
    <t>CdYIOkNJUS5OQVNEQVFHTTpOTE5LLklRX0NBU0hfU1RfSU5WRVNULi45LzE1LzIwMTcuTEZSLkYuVVNELkgBAAAAlXuMAAIAAAAHMTA3Ljc3NwEIAAAABQAAAAExAQAAAAoxODUxODk2OTUzAwAAAAMxNjACAAAABDEwMDIEAAAAATAHAAAACTkvMTUvMjAxNwgAAAAJNi8zMC8yMDE3CQAAAAEwKRyUEDUJ1gjkdFsSNQnWCDRDSVEuTkFTREFRR1M6U0dFTi5JUV9SRVZFTlVFX0VTVC5DWTIwMTkuLkNPTi5GLlVTRC5IAQAAAGGFAAACAAAACTg0My42NDE0NQEOAAAABQAAAAIxMQEAAAABMAIAAAAKMTAwMDEyNDcyNwMAAAAGMTAwMTgwBAAAAAEyBgAAAAEwBwAAAAMxNjAIAAAAATAJAAAAATEKAAAAATALAAAACzExMDUyMTUwNjM1DAAAAAE3DQAAAAk4LzI0LzIwMTgQAAAACTgvMjMvMjAxOMT/GxE1CdYIxP8bETUJ1gg+Q0lRLk5BU0RBUUdTOlRTUk8uSVFfVE9UQUxfRVFVSVRZLkNZMjAxNi43LzMxLzIwMTguTEZSLkYuVVNELkgBAAAAaNZYBgIAAAAHNjI4LjExOAEIAAAABQAAAAExAQAAAAoxODc3MjI2Mjg0AwAAAAMxNjACAAAABDEyNzUEAAAAATAHAAAACTcvMzEvMjAxOAgAAAAKMTIvMzEvMjAxNgkAAAABMJwL1TgICdYIJMKabzQJ1ggiQ0lRLklRVFI0MzE4NDE1ODEuSVFfVFJfVEFSR0VUTkFNRQEAAAAtYb0ZAwAAAB1UcnVlIE5vcnRoIFRoZXJhcGV1dGljcywgSW5jLgAMbRAONQnWCAw+hQ41CdYI</t>
  </si>
  <si>
    <t>J0NJUS5OQVNEQVFHTTpGQVRFLklRX0JFVEFfNVlSLjcvMzEvMjAxOAEAAABoMVcCAgAAAA8xLjU2NDMxMTIzNjI3ODUA1owROAgJ1gjDhp9vNAnWCC9DSVEuTkFTREFRR1M6U0dFTi5JUV9FQklUREEuQ1kyMDE2Li5MRlIuRi5VU0QuSAEAAABhhQAAAgAAAAgtMTI0LjY5MQEIAAAABQAAAAExAQAAAAoxODc0Njk2MTk2AwAAAAMxNjACAAAABDQwNTEEAAAAATAHAAAACTgvMjMvMjAxOAgAAAAKMTIvMzEvMjAxNgkAAAABMEadGRE1CdYIRp0ZETUJ1ggcQ0lRLi5JUV9UUl9JTVBMSUVEX0VRX05JX0xUTQUAAAAAAAAACAAAABQoSW52YWxpZCBJZGVudGlmaWVyKZwL1TgICdYId3mADjUJ1gg1Q0lRLk5BU0RBUUdTOkJHTkUuSVFfVE9UQUxfUkVWLi43LzE2LzIwMTguTEZSLkYuVVNELkgBAAAA4OTdBgIAAAAHMjcwLjkzMQEIAAAABQAAAAExAQAAAAoxODg3Njg4NTg4AwAAAAMxNjACAAAAAjI4BAAAAAEwBwAAAAk3LzE2LzIwMTgIAAAACTMvMzEvMjAxOAkAAAABMMT/GxE1CdYIaGBnEjUJ1gg3Q0lRLk5BU0RBUUNNOkFWRU8uSVFfUFJFRl9FUVVJVFkuLjcvMTYvMjAxOC5MRlIuRi5VU0QuSAEAAAD0Fh0AAwAAAAAAxP8bETUJ1gjCm2ISNQnWCDBDSVEuQVNYOklNVS5JUV9UT1RBTF9ERUJULi45LzE1LzIwMTcuTEZSLkYuVVNELkgBAAAAmJOpAAIAAAABMAEIAAAABQAAAAExAQAAAAoxODU2ODUxMjM4AwAA</t>
  </si>
  <si>
    <t>AAMxNjACAAAABDQxNzMEAAAAATAHAAAACTkvMTUvMjAxNwgAAAAJNi8zMC8yMDE3CQAAAAEwKRyUEDUJ1ggw110SNQnWCCBDSVEuT1RDUEs6TUJWWC5JUV9QRVJJT0REQVRFX0lTLgEAAADYRIsCBQAAAAoxMi8zMS8yMDE3AN6nfhA1CdYImBJZEjUJ1gg+Q0lRLk5BU0RBUUdTOkVQWk0uSVFfVE9UQUxfRVFVSVRZLkNZMjAxNy43LzMxLzIwMTguTEZSLkYuVVNELkgBAAAAAyY9AwIAAAAHMjM1LjM3MQEIAAAABQAAAAExAQAAAAoxODc4MDgxMDY0AwAAAAMxNjACAAAABDEyNzUEAAAAATAHAAAACTcvMzEvMjAxOAgAAAAKMTIvMzEvMjAxNwkAAAABMNaMETgICdYIcySdbzQJ1ghGQ0lRLk5BU0RBUUdNOkNSSVMuSVFfVE9UQUxfUkVWXzJZUl9BTk5fQ0FHUi4yMDAwLjcvMzEvMjAxOC5MRlIuRi5VU0QuSAEAAAAXagAAAgAAAAcxMy40OTU1AQgAAAAFAAAAATEBAAAACjE4ODYyNDc0MjADAAAAAzE2MAIAAAAENDIwNwQAAAABMAcAAAAJNy8zMS8yMDE4CAAAAAkzLzMxLzIwMTgJAAAAATDIMLI3CAnWCN1LpG80CdYIIkNJUS5JUVRSMzEyMTIyNTA0LklRX1RSX1BDVF9TT1VHSFQBAAAAiJyaEgIAAAADMTAwAFjPEg41CdYIwNuCDjUJ1ggoQ0lRLk5BU0RBUUdNOkFSUUwuSVFfVEVWLjcvMzEvMjAxOC5VU0QuSAEAAAD2YQAAAgAAAAo0ODEuMTM5MTI4AQYAAAAFAAAAATEBAAAACjE4ODg3ODc0NTIDAAAAAzE2</t>
  </si>
  <si>
    <t>MAIAAAAGMTAwMDYwBAAAAAEwBwAAAAk3LzMxLzIwMTjWjBE4CAnWCHMknW80CdYIPENJUS5OQVNEQVFHUzpDQUxBLklRX0VBUk5JTkdfQ08uQ1kyMDE2LjcvMTYvMjAxOC5MRlIuRi5VU0QuSAEAAAClJ4EGAgAAAActMzguMDA0AQgAAAAFAAAAATEBAAAACjE4Nzc5NTU2MDEDAAAAAzE2MAIAAAABNwQAAAABMAcAAAAJNy8xNi8yMDE4CAAAAAoxMi8zMS8yMDE2CQAAAAEwKRyUEDUJ1gjkdFsSNQnWCDVDSVEuQVNYOklNVS5JUV9UT1RBTF9SRVYuQ1kyMDE2LjcvMTYvMjAxOC5MRlIuRi5VU0QuSAEAAACYk6kAAgAAAAgxLjIyNzEzOQEIAAAABQAAAAExAQAAAAoxODc3MzA1ODczAwAAAAMxNjACAAAAAjI4BAAAAAEwBwAAAAk3LzE2LzIwMTgIAAAACjEyLzMxLzIwMTYJAAAAATApHJQQNQnWCDDXXRI1CdYIOkNJUS5OQVNEQVFHUzpOSy5JUV9UT1RBTF9FUVVJVFkuMTk5Mi43LzMxLzIwMTguTEZSLkYuVVNELkgBAAAADX2hDwIAAAAFMzQ0LjUBCAAAAAUAAAABMQEAAAAKMTg0MDc0MTg1NwMAAAADMTYwAgAAAAQxMjc1BAAAAAEwBwAAAAk3LzMxLzIwMTgIAAAACTMvMzEvMjAxNgkAAAABMNaMETgICdYIGemhbzQJ1gghQ0lRLk5BU0RBUUdNOkFSUlkuSVFfQ09NUEFOWV9OQU1FAQAAAPhhAAADAAAAFEFycmF5IEJpb1BoYXJtYSBJbmMuAJwL1TgICdYI1F+YbzQJ1ggWQ0lRLi5JUV9DT01QQU5ZX1RJQ0tF</t>
  </si>
  <si>
    <t>UgUAAAAAAAAACAAAABQoSW52YWxpZCBJZGVudGlmaWVyKQxtEA41CdYId3mADjUJ1ggnQ0lRLk5BU0RBUUdTOkFUTlguSVFfQkVUQV8xWVIuNy8zMS8yMDE4AQAAANyZawECAAAAETAuODkxMTY1MTQ4MTAzNjQ3ANaMETgICdYIJMKabzQJ1ggpQ0lRLklRVFI0MzE4NDE1ODEuSVFfVFJfSU1QTElFRF9FUV9OSV9MVE0BAAAALWG9GQIAAAAAAAxtEA41CdYIDD6FDjUJ1ggqQ0lRLklRVFI0MjI4ODc3MDEuSVFfVFJfVEFSR0VUX0VCSVQuLlVTRC5IAQAAABXBNBkCAAAACDAuNjg3MDM3AAxtEA41CdYIwNuCDjUJ1gg7Q0lRLk5BU0RBUUdNOkxQVFguSVFfVE9UQUxfUkVWLkNZMjAxNi43LzE2LzIwMTguTEZSLkYuVVNELkgBAAAADDYJBwMAAAAAACkclBA1CdYIMNddEjUJ1gglQ0lRLk5BU0RBUUdNOk5MTksuSVFfRklSU1RQUklDSU5HREFURQEAAACVe4wABQAAAAoxMS8xNC8yMDExACkclBA1CdYI5HRbEjUJ1ggpQ0lRLklRVFI1NDgzMzgwMjAuSVFfVFJfSU1QTElFRF9FUV9OSV9MVE0BAAAAZPmuIAIAAAAAAAxtEA41CdYIwNuCDjUJ1gg5Q0lRLk5BU0RBUUdTOkFUTlguSVFfVE9UQUxfREVCVC4yMDAwLjUvNS8yMDE3LkxGUi5GLlVTRC5IAQAAANyZawECAAAABjMzLjAxMgEIAAAABQAAAAExAQAAAAoxODQyNDkwMjgxAwAAAAMxNjACAAAABDQxNzMEAAAAATAHAAAACDUvNS8yMDE3CAAAAAoxMi8zMS8y</t>
  </si>
  <si>
    <t>MDE2CQAAAAEw1owROAgJ1ggkwppvNAnWCD5DSVEuTkFTREFRR1M6TUdOWC5JUV9UT1RBTF9FUVVJVFkuQ1kyMDE3LjcvMTYvMjAxOC5MRlIuRi5VU0QuSAEAAABPKwkAAgAAAAcyOTkuMjM4AQgAAAAFAAAAATEBAAAACjE4NzYxMzUxNzIDAAAAAzE2MAIAAAAEMTI3NQQAAAABMAcAAAAJNy8xNi8yMDE4CAAAAAoxMi8zMS8yMDE3CQAAAAEwxP8bETUJ1gjCm2ISNQnWCDpDSVEuTkFTREFRR1M6R1RIWC5JUV9QUkVGX0VRVUlUWS4yMDAwLjUvNS8yMDE3LkxGUi5GLlVTRC5IAQAAAGU0aQgCAAAACjExMi4wNDgxODEBCAAAAAUAAAABMQEAAAAKMTgzODE3NzQwMAMAAAADMTYwAgAAAAQxMDA1BAAAAAEwBwAAAAg1LzUvMjAxNwgAAAAJMy8zMS8yMDE3CQAAAAEw1owROAgJ1ggkwppvNAnWCDlDSVEuTkFTREFRR1M6QkdORS5JUV9OSV9NQVJHSU4uMjAwMC43LzMxLzIwMTguTEZSLkYuVVNELkgBAAAA4OTdBgIAAAAILTU0LjI4NjEBCAAAAAUAAAABMQEAAAAKMTg4NzY4ODU4OAMAAAADMTYwAgAAAAQ0MDk0BAAAAAEwBwAAAAk3LzMxLzIwMTgIAAAACTMvMzEvMjAxOAkAAAABMJwL1TgICdYIgf2VbzQJ1gg8Q0lRLkFTWDpJTVUuSVFfVE9UQUxfUkVWXzNZUl9BTk5fQ0FHUi4uNy8xNi8yMDE4LkxGUi5GLlVTRC5IAQAAAJiTqQACAAAABjMuNjU1NAEIAAAABQAAAAExAQAAAAoxODc3MzA1MzIwAwAAAAE5AgAA</t>
  </si>
  <si>
    <t>AAQ0MjIwBAAAAAEwBwAAAAk3LzE2LzIwMTgIAAAACjEyLzMxLzIwMTcJAAAAATApHJQQNQnWCDDXXRI1CdYIKUNJUS5JUVRSMzIxODY1Mjk3LklRX1RSX0lNUExJRURfRVFfTklfTFRNAQAAAFFGLxMCAAAAAABYzxIONQnWCAw+hQ41CdYINkNJUS5OQVNEQVFHTTpBUlFMLklRX0VCSVREQS4xOTkyLjcvMzEvMjAxOC5MRlIuRi5VU0QuSAEAAAD2YQAAAgAAAActMTQuMjExAQgAAAAFAAAAATEBAAAACjE4NDE5OTI1NjkDAAAAAzE2MAIAAAAENDA1MQQAAAABMAcAAAAJNy8zMS8yMDE4CAAAAAkzLzMxLzIwMTYJAAAAATDWjBE4CAnWCHMknW80CdYIP0NJUS5OQVNEQVFHUzpDQUxBLklRX0VCSVREQV8yWVJfQU5OX0NBR1IuLjcvMTYvMjAxOC5MRlIuRi5VU0QuSAEAAAClJ4EGAwAAAAJOTQEIAAAABQAAAAExAQAAAAoxODg3OTgwMzA1AwAAAAMxNjACAAAABDQyMDkEAAAAATAHAAAACTcvMTYvMjAxOAgAAAAJMy8zMS8yMDE4CQAAAAEwKRyUEDUJ1gjkdFsSNQnWCC5DSVEuSVFUUjI1Mzk1NDQ3My5JUV9UUl9UQVJHRVRfU1RPQ0tQUkVNSVVNXzFXAQAAAKkJIw8CAAAAAACys0lvNAnWCDWbk280CdYILENJUS5OQVNEQVFHUzpUU1JPLklRX0xBU1RTQUxFUFJJQ0UuOS8xNS8yMDE3AQAAAGjWWAYCAAAABjExNy4xNgBGnRkRNQnWCBL+ZBI1CdYIIkNJUS5JUVRSNDAzNzkxNzY3LklRX1RSX1RBUkdFVE5BTUUB</t>
  </si>
  <si>
    <t>AAAAl18RGAMAAAAJRW5nTWFiIEFHAFjPEg41CdYIwNuCDjUJ1gg2Q0lRLkFTWDpJTVUuSVFfRUJJVERBX0VTVC5DWTIwMTkuNy8xNi8yMDE4LkNPTi5GLlVTRC5IAQAAAJiTqQADAAAAAAApHJQQNQnWCDDXXRI1CdYIPUNJUS5OQVNEQVFHUzpGUFJYLklRX1JFVkVOVUVfRVNULkNZMjAxOS43LzE2LzIwMTguQ09OLkYuVVNELkgBAAAAN10zAAIAAAAINjAuNTAxNzgBDgAAAAUAAAACMTEBAAAAATACAAAACjEwMDE5NTYzNDkDAAAABjEwMDE4MAQAAAABMgYAAAABMAcAAAADMTYwCAAAAAEwCQAAAAExCgAAAAEwCwAAAAsxMDk0NTU3NTA1NAwAAAABNw0AAAAJNy8xNy8yMDE4EAAAAAk3LzE2LzIwMTgpHJQQNQnWCHM5YBI1CdYIPkNJUS5OQVNEQVFHUzpDQUxBLklRX1RPVEFMX0VRVUlUWS5DWTIwMTcuNy8xNi8yMDE4LkxGUi5GLlVTRC5IAQAAAKUngQYCAAAABzE1MC4zMDcBCAAAAAUAAAABMQEAAAAKMTg3Nzk1NTcwNwMAAAADMTYwAgAAAAQxMjc1BAAAAAEwBwAAAAk3LzE2LzIwMTgIAAAACjEyLzMxLzIwMTcJAAAAATApHJQQNQnWCOR0WxI1CdYINUNJUS5OQVNEQVFDTTpBVkVPLklRX05JX01BUkdJTi4uNy8xNi8yMDE4LkxGUi5GLlVTRC5IAQAAAPQWHQADAAAAAk5NAQgAAAAFAAAAATEBAAAACjE4ODcyMzQyOTUDAAAAAzE2MAIAAAAENDA5NAQAAAABMAcAAAAJNy8xNi8yMDE4CAAAAAkzLzMxLzIw</t>
  </si>
  <si>
    <t>MTgJAAAAATDE/xsRNQnWCMKbYhI1CdYIK0NJUS5JUVRSNTYxNjA2MzY1LklRX1RSX0lNUExJRURfRVZfRUJJVF9GV0QBAAAA3W55IQIAAAAAALKzSW80CdYINZuTbzQJ1gg6Q0lRLk5BU0RBUUdTOkZQUlguSVFfUFJFRl9FUVVJVFkuMjAwMC41LzUvMjAxNy5MRlIuRi5VU0QuSAEAAAA3XTMAAwAAAAAAyDCyNwgJ1ggZ6aFvNAnWCC5DSVEuTkFTREFRR006SU1NVS5JUV9NQVJLRVRDQVAuOS8xNS8yMDE3LlVTRC5IAQAAACBDBAACAAAACzEyNTYuMzQwOTI2AQYAAAAFAAAAATEBAAAACjE4NTQzODI1NTEDAAAAAzE2MAIAAAAGMTAwMDU0BAAAAAEwBwAAAAk5LzE1LzIwMTdGnRkRNQnWCBL+ZBI1CdYII0NJUS5JUVRSMjUzOTU0NDczLklRX1RSX0NMT1NFRF9EQVRFAQAAAKkJIw8FAAAACDEvOS8yMDE0ALKzSW80CdYINZuTbzQJ1gg2Q0lRLk5BU0RBUUdTOkNUTVguSVFfVE9UQUxfREVCVC4uOS8xNS8yMDE3LkxGUi5GLlVTRC5IAQAAANw4mwMCAAAAATABCAAAAAUAAAABMQEAAAAKMTg1MjM1OTcyMgMAAAADMTYwAgAAAAQ0MTczBAAAAAEwBwAAAAk5LzE1LzIwMTcIAAAACTYvMzAvMjAxNwkAAAABMMT/GxE1CdYIwptiEjUJ1ggyQ0lRLk5BU0RBUUdNOkxQVFguSVFfRUJJVERBLi43LzE2LzIwMTguTEZSLkYuVVNELkgBAAAADDYJBwIAAAAHLTI2LjQ4OQEIAAAABQAAAAExAQAAAAoxODkwMTYzOTM2AwAA</t>
  </si>
  <si>
    <t>AAMxNjACAAAABDQwNTEEAAAAATAHAAAACTcvMTYvMjAxOAgAAAAJMy8zMS8yMDE4CQAAAAEwKRyUEDUJ1ggw110SNQnWCDhDSVEuTkFTREFRR1M6Q1RNWC5JUV9FQklUREEuQ1kyMDE3LjcvMTYvMjAxOC5MRlIuRi5VU0QuSAEAAADcOJsDAgAAAActNDQuNzE0AQgAAAAFAAAAATEBAAAACjE4NzczMTY3NjkDAAAAAzE2MAIAAAAENDA1MQQAAAABMAcAAAAJNy8xNi8yMDE4CAAAAAoxMi8zMS8yMDE3CQAAAAEwxP8bETUJ1gjCm2ISNQnWCCVDSVEuSVFUUjQyNDM0MjA0Ni5JUV9UUl9JTVBMSUVEX0VRX0JWAQAAAB7yShkCAAAAAAAMbRAONQnWCMDbgg41CdYIH0NJUS5JUTE5MDY0MjAuSVFfQ09NUEFOWV9USUNLRVIBAAAA9BYdAAMAAAANTmFzZGFxQ006QVZFTwAMbRAONQnWCKEpkQ41CdYIPkNJUS5OQVNEQVFHTTpBUlFMLklRX0NBU0hfU1RfSU5WRVNULjIwMDAuNy8zMS8yMDE4LkxGUi5GLlVTRC5IAQAAAPZhAAACAAAABjQyLjg4NAEIAAAABQAAAAExAQAAAAoxODg4Nzg4NzcwAwAAAAMxNjACAAAABDEwMDIEAAAAATAHAAAACTcvMzEvMjAxOAgAAAAJMy8zMS8yMDE4CQAAAAEw1owROAgJ1ghzJJ1vNAnWCDpDSVEuTkFTREFRR1M6QkdORS5JUV9FQVJOSU5HX0NPLjIwMDAuNy8zMS8yMDE4LkxGUi5GLlVTRC5IAQAAAODk3QYCAAAACC0xNDcuNzkyAQgAAAAFAAAAATEBAAAACjE4ODc2ODg1ODgDAAAA</t>
  </si>
  <si>
    <t>AzE2MAIAAAABNwQAAAABMAcAAAAJNy8zMS8yMDE4CAAAAAkzLzMxLzIwMTgJAAAAATCcC9U4CAnWCIH9lW80CdYIHUNJUS5OQVNEQVFHUzpFUFpNLklRX0VYQ0hBTkdFAQAAAAMmPQMDAAAACE5hc2RhcUdTANaMETgICdYIJMKabzQJ1ghCQ0lRLk5BU0RBUUdTOkFEWFMuSVFfVE9UQUxfUkVWXzNZUl9BTk5fQ0FHUi4uNy8xNi8yMDE4LkxGUi5GLlVTRC5IAQAAAJ7seAADAAAAAAApHJQQNQnWCOR0WxI1CdYIQkNJUS5OQVNEQVFHTTpJTU1VLklRX1RPVEFMX1JFVl81WVJfQU5OX0NBR1IuLjcvMTYvMjAxOC5MRlIuRi5VU0QuSAEAAAAgQwQAAgAAAAgtMTEuOTcyNgEIAAAABQAAAAExAQAAAAoxODg4NTIzMzg0AwAAAAMxNjACAAAABDQyMzMEAAAAATAHAAAACTcvMTYvMjAxOAgAAAAJMy8zMS8yMDE4CQAAAAEwxP8bETUJ1ggS/mQSNQnWCD5DSVEuTkFTREFRR1M6Q0FMQS5JUV9UT1RBTF9FUVVJVFkuQ1kyMDE2LjcvMTYvMjAxOC5MRlIuRi5VU0QuSAEAAAClJ4EGAgAAAAY0OS45MDYBCAAAAAUAAAABMQEAAAAKMTg3Nzk1NTYwMQMAAAADMTYwAgAAAAQxMjc1BAAAAAEwBwAAAAk3LzE2LzIwMTgIAAAACjEyLzMxLzIwMTYJAAAAATApHJQQNQnWCOR0WxI1CdYIQ0NJUS5OQVNEQVFHUzpBVE5YLklRX0VCSVREQV8zWVJfQU5OX0NBR1IuMjAwMC43LzMxLzIwMTguTEZSLkYuVVNELkgBAAAA3JlrAQMAAAAA</t>
  </si>
  <si>
    <t>ANaMETgICdYIJMKabzQJ1gg/Q0lRLk5BU0RBUUNNOk1URU0uSVFfTkVUX1dPUktJTkdfQ0FQLjE5OTYuNy8zMS8yMDE4LkxGUi5GLlVTRC5IAQAAAJmbqQECAAAACS0yLjY4ODQ2OQEIAAAABQAAAAExAQAAAAoxODg4NzMzMDAyAwAAAAMxNjACAAAABDEzMTEEAAAAATAHAAAACTcvMzEvMjAxOAgAAAAJMy8zMS8yMDE3CQAAAAEwyDCyNwgJ1ggZ6aFvNAnWCDdDSVEuTkFTREFRR1M6Sk5DRS5JUV9FQklUX01BUkdJTi4uNy8xNi8yMDE4LkxGUi5GLlVTRC5IAQAAAOJ5ng0CAAAACC01Mi4zMzczAQgAAAAFAAAAATEBAAAACjE4ODgxODYzNzQDAAAAAzE2MAIAAAAENDA1MwQAAAABMAcAAAAJNy8xNi8yMDE4CAAAAAkzLzMxLzIwMTgJAAAAATApHJQQNQnWCJgSWRI1CdYIMENJUS5JUVRSNTMzNjM5NTAxLklRX1RSX1RBUkdFVF9FQklUREFfRVNULi5VU0QuSAEAAABNsc4fAgAAAAAADG0QDjUJ1gjA24IONQnWCDNDSVEuTkFTREFRR1M6QkdORS5JUV9UT1RBTF9FUVVJVFkuMTk5Mi4uTEZSLkYuVVNELkgBAAAA4OTdBgIAAAAHMjIwLjA0NwEIAAAABQAAAAExAQAAAAoxODUyNzAwNTIxAwAAAAMxNjACAAAABDEyNzUEAAAAATAHAAAACTgvMjMvMjAxOAgAAAAJNi8zMC8yMDE2CQAAAAEwnAvVOAgJ1gicC9U4CAnWCDZDSVEuTkFTREFRR1M6Q0FMQS5JUV9FQklUREEuMTk5Ni43LzMxLzIwMTguTEZSLkYuVVNE</t>
  </si>
  <si>
    <t>LkgBAAAApSeBBgIAAAAHLTMzLjg0MQEIAAAABQAAAAExAQAAAAoxODg3OTgwMjc3AwAAAAMxNjACAAAABDQwNTEEAAAAATAHAAAACTcvMzEvMjAxOAgAAAAJMy8zMS8yMDE3CQAAAAEwyDCyNwgJ1gjdS6RvNAnWCC5DSVEuSVFUUjU0ODMzODAyMC5JUV9UUl9UQVJHRVRfU1RPQ0tQUkVNSVVNXzFXAQAAAGT5riACAAAAAAAMbRAONQnWCMDbgg41CdYIH0NJUS5JUTEzNDIxMTUuSVFfQ09NUEFOWV9USUNLRVIBAAAAo3oUAAMAAAAKT1RDUEs6TldCTwAMbRAONQnWCDbulQ41CdYIO0NJUS5OQVNEQVFDTTpTUk5FLklRX1BSRUZfRVFVSVRZLjIwMDAuNy8zMS8yMDE4LkxGUi5GLlVTRC5IAQAAAElDlAMDAAAAAADWjBE4CAnWCHMknW80CdYIH0NJUS5YVFJBOk1PUi5JUV9FRkZFQ1RfVEFYX1JBVEUBAAAA3xECAAMAAAACTk0BCAAAAAUAAAABMQEAAAAKMTg5ODA4MDYzMAMAAAACNTACAAAABDQzNzYEAAAAATAHAAAACTgvMjMvMjAxOAgAAAAJNi8zMC8yMDE4CQAAAAEwnAvVOAgJ1gjUX5hvNAnWCDFDSVEuSVFUUjQyNDM0MjA0Ni5JUV9UUl9UQVJHRVRfUkVWRU5VRV9FU1QuLlVTRC5IAQAAAB7yShkCAAAAAAAMbRAONQnWCMDbgg41CdYIN0NJUS5OQVNEQVFHTTpBRk1ELklRX1BSRUZfRVFVSVRZLi45LzE1LzIwMTcuTEZSLkYuVVNELkgBAAAA2/cMAAMAAAAAACkclBA1CdYIMNddEjUJ1gg7Q0lRLk5BU0RB</t>
  </si>
  <si>
    <t>UUdNOkFSUlkuSVFfVE9UQUxfUkVWLkNZMjAxNy43LzMxLzIwMTguTEZSLkYuVVNELkgBAAAA+GEAAAIAAAAGNTAuNTA3AQgAAAAFAAAAATEBAAAACjE4NzMyMDM3OTgDAAAAAzE2MAIAAAACMjgEAAAAATAHAAAACTcvMzEvMjAxOAgAAAAKMTIvMzEvMjAxNwkAAAABMJwL1TgICdYI1F+YbzQJ1ggvQ0lRLklRVFI0MzE4NDE1ODEuSVFfVFJfSU1QTElFRF9FVl9GSU5BTC4uVVNELkgBAAAALWG9GQIAAAADODI1AQYAAAAFAAAAAjU0AQAAAAYxMDIwNDUCAAAACTQzMTg0MTU4MQMAAAAJNDMxODQyMzg2BAAAAAMxNjAGAAAABUZhbHNlDG0QDjUJ1ggMPoUONQnWCDhDSVEuQVNYOklNVS5JUV9UT1RBTF9FUVVJVFkuQ1kyMDE3LjcvMTYvMjAxOC5MRlIuRi5VU0QuSAEAAACYk6kAAgAAAAkxMy45MzUwNjgBCAAAAAUAAAABMQEAAAAKMTg3NzMwNTMyMAMAAAADMTYwAgAAAAQxMjc1BAAAAAEwBwAAAAk3LzE2LzIwMTgIAAAACjEyLzMxLzIwMTcJAAAAATApHJQQNQnWCDDXXRI1CdYIIUNJUS5OQVNEQVFDTTpNVEVNLklRX0NPTVBBTllfTkFNRQEAAACZm6kBAwAAABlNb2xlY3VsYXIgVGVtcGxhdGVzLCBJbmMuAMgwsjcICdYIGemhbzQJ1ggdQ0lRLklRMjcxNTkuSVFfQ09NUEFOWV9USUNLRVIBAAAAF2oAAAMAAAANTmFzZGFxR006Q1JJUwCys0lvNAnWCN1LpG80CdYIJUNJUS5JUVRSMzcxNzE1MTE5LklRX1RS</t>
  </si>
  <si>
    <t>X0lNUExJRURfRVFfQlYBAAAAL+wnFgIAAAAAAFjPEg41CdYIwNuCDjUJ1gg7Q0lRLk5BU0RBUUNNOlpJT1AuSVFfRUJJVF9NQVJHSU4uMjAwMC43LzMxLzIwMTguTEZSLkYuVVNELkgBAAAAs1GyAAMAAAACTk0BCAAAAAUAAAABMQEAAAAKMTg4Nzk3MjM1OQMAAAADMTYwAgAAAAQ0MDUzBAAAAAEwBwAAAAk3LzMxLzIwMTgIAAAACTMvMzEvMjAxOAkAAAABMNaMETgICdYIw4afbzQJ1gg1Q0lRLk5BU0RBUUdTOktVUkEuSVFfQ0FQRVguMTk5Ni43LzMxLzIwMTguTEZSLkYuVVNELkgBAAAAuMvaEAMAAAAAANaMETgICdYIcySdbzQJ1gg7Q0lRLk5BU0RBUUdTOk5LLklRX1JFVkVOVUVfRVNULkNZMjAyMC43LzMxLzIwMTguQ09OLkYuVVNELkgBAAAADX2hDwIAAAADMC4xAQ4AAAAFAAAAAjExAQAAAAEwAgAAAAoxMDAzMTY0ODExAwAAAAYxMDAxODAEAAAAATIGAAAAATAHAAAAAzE2MAgAAAABMAkAAAABMQoAAAABMAsAAAALMTA3ODc5MDc2MjEMAAAAATcNAAAACDgvMS8yMDE4EAAAAAk3LzMxLzIwMTjWjBE4CAnWCMOGn280CdYIPUNJUS5OQVNEQVFHUzpGUFJYLklRX1JFVkVOVUVfRVNULkNZMjAyMC43LzMxLzIwMTguQ09OLkYuVVNELkgBAAAAN10zAAIAAAAINzUuNTEwMjkBDgAAAAUAAAACMTEBAAAAATACAAAACjEwMDE5NTYzNTQDAAAABjEwMDE4MAQAAAABMgYAAAABMAcAAAADMTYwCAAAAAEwCQAA</t>
  </si>
  <si>
    <t>AAExCgAAAAEwCwAAAAsxMDk0NTU3NTAwNgwAAAABNw0AAAAIOC8xLzIwMTgQAAAACTcvMzEvMjAxONaMETgICdYIGemhbzQJ1ggxQ0lRLk5BU0RBUUdTOk1SU04uSVFfQ0FQRVguLjcvMTYvMjAxOC5MRlIuRi5VU0QuSAEAAADmxRgAAgAAAAYtMC45MzkBCAAAAAUAAAABMQEAAAAKMTg4OTA5NjY1MwMAAAADMTYwAgAAAAQyMDIxBAAAAAEwBwAAAAk3LzE2LzIwMTgIAAAACTMvMzEvMjAxOAkAAAABMCkclBA1CdYIczlgEjUJ1gg4Q0lRLk5BU0RBUUdNOkZBVEUuSVFfRUJJVERBLkNZMjAxNi43LzMxLzIwMTguTEZSLkYuVVNELkgBAAAAaDFXAgIAAAAHLTMxLjA4MgEIAAAABQAAAAExAQAAAAoxODc3MDY5MDY3AwAAAAMxNjACAAAABDQwNTEEAAAAATAHAAAACTcvMzEvMjAxOAgAAAAKMTIvMzEvMjAxNgkAAAABMNaMETgICdYIw4afbzQJ1ggkQ0lRLk5BU0RBUUdNOkNSVlMuSVFfRUZGRUNUX1RBWF9SQVRFAQAAAPSwphADAAAAAADWjBE4CAnWCBnpoW80CdYIOUNJUS5OQVNEQVFHUzpFUFpNLklRX1RPVEFMX0RFQlQuMjAwMC41LzUvMjAxNy5MRlIuRi5VU0QuSAEAAAADJj0DAgAAAAQwLjczAQgAAAAFAAAAATEBAAAACjE4MzE3Mjg3NjADAAAAAzE2MAIAAAAENDE3MwQAAAABMAcAAAAINS81LzIwMTcIAAAACjEyLzMxLzIwMTYJAAAAATDWjBE4CAnWCHMknW80CdYINkNJUS5OQVNEQVFHUzpLVVJBLklR</t>
  </si>
  <si>
    <t>X0VCSVREQS4yMDAwLjcvMzEvMjAxOC5MRlIuRi5VU0QuSAEAAAC4y9oQAgAAAActNDMuMzg4AQgAAAAFAAAAATEBAAAACjE4ODczODI5MzcDAAAAAzE2MAIAAAAENDA1MQQAAAABMAcAAAAJNy8zMS8yMDE4CAAAAAkzLzMxLzIwMTgJAAAAATDWjBE4CAnWCHMknW80CdYIIENJUS5PVENQSzpOV0JPLklRX1BFUklPRERBVEVfSVMuAQAAAKN6FAAFAAAACTYvMzAvMjAxOAApHJQQNQnWCHM5YBI1CdYIKkNJUS4oSU5WQUxJRCBJREVOVElGSUVSKS5JUV9QRVJJT0REQVRFX0lTLgUAAAAAAAAACAAAABQoSW52YWxpZCBJZGVudGlmaWVyKd6nfhA1CdYImBJZEjUJ1ggpQ0lRLk5BU0RBUUdTOkFEWFMuSVFfQlVTSU5FU1NfREVTQ1JJUFRJT04BAAAAnux4AAMAAACxC0FkdmF4aXMsIEluYy4sIGEgY2xpbmljYWwgc3RhZ2UgYmlvdGVjaG5vbG9neSBjb21wYW55LCBmb2N1c2VzIG9uIHRoZSBkaXNjb3ZlcnksIGRldmVsb3BtZW50LCBhbmQgY29tbWVyY2lhbGl6YXRpb24gb2YgTGlzdGVyaWEgbW9ub2N5dG9nZW5lcyAoTG0pIHRlY2hub2xvZ3kgYmFzZWQgaW1tdW5vdGhlcmFwaWVzIGluIHRoZSBVbml0ZWQgU3RhdGVzLiBJdCBpcyBkZXZlbG9waW5nIEF4YWxpbW9nZW5lIGZpbG9saXNiYWMgYW5kIEFEWFMtRHVhbCB0aGF0IGFyZSBMbS1MTE8gaW1tdW5vdGhlcmFweSBwcm9kdWN0IGNhbmRpZGF0ZXMgZm9y</t>
  </si>
  <si>
    <t>IHRoZSB0cmVhdG1lbnQgb2YgaHVtYW4gcGFwaWxsb21hIHZpcnVzIGFzc29jaWF0ZWQgY2FuY2VycywgaW5jbHVkaW5nIGNlcnZpY2FsLCBhbmQgaGVhZCBhbmQgbmVjayBjYW5jZXJzLiBUaGUgY29tcGFueSBpcyBhbHNvIGRldmVsb3BpbmcgQXhhbGltb2dlbmUgZmlsb2xpc2JhYyBmb3IgdGhlIHRyZWF0bWVudCBvZiBhbmFsIGNhbmNlcjsgQURYUy1QU0EsIGFuIExtLUxMTyBpbW11bm90aGVyYXB5IHByb2R1Y3QgY2FuZGlkYXRlLCB3aGljaCBpcyBkZXNpZ25lZCB0byB0YXJnZXQgdGhlIHByb3N0YXRlIHNwZWNpZmljIGFudGlnZW4gYXNzb2NpYXRlZCB3aXRoIHByb3N0YXRlIGNhbmNlcjsgYW5kIEFEWFMtTkVPLCBhbiBpbmRpdmlkdWFsaXplZCBMbSB0ZWNobm9sb2d5IGFudGlnZW4gZGVsaXZlcnkgcHJvZHVjdCBjYW5kaWRhdGUgdGhhdCBpcyBkZXNpZ25lZCB0byBjcmVhdGUgaW5kaXZpZHVhbGl6ZWQgdGhlcmFwaWVzIGJ5IGFjdGl2YXRpbmcgdGhlIHBhdGllbnTigJlzIGltbXVuZSBzeXN0ZW0gdG8gcmVzcG9uZCBhZ2FpbnN0IG11bHRpcGxlIG11dGF0aW9ucyBvciBuZW9hbnRpZ2Vucy4gSW4gYWRkaXRpb24sIGl0IGlzIGRldmVsb3BpbmcgQURYUy1IT1QgZm9yIGdlbmVyYXRpbmcgcG90ZW50IGFudGktY2FuY2VyIGltbXVuaXR5OyBhbmQgQURYUy1IRVIyLCBhbiBMbSB0ZWNobm9s</t>
  </si>
  <si>
    <t>b2d5IGFudGlnZW4gZGVsaXZlcnkgcHJvZHVjdCBjYW5kaWRhdGUgdGhhdCBpcyBkZXNpZ25lZCB0byB0YXJnZXQgSEVSMiBleHByZXNzaW5nIHNvbGlkIHR1bW9ycywgaW5jbHVkaW5nIGh1bWFuIGFuZCBjYW5pbmUgb3N0ZW9zYXJjb21hLiBUaGUgY29tcGFueSBoYXMgY29sbGFib3JhdGlvbiBhbmQgbGljZW5zaW5nIGFncmVlbWVudHMgd2l0aCBCcmlzdG9sLU15ZXJzIFNxdWliYiBDb21wYW55OyBBbWdlbiBJbmMuOyBTZWxsYXMgTGlmZSBTY2llbmNlIEdyb3VwOyBNZXJjayAmIENvLiwgSW5jLjsgTWVkSW1tdW5lL0FzdHJhWmVuZWNhIFBMQzsgRXNwZWNpZmljb3MgU3RlbmRoYWwgU0EgZGUgQ1Y7IEFyYXRhbmEgVGhlcmFwZXV0aWNzIEluYy47IGFuZCBHbG9iYWwgQmlvUGhhcm1hIEluYy4gQWR2YXhpcywgSW5jLiB3YXMgZm91bmRlZCBpbiAyMDAyIGFuZCBpcyBiYXNlZCBpbiBQcmluY2V0b24sIE5ldyBKZXJzZXkuACkclBA1CdYI5HRbEjUJ1ggnQ0lRLk5BU0RBUUdNOkFSUUwuSVFfQkVUQV81WVIuNy8zMS8yMDE4AQAAAPZhAAACAAAAETAuODE2ODU2MjE4OTMzNzM5ANaMETgICdYIcySdbzQJ1gg5Q0lRLkFTWDpJTVUuSVFfRUJJVERBXzVZUl9BTk5fQ0FHUi4uNy8xNi8yMDE4LkxGUi5GLlVTRC5IAQAAAJiTqQADAAAAAk5NAQgAAAAFAAAAATEBAAAACjE4NzczMDUzMjADAAAAATkCAAAA</t>
  </si>
  <si>
    <t>BDQyMzUEAAAAATAHAAAACTcvMTYvMjAxOAgAAAAKMTIvMzEvMjAxNwkAAAABMCkclBA1CdYIMNddEjUJ1gg6Q0lRLk5BU0RBUUdTOkdUSFguSVFfVE9UQUxfREVCVC4yMDAwLjcvMzEvMjAxOC5MRlIuRi5VU0QuSAEAAABlNGkIAgAAAAEwAQgAAAAFAAAAATEBAAAACjE4ODYzNjc2NjcDAAAAAzE2MAIAAAAENDE3MwQAAAABMAcAAAAJNy8zMS8yMDE4CAAAAAkzLzMxLzIwMTgJAAAAATCcC9U4CAnWCCTCmm80CdYIPUNJUS5OQVNEQVFHUzpUU1JPLklRX0NBU0hfU1RfSU5WRVNULjIwMDAuNS81LzIwMTcuTEZSLkYuVVNELkgBAAAAaNZYBgIAAAAHNzg1Ljg3NwEIAAAABQAAAAExAQAAAAoxODI5OTg4NTQzAwAAAAMxNjACAAAABDEwMDIEAAAAATAHAAAACDUvNS8yMDE3CAAAAAoxMi8zMS8yMDE2CQAAAAEwnAvVOAgJ1ggkwppvNAnWCDVDSVEuTkFTREFRQ006U1JORS5JUV9DQVBFWC4xOTkyLjcvMzEvMjAxOC5MRlIuRi5VU0QuSAEAAABJQ5QDAgAAAAUtMy45NgEIAAAABQAAAAExAQAAAAoxODQyMjUxMTIzAwAAAAMxNjACAAAABDIwMjEEAAAAATAHAAAACTcvMzEvMjAxOAgAAAAJMy8zMS8yMDE2CQAAAAEw1owROAgJ1ghzJJ1vNAnWCCVDSVEuSVFUUjQxMzk1MzY2MS5JUV9UUl9NQUpfTUlOX1NUQUtFAQAAAH1urBgDAAAACE1ham9yaXR5ALKzSW80CdYIgf2VbzQJ1ggkQ0lRLkVOWFRQQTpJUEguSVFf</t>
  </si>
  <si>
    <t>QkVUQV81WVIuNy8xNi8yMDE4AQAAAJmABgACAAAADzEuNjQzNzMwNTU5ODYyMgApHJQQNQnWCHM5YBI1CdYIJ0NJUS5OQVNEQVFDTTpDS1BULklRX0JFVEFfMllSLjcvMTYvMjAxOAEAAAC4URYRAgAAABEwLjg0MzQ5NDU3OTM1NDk1MwApHJQQNQnWCOR0WxI1CdYIIkNJUS5JUVRSMjQ1ODMxMDA3LklRX1RSX1RBUkdFVE5BTUUBAAAAXxWnDgMAAAAbQXN0ZXggUGhhcm1hY2V1dGljYWxzLCBJbmMuALKzSW80CdYIgf2VbzQJ1ghDQ0lRLk5BU0RBUUdNOkFSUlkuSVFfRUJJVERBXzJZUl9BTk5fQ0FHUi4yMDAwLjcvMzEvMjAxOC5MRlIuRi5VU0QuSAEAAAD4YQAAAwAAAAJOTQEIAAAABQAAAAExAQAAAAoxODg4NDcwNjc2AwAAAAMxNjACAAAABDQyMDkEAAAAATAHAAAACTcvMzEvMjAxOAgAAAAJMy8zMS8yMDE4CQAAAAEwnAvVOAgJ1ggkwppvNAnWCDxDSVEuTkFTREFRR1M6VFNSTy5JUV9FQklUREFfRVNULkNZMjAyMC43LzMxLzIwMTguQ09OLkYuVVNELkgBAAAAaNZYBgIAAAAELTMwMAEOAAAABQAAAAIxMQEAAAABMAIAAAAKMTAwMTU4MDM1MAMAAAAGMTAwMTg3BAAAAAEyBgAAAAEwBwAAAAMxNjAIAAAAATAJAAAAATEKAAAAATALAAAACzEwODY5NTI1NDU0DAAAAAE3DQAAAAg4LzEvMjAxOBAAAAAJNy8zMS8yMDE4nAvVOAgJ1ggkwppvNAnWCCNDSVEuSVFUUjQwODI5MTM5NS5JUV9UUl9UT1RBTF9T</t>
  </si>
  <si>
    <t>VE9DSwEAAABDCFYYAgAAAAk2MC41Mzk2OTIBBgAAAAUAAAACNTQBAAAABjEwMTA1NwIAAAAJNDA4MjkxMzk1AwAAAAk0MDgzMDQwMTMEAAAAAzE2MAYAAAAFRmFsc2VYzxIONQnWCMDbgg41CdYILkNJUS5OQVNEQVFHUzpCR05FLklRX01BUktFVENBUC45LzE1LzIwMTcuVVNELkgBAAAA4OTdBgIAAAALMzQyMS45MDQwNzQBBgAAAAUAAAABMQEAAAAKMTg1MjY5OTYzOAMAAAADMTYwAgAAAAYxMDAwNTQEAAAAATAHAAAACTkvMTUvMjAxN0adGRE1CdYIaGBnEjUJ1gg1Q0lRLk5BU0RBUUdNOklNTVUuSVFfREFfQ0YuMjAwMC43LzMxLzIwMTguTEZSLkYuVVNELkgBAAAAIEMEAAIAAAAIMS4yMzA1NDEBCAAAAAUAAAABMQEAAAAKMTg4ODUyMzM4NAMAAAADMTYwAgAAAAQyMTYwBAAAAAEwBwAAAAk3LzMxLzIwMTgIAAAACTMvMzEvMjAxOAkAAAABMJwL1TgICdYI1F+YbzQJ1gg9Q0lRLk5BU0RBUUdNOklNTVUuSVFfUkVWRU5VRV9FU1QuQ1kyMDE4LjcvMTYvMjAxOC5DT04uRi5VU0QuSAEAAAAgQwQAAgAAAAcxMS4zNDg5AQ4AAAAFAAAAAjExAQAAAAEwAgAAAAkyODQ0MzQwMjQDAAAABjEwMDE4MAQAAAABMgYAAAABMAcAAAADMTYwCAAAAAEwCQAAAAExCgAAAAEwCwAAAAsxMDk1ODY3NjAyMwwAAAABNw0AAAAJNy8xNy8yMDE4EAAAAAk3LzE2LzIwMTjE/xsRNQnWCGhgZxI1CdYIPENJUS5OQVNEQVFHUzpN</t>
  </si>
  <si>
    <t>UlNOLklRX0dST1NTX01BUkdJTi4yMDAwLjcvMzEvMjAxOC5MRlIuRi5VU0QuSAEAAADmxRgAAgAAAAktMTk5LjM0NDMBCAAAAAUAAAABMQEAAAAKMTg4OTA5NjY1MwMAAAADMTYwAgAAAAQ0MDc0BAAAAAEwBwAAAAk3LzMxLzIwMTgIAAAACTMvMzEvMjAxOAkAAAABMNaMETgICdYIw4afbzQJ1gg1Q0lRLlhUUkE6TU9SLklRX1BSRUZfRVFVSVRZLjIwMDAuNS81LzIwMTcuTEZSLkYuVVNELkgBAAAA3xECAAMAAAAAAJwL1TgICdYI1F+YbzQJ1ggiQ0lRLklRVFIzMDc4NjM5ODQuSVFfVFJfUENUX1NPVUdIVAEAAACwoVkSAgAAAAMxMDAAWM8SDjUJ1gjA24IONQnWCBVDSVEuMC5JUV9UUl9CVVlFUk5BTUUFAAAAAAAAAAgAAAAYKEludmFsaWQgVHJhbnNhY3Rpb24gSWQpSVNHbzQJ1ggH4vCBNAnWCDtDSVEuTkFTREFRR006QVJRTC5JUV9FQklUX01BUkdJTi4yMDAwLjcvMzEvMjAxOC5MRlIuRi5VU0QuSAEAAAD2YQAAAwAAAAJOTQEIAAAABQAAAAExAQAAAAoxODg4Nzg4NzcwAwAAAAMxNjACAAAABDQwNTMEAAAAATAHAAAACTcvMzEvMjAxOAgAAAAJMy8zMS8yMDE4CQAAAAEw1owROAgJ1ghzJJ1vNAnWCDhDSVEuTkFTREFRR1M6TUdOWC5JUV9FQklUREEuQ1kyMDE3LjcvMTYvMjAxOC5MRlIuRi5VU0QuSAEAAABPKwkAAgAAAActMTQuOTE1AQgAAAAFAAAAATEBAAAACjE4NzYxMzUxNzIDAAAAAzE2MAIA</t>
  </si>
  <si>
    <t>AAAENDA1MQQAAAABMAcAAAAJNy8xNi8yMDE4CAAAAAoxMi8zMS8yMDE3CQAAAAEwxP8bETUJ1gjCm2ISNQnWCDpDSVEuTkFTREFRR1M6QVROWC5JUV9FQVJOSU5HX0NPLjE5OTYuNy8zMS8yMDE4LkxGUi5GLlVTRC5IAQAAANyZawECAAAACC0xMTguMjgxAQgAAAAFAAAAATEBAAAACjE4ODg3MDI5NzYDAAAAAzE2MAIAAAABNwQAAAABMAcAAAAJNy8zMS8yMDE4CAAAAAkzLzMxLzIwMTcJAAAAATDWjBE4CAnWCCTCmm80CdYIK0NJUS5JUVRSNTQ3NDIzNjgwLklRX1RSX1RPVEFMX0dST1NTX1RWLi5VU0QBAAAAwAWhIAIAAAALMTk2OC41ODk0MTUBBgAAAAUAAAACNTQBAAAABjEwMjA4OAIAAAAJNTQ3NDIzNjgwAwAAAAk1NDc0MzMwNjUEAAAAAzE2MAYAAAAFRmFsc2UMbRAONQnWCMDbgg41CdYIL0NJUS4oSU5WQUxJRCBJREVOVElGSUVSKS5JUV9URVYuNy8zMS8yMDE4LlVTRC5IBQAAAAAAAAAIAAAAFChJbnZhbGlkIElkZW50aWZpZXIpyDCyNwgJ1gjtNrBvNAnWCDxDSVEuTkFTREFRR1M6RlBSWC5JUV9UT1RBTF9FUVVJVFkuMTk5Ni43LzMxLzIwMTguTEZSLkYuVVNELkgBAAAAN10zAAIAAAAHMzU3LjA0OQEIAAAABQAAAAExAQAAAAoxODg3NDAyMjI0AwAAAAMxNjACAAAABDEyNzUEAAAAATAHAAAACTcvMzEvMjAxOAgAAAAJMy8zMS8yMDE3CQAAAAEwyDCyNwgJ1ggZ6aFvNAnWCC9DSVEuSVFUUjU1</t>
  </si>
  <si>
    <t>MDI1OTM5Ny5JUV9UUl9UQVJHRVRfVE9UQUxfUkVWLi5VU0QuSAEAAADFSswgAgAAAAcxMTEuODcxAQYAAAAFAAAAAjM3AQAAAAoxODc2NTY1NTI4AgAAAAIyOAMAAAADMTYwBAAAAAEwBwAAAAgxLzEvMTkwMAxtEA41CdYId3mADjUJ1gg1Q0lRLk5BU0RBUUdNOkFSUUwuSVFfQ0FQRVguMjAwMC43LzMxLzIwMTguTEZSLkYuVVNELkgBAAAA9mEAAAMAAAAAANaMETgICdYIcySdbzQJ1ggvQ0lRLklRVFI1NDc0MjM2ODAuSVFfVFJfSU1QTElFRF9FVl9GSU5BTC4uVVNELkgBAAAAwAWhIAIAAAALMTgyMy43ODA0MTUBBgAAAAUAAAACNTQBAAAABjEwMjA0NQIAAAAJNTQ3NDIzNjgwAwAAAAk1NDc0MzMwNjUEAAAAAzE2MAYAAAAFRmFsc2UMbRAONQnWCMDbgg41CdYIK0NJUS5JUVRSNTMzMzg1NzQ0LklRX1RSX0lNUExJRURfRVZfRUJJVF9GV0QBAAAAENLKHwIAAAAAAAxtEA41CdYIwNuCDjUJ1gg8Q0lRLk5BU0RBUUdNOkFSUlkuSVFfRUFSTklOR19DTy5DWTIwMTcuNy8zMS8yMDE4LkxGUi5GLlVTRC5IAQAAAPhhAAACAAAACC0xMzYuOTU2AQgAAAAFAAAAATEBAAAACjE4NzMyMDM3OTgDAAAAAzE2MAIAAAABNwQAAAABMAcAAAAJNy8zMS8yMDE4CAAAAAoxMi8zMS8yMDE3CQAAAAEwnAvVOAgJ1ggkwppvNAnWCDFDSVEuSVFUUjUzNTcxOTk5OC5JUV9UUl9UQVJHRVRfUkVWRU5VRV9FU1QuLlVTRC5IAQAA</t>
  </si>
  <si>
    <t>AD5w7h8CAAAABzg3LjgxMjQAsrNJbzQJ1giB/ZVvNAnWCDJDSVEuTkFTREFRR1M6QkdORS5JUV9FQklUREEuLjcvMTYvMjAxOC5MRlIuRi5VU0QuSAEAAADg5N0GAgAAAAgtMTUxLjU4NgEIAAAABQAAAAExAQAAAAoxODg3Njg4NTg4AwAAAAMxNjACAAAABDQwNTEEAAAAATAHAAAACTcvMTYvMjAxOAgAAAAJMy8zMS8yMDE4CQAAAAEwxP8bETUJ1ghoYGcSNQnWCDhDSVEuTkFTREFRR1M6TVJTTi5JUV9HUk9TU19NQVJHSU4uLjcvMTYvMjAxOC5MRlIuRi5VU0QuSAEAAADmxRgAAgAAAAktMTk5LjM0NDMBCAAAAAUAAAABMQEAAAAKMTg4OTA5NjY1MwMAAAADMTYwAgAAAAQ0MDc0BAAAAAEwBwAAAAk3LzE2LzIwMTgIAAAACTMvMzEvMjAxOAkAAAABMMT/GxE1CdYIczlgEjUJ1gg/Q0lRLk5BU0RBUUdTOkFEWFMuSVFfRUJJVERBXzNZUl9BTk5fQ0FHUi4uNy8xNi8yMDE4LkxGUi5GLlVTRC5IAQAAAJ7seAADAAAAAk5NAQgAAAAFAAAAATEBAAAACjE4OTI3ODg1NDgDAAAAAzE2MAIAAAAENDIyMgQAAAABMAcAAAAJNy8xNi8yMDE4CAAAAAk0LzMwLzIwMTgJAAAAATApHJQQNQnWCOR0WxI1CdYIPENJUS5OQVNEQVFDTTpaSU9QLklRX0VBUk5JTkdfQ08uQ1kyMDE3LjcvMzEvMjAxOC5MRlIuRi5VU0QuSAEAAACzUbIAAgAAAActNTQuMzIzAQgAAAAFAAAAATEBAAAACjE4NzcyMDQ0NjYDAAAAAzE2MAIAAAAB</t>
  </si>
  <si>
    <t>NwQAAAABMAcAAAAJNy8zMS8yMDE4CAAAAAoxMi8zMS8yMDE3CQAAAAEw1owROAgJ1gjDhp9vNAnWCDBDSVEuTkFTREFRR1M6RlBSWC5JUV9MQVNUU0FMRVBSSUNFLjcvMzEvMjAxOC5VU0QBAAAAN10zAAIAAAAEMTQuOQDWjBE4CAnWCBnpoW80CdYILkNJUS5JUVRSNDEzOTUzNjYxLklRX1RSX1RBUkdFVF9TVE9DS1BSRU1JVU1fMU0BAAAAfW6sGAIAAAAAALKzSW80CdYIgf2VbzQJ1gg1Q0lRLlhUUkE6TU9SLklRX0VBUk5JTkdfQ08uMjAwMC43LzMxLzIwMTguTEZSLkYuVVNELkgBAAAA3xECAAIAAAAKLTkxLjUwMjc5NAEIAAAABQAAAAExAQAAAAoxODg2MTUxNjQ4AwAAAAMxNjACAAAAATcEAAAAATAHAAAACTcvMzEvMjAxOAgAAAAJMy8zMS8yMDE4CQAAAAEwnAvVOAgJ1gjUX5hvNAnWCDZDSVEuTkFTREFRR1M6U0dFTi5JUV9FQVJOSU5HX0NPLi43LzE2LzIwMTguTEZSLkYuVVNELkgBAAAAYYUAAAIAAAAILTE3Ny4yNTUBCAAAAAUAAAABMQEAAAAKMTg4NDg5Mjg1MgMAAAADMTYwAgAAAAE3BAAAAAEwBwAAAAk3LzE2LzIwMTgIAAAACTMvMzEvMjAxOAkAAAABMMT/GxE1CdYIaGBnEjUJ1ggjQ0lRLk5BU0RBUUdTOkNUTVguSVFfUEVSSU9EREFURV9JUy4BAAAA3DibAwUAAAAJNi8zMC8yMDE4AMT/GxE1CdYIwptiEjUJ1ghDQ0lRLk5BU0RBUUdTOlRTUk8uSVFfTUlOT1JJVFlfSU5URVJFU1RfVE9U</t>
  </si>
  <si>
    <t>QUwuLjcvMTYvMjAxOC5MRlIuRi5VU0QuSAEAAABo1lgGAwAAAAAAxP8bETUJ1ggS/mQSNQnWCC1DSVEuTkFTREFRR1M6U0dFTi5JUV9UT1RBTF9ERUJULi4uTEZSLkYuVVNELkgBAAAAYYUAAAIAAAABMAEIAAAABQAAAAExAQAAAAoxODk3MjMzNTE4AwAAAAMxNjACAAAABDQxNzMEAAAAATAHAAAACTgvMjMvMjAxOAgAAAAJNi8zMC8yMDE4CQAAAAEwRp0ZETUJ1ghGnRkRNQnWCDJDSVEuTkFTREFRR1M6TVJTTi5JUV9FQklUREEuLjcvMTYvMjAxOC5MRlIuRi5VU0QuSAEAAADmxRgAAgAAAActNDMuMjkxAQgAAAAFAAAAATEBAAAACjE4ODkwOTY2NTMDAAAAAzE2MAIAAAAENDA1MQQAAAABMAcAAAAJNy8xNi8yMDE4CAAAAAkzLzMxLzIwMTgJAAAAATDE/xsRNQnWCHM5YBI1CdYIPkNJUS5OQVNEQVFDTTpTUk5FLklRX1RPVEFMX0VRVUlUWS5DWTIwMTcuNy8zMS8yMDE4LkxGUi5GLlVTRC5IAQAAAElDlAMCAAAABjIwNi42MQEIAAAABQAAAAExAQAAAAoxODc4Njc3NDU2AwAAAAMxNjACAAAABDEyNzUEAAAAATAHAAAACTcvMzEvMjAxOAgAAAAKMTIvMzEvMjAxNwkAAAABMNaMETgICdYIcySdbzQJ1gg/Q0lRLk5BU0RBUUdTOkpOQ0UuSVFfRUJJVERBXzVZUl9BTk5fQ0FHUi4uNy8xNi8yMDE4LkxGUi5GLlVTRC5IAQAAAOJ5ng0DAAAAAADep34QNQnWCJgSWRI1CdYIKUNJUS5JUVRSNTQ4MzM4MDIwLklR</t>
  </si>
  <si>
    <t>X0JVU0lORVNTX0RFU0NSSVBUSU9OAQAAANz4riADAAAAjANBcyBvZiBKYW51YXJ5IDMsIDIwMTgsIEdsb2JhbCBDb21tZXJjaWFsIFJpZ2h0cyBmb3IgVmFybGl0aW5pYiBvZiBBcnJheSBCaW9QaGFybWEgd2FzIGFjcXVpcmVkIGJ5IEFTTEFOIFBoYXJtYWNldXRpY2FscyBMaW1pdGVkLiBHbG9iYWwgQ29tbWVyY2lhbCBSaWdodHMgZm9yIFZhcmxpdGluaWIgb2YgQXJyYXkgQmlvUGhhcm1hIGNvbXByaXNlcyByaWdodHMgdG8gZGV2ZWxvcCwgbWFudWZhY3R1cmUgYW5kIGNvbW1lcmNpYWxpc2UgdmFybGl0aW5pYiB3aGljaCBpcyBhIG1vbGVjdWxlIHBhbi1IRVIgaW5oaWJpdG9yIHRoYXQgdGFyZ2V0cyB0aGUgaHVtYW4gZXBpZGVybWFsIGdyb3d0aCBmYWN0b3IgcmVjZXB0b3JzLiBUaGUgYXNzZXQgaXMgbG9jYXRlZCBpbiB0aGUgVW5pdGVkIFN0YXRlcy4ADG0QDjUJ1gjA24IONQnWCD1DSVEuTkFTREFRR1M6RVBaTS5JUV9SRVZFTlVFX0VTVC5DWTIwMjEuNy8zMS8yMDE4LkNPTi5GLlVTRC5IAQAAAAMmPQMCAAAABzI2Ny4zMDEBDgAAAAUAAAACMTEBAAAAATACAAAACjEwMDE4NjQ2MDADAAAABjEwMDE4MAQAAAABMgYAAAABMAcAAAADMTYwCAAAAAEwCQAAAAExCgAAAAEwCwAAAAsxMDk4NzE0NzY5MAwAAAABNw0AAAAIOC8xLzIwMTgQAAAACTcvMzEvMjAxONaMETgICdYIcySdbzQJ1ghGQ0lR</t>
  </si>
  <si>
    <t>Lk5BU0RBUUNNOk1URU0uSVFfVE9UQUxfUkVWXzVZUl9BTk5fQ0FHUi4yMDAwLjcvMzEvMjAxOC5MRlIuRi5VU0QuSAEAAACZm6kBAwAAAAAAyDCyNwgJ1gjdS6RvNAnWCDxDSVEuKElOVkFMSUQgSURFTlRJRklFUikuSVFfVE9UQUxfUkVWLi43LzE2LzIwMTguTEZSLkYuVVNELkgFAAAAAAAAAAgAAAAUKEludmFsaWQgSWRlbnRpZmllcinep34QNQnWCJgSWRI1CdYIPENJUS4oSU5WQUxJRCBJREVOVElGSUVSKS5JUV9OSV9NQVJHSU4uLjcvMTYvMjAxOC5MRlIuRi5VU0QuSAUAAAAAAAAACAAAABQoSW52YWxpZCBJZGVudGlmaWVyKd6nfhA1CdYImBJZEjUJ1gg9Q0lRLk5BU0RBUUdTOk5LLklRX05FVF9XT1JLSU5HX0NBUC4xOTkyLjcvMzEvMjAxOC5MRlIuRi5VU0QuSAEAAAANfaEPAgAAAAYtNC4wODIBCAAAAAUAAAABMQEAAAAKMTg0MDc0MTg1NwMAAAADMTYwAgAAAAQxMzExBAAAAAEwBwAAAAk3LzMxLzIwMTgIAAAACTMvMzEvMjAxNgkAAAABMNaMETgICdYIw4afbzQJ1ggnQ0lRLk5BU0RBUUNNOlpJT1AuSVFfQkVUQV8xWVIuNy8zMS8yMDE4AQAAALNRsgACAAAADzEuMTM3Njk3NjIxNjE5MwDWjBE4CAnWCMOGn280CdYIJ0NJUS5OQVNEQVFHTTpDUlZTLklRX0JFVEFfNVlSLjcvMzEvMjAxOAEAAAD0sKYQAgAAABEtMi4yODIwMDYyOTU3MzM0OADWjBE4CAnWCBnpoW80CdYIPENJUS5OQVNEQVFH</t>
  </si>
  <si>
    <t>UzpDVE1YLklRX0VCSVREQV9FU1QuQ1kyMDE5LjcvMTYvMjAxOC5DT04uRi5VU0QuSAEAAADcOJsDAgAAAAktNzcuNjk1MDkBDgAAAAUAAAACMTEBAAAAATACAAAACjEwMDMyMTU5NzMDAAAABjEwMDE4NwQAAAABMgYAAAABMAcAAAADMTYwCAAAAAEwCQAAAAExCgAAAAEwCwAAAAsxMDg3NDU0MDA0NQwAAAABNw0AAAAJNy8xNy8yMDE4EAAAAAk3LzE2LzIwMTjE/xsRNQnWCMKbYhI1CdYINENJUS5YVFJBOk1PUi5JUV9UT1RBTF9SRVYuMTk5Mi43LzMxLzIwMTguTEZSLkYuVVNELkgBAAAA3xECAAIAAAAJNTQuNTU3MTAyAQgAAAAFAAAAATEBAAAACjE4Mzk5NDA2OTADAAAAAzE2MAIAAAACMjgEAAAAATAHAAAACTcvMzEvMjAxOAgAAAAJMy8zMS8yMDE2CQAAAAEwnAvVOAgJ1gjUX5hvNAnWCDpDSVEuTkFTREFRR1M6QVROWC5JUV9QUkVGX0VRVUlUWS4yMDAwLjUvNS8yMDE3LkxGUi5GLlVTRC5IAQAAANyZawEDAAAAAADWjBE4CAnWCCTCmm80CdYIK0NJUS5JUVRSMzE0ODI5MjM2LklRX1RSX0lNUExJRURfRVZfRUJJVF9GV0QBAAAAtOnDEgIAAAAAAFjPEg41CdYIwNuCDjUJ1ghCQ0lRLk5BU0RBUUdNOklNTVUuSVFfVE9UQUxfUkVWXzNZUl9BTk5fQ0FHUi4uNy8xNi8yMDE4LkxGUi5GLlVTRC5IAQAAACBDBAACAAAACC0xOC40MzQxAQgAAAAFAAAAATEBAAAACjE4ODg1MjMzODQDAAAAAzE2MAIAAAAE</t>
  </si>
  <si>
    <t>NDIyMAQAAAABMAcAAAAJNy8xNi8yMDE4CAAAAAkzLzMxLzIwMTgJAAAAATDE/xsRNQnWCBL+ZBI1CdYIIkNJUS5JUVRSNTUwMjU5Mzk3LklRX1RSX1BDVF9TT1VHSFQBAAAAxUrMIAIAAAAJOTAuMjkyNzY3AAxtEA41CdYId3mADjUJ1ggdQ0lRLk5BU0RBUUdTOkFUTlguSVFfRVhDSEFOR0UBAAAA3JlrAQMAAAAITmFzZGFxR1MA1owROAgJ1ggkwppvNAnWCCxDSVEuTkFTREFRR1M6QU5BQi5JUV9MQVNUU0FMRVBSSUNFLjkvMTUvMjAxNwEAAAAhTLIBAgAAAAUzMi4wNwBGnRkRNQnWCMKbYhI1CdYINUNJUS5OQVNEQVFHUzpQQllJLklRX05JX01BUkdJTi4uNy8xNi8yMDE4LkxGUi5GLlVTRC5IAQAAAAJqrAcCAAAACS0yNTguNDIwOAEIAAAABQAAAAExAQAAAAoxODg4NjY3NzQzAwAAAAMxNjACAAAABDQwOTQEAAAAATAHAAAACTcvMTYvMjAxOAgAAAAJMy8zMS8yMDE4CQAAAAEwxP8bETUJ1ggS/mQSNQnWCB1DSVEuTkFTREFRQ006WklPUC5JUV9FWENIQU5HRQEAAACzUbIAAwAAAAhOYXNkYXFDTQDWjBE4CAnWCMOGn280CdYIJENJUS5OQVNEQVFHUzpBRFhTLklRX0VGRkVDVF9UQVhfUkFURQEAAACe7HgAAwAAAAJOTQEIAAAABQAAAAExAQAAAAoxODkyNzg4NTQ4AwAAAAMxNjACAAAABDQzNzYEAAAAATAHAAAACTgvMjMvMjAxOAgAAAAJNC8zMC8yMDE4CQAAAAEwKRyUEDUJ1gjkdFsSNQnWCC9DSVEu</t>
  </si>
  <si>
    <t>SVFUUjQyNDM0MjA0Ni5JUV9UUl9JTVBMSUVEX0VWX0ZJTkFMLi5VU0QuSAEAAAAe8koZAgAAAAg1Ljg0NDI5MwEGAAAABQAAAAI1NAEAAAAGMTAyMDQ1AgAAAAk0MjQzNDIwNDYDAAAACTQyNDM0MjY1OAQAAAADMTYwBgAAAAVGYWxzZQxtEA41CdYIwNuCDjUJ1gg4Q0lRLk5BU0RBUUdTOkFUTlguSVFfRUJJVERBLkNZMjAxNi43LzMxLzIwMTguTEZSLkYuVVNELkgBAAAA3JlrAQIAAAAHLTgzLjI3NAEIAAAABQAAAAExAQAAAAoxODc5OTA3NjE5AwAAAAMxNjACAAAABDQwNTEEAAAAATAHAAAACTcvMzEvMjAxOAgAAAAKMTIvMzEvMjAxNgkAAAABMNaMETgICdYIJMKabzQJ1gg1Q0lRLk5BU0RBUUdTOk1SU04uSVFfREFfQ0YuMjAwMC43LzMxLzIwMTguTEZSLkYuVVNELkgBAAAA5sUYAAIAAAAFMC45NzcBCAAAAAUAAAABMQEAAAAKMTg4OTA5NjY1MwMAAAADMTYwAgAAAAQyMTYwBAAAAAEwBwAAAAk3LzMxLzIwMTgIAAAACTMvMzEvMjAxOAkAAAABMNaMETgICdYIw4afbzQJ1ggoQ0lRLkFTWDpJTVUuSVFfTUFSS0VUQ0FQLjkvMTUvMjAxNy5VU0QuSAEAAACYk6kAAgAAAAgzMC4zMzEyOQEGAAAABQAAAAExAQAAAAoxODU2ODUxMjE1AwAAAAMxNjACAAAABjEwMDA1NAQAAAABMAcAAAAJOS8xNS8yMDE3KRyUEDUJ1ggw110SNQnWCCJDSVEuSVFUUjQxMTg3MTA4Mi5JUV9UUl9UQVJHRVROQU1FAQAAAGqn</t>
  </si>
  <si>
    <t>jBgDAAAAHkFjZXR5bG9uIFBoYXJtYWNldXRpY2FscywgSW5jLgCys0lvNAnWCDWbk280CdYIIENJUS5JUVRSMzE0ODI5MjM2LklRX1RSX0VBUk5PVVRTAQAAALTpwxICAAAAAzExOABYzxIONQnWCMDbgg41CdYIJUNJUS5JUVRSMzE0ODI5MjM2LklRX1RSX01BSl9NSU5fU1RBS0UBAAAAtOnDEgMAAAAITWFqb3JpdHkAWM8SDjUJ1gjA24IONQnWCClDSVEuSVFUUjMxNDgyOTIzNi5JUV9CVVNJTkVTU19ERVNDUklQVElPTgEAAABE5sMSAwAAAIoDQWRtdW5lIFRoZXJhcGV1dGljcyBMTEMsIGEgY2xpbmljYWwtc3RhZ2UgYmlvdGVjaCBjb21wYW55LCBkZXZlbG9wcyBhbmQgZGVsaXZlcnMgY3l0b2tpbmUgdGhlcmFweSBkcnVncyBmb3IgdGhlIHRyZWF0bWVudCBvZiB2YXJpb3VzIGNhbmNlcnMuIEl0IGZvY3VzZXMgb24gaGV0ZXJvZGltZXJpYyBJTC0xNSwgYW4gSUwtMTUgYWdvbmlzdCBmb3IgdmFyaW91cyBhcHBsaWNhdGlvbnMgaW4gY2FuY2VyIGltbXVub3RoZXJhcHkuIFRoZSBjb21wYW55IGlzIGJhc2VkIGluIERhbnZlcnMsIE1hc3NhY2h1c2V0dHMuIEFzIG9mIE9jdG9iZXIgMTYsIDIwMTUsIEFkbXVuZSBUaGVyYXBldXRpY3MgTExDIG9wZXJhdGVzIGFzIGEgc3Vic2lkaWFyeSBvZiBOb3ZhcnRpcyBJbnRlcm5hdGlvbmFsIEFHLgAMbRAONQnWCMDbgg41CdYIJUNJUS5JUVRSMjczNTA3MTg1</t>
  </si>
  <si>
    <t>LklRX1RSX01BSl9NSU5fU1RBS0UBAAAAcWNNEAMAAAAITWFqb3JpdHkAsrNJbzQJ1giB/ZVvNAnWCDdDSVEuTkFTREFRR1M6TksuSVFfVE9UQUxfUkVWLjE5OTIuNy8zMS8yMDE4LkxGUi5GLlVTRC5IAQAAAA19oQ8CAAAABTAuMTIyAQgAAAAFAAAAATEBAAAACjE4NDA3NDE4NTcDAAAAAzE2MAIAAAACMjgEAAAAATAHAAAACTcvMzEvMjAxOAgAAAAJMy8zMS8yMDE2CQAAAAEw1owROAgJ1gjDhp9vNAnWCDtDSVEuTkFTREFRR1M6Sk5DRS5JUV9UT1RBTF9SRVYuQ1kyMDE2LjcvMTYvMjAxOC5MRlIuRi5VU0QuSAEAAADieZ4NAgAAAAYzNy4xOTcBCAAAAAUAAAABMQEAAAAKMTg3NzcxNjQ5MgMAAAADMTYwAgAAAAIyOAQAAAABMAcAAAAJNy8xNi8yMDE4CAAAAAoxMi8zMS8yMDE2CQAAAAEwKRyUEDUJ1gjkdFsSNQnWCBZDSVEuLklRX1RSX0NMT1NFRF9EQVRFBQAAAAAAAAAIAAAAFChJbnZhbGlkIElkZW50aWZpZXIpDG0QDjUJ1gh3eYAONQnWCDdDSVEuTkFTREFRR1M6UEJZSS5JUV9QUkVGX0VRVUlUWS4uNy8xNi8yMDE4LkxGUi5GLlVTRC5IAQAAAAJqrAcDAAAAAADE/xsRNQnWCBL+ZBI1CdYIK0NJUS5JUVRSNDA4MjkxMzk1LklRX1RSX0lNUExJRURfRVZfRUJJVF9GV0QBAAAAQwhWGAIAAAAAAFjPEg41CdYIwNuCDjUJ1gg8Q0lRLk5BU0RBUUNNOkNLUFQuSVFfRUJJVERBX0VTVC5DWTIwMjAuNy8x</t>
  </si>
  <si>
    <t>Ni8yMDE4LkNPTi5GLlVTRC5IAQAAALhRFhECAAAABS00OS41AQ4AAAAFAAAAAjExAQAAAAEwAgAAAAoxMDAzNjY1NjA3AwAAAAYxMDAxODcEAAAAATIGAAAAATAHAAAAAzE2MAgAAAABMAkAAAABMQoAAAABMAsAAAALMTA4Nzg3MDQzNDYMAAAAATcNAAAACTcvMTcvMjAxOBAAAAAJNy8xNi8yMDE4KRyUEDUJ1gjkdFsSNQnWCCpDSVEuSVFUUjU1MzU0ODAyNS5JUV9UUl9UQVJHRVRfRUJJVC4uVVNELkgBAAAA+Xj+IAIAAAAJLTkuNDA0Mjk0AQcAAAAFAAAAAjM3AQAAAAoxODc3MDA1MjU3AgAAAAUyMTY3NQMAAAADMTYwBAAAAAEwBwAAAAgxLzEvMTkwMAYAAAAJMi8yMS8yMDE4srNJbzQJ1giB/ZVvNAnWCDRDSVEuT1RDUEs6TldCTy5JUV9QUkVGX0VRVUlUWS4uOS8xNS8yMDE3LkxGUi5GLlVTRC5IAQAAAKN6FAADAAAAAAApHJQQNQnWCDDXXRI1CdYIOkNJUS5OQVNEQVFHTTpDUklTLklRX0VBUk5JTkdfQ08uMTk5Ni43LzMxLzIwMTguTEZSLkYuVVNELkgBAAAAF2oAAAIAAAAHLTY2LjcxMQEIAAAABQAAAAExAQAAAAoxODg2MjQ3Mzk1AwAAAAMxNjACAAAAATcEAAAAATAHAAAACTcvMzEvMjAxOAgAAAAJMy8zMS8yMDE3CQAAAAEwyDCyNwgJ1gjdS6RvNAnWCChDSVEuLklRX0NBUEVYLjIwMDAuNy8zMS8yMDE4LkxGUi5GLlVTRC5IBQAAAAEAAAAIAAAAFChJbnZhbGlkIElkZW50aWZpZXIp9YQyRzQJ</t>
  </si>
  <si>
    <t>1gj1hDJHNAnWCBlDSVEuMC5JUV9UUl9JTVBMSUVEX0VRX0JWBQAAAAAAAAAIAAAAGChJbnZhbGlkIFRyYW5zYWN0aW9uIElkKUlTR280CdYIB+LwgTQJ1gg7Q0lRLk5BU0RBUUdTOlRTUk8uSVFfVE9UQUxfUkVWLkNZMjAxNy43LzE2LzIwMTguTEZSLkYuVVNELkgBAAAAaNZYBgIAAAAHMjIzLjMyNgEIAAAABQAAAAExAQAAAAoxODc3MjI2MzAxAwAAAAMxNjACAAAAAjI4BAAAAAEwBwAAAAk3LzE2LzIwMTgIAAAACjEyLzMxLzIwMTcJAAAAATDE/xsRNQnWCBL+ZBI1CdYIPkNJUS5OQVNEQVFHUzpDQUxBLklRX1RPVEFMX0VRVUlUWS5DWTIwMTYuNy8zMS8yMDE4LkxGUi5GLlVTRC5IAQAAAKUngQYCAAAABjQ5LjkwNgEIAAAABQAAAAExAQAAAAoxODc3OTU1NjAxAwAAAAMxNjACAAAABDEyNzUEAAAAATAHAAAACTcvMzEvMjAxOAgAAAAKMTIvMzEvMjAxNgkAAAABMMgwsjcICdYI3UukbzQJ1gg3Q0lRLk5BU0RBUUdNOkNSVlMuSVFfUEVSSU9EREFURV9JUy4yMDAwLjcvMzEvMjAxOC5MRlIuRgEAAAD0sKYQBQAAAAkzLzMxLzIwMTgA1owROAgJ1ggZ6aFvNAnWCCVDSVEuSVFUUjQwOTk1MTg4Ni5JUV9UUl9NQUpfTUlOX1NUQUtFAQAAAI5ebxgDAAAACE1ham9yaXR5AAxtEA41CdYIwNuCDjUJ1gg8Q0lRLk5BU0RBUUNNOk1URU0uSVFfRUFSTklOR19DTy5DWTIwMTYuNy8zMS8yMDE4LkxGUi5GLlVTRC5I</t>
  </si>
  <si>
    <t>AQAAAJmbqQECAAAABy0xMS4wMjgBCAAAAAUAAAABMQEAAAAKMTg4MTExODc0NAMAAAADMTYwAgAAAAE3BAAAAAEwBwAAAAk3LzMxLzIwMTgIAAAACjEyLzMxLzIwMTYJAAAAATDIMLI3CAnWCBnpoW80CdYIJUNJUS5JUVRSMjczNTA3MTg1LklRX1RSX0lNUExJRURfRVFfQlYBAAAAcWNNEAIAAAAINi42MjUzNDEBBgAAAAUAAAACNTQBAAAABjEwMjA5NwIAAAAJMjczNTA3MTg1AwAAAAkyNzM1MDc3ODcEAAAAAzE2MAYAAAAFRmFsc2Wys0lvNAnWCIH9lW80CdYIPkNJUS5OQVNEQVFHTTpJTU1VLklRX1RPVEFMX0VRVUlUWS5DWTIwMTYuNy8xNi8yMDE4LkxGUi5GLlVTRC5IAQAAACBDBAACAAAACi03NS4xODIyMzYBCAAAAAUAAAABMQEAAAAKMTg3MzQ5MzQ5MQMAAAADMTYwAgAAAAQxMjc1BAAAAAEwBwAAAAk3LzE2LzIwMTgIAAAACjEyLzMxLzIwMTYJAAAAATDE/xsRNQnWCBL+ZBI1CdYIOENJUS5OQVNEQVFHUzpDQUxBLklRX0dST1NTX01BUkdJTi4uNy8xNi8yMDE4LkxGUi5GLlVTRC5IAQAAAKUngQYCAAAABy05Mi44MDIBCAAAAAUAAAABMQEAAAAKMTg4Nzk4MDMwNQMAAAADMTYwAgAAAAQ0MDc0BAAAAAEwBwAAAAk3LzE2LzIwMTgIAAAACTMvMzEvMjAxOAkAAAABMCkclBA1CdYI5HRbEjUJ1gg+Q0lRLk5BU0RBUUNNOkNLUFQuSVFfVE9UQUxfRVFVSVRZLkNZMjAxNi43LzE2LzIwMTguTEZSLkYu</t>
  </si>
  <si>
    <t>VVNELkgBAAAAuFEWEQIAAAAGMzIuMzA1AQgAAAAFAAAAATEBAAAACjE4Nzg3ODQ1NzUDAAAAAzE2MAIAAAAEMTI3NQQAAAABMAcAAAAJNy8xNi8yMDE4CAAAAAoxMi8zMS8yMDE2CQAAAAEwKRyUEDUJ1gjkdFsSNQnWCD1DSVEuTkFTREFRR1M6QkdORS5JUV9SRVZFTlVFX0VTVC5DWTIwMjAuNy8xNi8yMDE4LkNPTi5GLlVTRC5IAQAAAODk3QYCAAAACTIzMy42NjY2NwEOAAAABQAAAAIxMQEAAAABMAIAAAAKMTAwMzMyNjI3NwMAAAAGMTAwMTgwBAAAAAEyBgAAAAEwBwAAAAMxNjAIAAAAATAJAAAAATEKAAAAATALAAAACzExMDMyMzY1OTIyDAAAAAE3DQAAAAk3LzE3LzIwMTgQAAAACTcvMTYvMjAxOMT/GxE1CdYIaGBnEjUJ1ghKQ0lRLihJTlZBTElEIElERU5USUZJRVIpLklRX0VCSVREQV8zWVJfQU5OX0NBR1IuMjAwMC43LzMxLzIwMTguTEZSLkYuVVNELkgFAAAAAAAAAAgAAAAUKEludmFsaWQgSWRlbnRpZmllcinIMLI3CAnWCO02sG80CdYIO0NJUS5OQVNEQVFHUzpNUlNOLklRX0VCSVRfTUFSR0lOLjIwMDAuNy8zMS8yMDE4LkxGUi5GLlVTRC5IAQAAAObFGAACAAAACS0yNzEuMjY2NgEIAAAABQAAAAExAQAAAAoxODg5MDk2NjUzAwAAAAMxNjACAAAABDQwNTMEAAAAATAHAAAACTcvMzEvMjAxOAgAAAAJMy8zMS8yMDE4CQAAAAEw1owROAgJ1gjDhp9vNAnWCB9DSVEuLklRX1RSX1RPVEFMX0dS</t>
  </si>
  <si>
    <t>T1NTX1RWLlVTRC5IBQAAAAAAAAAIAAAAFChJbnZhbGlkIElkZW50aWZpZXIpnAvVOAgJ1gh3eYAONQnWCCdDSVEuTkFTREFRR1M6QURYUy5JUV9CRVRBXzFZUi43LzE2LzIwMTgBAAAAnux4AAIAAAARMC44OTM2NDM2OTUyMTE1MjIAKRyUEDUJ1gjkdFsSNQnWCDlDSVEuTkFTREFRR1M6TVJTTi5JUV9OSV9NQVJHSU4uMjAwMC43LzMxLzIwMTguTEZSLkYuVVNELkgBAAAA5sUYAAIAAAAJLTI2My43OTY4AQgAAAAFAAAAATEBAAAACjE4ODkwOTY2NTMDAAAAAzE2MAIAAAAENDA5NAQAAAABMAcAAAAJNy8zMS8yMDE4CAAAAAkzLzMxLzIwMTgJAAAAATDWjBE4CAnWCMOGn280CdYIIUNJUS5JUTE0MTExMjQyMS5JUV9DT01QQU5ZX1RJQ0tFUgEAAABlNGkIAwAAAA1OYXNkYXFHUzpHVEhYALKzSW80CdYIJMKabzQJ1gguQ0lRLklRVFIzMDI4NjY2MjcuSVFfVFJfVEFSR0VUX1NUT0NLUFJFTUlVTV8xVwEAAADDYA0SAgAAAAAAWM8SDjUJ1ggMPoUONQnWCC5DSVEuTkFTREFRR1M6TVJTTi5JUV9NQVJLRVRDQVAuOS8xNS8yMDE3LlVTRC5IAQAAAObFGAACAAAACTM2Ny45NDQ1OQEGAAAABQAAAAExAQAAAAoxODUzMzUyMTI0AwAAAAMxNjACAAAABjEwMDA1NAQAAAABMAcAAAAJOS8xNS8yMDE3KRyUEDUJ1ghzOWASNQnWCC9DSVEuTkFTREFRR1M6T1ZJRC5JUV9DQVNIX0VRVUlWLi41LzQvMjAxNy4uLlVTRAEA</t>
  </si>
  <si>
    <t>AAAg0DcRAgAAAAk1MS45Mzk2NjEBCAAAAAUAAAABMQEAAAAKMTgzNTk1MzcxNgMAAAADMTYwAgAAAAQxMDk2BAAAAAEwBwAAAAg1LzQvMjAxNwgAAAAKMTIvMzEvMjAxNgkAAAABMLKzSW80CdYIr6jWgTQJ1gg7Q0lRLk5BU0RBUUdNOkFGTUQuSVFfTkVUX1dPUktJTkdfQ0FQLi43LzE2LzIwMTguTEZSLkYuVVNELkgBAAAA2/cMAAIAAAAJLTMuNTQxOTQ5AQgAAAAFAAAAATEBAAAACjE4ODk4NjYwNDkDAAAAAzE2MAIAAAAEMTMxMQQAAAABMAcAAAAJNy8xNi8yMDE4CAAAAAkzLzMxLzIwMTgJAAAAATApHJQQNQnWCDDXXRI1CdYIRkNJUS5OQVNEQVFHUzpUU1JPLklRX01JTk9SSVRZX0lOVEVSRVNUX1RPVEFMLjIwMDAuNS81LzIwMTcuTEZSLkYuVVNELkgBAAAAaNZYBgMAAAAAAJwL1TgICdYIJMKabzQJ1ggnQ0lRLk5BU0RBUUdNOkxQVFguSVFfQkVUQV8yWVIuNy8xNi8yMDE4AQAAAAw2CQcCAAAAETAuMjYxMDY5OTA5OTE3OTM4ACkclBA1CdYIMNddEjUJ1gg8Q0lRLk5BU0RBUUdNOk5MTksuSVFfRUFSTklOR19DTy5DWTIwMTcuNy8xNi8yMDE4LkxGUi5GLlVTRC5IAQAAAJV7jAACAAAABy03MS45NTEBCAAAAAUAAAABMQEAAAAKMTg3NzI5ODgxMwMAAAADMTYwAgAAAAE3BAAAAAEwBwAAAAk3LzE2LzIwMTgIAAAACjEyLzMxLzIwMTcJAAAAATApHJQQNQnWCOR0WxI1CdYIJ0NJUS5OQVNEQVFHUzpB</t>
  </si>
  <si>
    <t>RFhTLklRX0JFVEFfMllSLjcvMTYvMjAxOAEAAACe7HgAAgAAABAxLjcyMzkwOTA4OTk0MjI2ACkclBA1CdYI5HRbEjUJ1ghDQ0lRLk5BU0RBUUdTOk1SU04uSVFfRUJJVERBXzVZUl9BTk5fQ0FHUi4yMDAwLjcvMzEvMjAxOC5MRlIuRi5VU0QuSAEAAADmxRgAAwAAAAAA1owROAgJ1gjDhp9vNAnWCDtDSVEuTkFTREFRR1M6TVJTTi5JUV9UT1RBTF9SRVYuQ1kyMDE2LjcvMTYvMjAxOC5MRlIuRi5VU0QuSAEAAADmxRgAAgAAAAYyNS4xNzEBCAAAAAUAAAABMQEAAAAKMTg4MDU0NzM4MwMAAAADMTYwAgAAAAIyOAQAAAABMAcAAAAJNy8xNi8yMDE4CAAAAAoxMi8zMS8yMDE2CQAAAAEwxP8bETUJ1ghzOWASNQnWCDdDSVEuTkFTREFRR1M6QU5BQi5JUV9QUkVGX0VRVUlUWS4uNy8xNi8yMDE4LkxGUi5GLlVTRC5IAQAAACFMsgEDAAAAAADE/xsRNQnWCMKbYhI1CdYIJUNJUS5JUVRSNTM1NzE5OTk4LklRX1BSSU1BUllfSU5EVVNUUlkBAAAAP8ykBwMAAAANQmlvdGVjaG5vbG9neQCys0lvNAnWCIH9lW80CdYIOUNJUS5OQVNEQVFHTTpBUlFMLklRX1RPVEFMX1JFVi4xOTkyLjcvMzEvMjAxOC5MRlIuRi5VU0QuSAEAAAD2YQAAAgAAAAU5LjY4MQEIAAAABQAAAAExAQAAAAoxODQxOTkyNTY5AwAAAAMxNjACAAAAAjI4BAAAAAEwBwAAAAk3LzMxLzIwMTgIAAAACTMvMzEvMjAxNgkAAAABMNaMETgICdYIcySd</t>
  </si>
  <si>
    <t>bzQJ1ggpQ0lRLklRVFIzNzE3MTUxMTkuSVFfQlVTSU5FU1NfREVTQ1JJUFRJT04BAAAAv/prDAMAAACwAkNvcm1vcmFudCBQaGFybWFjZXV0aWNhbHMgQUIgZGV2ZWxvcHMgdGhlcmFwZXV0aWNzIGluY2x1ZGluZyBIdU1heC1JTDggYW50aWJvZHkgcHJvZ3JhbSBmb3IgdGhlIHRyZWF0bWVudCBvZiBjYW5jZXIgYW5kIHJhcmUgZGlzZWFzZXMuIFRoZSBjb21wYW55IHdhcyBmb3VuZGVkIGluIDIwMTAgYW5kIGlzIGJhc2VkIGluIFNvbG5hLCBTd2VkZW4uIEFzIG9mIEp1bHkgNSwgMjAxNiwgQ29ybW9yYW50IFBoYXJtYWNldXRpY2FscyBBQiBvcGVyYXRlcyBhcyBhIHN1YnNpZGlhcnkgb2YgQnJpc3RvbC1NeWVycyBTcXVpYmIgQ29tcGFueS4ADG0QDjUJ1gjA24IONQnWCC5DSVEuSVFUUjQxMTg3MTA4Mi5JUV9UUl9UQVJHRVRfU1RPQ0tQUkVNSVVNXzFNAQAAAGqnjBgCAAAAAACys0lvNAnWCDWbk280CdYIK0NJUS5JUVRSNTQyODA2Njg2LklRX1RSX0lNUExJRURfRVZfRUJJVF9GV0QBAAAAnpJaIAIAAAAAALKzSW80CdYIgf2VbzQJ1ggiQ0lRLklRVFI1NDI4MDY2ODYuSVFfVFJfVEFSR0VUTkFNRQEAAACeklogAwAAABxHbHljb3RvcGUgQmlvdGVjaG5vbG9neSBHbWJIALKzSW80CdYIgf2VbzQJ1gg9Q0lRLihJTlZBTElEIElERU5USUZJRVIpLklRX0VCSVREQS4xOTk2LjcvMzEvMjAxOC5MRlIu</t>
  </si>
  <si>
    <t>Ri5VU0QuSAUAAAAAAAAACAAAABQoSW52YWxpZCBJZGVudGlmaWVyKcgwsjcICdYI7TawbzQJ1gghQ0lRLk5BU0RBUUdTOk1HTlguSVFfQ09NUEFOWV9OQU1FAQAAAE8rCQADAAAAEU1hY3JvR2VuaWNzLCBJbmMuAEadGRE1CdYIwptiEjUJ1ggrQ0lRLklRVFIzMjE4NjUyOTcuSVFfVFJfSU1QTElFRF9FVl9FQklUX0ZXRAEAAABRRi8TAgAAAAAAWM8SDjUJ1ggMPoUONQnWCC5DSVEuTkFTREFRR1M6VFNSTy5JUV9NQVJLRVRDQVAuOS8xNS8yMDE3LlVTRC5IAQAAAGjWWAYCAAAACzYzNDcuODQyOTE0AQYAAAAFAAAAATEBAAAACjE4NTI2NjA1ODMDAAAAAzE2MAIAAAAGMTAwMDU0BAAAAAEwBwAAAAk5LzE1LzIwMTdGnRkRNQnWCBL+ZBI1CdYIQ0NJUS5OQVNEQVFHUzpDQUxBLklRX0VCSVREQV81WVJfQU5OX0NBR1IuMjAwMC43LzMxLzIwMTguTEZSLkYuVVNELkgBAAAApSeBBgMAAAAAAMgwsjcICdYI3UukbzQJ1gg8Q0lRLk5BU0RBUUdNOk5MTksuSVFfRUFSTklOR19DTy5DWTIwMTYuNy8xNi8yMDE4LkxGUi5GLlVTRC5IAQAAAJV7jAACAAAABy04NS4xNTUBCAAAAAUAAAABMQEAAAAKMTg3NzI5ODcwNQMAAAADMTYwAgAAAAE3BAAAAAEwBwAAAAk3LzE2LzIwMTgIAAAACjEyLzMxLzIwMTYJAAAAATApHJQQNQnWCOR0WxI1CdYINkNJUS5OQVNEQVFHTTpBUlFMLklRX0VCSVREQS4xOTk2LjcvMzEvMjAx</t>
  </si>
  <si>
    <t>OC5MRlIuRi5VU0QuSAEAAAD2YQAAAgAAAActMjUuMDUxAQgAAAAFAAAAATEBAAAACjE4ODg3ODg3MzcDAAAAAzE2MAIAAAAENDA1MQQAAAABMAcAAAAJNy8zMS8yMDE4CAAAAAkzLzMxLzIwMTcJAAAAATDWjBE4CAnWCHMknW80CdYIIkNJUS5JUVRSNTYzOTE5MDQ5LklRX1RSX1RBUkdFVE5BTUUBAAAAybicIQMAAAAWQVJNTyBCaW9TY2llbmNlcywgSW5jLgAMbRAONQnWCMDbgg41CdYIJ0NJUS5OQVNEQVFHUzpNR05YLklRX0JFVEFfMVlSLjcvMTYvMjAxOAEAAABPKwkAAgAAABEwLjUwMjgxOTU0MjM5Njk3NADE/xsRNQnWCMKbYhI1CdYIPENJUS5OQVNEQVFHTTpBUlFMLklRX0VCSVREQV9FU1QuQ1kyMDIwLjcvMzEvMjAxOC5DT04uRi5VU0QuSAEAAAD2YQAAAwAAAAAA1owROAgJ1ghzJJ1vNAnWCClDSVEuSVFUUjQxMzk1MzY2MS5JUV9UUl9JTVBMSUVEX0VRX05JX0xUTQEAAAB9bqwYAwAAAAJOTQCys0lvNAnWCIH9lW80CdYIP0NJUS4oSU5WQUxJRCBJREVOVElGSUVSKS5JUV9FQklUREEuQ1kyMDE3LjcvMzEvMjAxOC5MRlIuRi5VU0QuSAUAAAAAAAAACAAAABQoSW52YWxpZCBJZGVudGlmaWVyKcgwsjcICdYI7TawbzQJ1ggiQ0lRLklRVFIzMDc4NjM5ODQuSVFfVFJfVE9UQUxfQ0FTSAEAAACwoVkSAgAAAAI5NQEGAAAABQAAAAI1NAEAAAAGMTAxMDU2AgAAAAkzMDc4NjM5ODQDAAAACTMwNzg2</t>
  </si>
  <si>
    <t>NDI4MAQAAAADMTYwBgAAAAVGYWxzZVjPEg41CdYIwNuCDjUJ1gg3Q0lRLk5BU0RBUUdTOkNBTEEuSVFfRUJJVF9NQVJHSU4uLjcvMTYvMjAxOC5MRlIuRi5VU0QuSAEAAAClJ4EGAgAAAAktMTQwLjAzNDEBCAAAAAUAAAABMQEAAAAKMTg4Nzk4MDMwNQMAAAADMTYwAgAAAAQ0MDUzBAAAAAEwBwAAAAk3LzE2LzIwMTgIAAAACTMvMzEvMjAxOAkAAAABMCkclBA1CdYI5HRbEjUJ1ggrQ0lRLklRVFI0MDc3NjA2OTIuSVFfVFJfVE9UQUxfR1JPU1NfVFYuLlVTRAEAAAA0700YAgAAAAsxNDAxLjU1MjQyMgEGAAAABQAAAAI1NAEAAAAGMTAyMDg4AgAAAAk0MDc3NjA2OTIDAAAACTQwNzc4NTMyMAQAAAADMTYwBgAAAAVGYWxzZQxtEA41CdYIDD6FDjUJ1gg0Q0lRLk5BU0RBUUdTOk5LLklRX0VCSVREQS4yMDAwLjcvMzEvMjAxOC5MRlIuRi5VU0QuSAEAAAANfaEPAgAAAActOTUuOTEzAQgAAAAFAAAAATEBAAAACjE4ODcxMTg3OTEDAAAAAzE2MAIAAAAENDA1MQQAAAABMAcAAAAJNy8zMS8yMDE4CAAAAAkzLzMxLzIwMTgJAAAAATDWjBE4CAnWCMOGn280CdYINUNJUS5OQVNEQVFHTTpJTU1VLklRX0NBUEVYLjE5OTYuNy8zMS8yMDE4LkxGUi5GLlVTRC5IAQAAACBDBAACAAAACS0xLjYyNDgyMgEIAAAABQAAAAExAQAAAAoxODg4NTIzMzkyAwAAAAMxNjACAAAABDIwMjEEAAAAATAHAAAACTcvMzEvMjAxOAgA</t>
  </si>
  <si>
    <t>AAAJMy8zMS8yMDE3CQAAAAEwnAvVOAgJ1gjUX5hvNAnWCCFDSVEuSVFUUjU1MTE2NjI5Mi5JUV9UUl9CVVlFUk5BTUUBAAAAVCHaIAMAAAAWU2VhdHRsZSBHZW5ldGljcywgSW5jLgAMbRAONQnWCMDbgg41CdYIRkNJUS5OQVNEQVFHUzpFUFpNLklRX1RPVEFMX1JFVl8yWVJfQU5OX0NBR1IuMjAwMC43LzMxLzIwMTguTEZSLkYuVVNELkgBAAAAAyY9AwIAAAAIMTE3LjEzNDkBCAAAAAUAAAABMQEAAAAKMTg4NzI0NjA3NwMAAAADMTYwAgAAAAQ0MjA3BAAAAAEwBwAAAAk3LzMxLzIwMTgIAAAACTMvMzEvMjAxOAkAAAABMNaMETgICdYIcySdbzQJ1gggQ0lRLklRVFI1MzMzODU3NDQuSVFfVFJfRUFSTk9VVFMBAAAAENLKHwIAAAAEMjAyMAEGAAAABQAAAAI1NAEAAAAGMTAxNDAzAgAAAAk1MzMzODU3NDQDAAAACTUzMzM4NTgyNAQAAAADMTYwBgAAAAVGYWxzZQxtEA41CdYIwNuCDjUJ1gguQ0lRLihJTlZBTElEIElERU5USUZJRVIpLklRX0JFVEFfNVlSLjcvMzEvMjAxOAUAAAAAAAAACAAAABQoSW52YWxpZCBJZGVudGlmaWVyKcgwsjcICdYI7TawbzQJ1ggyQ0lRLihJTlZBTElEIElERU5USUZJRVIpLklRX0xBU1RTQUxFUFJJQ0UuNS81LzIwMTcFAAAAAAAAAAgAAAAUKEludmFsaWQgSWRlbnRpZmllcinIMLI3CAnWCO02sG80CdYIPUNJUS5OQVNEQVFHTTpBUlJZLklRX1JFVkVOVUVfRVNULkNZMjAx</t>
  </si>
  <si>
    <t>OC43LzMxLzIwMTguQ09OLkYuVVNELkgBAAAA+GEAAAIAAAAIMTg4LjYzMzgBDgAAAAUAAAACMTEBAAAAATACAAAACTI1ODM4MDg5MwMAAAAGMTAwMTgwBAAAAAEyBgAAAAEwBwAAAAMxNjAIAAAAATAJAAAAATEKAAAAATALAAAACzEwOTk0NjE3OTIxDAAAAAE3DQAAAAg4LzEvMjAxOBAAAAAJNy8zMS8yMDE4nAvVOAgJ1gjUX5hvNAnWCDFDSVEuSVFUUjQwOTk1MTg4Ni5JUV9UUl9UQVJHRVRfUkVWRU5VRV9FU1QuLlVTRC5IAQAAAI5ebxgCAAAAAAAMbRAONQnWCMDbgg41CdYIKUNJUS5OQVNEQVFDTTpNVEVNLklRX0JVU0lORVNTX0RFU0NSSVBUSU9OAQAAAJmbqQEDAAAAmQVNb2xlY3VsYXIgVGVtcGxhdGVzLCBJbmMuLCBhIGNsaW5pY2FsIHN0YWdlIGJpb3BoYXJtYWNldXRpY2FsIGNvbXBhbnksIGZvY3VzZXMgb24gdGhlIGRpc2NvdmVyeSBhbmQgZGV2ZWxvcG1lbnQgb2YgYmlvbG9naWMgdGhlcmFwZXV0aWNzIGZvciB0aGUgdHJlYXRtZW50IG9mIGNhbmNlciBhbmQgb3RoZXIgZGlzZWFzZXMuIFRoZSBjb21wYW55IHByaW1hcmlseSBkZXZlbG9wcyBhIHBpcGVsaW5lIG9mIGVuZ2luZWVyZWQgdG94aW4gYm9kaWVzLiBJdHMgbGVhZCBkcnVnIGNhbmRpZGF0ZSBpcyBNVC0zNzI0IHRoYXQgaXMgaW4gYSBQaGFzZSBJIGNsaW5pY2FsIHRyaWFsIGZvciB0aGUgdHJlYXRtZW50IG9mIHJlbGFwc2Vk</t>
  </si>
  <si>
    <t>L3JlZnJhY3Rvcnkgbm9uLUhvZGdraW7igJlzIGx5bXBob21hIGFuZCBCLWNlbGwgbHltcGhvbWEuIFRoZSBjb21wYW55IGFsc28gZGV2ZWxvcHMgTVQtNDAxOSwgYSBwcmVjbGluaWNhbCBkcnVnIGNhbmRpZGF0ZSB0YXJnZXRpbmcgQ0QzODsgYW5kIG90aGVyIGNhbmRpZGF0ZXMgdGhhdCBhcmUgaW4gcHJlLWNsaW5pY2FsIGRldmVsb3BtZW50IGZvciB0aGUgdHJlYXRtZW50IG9mIHNvbGlkIGFuZCBoZW1hdG9sb2dpY2FsIGNhbmNlcnMuIE1vbGVjdWxhciBUZW1wbGF0ZXMsIEluYy4gaXMgaGVhZHF1YXJ0ZXJlZCBpbiBBdXN0aW4sIFRleGFzLgDIMLI3CAnWCBnpoW80CdYIK0NJUS5JUVRSMjQ1ODMxMDA3LklRX1RSX1RPVEFMX0dST1NTX1RWLi5VU0QBAAAAXxWnDgIAAAAKODgyLjA5NjYxNwCys0lvNAnWCIH9lW80CdYIOUNJUS4uSVFfVE9UQUxfUkVWXzNZUl9BTk5fQ0FHUi4yMDAwLjcvMzEvMjAxOC5MRlIuRi5VU0QuSAUAAAABAAAACAAAABQoSW52YWxpZCBJZGVudGlmaWVyKfWEMkc0CdYI9YQyRzQJ1ggjQ0lRLk5BU0RBUUdTOkpOQ0UuSVFfUEVSSU9EREFURV9JUy4BAAAA4nmeDQUAAAAJNi8zMC8yMDE4ACkclBA1CdYI5HRbEjUJ1ggnQ0lRLk5BU0RBUUNNOkNLUFQuSVFfQkVUQV81WVIuNy8xNi8yMDE4AQAAALhRFhEDAAAAAAApHJQQNQnWCOR0WxI1CdYIQ0NJUS4oSU5WQUxJRCBJREVO</t>
  </si>
  <si>
    <t>VElGSUVSKS5JUV9FQVJOSU5HX0NPLkNZMjAxNi43LzMxLzIwMTguTEZSLkYuVVNELkgFAAAAAAAAAAgAAAAUKEludmFsaWQgSWRlbnRpZmllcinIMLI3CAnWCO02sG80CdYIPUNJUS5OQVNEQVFHUzpBTkFCLklRX1JFVkVOVUVfRVNULkNZMjAyMS43LzE2LzIwMTguQ09OLkYuVVNELkgBAAAAIUyyAQIAAAAGMjIuMTc0AQ4AAAAFAAAAAjExAQAAAAEwAgAAAAoxMDAzNjI5NDQ0AwAAAAYxMDAxODAEAAAAATIGAAAAATAHAAAAAzE2MAgAAAABMAkAAAABMQoAAAABMAsAAAALMTA4ODc1MTMzNDEMAAAAATcNAAAACTcvMTcvMjAxOBAAAAAJNy8xNi8yMDE4xP8bETUJ1gjCm2ISNQnWCENDSVEuTkFTREFRR1M6TVJTTi5JUV9FQklUREFfM1lSX0FOTl9DQUdSLjIwMDAuNy8zMS8yMDE4LkxGUi5GLlVTRC5IAQAAAObFGAADAAAAAADWjBE4CAnWCMOGn280CdYIIkNJUS4uSVFfVFJfVEFSR0VUX1RPVEFMX1JFVi4uVVNELkgFAAAAAAAAAAgAAAAUKEludmFsaWQgSWRlbnRpZmllcimcC9U4CAnWCHd5gA41CdYIOkNJUS5OQVNEQVFDTTpNVEVNLklRX0VBUk5JTkdfQ08uMTk5Ni43LzMxLzIwMTguTEZSLkYuVVNELkgBAAAAmZupAQIAAAAJLTkuODg3Mjg4AQgAAAAFAAAAATEBAAAACjE4ODg3MzMwMDIDAAAAAzE2MAIAAAABNwQAAAABMAcAAAAJNy8zMS8yMDE4CAAAAAkzLzMxLzIwMTcJAAAAATDIMLI3CAnWCBnp</t>
  </si>
  <si>
    <t>oW80CdYIJUNJUS5JUVRSNTYzOTE5MDQ5LklRX1RSX01BSl9NSU5fU1RBS0UBAAAAybicIQMAAAAITWFqb3JpdHkADG0QDjUJ1gjA24IONQnWCC5DSVEuKElOVkFMSUQgSURFTlRJRklFUikuSVFfQkVUQV8xWVIuNy8xNi8yMDE4BQAAAAAAAAAIAAAAFChJbnZhbGlkIElkZW50aWZpZXIpIAqBEDUJ1giYElkSNQnWCD1DSVEuTkFTREFRR1M6TksuSVFfTkVUX1dPUktJTkdfQ0FQLjIwMDAuNy8zMS8yMDE4LkxGUi5GLlVTRC5IAQAAAA19oQ8CAAAABy0xMy44MjIBCAAAAAUAAAABMQEAAAAKMTg4NzExODc5MQMAAAADMTYwAgAAAAQxMzExBAAAAAEwBwAAAAk3LzMxLzIwMTgIAAAACTMvMzEvMjAxOAkAAAABMNaMETgICdYIw4afbzQJ1ggxQ0lRLk5BU0RBUUdTOkNUTVguSVFfREFfQ0YuLjcvMTYvMjAxOC5MRlIuRi5VU0QuSAEAAADcOJsDAgAAAAUxLjU2MgEIAAAABQAAAAExAQAAAAoxODg3Njc1MzE2AwAAAAMxNjACAAAABDIxNjAEAAAAATAHAAAACTcvMTYvMjAxOAgAAAAJMy8zMS8yMDE4CQAAAAEwxP8bETUJ1gjCm2ISNQnWCD9DSVEuTkFTREFRR1M6Q1RNWC5JUV9FQklUREFfM1lSX0FOTl9DQUdSLi43LzE2LzIwMTguTEZSLkYuVVNELkgBAAAA3DibAwMAAAACTk0BCAAAAAUAAAABMQEAAAAKMTg4NzY3NTMxNgMAAAADMTYwAgAAAAQ0MjIyBAAAAAEwBwAAAAk3LzE2LzIwMTgIAAAACTMvMzEvMjAx</t>
  </si>
  <si>
    <t>OAkAAAABMMT/GxE1CdYIwptiEjUJ1ggpQ0lRLklRVFI0MDc3NjA2OTIuSVFfQlVTSU5FU1NfREVTQ1JJUFRJT04BAAAAt+4qAAMAAAC6CUdhbnltZWQgUGhhcm1hY2V1dGljYWxzIEFHIG9wZXJhdGVzIGFzIGEgYmlvcGhhcm1hY2V1dGljYWwgY29tcGFueSB0aGF0IGZvY3VzZXMgb24gdGhlIGRldmVsb3BtZW50IG9mIHRoZXJhcGV1dGljIGRydWdzIGZvciB0aGUgdHJlYXRtZW50IG9mIHNvbGlkIGNhbmNlcnMuIEl0IGZvY3VzZXMgb24gZGV2ZWxvcGluZyBpZGVhbCBtb25vY2xvbmFsIGFudGlib2RpZXMgKElNQUJzKSB0aGF0IGluY2x1ZGUgY2FuY2VyLXNlbGVjdGl2ZSB0YXJnZXRzIGZvciBtYXhpbWFsIGhpZ2gtcHJlY2lzaW9uIGFudGljYW5jZXIgcG90ZW5jeSwgYXMgd2VsbCBhcyBtaXRpZ2F0ZXMgdGhlIHRocmVhdCBvZiB0b3hpY2l0eS4gVGhlIGNvbXBhbnnigJlzIHBpcGVsaW5lIGluY2x1ZGVzIElNQUIzNjIsIGFuIGFudGlib2R5IGRydWcgY2FuZGlkYXRlIGZvciB0aGUgdHJlYXRtZW50IG9mIGdhc3Ryb2Vzb3BoYWdlYWwgY2FuY2VyOyBJTUFCMDI3LCBhIG1vbm9jbG9uYWwgYW50aWJvZHkgc2VsZWN0aXZlbHkgYmluZGluZyB0byB0aGUgY2VsbCBzdXJmYWNlIHByb3RlaW4gY2xhdWRpbi02IHRoYXQgaXMgcHJlc2VudCBpbiBhIHJhbmdlIG9mIGNhbmNlcnMsIGluY2x1ZGluZyB0</t>
  </si>
  <si>
    <t>ZXN0aWN1bGFyLCBvdmFyaWFuLCB1dGVyaW5lLCBhbmQgbHVuZyBjYW5jZXJzOyBzZWNvbmQgZ2VuZXJhdGlvbiBvZiBhbnRpYm9kaWVzIHNlbGVjdGl2ZSBhZ2FpbnN0IENMRE4xOC4yIGFuZCBDTERONiBiYXNlZCBvbiBhbnRpYm9keSBkcnVnIGNvbmp1Z2F0ZXMgYW5kIGJpc3BlY2lmaWMgYW50aWJvZHkgdGVjaG5vbG9naWVzOyBHVDQ2OCwgYSBjZWxsIHN1cmZhY2UgcHJvdGVpbjsgYW5kIEdUMzUyIGFuZCBHVDM1MyBjZWxsLXN1cmZhY2UgbW9sZWN1bGVzLiBJdCBhbHNvIGRldmVsb3BzIENsYXVkZXRlY3QxOC4yLCBhIENFIG1hcmtlZCBpbiB2aXRybyBkaWFnbm9zdGljIHRlc3QgdG8gYXNzZXNzIHRoZSBleHByZXNzaW9uIGxldmVscyBvZiBjbGF1ZGluLTE4LjIgaW4gZ2FzdHJvZXNvcGhhZ2VhbCwgcGFuY3JlYXRpYywgbHVuZywgYW5kIG90aGVyIHNvbGlkIHR1bW9ycy4gVGhlIGNvbXBhbnkgd2FzIGZvdW5kZWQgaW4gMjAwMSBhbmQgaXMgYmFzZWQgaW4gTWFpbnosIEdlcm1hbnkuIEFzIG9mIERlY2VtYmVyIDIwLCAyMDE2LCBHYW55bWVkIFBoYXJtYWNldXRpY2FscyBBRyBvcGVyYXRlcyBhcyBhIHN1YnNpZGlhcnkgb2YgQXN0ZWxsYXMgUGhhcm1hIEluYy4ADG0QDjUJ1ggMPoUONQnWCCtDSVEuQVNYOklNVS5JUV9EQV9DRi4uNy8xNi8yMDE4LkxGUi5GLlVTRC5IAQAAAJiTqQACAAAA</t>
  </si>
  <si>
    <t>CDAuMDAxNzA1AQgAAAAFAAAAATEBAAAACjE4NzczMDUzMjADAAAAAzE2MAIAAAAEMjE2MAQAAAABMAcAAAAJNy8xNi8yMDE4CAAAAAoxMi8zMS8yMDE3CQAAAAEwKRyUEDUJ1ggw110SNQnWCDVDSVEuTkFTREFRR1M6U0dFTi5JUV9UT1RBTF9SRVYuLjcvMTYvMjAxOC5MRlIuRi5VU0QuSAEAAABhhQAAAgAAAAc1MTMuNzA5AQgAAAAFAAAAATEBAAAACjE4ODQ4OTI4NTIDAAAAAzE2MAIAAAACMjgEAAAAATAHAAAACTcvMTYvMjAxOAgAAAAJMy8zMS8yMDE4CQAAAAEwxP8bETUJ1ghoYGcSNQnWCBtDSVEuLklRX0dQLi43LzE2LzIwMTguLi5VU0QFAAAAAQAAAAgAAAAUKEludmFsaWQgSWRlbnRpZmllcilGnRkRNQnWCEadGRE1CdYIL0NJUS5JUVRSNTMzMzg1NzQ0LklRX1RSX0lNUExJRURfRVZfRklOQUwuLlVTRC5IAQAAABDSyh8CAAAABDIzMjABBgAAAAUAAAACNTQBAAAABjEwMjA0NQIAAAAJNTMzMzg1NzQ0AwAAAAk1MzMzODU4MjQEAAAAAzE2MAYAAAAFRmFsc2UMbRAONQnWCHd5gA41CdYILUNJUS5OQVNEQVFHUzpTR0VOLklRX0VBUk5JTkdfQ08uLi5MRlIuRi5VU0QuSAEAAABhhQAAAgAAAActNDQuNjIyAQgAAAAFAAAAATEBAAAACjE4OTcyMzM1MTgDAAAAAzE2MAIAAAABNwQAAAABMAcAAAAJOC8yMy8yMDE4CAAAAAk2LzMwLzIwMTgJAAAAATBGnRkRNQnWCEadGRE1CdYIPENJUS4oSU5WQUxJ</t>
  </si>
  <si>
    <t>RCBJREVOVElGSUVSKS5JUV9DQVBFWC4xOTkyLjcvMzEvMjAxOC5MRlIuRi5VU0QuSAUAAAAAAAAACAAAABQoSW52YWxpZCBJZGVudGlmaWVyKcgwsjcICdYI7TawbzQJ1gg4Q0lRLk5BU0RBUUdNOk5MTksuSVFfR1JPU1NfTUFSR0lOLi43LzE2LzIwMTguTEZSLkYuVVNELkgBAAAAlXuMAAIAAAAJLTEwNi4wMTExAQgAAAAFAAAAATEBAAAACjE4ODgzNTQyMDcDAAAAAzE2MAIAAAAENDA3NAQAAAABMAcAAAAJNy8xNi8yMDE4CAAAAAkzLzMxLzIwMTgJAAAAATApHJQQNQnWCOR0WxI1CdYIPUNJUS5OQVNEQVFHUzpLVVJBLklRX1JFVkVOVUVfRVNULkNZMjAxOC43LzMxLzIwMTguQ09OLkYuVVNELkgBAAAAuMvaEAIAAAABMAEOAAAABQAAAAIxMQEAAAABMAIAAAAKMTAwMzE4NDk4OQMAAAAGMTAwMTgwBAAAAAEyBgAAAAEwBwAAAAMxNjAIAAAAATAJAAAAATEKAAAAATALAAAACzExMDIzMTA0NjY1DAAAAAE3DQAAAAg4LzEvMjAxOBAAAAAJNy8zMS8yMDE41owROAgJ1ghzJJ1vNAnWCCVDSVEuSVFUUjQwODI5MTM5NS5JUV9UUl9NQUpfTUlOX1NUQUtFAQAAAEMIVhgDAAAACE1ham9yaXR5AFjPEg41CdYIwNuCDjUJ1gg8Q0lRLk5BU0RBUUdTOlRTUk8uSVFfRUJJVERBX0VTVC5DWTIwMTguNy8xNi8yMDE4LkNPTi5GLlVTRC5IAQAAAGjWWAYCAAAACi01MTUuNzAyMjIBDgAAAAUAAAACMTEBAAAAATACAAAA</t>
  </si>
  <si>
    <t>CjEwMDE1ODAzNDADAAAABjEwMDE4NwQAAAABMgYAAAABMAcAAAADMTYwCAAAAAEwCQAAAAExCgAAAAEwCwAAAAsxMDk0MDUwNjk2MwwAAAABNw0AAAAJNy8xNy8yMDE4EAAAAAk3LzE2LzIwMTjE/xsRNQnWCBL+ZBI1CdYIIkNJUS4wLklRX1RSX1RBUkdFVF9TVE9DS1BSRU1JVU1fMU0FAAAAAAAAAAgAAAAYKEludmFsaWQgVHJhbnNhY3Rpb24gSWQpSVNHbzQJ1ggH4vCBNAnWCDlDSVEuTkFTREFRR006QVJSWS5JUV9OSV9NQVJHSU4uMjAwMC43LzMxLzIwMTguTEZSLkYuVVNELkgBAAAA+GEAAAIAAAAJLTE0Ni41ODI5AQgAAAAFAAAAATEBAAAACjE4ODg0NzA2NzYDAAAAAzE2MAIAAAAENDA5NAQAAAABMAcAAAAJNy8zMS8yMDE4CAAAAAkzLzMxLzIwMTgJAAAAATCcC9U4CAnWCNRfmG80CdYIP0NJUS5OQVNEQVFHTTpDUlZTLklRX05FVF9XT1JLSU5HX0NBUC4xOTkyLjcvMzEvMjAxOC5MRlIuRi5VU0QuSAEAAAD0sKYQAgAAAAYtMS42MTEBCAAAAAUAAAABMQEAAAAKMTg0MDExNjE1NAMAAAADMTYwAgAAAAQxMzExBAAAAAEwBwAAAAk3LzMxLzIwMTgIAAAACTMvMzEvMjAxNgkAAAABMNaMETgICdYIGemhbzQJ1gg3Q0lRLk5BU0RBUUdTOkFOQUIuSVFfRUJJVF9NQVJHSU4uLjcvMTYvMjAxOC5MRlIuRi5VU0QuSAEAAAAhTLIBAwAAAAJOTQEIAAAABQAAAAExAQAAAAoxODg3NDAwMDQzAwAAAAMxNjAC</t>
  </si>
  <si>
    <t>AAAABDQwNTMEAAAAATAHAAAACTcvMTYvMjAxOAgAAAAJMy8zMS8yMDE4CQAAAAEwxP8bETUJ1gjCm2ISNQnWCCRDSVEuTkFTREFRR006QUZNRC5JUV9FRkZFQ1RfVEFYX1JBVEUBAAAA2/cMAAMAAAACTk0BCAAAAAUAAAABMQEAAAAKMTg5OTE5NzU4MgMAAAACNTACAAAABDQzNzYEAAAAATAHAAAACTgvMjMvMjAxOAgAAAAJNi8zMC8yMDE4CQAAAAEwKRyUEDUJ1ggw110SNQnWCD9DSVEuTkFTREFRR1M6QkdORS5JUV9ORVRfV09SS0lOR19DQVAuMjAwMC43LzMxLzIwMTguTEZSLkYuVVNELkgBAAAA4OTdBgIAAAAHLTEwLjY0NAEIAAAABQAAAAExAQAAAAoxODg3Njg4NTg4AwAAAAMxNjACAAAABDEzMTEEAAAAATAHAAAACTcvMzEvMjAxOAgAAAAJMy8zMS8yMDE4CQAAAAEwnAvVOAgJ1giB/ZVvNAnWCDBDSVEuTkFTREFRQ006U1JORS5JUV9MQVNUU0FMRVBSSUNFLjcvMzEvMjAxOC5VU0QBAAAASUOUAwIAAAADNS42ANaMETgICdYIcySdbzQJ1gg8Q0lRLk5BU0RBUUdTOkJHTkUuSVFfRUJJVERBX0VTVC5DWTIwMTkuNy8xNi8yMDE4LkNPTi5GLlVTRC5IAQAAAODk3QYCAAAACS0zMDQuMjAyNQEOAAAABQAAAAIxMQEAAAABMAIAAAAKMTAwMzMyNjI3MgMAAAAGMTAwMTg3BAAAAAEyBgAAAAEwBwAAAAMxNjAIAAAAATAJAAAAATEKAAAAATALAAAACzEwOTY3MTM5MDk2DAAAAAE3DQAAAAk3LzE3LzIwMTgQ</t>
  </si>
  <si>
    <t>AAAACTcvMTYvMjAxOMT/GxE1CdYIaGBnEjUJ1ggrQ0lRLklRVFIyNDU4MzEwMDcuSVFfVFJfSU1QTElFRF9FVl9FQklUX0ZXRAEAAABfFacOAwAAAAJOTQCys0lvNAnWCIH9lW80CdYIO0NJUS5OQVNEQVFHTTpJTU1VLklRX1BSRUZfRVFVSVRZLjIwMDAuNy8zMS8yMDE4LkxGUi5GLlVTRC5IAQAAACBDBAADAAAAAACcC9U4CAnWCNRfmG80CdYIOkNJUS5OQVNEQVFHTTpDUlZTLklRX0VBUk5JTkdfQ08uMjAwMC43LzMxLzIwMTguTEZSLkYuVVNELkgBAAAA9LCmEAIAAAAHLTUzLjkyOAEIAAAABQAAAAExAQAAAAoxODg2MzY3NTkxAwAAAAMxNjACAAAAATcEAAAAATAHAAAACTcvMzEvMjAxOAgAAAAJMy8zMS8yMDE4CQAAAAEw1owROAgJ1ggZ6aFvNAnWCCVDSVEuSVFUUjI2MzcxODY0Ny5JUV9UUl9NQUpfTUlOX1NUQUtFAQAAAPcGuA8DAAAACE1ham9yaXR5ALKzSW80CdYINZuTbzQJ1ghGQ0lRLk5BU0RBUUdNOkFSUlkuSVFfTUlOT1JJVFlfSU5URVJFU1RfVE9UQUwuMjAwMC41LzUvMjAxNy5MRlIuRi5VU0QuSAEAAAD4YQAAAwAAAAAAnAvVOAgJ1ggkwppvNAnWCD9DSVEuT1RDUEs6TldCTy5JUV9UT1RBTF9SRVZfM1lSX0FOTl9DQUdSLi43LzE2LzIwMTguTEZSLkYuVVNELkgBAAAAo3oUAAIAAAAILTM3LjYyMTYBCAAAAAUAAAABMQEAAAAKMTg4OTMwMjgyNAMAAAADMTYwAgAAAAQ0MjIwBAAAAAEw</t>
  </si>
  <si>
    <t>BwAAAAk3LzE2LzIwMTgIAAAACTMvMzEvMjAxOAkAAAABMCkclBA1CdYIMNddEjUJ1ggwQ0lRLlhUUkE6TU9SLklRX0NBUEVYLjE5OTIuNy8zMS8yMDE4LkxGUi5GLlVTRC5IAQAAAN8RAgACAAAACS0xLjU0OTcwOQEIAAAABQAAAAExAQAAAAoxODM5OTQwNjkwAwAAAAMxNjACAAAABDIwMjEEAAAAATAHAAAACTcvMzEvMjAxOAgAAAAJMy8zMS8yMDE2CQAAAAEwnAvVOAgJ1gjUX5hvNAnWCC5DSVEuSVFUUjU1MTE2NjI5Mi5JUV9UUl9UQVJHRVRfU1RPQ0tQUkVNSVVNXzFXAQAAAFQh2iACAAAACDExNS45ODI3AQYAAAAFAAAAAjU0AQAAAAYxMDEwNTQCAAAACTU1MTE2NjI5MgMAAAAJNTUxMTczMzc1BAAAAAMxNjAGAAAABUZhbHNlDG0QDjUJ1gjA24IONQnWCD9DSVEuTkFTREFRQ006U1JORS5JUV9ORVRfV09SS0lOR19DQVAuMTk5Mi43LzMxLzIwMTguTEZSLkYuVVNELkgBAAAASUOUAwIAAAAHLTE4Ljc0MgEIAAAABQAAAAExAQAAAAoxODQyMjUxMTIzAwAAAAMxNjACAAAABDEzMTEEAAAAATAHAAAACTcvMzEvMjAxOAgAAAAJMy8zMS8yMDE2CQAAAAEw1owROAgJ1ghzJJ1vNAnWCDZDSVEuTkFTREFRR1M6R1RIWC5JUV9FQklUREEuMTk5Ni43LzMxLzIwMTguTEZSLkYuVVNELkgBAAAAZTRpCAIAAAAKLTM2Ljc1NjA2NQEIAAAABQAAAAExAQAAAAoxODg2MzY3NjQ4AwAAAAMxNjACAAAABDQwNTEEAAAA</t>
  </si>
  <si>
    <t>ATAHAAAACTcvMzEvMjAxOAgAAAAJMy8zMS8yMDE3CQAAAAEwnAvVOAgJ1ggkwppvNAnWCC5DSVEuTkFTREFRR1M6U0dFTi5JUV9NQVJLRVRDQVAuOS8xNS8yMDE3LlVTRC5IAQAAAGGFAAACAAAACzc2OTMuNDMzNjI2AQYAAAAFAAAAATEBAAAACjE4NTEyODEyMDgDAAAAAzE2MAIAAAAGMTAwMDU0BAAAAAEwBwAAAAk5LzE1LzIwMTdGnRkRNQnWCGhgZxI1CdYIOENJUS5OQVNEQVFDTTpaSU9QLklRX0VCSVREQS5DWTIwMTcuNy8zMS8yMDE4LkxGUi5GLlVTRC5IAQAAALNRsgACAAAABy01My4xMjQBCAAAAAUAAAABMQEAAAAKMTg3NzIwNDQ2NgMAAAADMTYwAgAAAAQ0MDUxBAAAAAEwBwAAAAk3LzMxLzIwMTgIAAAACjEyLzMxLzIwMTcJAAAAATDWjBE4CAnWCMOGn280CdYIRkNJUS5OQVNEQVFHUzpFUFpNLklRX1RPVEFMX1JFVl81WVJfQU5OX0NBR1IuMjAwMC43LzMxLzIwMTguTEZSLkYuVVNELkgBAAAAAyY9AwIAAAAILTI3LjA2NDEBCAAAAAUAAAABMQEAAAAKMTg4NzI0NjA3NwMAAAADMTYwAgAAAAQ0MjMzBAAAAAEwBwAAAAk3LzMxLzIwMTgIAAAACTMvMzEvMjAxOAkAAAABMNaMETgICdYIcySdbzQJ1ggZQ0lRLjAuSVFfUFJJTUFSWV9JTkRVU1RSWQEAAABVhHcDAwAAAAAAsrNJbzQJ1ggH4vCBNAnWCCJDSVEuSVFUUjM3MTcxNTExOS5JUV9UUl9UQVJHRVROQU1FAQAAAC/sJxYDAAAAHENvcm1v</t>
  </si>
  <si>
    <t>cmFudCBQaGFybWFjZXV0aWNhbHMgQUIAWM8SDjUJ1gjA24IONQnWCCtDSVEuT1RDUEs6TldCTy5JUV9NQVJLRVRDQVAuNy8xNi8yMDE4LlVTRC5IAQAAAKN6FAACAAAACTk3LjkwOTA4OQEGAAAABQAAAAExAQAAAAoxODg5Mjk5NTQxAwAAAAMxNjACAAAABjEwMDA1NAQAAAABMAcAAAAJNy8xNi8yMDE4KRyUEDUJ1ghzOWASNQnWCCNDSVEuSVFUUjU2MzkxOTA0OS5JUV9UUl9DTE9TRURfREFURQEAAADJuJwhBQAAAAk2LzIxLzIwMTgADG0QDjUJ1gjA24IONQnWCClDSVEuSVEzNjE4MzgxNi5JUV9MQVNUU0FMRVBSSUNFLjcvMTYvMjAxOAEAAAAIHygCAgAAAAQyLjAxAAxtEA41CdYIDD6FDjUJ1gg8Q0lRLk5BU0RBUUdNOkFGTUQuSVFfRUFSTklOR19DTy5DWTIwMTYuNy8xNi8yMDE4LkxGUi5GLlVTRC5IAQAAANv3DAACAAAACi0zNC4wMDgyMzQBCAAAAAUAAAABMQEAAAAKMTg3OTE0NzY2MgMAAAADMTYwAgAAAAE3BAAAAAEwBwAAAAk3LzE2LzIwMTgIAAAACjEyLzMxLzIwMTYJAAAAATApHJQQNQnWCDDXXRI1CdYINkNJUS5OQVNEQVFHUzpKTkNFLklRX1RPVEFMX0RFQlQuLjkvMTUvMjAxNy5MRlIuRi5VU0QuSAEAAADieZ4NAgAAAAEwAQgAAAAFAAAAATEBAAAACjE4NTI3OTYyMDcDAAAAAzE2MAIAAAAENDE3MwQAAAABMAcAAAAJOS8xNS8yMDE3CAAAAAk2LzMwLzIwMTcJAAAAATDep34QNQnWCJgS</t>
  </si>
  <si>
    <t>WRI1CdYILkNJUS5JUVRSNTM1NzE5OTk4LklRX1RSX1RBUkdFVF9TVE9DS1BSRU1JVU1fMVcBAAAAPnDuHwIAAAAHMzQuNDE4NgEGAAAABQAAAAI1NAEAAAAGMTAxMDU0AgAAAAk1MzU3MTk5OTgDAAAACTUzNTcyNDgxMwQAAAADMTYwBgAAAAVGYWxzZbKzSW80CdYIgf2VbzQJ1ggoQ0lRLk5BU0RBUUdTOkdUSFguSVFfVEVWLjcvMzEvMjAxOC5VU0QuSAEAAABlNGkIAgAAAAsxNDkwLjU3MTAyNQEGAAAABQAAAAExAQAAAAoxODg2MzY3NDEwAwAAAAMxNjACAAAABjEwMDA2MAQAAAABMAcAAAAJNy8zMS8yMDE4nAvVOAgJ1ggkwppvNAnWCCNDSVEuSVFUUjM3MTcxNTExOS5JUV9UUl9DTE9TRURfREFURQEAAAAv7CcWBQAAAAg3LzUvMjAxNgBYzxIONQnWCMDbgg41CdYIKkNJUS5JUVRSNDAzNzkxNzY3LklRX1RSX1RBUkdFVF9FQklULi5VU0QuSAEAAACXXxEYAgAAAAAAWM8SDjUJ1gjA24IONQnWCDhDSVEuTkFTREFRR1M6TUdOWC5JUV9FQklUREEuQ1kyMDE2LjcvMTYvMjAxOC5MRlIuRi5VU0QuSAEAAABPKwkAAgAAAActNTIuNDM0AQgAAAAFAAAAATEBAAAACjE4NzYxMzUxNTcDAAAAAzE2MAIAAAAENDA1MQQAAAABMAcAAAAJNy8xNi8yMDE4CAAAAAoxMi8zMS8yMDE2CQAAAAEwxP8bETUJ1gjCm2ISNQnWCDNDSVEuTkFTREFRR1M6TVJTTi5JUV9QRVJJT0REQVRFX0lTLi43LzE2LzIwMTguTEZSLkYB</t>
  </si>
  <si>
    <t>AAAA5sUYAAUAAAAJMy8zMS8yMDE4AMT/GxE1CdYIczlgEjUJ1ggnQ0lRLk5BU0RBUUdTOktVUkEuSVFfQkVUQV8yWVIuNy8zMS8yMDE4AQAAALjL2hACAAAAEDEuODk5NTkyNzQ5ODYzNjEA1owROAgJ1ghzJJ1vNAnWCClDSVEuSVFUUjQwODI5MTM5NS5JUV9CVVNJTkVTU19ERVNDUklQVElPTgEAAACyTxoDAwAAAJkGS29sbHRhbiBQaGFybWFjZXV0aWNhbHMsIEluYy4gZGlzY292ZXJzIGFuZCBkZXZlbG9wcyBub3ZlbCBhbnRpYm9keS1iYXNlZCBkcnVncyB0YXJnZXRpbmcgcmVjZXB0b3IgdHlyb3NpbmUga2luYXNlcyAoUlRLKSBmb3IgdGhlIHRyZWF0bWVudCBvZiBjYW5jZXIgYW5kIG90aGVyIGRpc2Vhc2VzLiBJdHMgbGVhZCBwcm9kdWN0IGNhbmRpZGF0ZSBpbmNsdWRlcyBLVE4zMzc5LCBhbiBhbnRpYm9keSB0YXJnZXRpbmcgdGhlIEVyYkIzIFJUSywgd2hpY2ggaXMgaW4gUGhhc2UgSSBjbGluaWNhbCB0cmlhbHMgZm9yIGFkdWx0IHBhdGllbnRzIHdpdGggYWR2YW5jZWQgc29saWQgdHVtb3JzLiBUaGUgY29tcGFueSBpcyBhbHNvIGRldmVsb3BpbmcgS1ROMDE1OCwgYSBLSVQgUlRLIGluaGliaXRvciBmb3IgdGhlIHRyZWF0bWVudCBvZiBuZXVyb2ZpYnJvbWF0b3NpcyB0eXBlIDEgYW5kIG90aGVyIGluZmxhbW1hdG9yeSBkaXNlYXNlczsgYW5kIEtJVC1BREMsIGFuIGFudGlib2R5IGRy</t>
  </si>
  <si>
    <t>dWcgY29uanVnYXRlIGZvciBvbmNvbG9neSB0cmVhdG1lbnQsIGFzIHdlbGwgYXMgYSByYW5nZSBvZiByZXNlYXJjaCBwcm9ncmFtcyB0YXJnZXRpbmcgUlRLcy4gS29sbHRhbiBQaGFybWFjZXV0aWNhbHMsIEluYy4gd2FzIGZvdW5kZWQgaW4gMjAwNyBhbmQgaXMgYmFzZWQgaW4gTmV3IEhhdmVuLCBDb25uZWN0aWN1dC4gQXMgb2YgTm92ZW1iZXIgMjksIDIwMTYsIEtvbGx0YW4gUGhhcm1hY2V1dGljYWxzLCBJbmMuIG9wZXJhdGVzIGFzIGEgc3Vic2lkaWFyeSBvZiBDZWxsZGV4IFRoZXJhcGV1dGljcywgSW5jLgAMbRAONQnWCMDbgg41CdYILUNJUS5OQVNEQVFHUzpKTkNFLklRX0RJVklERU5EX1lJRUxELjcvMTYvMjAxOAEAAADieZ4NAwAAAAAA3qd+EDUJ1giYElkSNQnWCDpDSVEuTkFTREFRR1M6TksuSVFfRUJJVERBX0VTVC5DWTIwMTkuNy8zMS8yMDE4LkNPTi5GLlVTRC5IAQAAAA19oQ8DAAAAAADWjBE4CAnWCMOGn280CdYIN0NJUS5YVFJBOk1PUi5JUV9UT1RBTF9FUVVJVFkuMjAwMC43LzMxLzIwMTguTEZSLkYuVVNELkgBAAAA3xECAAIAAAAKNDE5LjYyNzU0MQEIAAAABQAAAAExAQAAAAoxODg2MTUxNjQ4AwAAAAMxNjACAAAABDEyNzUEAAAAATAHAAAACTcvMzEvMjAxOAgAAAAJMy8zMS8yMDE4CQAAAAEwnAvVOAgJ1gjUX5hvNAnWCDxDSVEuTkFTREFRR006SU1NVS5JUV9UT1RBTF9F</t>
  </si>
  <si>
    <t>UVVJVFkuMjAwMC43LzMxLzIwMTguTEZSLkYuVVNELkgBAAAAIEMEAAIAAAAJNzEuODE5NDM2AQgAAAAFAAAAATEBAAAACjE4ODg1MjMzODQDAAAAAzE2MAIAAAAEMTI3NQQAAAABMAcAAAAJNy8zMS8yMDE4CAAAAAkzLzMxLzIwMTgJAAAAATCcC9U4CAnWCNRfmG80CdYIK0NJUS5JUVRSNDA4MjkxMzk1LklRX1RSX1RPVEFMX0dST1NTX1RWLi5VU0QBAAAAQwhWGAIAAAAKMzczLjI5MTg0MgEGAAAABQAAAAI1NAEAAAAGMTAyMDg4AgAAAAk0MDgyOTEzOTUDAAAACTQwODMwNDAxMwQAAAADMTYwBgAAAAVGYWxzZVjPEg41CdYIwNuCDjUJ1gg5Q0lRLk5BU0RBUUdNOkFSUlkuSVFfVE9UQUxfREVCVC4yMDAwLjUvNS8yMDE3LkxGUi5GLlVTRC5IAQAAAPhhAAACAAAABzEyOC4zNDQBCAAAAAUAAAABMQEAAAAKMTgyNjgzODI1NgMAAAADMTYwAgAAAAQ0MTczBAAAAAEwBwAAAAg1LzUvMjAxNwgAAAAKMTIvMzEvMjAxNgkAAAABMJwL1TgICdYIJMKabzQJ1gg6Q0lRLk5BU0RBUUdTOlNHRU4uSVFfQ0FTSF9TVF9JTlZFU1QuLjkvMTUvMjAxNy5MRlIuRi5VU0QuSAEAAABhhQAAAgAAAAc0NTIuNDExAQgAAAAFAAAAATEBAAAACjE4NTEyODE1ODcDAAAAAzE2MAIAAAAEMTAwMgQAAAABMAcAAAAJOS8xNS8yMDE3CAAAAAk2LzMwLzIwMTcJAAAAATDE/xsRNQnWCGhgZxI1CdYILENJUS4uSVFfVE9UQUxfUkVWLjIw</t>
  </si>
  <si>
    <t>MDAuNy8zMS8yMDE4LkxGUi5GLlVTRC5IBQAAAAEAAAAIAAAAFChJbnZhbGlkIElkZW50aWZpZXIp9YQyRzQJ1gj1hDJHNAnWCCJDSVEuSVFUUjI2MzcxODY0Ny5JUV9UUl9UT1RBTF9DQVNIAQAAAPcGuA8CAAAAAACys0lvNAnWCDWbk280CdYIIkNJUS5JUVRSNTYxNjA2MzY1LklRX1RSX1RPVEFMX0NBU0gBAAAA3W55IQIAAAAAALKzSW80CdYINZuTbzQJ1gg5Q0lRLk5BU0RBUUdTOlRTUk8uSVFfVE9UQUxfUkVWLjE5OTIuNy8zMS8yMDE4LkxGUi5GLlVTRC5IAQAAAGjWWAYCAAAABTAuNjE3AQgAAAAFAAAAATEBAAAACjE4NDA5MzQ2NjMDAAAAAzE2MAIAAAACMjgEAAAAATAHAAAACTcvMzEvMjAxOAgAAAAJMy8zMS8yMDE2CQAAAAEwnAvVOAgJ1ggkwppvNAnWCDxDSVEuTkFTREFRR006Q1JWUy5JUV9FQklUREFfRVNULkNZMjAxOC43LzMxLzIwMTguQ09OLkYuVVNELkgBAAAA9LCmEAIAAAAHLTc2LjA1NAEOAAAABQAAAAIxMQEAAAABMAIAAAAKMTAwMzM3MDM1NAMAAAAGMTAwMTg3BAAAAAEyBgAAAAEwBwAAAAMxNjAIAAAAATAJAAAAATEKAAAAATALAAAACzEwOTU1NDYxODgzDAAAAAE3DQAAAAg4LzEvMjAxOBAAAAAJNy8zMS8yMDE41owROAgJ1ggZ6aFvNAnWCDpDSVEuTkFTREFRQ006TVRFTS5JUV9UT1RBTF9ERUJULjIwMDAuNy8zMS8yMDE4LkxGUi5GLlVTRC5IAQAAAJmbqQECAAAABTIuOTk5</t>
  </si>
  <si>
    <t>AQgAAAAFAAAAATEBAAAACjE4ODg3MzMwMDQDAAAAAzE2MAIAAAAENDE3MwQAAAABMAcAAAAJNy8zMS8yMDE4CAAAAAkzLzMxLzIwMTgJAAAAATDIMLI3CAnWCBnpoW80CdYIPUNJUS5OQVNEQVFHUzpDQUxBLklRX1JFVkVOVUVfRVNULkNZMjAyMC43LzE2LzIwMTguQ09OLkYuVVNELkgBAAAApSeBBgIAAAAFODUuMTUBDgAAAAUAAAACMTEBAAAAATACAAAACjEwMDI4OTY0MjgDAAAABjEwMDE4MAQAAAABMgYAAAABMAcAAAADMTYwCAAAAAEwCQAAAAExCgAAAAEwCwAAAAsxMDkxMzI3ODQ1NQwAAAABNw0AAAAJNy8xNy8yMDE4EAAAAAk3LzE2LzIwMTgpHJQQNQnWCOR0WxI1CdYIPENJUS5OQVNEQVFHTTpBUlFMLklRX0VBUk5JTkdfQ08uQ1kyMDE3LjcvMzEvMjAxOC5MRlIuRi5VU0QuSAEAAAD2YQAAAgAAAActMjkuMjAzAQgAAAAFAAAAATEBAAAACjE4Nzg1MDg2OTgDAAAAAzE2MAIAAAABNwQAAAABMAcAAAAJNy8zMS8yMDE4CAAAAAoxMi8zMS8yMDE3CQAAAAEw1owROAgJ1ghzJJ1vNAnWCD1DSVEuTkFTREFRR1M6Q0FMQS5JUV9SRVZFTlVFX0VTVC5DWTIwMTkuNy8zMS8yMDE4LkNPTi5GLlVTRC5IAQAAAKUngQYCAAAABzIwLjIwMjUBDgAAAAUAAAACMTEBAAAAATACAAAACjEwMDI4OTY0MjMDAAAABjEwMDE4MAQAAAABMgYAAAABMAcAAAADMTYwCAAAAAEwCQAAAAExCgAAAAEwCwAAAAsxMDkxMzI3</t>
  </si>
  <si>
    <t>ODQ3MwwAAAABNw0AAAAIOC8xLzIwMTgQAAAACTcvMzEvMjAxOMgwsjcICdYI3UukbzQJ1gg5Q0lRLi5JUV9UT1RBTF9SRVZfNVlSX0FOTl9DQUdSLjIwMDAuNy8zMS8yMDE4LkxGUi5GLlVTRC5IBQAAAAEAAAAIAAAAFChJbnZhbGlkIElkZW50aWZpZXIp9YQyRzQJ1gj1hDJHNAnWCCxDSVEuSVFUUjQyMjg4NzcwMS5JUV9UUl9UQVJHRVRfRUJJVERBLi5VU0QuSAEAAAAVwTQZAgAAAAAADG0QDjUJ1gjA24IONQnWCDxDSVEuTkFTREFRR1M6VFNSTy5JUV9UT1RBTF9FUVVJVFkuMTk5Ni43LzMxLzIwMTguTEZSLkYuVVNELkgBAAAAaNZYBgIAAAAHNTEzLjIwOAEIAAAABQAAAAExAQAAAAoxODg2MzM3NDUxAwAAAAMxNjACAAAABDEyNzUEAAAAATAHAAAACTcvMzEvMjAxOAgAAAAJMy8zMS8yMDE3CQAAAAEwnAvVOAgJ1ggkwppvNAnWCDhDSVEuTkFTREFRQ006QVZFTy5JUV9UT1RBTF9FUVVJVFkuLjcvMTYvMjAxOC5MRlIuRi5VU0QuSAEAAAD0Fh0AAgAAAActNTAuMjQ1AQgAAAAFAAAAATEBAAAACjE4ODcyMzQyOTUDAAAAAzE2MAIAAAAEMTI3NQQAAAABMAcAAAAJNy8xNi8yMDE4CAAAAAkzLzMxLzIwMTgJAAAAATDE/xsRNQnWCMKbYhI1CdYIIkNJUS5JUVRSMjQ1ODMxMDA3LklRX1RSX1RPVEFMX0NBU0gBAAAAXxWnDgIAAAAKODA3LjU1ODc5NQCys0lvNAnWCIH9lW80CdYIPENJUS5OQVNEQVFHTTpB</t>
  </si>
  <si>
    <t>Rk1ELklRX0VCSVREQV9FU1QuQ1kyMDIwLjcvMTYvMjAxOC5DT04uRi5VU0QuSAEAAADb9wwAAwAAAAAAKRyUEDUJ1ggw110SNQnWCDtDSVEuTkFTREFRR006Q1JJUy5JUV9UT1RBTF9SRVYuQ1kyMDE2LjcvMzEvMjAxOC5MRlIuRi5VU0QuSAEAAAAXagAAAgAAAAU3LjUyNwEIAAAABQAAAAExAQAAAAoxODc4MDExNjU0AwAAAAMxNjACAAAAAjI4BAAAAAEwBwAAAAk3LzMxLzIwMTgIAAAACjEyLzMxLzIwMTYJAAAAATDIMLI3CAnWCN1LpG80CdYIQ0NJUS5OQVNEQVFHTTpOTE5LLklRX01JTk9SSVRZX0lOVEVSRVNUX1RPVEFMLi45LzE1LzIwMTcuTEZSLkYuVVNELkgBAAAAlXuMAAMAAAAAACkclBA1CdYI5HRbEjUJ1ggvQ0lRLklRVFI1NTAyNTkzOTcuSVFfVFJfSU1QTElFRF9FVl9GSU5BTC4uVVNELkgBAAAAxUrMIAIAAAALOTU1Ni4zNTAzNjYBBgAAAAUAAAACNTQBAAAABjEwMjA0NQIAAAAJNTUwMjU5Mzk3AwAAAAk1NTAyNjQ1NjQEAAAAAzE2MAYAAAAFRmFsc2UMbRAONQnWCHd5gA41CdYINUNJUS5FTlhUUEE6SVBILklRX0dST1NTX01BUkdJTi4uNy8xNi8yMDE4LkxGUi5GLlVTRC5IAQAAAJmABgACAAAACC01Mi4xNTg2AQgAAAAFAAAAATEBAAAACjE4ODk1NTIxNjQDAAAAAjUwAgAAAAQ0MDc0BAAAAAEwBwAAAAk3LzE2LzIwMTgIAAAACjEyLzMxLzIwMTcJAAAAATApHJQQNQnWCHM5YBI1CdYI</t>
  </si>
  <si>
    <t>LkNJUS5PVENQSzpOV0JPLklRX0NBUEVYLi43LzE2LzIwMTguTEZSLkYuVVNELkgBAAAAo3oUAAIAAAAGLTAuMDA4AQgAAAAFAAAAATEBAAAACjE4ODkzMDI4MjQDAAAAAzE2MAIAAAAEMjAyMQQAAAABMAcAAAAJNy8xNi8yMDE4CAAAAAkzLzMxLzIwMTgJAAAAATApHJQQNQnWCDDXXRI1CdYIIkNJUS5JUVRSNTUwMjU5Mzk3LklRX1RSX1RBUkdFVE5BTUUBAAAAxUrMIAMAAAAXSnVubyBUaGVyYXBldXRpY3MsIEluYy4ADG0QDjUJ1gh3eYAONQnWCCFDSVEuQVNYOklNVS5JUV9CRVRBXzVZUi43LzE2LzIwMTgBAAAAmJOpAAIAAAARMC44ODI3ODgxMTg5NTQ2NTcAKRyUEDUJ1ggw110SNQnWCDhDSVEuWFRSQTpNT1IuSVFfUkVWRU5VRV9FU1QuQ1kyMDE5LjcvMzEvMjAxOC5DT04uRi5VU0QuSAEAAADfEQIAAgAAABA2NC40MDM0NTIzMzE3NDEyAQ4AAAAFAAAAAjExAQAAAAEwAgAAAAoxMDAwODAyMDE1AwAAAAYxMDAxODAEAAAAATMGAAAAATAHAAAAAzE2MAgAAAABMAkAAAABMQoAAAABMAsAAAALMTEwMDEzMTUyNjAMAAAAATcNAAAACDgvMS8yMDE4EAAAAAk3LzMxLzIwMTicC9U4CAnWCNRfmG80CdYIOUNJUS5OQVNEQVFHUzpNUlNOLklRX1RPVEFMX1JFVi4xOTkyLjcvMzEvMjAxOC5MRlIuRi5VU0QuSAEAAADmxRgAAwAAAAAA1owROAgJ1gjDhp9vNAnWCEJDSVEuTkFTREFRR1M6Sk5DRS5JUV9UT1RB</t>
  </si>
  <si>
    <t>TF9SRVZfNVlSX0FOTl9DQUdSLi43LzE2LzIwMTguTEZSLkYuVVNELkgBAAAA4nmeDQMAAAAAAN6nfhA1CdYImBJZEjUJ1ggeQ0lRLklRMzYxODM4MzEuSVFfQ09NUEFOWV9OQU1FAQAAABcfKAIDAAAAMVVuaXRlZCBTdGF0ZXMgVHJlYXN1cnkgQ29uc3RhbnQgTWF0dXJpdHkgLSA1IFllYXIADG0QDjUJ1gh3eYAONQnWCDhDSVEuTkFTREFRR1M6RVBaTS5JUV9FQklUREEuQ1kyMDE2LjcvMzEvMjAxOC5MRlIuRi5VU0QuSAEAAAADJj0DAgAAAAgtMTEwLjIzNwEIAAAABQAAAAExAQAAAAoxODc4MDgxMDYxAwAAAAMxNjACAAAABDQwNTEEAAAAATAHAAAACTcvMzEvMjAxOAgAAAAKMTIvMzEvMjAxNgkAAAABMNaMETgICdYIcySdbzQJ1gguQ0lRLk5BU0RBUUdTOkNBTEEuSVFfTUFSS0VUQ0FQLjcvMTYvMjAxOC5VU0QuSAEAAAClJ4EGAgAAAAoxNjguNDcwMDI0AQYAAAAFAAAAATEBAAAACjE4ODc5Nzk3MDcDAAAAAzE2MAIAAAAGMTAwMDU0BAAAAAEwBwAAAAk3LzE2LzIwMTgpHJQQNQnWCOR0WxI1CdYINUNJUS5OQVNEQVFHUzpUU1JPLklRX1RPVEFMX1JFVi4uNy8xNi8yMDE4LkxGUi5GLlVTRC5IAQAAAGjWWAYCAAAABzI2OS45OTUBCAAAAAUAAAABMQEAAAAKMTg4NjMzNzQ2NgMAAAADMTYwAgAAAAIyOAQAAAABMAcAAAAJNy8xNi8yMDE4CAAAAAkzLzMxLzIwMTgJAAAAATDE/xsRNQnWCBL+ZBI1CdYI</t>
  </si>
  <si>
    <t>KUNJUS5JUVRSMzA3ODYzOTg0LklRX0JVU0lORVNTX0RFU0NSSVBUSU9OAQAAAL+j8AwDAAAAugRjQ0FNIEJpb3RoZXJhcGV1dGljcyBMdGQuLCBhIGNsaW5pY2FsIHN0YWdlIGNvbXBhbnksIGVuZ2FnZXMgaW4gdGhlIGRpc2NvdmVyeSBhbmQgZGV2ZWxvcG1lbnQgb2Ygbm92ZWwgaW1tdW5vdGhlcmFwaWVzIHRvIHRyZWF0IGNhbmNlci4gSXQgb2ZmZXJzIENNLTI0LCBhIGh1bWFuaXplZCBhbnRpIENFQUNBTTEgbW9ub2Nsb25hbCBhbnRpYm9keSB0aGF0IGluaGliaXRzIHRoZSBpbW11bm9zdXBwcmVzc2l2ZSBlZmZlY3Qgb2YgQ0VBQyBBTTEgZm9yIHRoZSB0cmVhdG1lbnQgb2YgYWR2YW5jZWQgb3IgcmVjdXJyZW50IG1hbGlnbmFuY2llcywgaW5jbHVkaW5nIG1lbGFub21hLCBub24tc21hbGwtY2VsbCBsdW5nLCBibGFkZGVyLCBnYXN0cmljLCBjb2xvcmVjdGFsLCBhbmQgb3ZhcmlhbiBjYW5jZXJzLiBjQ0FNIEJpb3RoZXJhcGV1dGljcyBMdGQuIHdhcyBmb3VuZGVkIGluIDIwMTAgYW5kIGlzIGJhc2VkIGluIE1pc2dhdiwgSXNyYWVsLiBBcyBvZiBKdWx5IDMxLCAyMDE1LCBjQ0FNIEJpb3RoZXJhcGV1dGljcyBMdGQgb3BlcmF0ZXMgYXMgYSBzdWJzaWRpYXJ5IG9mIE1lcmNrICYgQ28uIEluYy4ADG0QDjUJ1gjA24IONQnWCD1DSVEuTkFTREFRR1M6S1VSQS5JUV9FQklUREFfTUFSR0lOLjIw</t>
  </si>
  <si>
    <t>MDAuNy8zMS8yMDE4LkxGUi5GLlVTRC5IAQAAALjL2hADAAAAAADWjBE4CAnWCHMknW80CdYIKUNJUS5JUTM2MTgzODM0LklRX0xBU1RTQUxFUFJJQ0UuNy8zMS8yMDE4AQAAABofKAICAAAABDIuOTIASVNHbzQJ1giB/ZVvNAnWCClDSVEuSVFUUjU0MjgwNjY4Ni5JUV9CVVNJTkVTU19ERVNDUklQVElPTgEAAACZUdECAwAAAOwFR2x5Y290b3BlIEJpb3RlY2hub2xvZ3kgR21iSCBkZXZlbG9wcyBhbmQgbWFudWZhY3R1cmVzIGltbXVuZS1vbmNvbG9naWNhbCBwcm9kdWN0cyBmb3IgdGhlIHRyZWF0bWVudCBvZiB2YXJpb3VzIGNhbmNlciB0eXBlcy4gSXQgb2ZmZXJzIFBhbmtvTWFiLUdFWCwgYW4gYW50aWJvZHkgYWdhaW5zdCB0aGUgdHVtb3Itc3BlY2lmaWMgY2FyYm9oeWRyYXRlLXByb3RlaW4gZXBpdG9wZSBUQS1NVUMxIGVwaXRvcGUgZXhwcmVzc2VkIG9uIHR1bW9yIGNlbGxzIGluIHZhcmlvdXMgY2FuY2VyczsgQ2V0dUdFWCwgYSBub3ZlbCBnbHljby1vcHRpbWl6ZWQgYW50aS1lcGlkZXJtYWwgZ3Jvd3RoIGZhY3RvciByZWNlcHRvciBtb25vY2xvbmFsIGFudGlib2R5IHRoYXQgc2hvd2VkIHRoZXJhcGV1dGljIGFjdGl2aXR5IHRvIHZhcmlvdXMgc29saWQgdHVtb3JzOyBhbmQgVHJhc0dFWCwgYSBub3ZlbCBnbHljby1vcHRpbWl6ZWQgYW50aS1IZXIyIHJlY2VwdG9yIG1BYiB0aGF0IGhh</t>
  </si>
  <si>
    <t>cyBiZWVuIHRlc3RlZCBpbiBhIHR1bW9ycyB3aG9zZSBkaXNlYXNlIHByb2dyZXNzZWQgZm9sbG93aW5nIHRyZWF0bWVudCB3aXRoIHN0YW5kYXJkIHRoZXJhcGllcy4gVGhlIGNvbXBhbnkgd2FzIGZvdW5kZWQgaW4gMjAwMSBpcyBiYXNlZCBpbiBIZWlkZWxiZXJnLCBHZXJtYW55LiBBcyBvZiBOb3ZlbWJlciAzLCAyMDE3LCBHbHljb3RvcGUgQmlvdGVjaG5vbG9neSBHbWJIIG9wZXJhdGVzIGFzIGEgc3Vic2lkaWFyeSBvZiBDZWxvbmljIEFHLgCys0lvNAnWCIH9lW80CdYIO0NJUS5OQVNEQVFHTTpDUklTLklRX0VCSVRfTUFSR0lOLjIwMDAuNy8zMS8yMDE4LkxGUi5GLlVTRC5IAQAAABdqAAADAAAAAk5NAQgAAAAFAAAAATEBAAAACjE4ODYyNDc0MjADAAAAAzE2MAIAAAAENDA1MwQAAAABMAcAAAAJNy8zMS8yMDE4CAAAAAkzLzMxLzIwMTgJAAAAATDIMLI3CAnWCN1LpG80CdYILENJUS5OQVNEQVFDTTpDS1BULklRX0xBU1RTQUxFUFJJQ0UuOS8xNS8yMDE3AQAAALhRFhECAAAABDguODUAKRyUEDUJ1gjkdFsSNQnWCD1DSVEuTkFTREFRR1M6RlBSWC5JUV9SRVZFTlVFX0VTVC5DWTIwMTguNy8xNi8yMDE4LkNPTi5GLlVTRC5IAQAAADddMwACAAAACDc1LjI0NDc1AQ4AAAAFAAAAAjExAQAAAAEwAgAAAAoxMDAxOTU2MzQ0AwAAAAYxMDAxODAEAAAAATIGAAAAATAHAAAAAzE2MAgAAAABMAkAAAAB</t>
  </si>
  <si>
    <t>MQoAAAABMAsAAAALMTA5NDU1NzUyNzAMAAAAATcNAAAACTcvMTcvMjAxOBAAAAAJNy8xNi8yMDE4KRyUEDUJ1ghzOWASNQnWCDxDSVEuTkFTREFRR006WE5DUi5JUV9FQVJOSU5HX0NPLkNZMjAxNy43LzE2LzIwMTguTEZSLkYuVVNELkgBAAAAploLAAIAAAAHLTQ4LjkyNQEIAAAABQAAAAExAQAAAAoxODc2OTg0NTUyAwAAAAMxNjACAAAAATcEAAAAATAHAAAACTcvMTYvMjAxOAgAAAAKMTIvMzEvMjAxNwkAAAABMMT/GxE1CdYIEv5kEjUJ1ggwQ0lRLk5BU0RBUUdNOkNSSVMuSVFfTEFTVFNBTEVQUklDRS43LzMxLzIwMTguVVNEAQAAABdqAAACAAAABDEuNTcAyDCyNwgJ1gjdS6RvNAnWCD9DSVEuRU5YVFBBOklQSC5JUV9UT1RBTF9SRVZfNVlSX0FOTl9DQUdSLi43LzE2LzIwMTguTEZSLkYuVVNELkgBAAAAmYAGAAIAAAAHMjUuMjU1OAEIAAAABQAAAAExAQAAAAoxODg5NTUyMTY0AwAAAAI1MAIAAAAENDIzMwQAAAABMAcAAAAJNy8xNi8yMDE4CAAAAAoxMi8zMS8yMDE3CQAAAAEwKRyUEDUJ1ghzOWASNQnWCEVDSVEuKElOVkFMSUQgSURFTlRJRklFUikuSVFfVE9UQUxfRVFVSVRZLkNZMjAxNi43LzMxLzIwMTguTEZSLkYuVVNELkgFAAAAAAAAAAgAAAAUKEludmFsaWQgSWRlbnRpZmllcinIMLI3CAnWCO02sG80CdYIL0NJUS5JUVRSMzAyODY2NjI3LklRX1RSX0lNUExJRURfRVZfRklOQUwuLlVT</t>
  </si>
  <si>
    <t>RC5IAQAAAMNgDRICAAAACTQyLjYyMjg0MwEGAAAABQAAAAI1NAEAAAAGMTAyMDQ1AgAAAAkzMDI4NjY2MjcDAAAACTMwMjg2NzE1MQQAAAADMTYwBgAAAAVGYWxzZVjPEg41CdYIDD6FDjUJ1ghGQ0lRLk5BU0RBUUdNOkNSVlMuSVFfVE9UQUxfUkVWXzVZUl9BTk5fQ0FHUi4yMDAwLjcvMzEvMjAxOC5MRlIuRi5VU0QuSAEAAAD0sKYQAwAAAAAA1owROAgJ1ggZ6aFvNAnWCCBDSVEuSVFUUjU2MTYwNjM2NS5JUV9UUl9FQVJOT1VUUwEAAADdbnkhAgAAAAAAsrNJbzQJ1gg1m5NvNAnWCD9DSVEuTkFTREFRR1M6RVBaTS5JUV9ORVRfV09SS0lOR19DQVAuMjAwMC43LzMxLzIwMTguTEZSLkYuVVNELkgBAAAAAyY9AwIAAAAHLTE1LjY5NAEIAAAABQAAAAExAQAAAAoxODg3MjQ2MDc3AwAAAAMxNjACAAAABDEzMTEEAAAAATAHAAAACTcvMzEvMjAxOAgAAAAJMy8zMS8yMDE4CQAAAAEw1owROAgJ1ghzJJ1vNAnWCDVDSVEuT1RDUEs6TUJWWC5JUV9FQklUREEuQ1kyMDE2LjcvMTYvMjAxOC5MRlIuRi5VU0QuSAEAAADYRIsCAgAAAAotMTYuNTY2NTY2AQgAAAAFAAAAATEBAAAACjE4ODEyMTMyMjADAAAAAzE2MAIAAAAENDA1MQQAAAABMAcAAAAJNy8xNi8yMDE4CAAAAAoxMi8zMS8yMDE2CQAAAAEw3qd+EDUJ1giYElkSNQnWCDdDSVEuTkFTREFRR1M6Q0FMQS5JUV9QUkVGX0VRVUlUWS4uOS8xNS8yMDE3LkxG</t>
  </si>
  <si>
    <t>Ui5GLlVTRC5IAQAAAKUngQYDAAAAAAApHJQQNQnWCOR0WxI1CdYIIkNJUS5JUVRSNDEzOTUzNjYxLklRX1RSX1RBUkdFVE5BTUUBAAAAfW6sGAMAAAAcVG9sZXJvIFBoYXJtYWNldXRpY2FscywgSW5jLgCys0lvNAnWCIH9lW80CdYIP0NJUS5OQVNEQVFDTTpaSU9QLklRX05FVF9XT1JLSU5HX0NBUC4xOTkyLjcvMzEvMjAxOC5MRlIuRi5VU0QuSAEAAACzUbIAAgAAAAYtMS43MzEBCAAAAAUAAAABMQEAAAAKMTgzOTM0MTA2NwMAAAADMTYwAgAAAAQxMzExBAAAAAEwBwAAAAk3LzMxLzIwMTgIAAAACTMvMzEvMjAxNgkAAAABMNaMETgICdYIw4afbzQJ1ggdQ0lRLk5BU0RBUUdNOlhOQ1IuSVFfRVhDSEFOR0UBAAAAploLAAMAAAAITmFzZGFxR00ARp0ZETUJ1ggS/mQSNQnWCENDSVEuTkFTREFRR006TkxOSy5JUV9NSU5PUklUWV9JTlRFUkVTVF9UT1RBTC4uNy8xNi8yMDE4LkxGUi5GLlVTRC5IAQAAAJV7jAADAAAAAAApHJQQNQnWCOR0WxI1CdYIIkNJUS5JUVRSNDIyODg3NzAxLklRX1RSX1RBUkdFVE5BTUUBAAAAFcE0GQMAAAAaUGVsaWNhbiBUaGVyYXBldXRpY3MsIEluYy4ADG0QDjUJ1gjA24IONQnWCCFDSVEuTkFTREFRQ006WklPUC5JUV9DT01QQU5ZX05BTUUBAAAAs1GyAAMAAAAXWklPUEhBUk0gT25jb2xvZ3ksIEluYy4A1owROAgJ1gjDhp9vNAnWCDFDSVEuWFRSQTpNT1IuSVFfRUJJVERB</t>
  </si>
  <si>
    <t>LjE5OTYuNy8zMS8yMDE4LkxGUi5GLlVTRC5IAQAAAN8RAgACAAAACi01NS43Mjk1MTkBCAAAAAUAAAABMQEAAAAKMTg4NjE1MTY0NwMAAAADMTYwAgAAAAQ0MDUxBAAAAAEwBwAAAAk3LzMxLzIwMTgIAAAACTMvMzEvMjAxNwkAAAABMJwL1TgICdYI1F+YbzQJ1ghCQ0lRLk5BU0RBUUNNOkFWRU8uSVFfVE9UQUxfUkVWXzJZUl9BTk5fQ0FHUi4uNy8xNi8yMDE4LkxGUi5GLlVTRC5IAQAAAPQWHQACAAAACC00NS4wMjMzAQgAAAAFAAAAATEBAAAACjE4ODcyMzQyOTUDAAAAAzE2MAIAAAAENDIwNwQAAAABMAcAAAAJNy8xNi8yMDE4CAAAAAkzLzMxLzIwMTgJAAAAATDE/xsRNQnWCHM5YBI1CdYIP0NJUS5OQVNEQVFHUzpNR05YLklRX0VCSVREQV81WVJfQU5OX0NBR1IuLjcvMTYvMjAxOC5MRlIuRi5VU0QuSAEAAABPKwkAAwAAAAJOTQEIAAAABQAAAAExAQAAAAoxODg3MTE0OTQ1AwAAAAMxNjACAAAABDQyMzUEAAAAATAHAAAACTcvMTYvMjAxOAgAAAAJMy8zMS8yMDE4CQAAAAEwxP8bETUJ1gjCm2ISNQnWCC5DSVEuSVFUUjUzMzM4NTc0NC5JUV9UUl9UQVJHRVRfU1RPQ0tQUkVNSVVNXzFNAQAAABDSyh8CAAAAAAAMbRAONQnWCMDbgg41CdYIIUNJUS5JUTI3OTM1OTczMi5JUV9DT01QQU5ZX1RJQ0tFUgEAAAD0sKYQAwAAAA1OYXNkYXFHTTpDUlZTALKzSW80CdYIGemhbzQJ1ggwQ0lRLk5BU0RBUUdT</t>
  </si>
  <si>
    <t>OkZQUlguSVFfTEFTVFNBTEVQUklDRS43LzE2LzIwMTguVVNEAQAAADddMwACAAAABTE3LjI2ACkclBA1CdYIczlgEjUJ1ggdQ0lRLk5BU0RBUUdNOkNSSVMuSVFfRVhDSEFOR0UBAAAAF2oAAAMAAAAITmFzZGFxR00AyDCyNwgJ1gjdS6RvNAnWCDBDSVEuT1RDUEs6TUJWWC5JUV9QRVJJT0REQVRFX0lTLi43LzE2LzIwMTguTEZSLkYBAAAA2ESLAgUAAAAKMTIvMzEvMjAxNwDep34QNQnWCJgSWRI1CdYIOENJUS5OQVNEQVFHUzpKTkNFLklRX1RPVEFMX0VRVUlUWS4uNy8xNi8yMDE4LkxGUi5GLlVTRC5IAQAAAOJ5ng0CAAAABzExMC4yODYBCAAAAAUAAAABMQEAAAAKMTg4ODE4NjM3NAMAAAADMTYwAgAAAAQxMjc1BAAAAAEwBwAAAAk3LzE2LzIwMTgIAAAACTMvMzEvMjAxOAkAAAABMN6nfhA1CdYImBJZEjUJ1ggjQ0lRLklRVFIzMTQ4MjkyMzYuSVFfVFJfVE9UQUxfU1RPQ0sBAAAAtOnDEgIAAAAAAFjPEg41CdYIwNuCDjUJ1ggrQ0lRLklRVFI1NjE2MDYzNjUuSVFfVFJfVE9UQUxfR1JPU1NfVFYuLlVTRAEAAADdbnkhAgAAAAQxMDQwAQYAAAAFAAAAAjU0AQAAAAYxMDIwODgCAAAACTU2MTYwNjM2NQMAAAAJNTYxNjA5MTk3BAAAAAMxNjAGAAAABUZhbHNlsrNJbzQJ1gg1m5NvNAnWCDBDSVEuTkFTREFRR006QVJRTC5JUV9MQVNUU0FMRVBSSUNFLjcvMzEvMjAxOC5VU0QBAAAA9mEAAAIAAAAENC45</t>
  </si>
  <si>
    <t>OADWjBE4CAnWCHMknW80CdYIOUNJUS5PVENQSzpNQlZYLklRX0VCSVREQV9FU1QuQ1kyMDE5LjcvMTYvMjAxOC5DT04uRi5VU0QuSAEAAADYRIsCAwAAAAAA3qd+EDUJ1giYElkSNQnWCDVDSVEuKElOVkFMSUQgSURFTlRJRklFUikuSVFfTUFSS0VUQ0FQLjcvMzEvMjAxOC5VU0QuSAUAAAAAAAAACAAAABQoSW52YWxpZCBJZGVudGlmaWVyKcgwsjcICdYITnKrbzQJ1gglQ0lRLk5BU0RBUUdNOkxQVFguSVFfRklSU1RQUklDSU5HREFURQEAAAAMNgkHBQAAAAkxLzI1LzIwMTcAKRyUEDUJ1ggw110SNQnWCDNDSVEuTkFTREFRR1M6Sk5DRS5JUV9QRVJJT0REQVRFX0lTLi43LzE2LzIwMTguTEZSLkYBAAAA4nmeDQUAAAAJMy8zMS8yMDE4ACkclBA1CdYI5HRbEjUJ1ghCQ0lRLk5BU0RBUUNNOkNLUFQuSVFfVE9UQUxfUkVWXzJZUl9BTk5fQ0FHUi4uNy8xNi8yMDE4LkxGUi5GLlVTRC5IAQAAALhRFhECAAAABzkzLjU2MTIBCAAAAAUAAAABMQEAAAAKMTg4ODAwNzIyMwMAAAADMTYwAgAAAAQ0MjA3BAAAAAEwBwAAAAk3LzE2LzIwMTgIAAAACTMvMzEvMjAxOAkAAAABMCkclBA1CdYI5HRbEjUJ1gg4Q0lRLk5BU0RBUUdNOkNSSVMuSVFfRUJJVERBLkNZMjAxNi43LzMxLzIwMTguTEZSLkYuVVNELkgBAAAAF2oAAAIAAAAHLTM5Ljg1NwEIAAAABQAAAAExAQAAAAoxODc4MDExNjU0AwAAAAMxNjACAAAABDQw</t>
  </si>
  <si>
    <t>NTEEAAAAATAHAAAACTcvMzEvMjAxOAgAAAAKMTIvMzEvMjAxNgkAAAABMMgwsjcICdYI3UukbzQJ1ggzQ0lRLk5BU0RBUUdTOkJHTkUuSVFfRUJJVERBX0VTVC5DWTIwMTguLkNPTi5GLlVTRC5IAQAAAODk3QYCAAAACi01MTEuNjY3NjUBDgAAAAUAAAACMTEBAAAAATACAAAACjEwMDMzMjYyNjMDAAAABjEwMDE4NwQAAAABMgYAAAABMAcAAAADMTYwCAAAAAEwCQAAAAExCgAAAAEwCwAAAAsxMTA1MTEyMDM2NgwAAAABNw0AAAAJOC8yNC8yMDE4EAAAAAk4LzIzLzIwMTicC9U4CAnWCJwL1TgICdYIPENJUS5OQVNEQVFHUzpGUFJYLklRX0VBUk5JTkdfQ08uQ1kyMDE2LjcvMTYvMjAxOC5MRlIuRi5VU0QuSAEAAAA3XTMAAgAAAActNjUuNjk3AQgAAAAFAAAAATEBAAAACjE4NzYxMzU5ODgDAAAAAzE2MAIAAAABNwQAAAABMAcAAAAJNy8xNi8yMDE4CAAAAAoxMi8zMS8yMDE2CQAAAAEwKRyUEDUJ1ghzOWASNQnWCClDSVEuSVFUUjU2MzkxOTA0OS5JUV9UUl9JTVBMSUVEX0VRX05JX0xUTQEAAADJuJwhAwAAAAJOTQAMbRAONQnWCMDbgg41CdYIPENJUS5OQVNEQVFHUzpBTkFCLklRX0VBUk5JTkdfQ08uQ1kyMDE3LjcvMTYvMjAxOC5MRlIuRi5VU0QuSAEAAAAhTLIBAgAAAAYtMzAuMDcBCAAAAAUAAAABMQEAAAAKMTg3NzA2NTIzMQMAAAADMTYwAgAAAAE3BAAAAAEwBwAAAAk3LzE2LzIwMTgIAAAACjEy</t>
  </si>
  <si>
    <t>LzMxLzIwMTcJAAAAATDE/xsRNQnWCMKbYhI1CdYIK0NJUS5OQVNEQVFHTTpGQVRFLklRX0xBU1RTQUxFUFJJQ0UuNS81LzIwMTcBAAAAaDFXAgIAAAAENC4zNADWjBE4CAnWCMOGn280CdYIPUNJUS5OQVNEQVFDTTpDS1BULklRX1JFVkVOVUVfRVNULkNZMjAxOC43LzE2LzIwMTguQ09OLkYuVVNELkgBAAAAuFEWEQIAAAAFMS41ODYBDgAAAAUAAAACMTEBAAAAATACAAAACjEwMDM2NjU1OTcDAAAABjEwMDE4MAQAAAABMgYAAAABMAcAAAADMTYwCAAAAAEwCQAAAAExCgAAAAEwCwAAAAsxMDg3ODI1NDk5NgwAAAABNw0AAAAJNy8xNy8yMDE4EAAAAAk3LzE2LzIwMTgpHJQQNQnWCDDXXRI1CdYIJ0NJUS5OQVNEQVFHTTpJTU1VLklRX0JFVEFfMVlSLjcvMzEvMjAxOAEAAAAgQwQAAgAAABAxLjQ1OTg3NTM3MjUxMjkxAJwL1TgICdYI1F+YbzQJ1gg+Q0lRLk5BU0RBUUdNOkFSUlkuSVFfVE9UQUxfRVFVSVRZLkNZMjAxNy43LzMxLzIwMTguTEZSLkYuVVNELkgBAAAA+GEAAAIAAAAHMjQyLjE4MgEIAAAABQAAAAExAQAAAAoxODczMjAzNzk4AwAAAAMxNjACAAAABDEyNzUEAAAAATAHAAAACTcvMzEvMjAxOAgAAAAKMTIvMzEvMjAxNwkAAAABMJwL1TgICdYIJMKabzQJ1ggjQ0lRLklRVFI1NTM1NDgwMjUuSVFfVFJfQ0xPU0VEX0RBVEUBAAAA+Xj+IAUAAAAJNi8yMC8yMDE4ALKzSW80CdYIgf2VbzQJ1gg/</t>
  </si>
  <si>
    <t>Q0lRLk5BU0RBUUdNOkFSUUwuSVFfTkVUX1dPUktJTkdfQ0FQLjE5OTYuNy8zMS8yMDE4LkxGUi5GLlVTRC5IAQAAAPZhAAACAAAABi02LjUzNAEIAAAABQAAAAExAQAAAAoxODg4Nzg4NzM3AwAAAAMxNjACAAAABDEzMTEEAAAAATAHAAAACTcvMzEvMjAxOAgAAAAJMy8zMS8yMDE3CQAAAAEw1owROAgJ1ghzJJ1vNAnWCDpDSVEuTkFTREFRR1M6R1RIWC5JUV9FQVJOSU5HX0NPLjE5OTYuNy8zMS8yMDE4LkxGUi5GLlVTRC5IAQAAAGU0aQgCAAAACi0zNi42ODE5MTQBCAAAAAUAAAABMQEAAAAKMTg4NjM2NzY0OAMAAAADMTYwAgAAAAE3BAAAAAEwBwAAAAk3LzMxLzIwMTgIAAAACTMvMzEvMjAxNwkAAAABMNaMETgICdYIJMKabzQJ1gglQ0lRLklRVFI1NjM5MTkwNDkuSVFfUFJJTUFSWV9JTkRVU1RSWQEAAAD2Q2wNAwAAAA1CaW90ZWNobm9sb2d5AAxtEA41CdYIwNuCDjUJ1ggyQ0lRLk5BU0RBUUdTOkJHTkUuSVFfVE9UQUxfUkVWLkNZMjAxNy4uTEZSLkYuVVNELkgBAAAA4OTdBgIAAAAHMjU0LjY5NAEIAAAABQAAAAExAQAAAAoxODk5ODgxMTk0AwAAAAMxNjACAAAAAjI4BAAAAAEwBwAAAAk4LzIzLzIwMTgIAAAACjEyLzMxLzIwMTcJAAAAATCcC9U4CAnWCJwL1TgICdYILkNJUS5JUVRSMjQ1ODMxMDA3LklRX1RSX1RBUkdFVF9TVE9DS1BSRU1JVU1fMVcBAAAAXxWnDgIAAAAHMjMuNzI2MwCys0lv</t>
  </si>
  <si>
    <t>NAnWCIH9lW80CdYIIUNJUS5JUVRSNTMzNjM5NTAxLklRX1RSX0JVWUVSTkFNRQEAAABNsc4fAwAAAERTRUxMQVMgTGlmZSBTY2llbmNlcyBHcm91cCBBRyAobmthOlNFTExBUyBMaWZlIFNjaWVuY2VzIEdyb3VwLCBJbmMuKQAMbRAONQnWCMDbgg41CdYIKkNJUS5JUVRSNTQyODA2Njg2LklRX1RSX1RBUkdFVF9FQklULi5VU0QuSAEAAACeklogAgAAAAAAsrNJbzQJ1giB/ZVvNAnWCCxDSVEuSVFUUjM3MTcxNTExOS5JUV9UUl9UQVJHRVRfRUJJVERBLi5VU0QuSAEAAAAv7CcWAgAAAAAAWM8SDjUJ1gjA24IONQnWCCBDSVEuSVFUUjQwODQwNzgyMi5JUV9UUl9FQVJOT1VUUwEAAAAOz1cYAgAAAAMxNTMBBgAAAAUAAAACNTQBAAAABjEwMTQwMwIAAAAJNDA4NDA3ODIyAwAAAAk0MDg0MTA1NDEEAAAAAzE2MAYAAAAFRmFsc2Wys0lvNAnWCIH9lW80CdYIOUNJUS5OQVNEQVFHTTpBUlFMLklRX1RPVEFMX0RFQlQuMjAwMC41LzUvMjAxNy5MRlIuRi5VU0QuSAEAAAD2YQAAAgAAAAYxNC4zMzcBCAAAAAUAAAABMQEAAAAKMTg0MTk5MjUxMgMAAAADMTYwAgAAAAQ0MTczBAAAAAEwBwAAAAg1LzUvMjAxNwgAAAAJMy8zMS8yMDE3CQAAAAEw1owROAgJ1ghzJJ1vNAnWCCVDSVEuSVFUUjU1MzU0ODAyNS5JUV9UUl9NQUpfTUlOX1NUQUtFAQAAAPl4/iADAAAACE1ham9yaXR5ALKzSW80CdYIgf2VbzQJ1gg9Q0lR</t>
  </si>
  <si>
    <t>Lk5BU0RBUUdNOkZBVEUuSVFfQ0FTSF9TVF9JTlZFU1QuMjAwMC41LzUvMjAxNy5MRlIuRi5VU0QuSAEAAABoMVcCAgAAAAY5Mi4xMTIBCAAAAAUAAAABMQEAAAAKMTgzMjE2Nzg5NgMAAAADMTYwAgAAAAQxMDAyBAAAAAEwBwAAAAg1LzUvMjAxNwgAAAAKMTIvMzEvMjAxNgkAAAABMNaMETgICdYIw4afbzQJ1ggwQ0lRLk5BU0RBUUdTOk1SU04uSVFfTEFTVFNBTEVQUklDRS43LzMxLzIwMTguVVNEAQAAAObFGAACAAAABDExLjgA1owROAgJ1gjDhp9vNAnWCCNDSVEuMC5JUV9UUl9JTVBMSUVEX0VWX0ZJTkFMLi5VU0QuSAUAAAAAAAAACAAAABgoSW52YWxpZCBUcmFuc2FjdGlvbiBJZClJU0dvNAnWCAfi8IE0CdYIOENJUS5OQVNEQVFHUzpKTkNFLklRX0VCSVREQS5DWTIwMTYuNy8xNi8yMDE4LkxGUi5GLlVTRC5IAQAAAOJ5ng0CAAAABy0xMi41MjIBCAAAAAUAAAABMQEAAAAKMTg3NzcxNjQ5MgMAAAADMTYwAgAAAAQ0MDUxBAAAAAEwBwAAAAk3LzE2LzIwMTgIAAAACjEyLzMxLzIwMTYJAAAAATApHJQQNQnWCJgSWRI1CdYILkNJUS5JUVRSNTMzMzg1NzQ0LklRX1RSX1RBUkdFVF9TVE9DS1BSRU1JVU1fMVcBAAAAENLKHwIAAAAAAAxtEA41CdYIwNuCDjUJ1gg4Q0lRLk5BU0RBUUdTOkFEWFMuSVFfVE9UQUxfRVFVSVRZLi43LzE2LzIwMTguTEZSLkYuVVNELkgBAAAAnux4AAIAAAAJNDUuNDU1MzE4</t>
  </si>
  <si>
    <t>AQgAAAAFAAAAATEBAAAACjE4OTI3ODg1NDgDAAAAAzE2MAIAAAAEMTI3NQQAAAABMAcAAAAJNy8xNi8yMDE4CAAAAAk0LzMwLzIwMTgJAAAAATApHJQQNQnWCOR0WxI1CdYIIkNJUS5JUVRSNDA3NzYwNjkyLklRX1RSX1BDVF9TT1VHSFQBAAAANO9NGAIAAAADMTAwAQYAAAAFAAAAAjU0AQAAAAYxMDEwMjQCAAAACTQwNzc2MDY5MgMAAAAJNDA3Nzg1MzIwBAAAAAMxNjAGAAAABFRydWUMbRAONQnWCAw+hQ41CdYILkNJUS5JUVRSNTYxNjA2MzY1LklRX1RSX1RBUkdFVF9TVE9DS1BSRU1JVU1fMU0BAAAA3W55IQIAAAAAALKzSW80CdYINZuTbzQJ1ggsQ0lRLk5BU0RBUUdNOkxQVFguSVFfTEFTVFNBTEVQUklDRS45LzE1LzIwMTcBAAAADDYJBwIAAAAENS43NAApHJQQNQnWCDDXXRI1CdYIO0NJUS5OQVNEQVFHUzpFUFpNLklRX1RPVEFMX1JFVi5DWTIwMTYuNy8zMS8yMDE4LkxGUi5GLlVTRC5IAQAAAAMmPQMCAAAABTguMDA3AQgAAAAFAAAAATEBAAAACjE4NzgwODEwNjEDAAAAAzE2MAIAAAACMjgEAAAAATAHAAAACTcvMzEvMjAxOAgAAAAKMTIvMzEvMjAxNgkAAAABMNaMETgICdYIJMKabzQJ1gguQ0lRLklRVFIyNTM5NTQ0NzMuSVFfVFJfVEFSR0VUX1NUT0NLUFJFTUlVTV8xTQEAAACpCSMPAgAAAAAAsrNJbzQJ1gg1m5NvNAnWCChDSVEuTkFTREFRR1M6Sk5DRS5JUV9URVYuNy8xNi8yMDE4LlVT</t>
  </si>
  <si>
    <t>RC5IAQAAAOJ5ng0CAAAACDE3LjE3MDM1AQYAAAAFAAAAATEBAAAACjE4ODgxODYwMzUDAAAAAzE2MAIAAAAGMTAwMDYwBAAAAAEwBwAAAAk3LzE2LzIwMTgpHJQQNQnWCOR0WxI1CdYIJUNJUS5OQVNEQVFDTTpNVEVNLklRX0ZJUlNUUFJJQ0lOR0RBVEUBAAAAmZupAQUAAAAIOC8zLzIwMTcAyDCyNwgJ1ggZ6aFvNAnWCEZDSVEuTkFTREFRR1M6R1RIWC5JUV9UT1RBTF9SRVZfNVlSX0FOTl9DQUdSLjIwMDAuNy8zMS8yMDE4LkxGUi5GLlVTRC5IAQAAAGU0aQgDAAAAAADWjBE4CAnWCCTCmm80CdYIM0NJUS5FTlhUUEE6SVBILklRX1RPVEFMX0RFQlQuLjkvMTUvMjAxNy5MRlIuRi5VU0QuSAEAAACZgAYAAgAAAAg1LjYyMzM1MQEIAAAABQAAAAExAQAAAAoxODM3OTYyMjQyAwAAAAMxNjACAAAABDQxNzMEAAAAATAHAAAACTkvMTUvMjAxNwgAAAAKMTIvMzEvMjAxNgkAAAABMCkclBA1CdYIczlgEjUJ1gg1Q0lRLk5BU0RBUUdTOktVUkEuSVFfQ0FQRVguMjAwMC43LzMxLzIwMTguTEZSLkYuVVNELkgBAAAAuMvaEAMAAAAAANaMETgICdYIcySdbzQJ1gg3Q0lRLk5BU0RBUUdNOkFGTUQuSVFfUFJFRl9FUVVJVFkuLjcvMTYvMjAxOC5MRlIuRi5VU0QuSAEAAADb9wwAAwAAAAAAKRyUEDUJ1ggw110SNQnWCDhDSVEuTkFTREFRR1M6Sk5DRS5JUV9FQklUREEuQ1kyMDE3LjcvMTYvMjAxOC5MRlIuRi5VU0Qu</t>
  </si>
  <si>
    <t>SAEAAADieZ4NAgAAAActMTQuNzkzAQgAAAAFAAAAATEBAAAACjE4Nzc3MTY2MTMDAAAAAzE2MAIAAAAENDA1MQQAAAABMAcAAAAJNy8xNi8yMDE4CAAAAAoxMi8zMS8yMDE3CQAAAAEwKRyUEDUJ1giYElkSNQnWCD1DSVEuTkFTREFRR1M6TVJTTi5JUV9FQklUREFfTUFSR0lOLjIwMDAuNy8zMS8yMDE4LkxGUi5GLlVTRC5IAQAAAObFGAACAAAACS0yNjUuMjc5NwEIAAAABQAAAAExAQAAAAoxODg5MDk2NjUzAwAAAAMxNjACAAAABDQwNDcEAAAAATAHAAAACTcvMzEvMjAxOAgAAAAJMy8zMS8yMDE4CQAAAAEw1owROAgJ1gjDhp9vNAnWCCdDSVEuTkFTREFRR1M6QkdORS5JUV9CRVRBXzVZUi43LzMxLzIwMTgBAAAA4OTdBgIAAAARMC44NDgxNzA1NzQ2MTgyNDQAnAvVOAgJ1giB/ZVvNAnWCEZDSVEuTkFTREFRR1M6Q0FMQS5JUV9UT1RBTF9SRVZfMllSX0FOTl9DQUdSLjIwMDAuNy8zMS8yMDE4LkxGUi5GLlVTRC5IAQAAAKUngQYDAAAAAADIMLI3CAnWCN1LpG80CdYILkNJUS5OQVNEQVFHUzpGUFJYLklRX01BUktFVENBUC43LzMxLzIwMTguVVNELkgBAAAAN10zAAIAAAAKNTI0LjYxODQwNgEGAAAABQAAAAExAQAAAAoxODg3NDAyMTYwAwAAAAMxNjACAAAABjEwMDA1NAQAAAABMAcAAAAJNy8zMS8yMDE41owROAgJ1ggZ6aFvNAnWCDVDSVEuTkFTREFRR006Q1JWUy5JUV9DQVBFWC4yMDAwLjcvMzEv</t>
  </si>
  <si>
    <t>MjAxOC5MRlIuRi5VU0QuSAEAAAD0sKYQAgAAAAYtMC4xNjEBCAAAAAUAAAABMQEAAAAKMTg4NjM2NzU5MQMAAAADMTYwAgAAAAQyMDIxBAAAAAEwBwAAAAk3LzMxLzIwMTgIAAAACTMvMzEvMjAxOAkAAAABMNaMETgICdYIGemhbzQJ1gg3Q0lRLk5BU0RBUUdTOlBCWUkuSVFfRUJJVF9NQVJHSU4uLjcvMTYvMjAxOC5MRlIuRi5VU0QuSAEAAAACaqwHAgAAAAktMjU3LjUxNTMBCAAAAAUAAAABMQEAAAAKMTg4ODY2Nzc0MwMAAAADMTYwAgAAAAQ0MDUzBAAAAAEwBwAAAAk3LzE2LzIwMTgIAAAACTMvMzEvMjAxOAkAAAABMMT/GxE1CdYIEv5kEjUJ1gg9Q0lRLk5BU0RBUUdTOkdUSFguSVFfUkVWRU5VRV9FU1QuQ1kyMDIwLjcvMzEvMjAxOC5DT04uRi5VU0QuSAEAAABlNGkIAgAAAAcwLjU4MDgyAQ4AAAAFAAAAAjExAQAAAAEwAgAAAAoxMDAzNzUyODI5AwAAAAYxMDAxODAEAAAAATIGAAAAATAHAAAAAzE2MAgAAAABMAkAAAABMQoAAAABMAsAAAALMTEwMjk4NTU3NDIMAAAAATcNAAAACDgvMS8yMDE4EAAAAAk3LzMxLzIwMTicC9U4CAnWCCTCmm80CdYII0NJUS5JUVRSNTQ3NDIzNjgwLklRX1RSX0NMT1NFRF9EQVRFAQAAAMAFoSAFAAAACDIvNy8yMDE4AAxtEA41CdYIwNuCDjUJ1gglQ0lRLklRVFI1NDgzMzgwMjAuSVFfUFJJTUFSWV9JTkRVU1RSWQEAAADc+K4gAwAAAA1CaW90ZWNobm9sb2d5AAxt</t>
  </si>
  <si>
    <t>EA41CdYIwNuCDjUJ1gguQ0lRLklRVFI1NTM1NDgwMjUuSVFfVFJfVEFSR0VUX1NUT0NLUFJFTUlVTV8xTQEAAAD5eP4gAgAAAAgxNTEuNzk4NgEGAAAABQAAAAI1NAEAAAAGMTAxMDU1AgAAAAk1NTM1NDgwMjUDAAAACTU1MzU2NDk3MQQAAAADMTYwBgAAAAVGYWxzZbKzSW80CdYIgf2VbzQJ1ggxQ0lRLklRVFIyNjM3MTg2NDcuSVFfVFJfVEFSR0VUX1JFVkVOVUVfRVNULi5VU0QuSAEAAAD3BrgPAgAAAAAAsrNJbzQJ1giB/ZVvNAnWCD9DSVEuTkFTREFRR006SU1NVS5JUV9FQklUREFfMllSX0FOTl9DQUdSLi43LzE2LzIwMTguTEZSLkYuVVNELkgBAAAAIEMEAAMAAAACTk0BCAAAAAUAAAABMQEAAAAKMTg4ODUyMzM4NAMAAAADMTYwAgAAAAQ0MjA5BAAAAAEwBwAAAAk3LzE2LzIwMTgIAAAACTMvMzEvMjAxOAkAAAABMMT/GxE1CdYIEv5kEjUJ1gg+Q0lRLk5BU0RBUUdNOklNTVUuSVFfVE9UQUxfRVFVSVRZLkNZMjAxNy43LzMxLzIwMTguTEZSLkYuVVNELkgBAAAAIEMEAAIAAAAJMTYuNDQ5MTg3AQgAAAAFAAAAATEBAAAACjE4NzM0OTM1MjgDAAAAAzE2MAIAAAAEMTI3NQQAAAABMAcAAAAJNy8zMS8yMDE4CAAAAAoxMi8zMS8yMDE3CQAAAAEwnAvVOAgJ1gjUX5hvNAnWCD5DSVEuTkFTREFRR1M6TVJTTi5JUV9UT1RBTF9FUVVJVFkuQ1kyMDE2LjcvMzEvMjAxOC5MRlIuRi5VU0QuSAEAAADmxRgA</t>
  </si>
  <si>
    <t>AgAAAAYzOC44MzEBCAAAAAUAAAABMQEAAAAKMTg4MDU0NzM4MwMAAAADMTYwAgAAAAQxMjc1BAAAAAEwBwAAAAk3LzMxLzIwMTgIAAAACjEyLzMxLzIwMTYJAAAAATDWjBE4CAnWCMOGn280CdYIL0NJUS5JUVRSNDIyODg3NzAxLklRX1RSX0lNUExJRURfRVZfRklOQUwuLlVTRC5IAQAAABXBNBkCAAAACTQ4LjkwNjE0MQEGAAAABQAAAAI1NAEAAAAGMTAyMDQ1AgAAAAk0MjI4ODc3MDEDAAAACTQzMDQwNjM0MwQAAAADMTYwBgAAAAVGYWxzZQxtEA41CdYIwNuCDjUJ1ggvQ0lRLi5JUV9HUk9TU19NQVJHSU4uMjAwMC43LzMxLzIwMTguTEZSLkYuVVNELkgFAAAAAQAAAAgAAAAUKEludmFsaWQgSWRlbnRpZmllcin1hDJHNAnWCPWEMkc0CdYIP0NJUS5OQVNEQVFHUzpGUFJYLklRX0VCSVREQV8zWVJfQU5OX0NBR1IuLjcvMTYvMjAxOC5MRlIuRi5VU0QuSAEAAAA3XTMAAwAAAAJOTQEIAAAABQAAAAExAQAAAAoxODg3NDAyMjI3AwAAAAMxNjACAAAABDQyMjIEAAAAATAHAAAACTcvMTYvMjAxOAgAAAAJMy8zMS8yMDE4CQAAAAEwKRyUEDUJ1ghzOWASNQnWCDdDSVEuTkFTREFRR1M6VFNSTy5JUV9QRVJJT0REQVRFX0lTLjIwMDAuNy8zMS8yMDE4LkxGUi5GAQAAAGjWWAYFAAAACTMvMzEvMjAxOACcC9U4CAnWCCTCmm80CdYIHkNJUS5JUTM2MTgzODQzLklRX0NPTVBBTllfTkFNRQEAAAAjHygCAwAAADJV</t>
  </si>
  <si>
    <t>bml0ZWQgU3RhdGVzIFRyZWFzdXJ5IENvbnN0YW50IE1hdHVyaXR5IC0gMzAgWWVhcgAMbRAONQnWCHd5gA41CdYINkNJUS5OQVNEQVFHTTpOTE5LLklRX1RPVEFMX0RFQlQuLjcvMTYvMjAxOC5MRlIuRi5VU0QuSAEAAACVe4wAAgAAAAUwLjIwMgEIAAAABQAAAAExAQAAAAoxODg4MzU0MjA3AwAAAAMxNjACAAAABDQxNzMEAAAAATAHAAAACTcvMTYvMjAxOAgAAAAJMy8zMS8yMDE4CQAAAAEwKRyUEDUJ1gjkdFsSNQnWCD1DSVEuTkFTREFRR1M6QkdORS5JUV9SRVZFTlVFX0VTVC5DWTIwMjAuNy8zMS8yMDE4LkNPTi5GLlVTRC5IAQAAAODk3QYCAAAACTI1MC44MDc3NQEOAAAABQAAAAIxMQEAAAABMAIAAAAKMTAwMzMyNjI3NwMAAAAGMTAwMTgwBAAAAAEyBgAAAAEwBwAAAAMxNjAIAAAAATAJAAAAATEKAAAAATALAAAACzEwOTc3NzIzODA1DAAAAAE3DQAAAAg4LzEvMjAxOBAAAAAJNy8zMS8yMDE4nAvVOAgJ1giB/ZVvNAnWCClDSVEuSVFUUjUzNTcxOTk5OC5JUV9CVVNJTkVTU19ERVNDUklQVElPTgEAAAA/zKQHAwAAAJIPS2l0ZSBQaGFybWEsIEluYy4sIGEgY2xpbmljYWwtc3RhZ2UgYmlvcGhhcm1hY2V1dGljYWwgY29tcGFueSwgZm9jdXNlcyBvbiB0aGUgZGV2ZWxvcG1lbnQgYW5kIGNvbW1lcmNpYWxpemF0aW9uIG9mIG5vdmVsIGNhbmNlciBpbW11bm90aGVyYXB5IHByb2R1Y3RzLiBUaGUg</t>
  </si>
  <si>
    <t>Y29tcGFueSBpcyBkZXZlbG9waW5nIGEgcGlwZWxpbmUgb2YgZW5naW5lZXJlZCBhdXRvbG9nb3VzIGNlbGwgdGhlcmFweS1iYXNlZCBwcm9kdWN0IGNhbmRpZGF0ZXMgZm9yIHRoZSB0cmVhdG1lbnQgb2Ygc29saWQgYW5kIGhlbWF0b2xvZ2ljYWwgbWFsaWduYW5jaWVzLiBJdHMgbGVhZCBwcm9kdWN0IGNhbmRpZGF0ZSBpcyBLVEUtQzE5LCBhIGNoaW1lcmljIGFudGlnZW4gcmVjZXB0b3IgKENBUiktYmFzZWQgdGhlcmFweSB0aGF0IGlzIGluIFBoYXNlIDIgY2xpbmljYWwgdHJpYWxzIGZvciBwYXRpZW50cyB3aXRoIHJlbGFwc2VkIG9yIHJlZnJhY3RvcnkgYWdncmVzc2l2ZSBkaWZmdXNlIGxhcmdlIEIgY2VsbCBseW1waG9tYSwgcHJpbWFyeSBtZWRpYXN0aW5hbCBCIGNlbGwgbHltcGhvbWEsIGFuZCB0cmFuc2Zvcm1lZCBmb2xsaWN1bGFyIGx5bXBob21hLiBUaGUgY29tcGFueSBpcyBhbHNvIGNvbmR1Y3RpbmcgYSBQaGFzZSAyIGNsaW5pY2FsIHRyaWFsIG9mIEtURS1DMTkgb24gcGF0aWVudHMgd2l0aCByZWxhcHNlZC9yZWZyYWN0b3J5IG1hbnRsZSBjZWxsIGx5bXBob21hOyBhIFBoYXNlIDEtMiBjbGluaWNhbCB0cmlhbCBvZiBLVEUtQzE5IG9uIGFkdWx0IHBhdGllbnRzIHdpdGggcmVsYXBzZWQvcmVmcmFjdG9yeSBhY3V0ZSBseW1waG9ibGFzdGljIGxldWtlbWlhOyBhbmQgYSBQaGFz</t>
  </si>
  <si>
    <t>ZSAxLTIgY2xpbmljYWwgdHJpYWwgb2YgS1RFLUMxOSBpbiBwZWRpYXRyaWMgcGF0aWVudHMgd2l0aCByZWxhcHNlZC9yZWZyYWN0b3J5LCBhcyB3ZWxsIGFzIFBoYXNlIDFiLzIgY2xpbmljYWwgdHJpYWwgb2YgS1RFLUMxOSBpbiBjb21iaW5hdGlvbiB3aXRoIEdlbmVudGVjaOKAmXMgYXRlem9saXp1bWFiIGluIHBhdGllbnRzIHdpdGggcmVmcmFjdG9yeSBETEJDTC4gSW4gYWRkaXRpb24sIGl0IGVuZ2FnZXMgaW4gZGV2ZWxvcGluZyBUIGNlbGwgcmVjZXB0b3JzLWJhc2VkIHRoZXJhcGllcywgd2hpY2ggdGFyZ2V0cyBzZWxmLWFudGlnZW5zLCB2aXJhbCBhbnRpZ2VucywgYW5kIG5lby1hbnRpZ2Vucy4gVGhlIGNvbXBhbnkgaGFzIGEgcmVzZWFyY2ggY29sbGFib3JhdGlvbiBhbmQgbGljZW5zZSBhZ3JlZW1lbnQgd2l0aCBBbWdlbiBJbmMuIHRvIGRldmVsb3AgYW5kIGNvbW1lcmNpYWxpemUgdmFyaW91cyBDQVItYmFzZWQgcHJvZHVjdCBjYW5kaWRhdGVzOyBjb29wZXJhdGl2ZSByZXNlYXJjaCBhbmQgZGV2ZWxvcG1lbnQgYWdyZWVtZW50cyB3aXRoIHRoZSBVLlMuIERlcGFydG1lbnQgb2YgSGVhbHRoIGFuZCBIdW1hbiBTZXJ2aWNlczsgYSBsaWNlbnNlIGFncmVlbWVudCB3aXRoIENhYmFyZXQgQmlvdGVjaCBMdGQuIGFuZCBOYXRpb25hbCBJbnN0aXR1dGVzIG9mIEhlYWx0aDsgYSBsaWNl</t>
  </si>
  <si>
    <t>bnNlIGFuZCByZXNlYXJjaCBhZ3JlZW1lbnQgd2l0aCBBbHBpbmUgSW1tdW5lIFNjaWVuY2VzLCBJbmMuOyBhIHJlc2VhcmNoIGNvbGxhYm9yYXRpb24gYW5kIGxpY2Vuc2UgYWdyZWVtZW50IHdpdGggQ2VsbCBEZXNpZ24gTGFicywgSW5jLjsgYW5kIGEgc3RyYXRlZ2ljIGNvbGxhYm9yYXRpb24gd2l0aCBHYWRldGEgQi5WLiB0byBkZXZlbG9wIGdhbW1hIGRlbHRhIFRDUiB0aGVyYXBpZXMgaW4gdmFyaW91cyBjYW5jZXJzLiBLaXRlIFBoYXJtYSwgSW5jLiB3YXMgZm91bmRlZCBpbiAyMDA5IGFuZCBpcyBoZWFkcXVhcnRlcmVkIGluIFNhbnRhIE1vbmljYSwgQ2FsaWZvcm5pYS4gQXMgb2YgT2N0b2JlciAyLCAyMDE3LCBLaXRlIFBoYXJtYSwgSW5jLiBvcGVyYXRlcyBhcyBhIHN1YnNpZGlhcnkgb2YgR2lsZWFkIFNjaWVuY2VzLCBJbmMuALKzSW80CdYIgf2VbzQJ1ggsQ0lRLklRVFIzNzE3MTUxMTkuSVFfVFJfVE9UQUxfR1JPU1NfVFYuVVNELkgFAAAAAAAAAAgAAAAaKEludmFsaWQgQ3VycmVuY3kgUmVxdWVzdCkMbRAONQnWCMDbgg41CdYIPkNJUS5OQVNEQVFHTTpGQVRFLklRX0NBU0hfU1RfSU5WRVNULjIwMDAuNy8zMS8yMDE4LkxGUi5GLlVTRC5IAQAAAGgxVwICAAAABjg4LjYzNAEIAAAABQAAAAExAQAAAAoxODg4NTAwNTI3AwAAAAMxNjACAAAABDEwMDIEAAAAATAHAAAACTcvMzEvMjAx</t>
  </si>
  <si>
    <t>OAgAAAAJMy8zMS8yMDE4CQAAAAEw1owROAgJ1gjDhp9vNAnWCD1DSVEuTkFTREFRQ006WklPUC5JUV9SRVZFTlVFX0VTVC5DWTIwMjEuNy8zMS8yMDE4LkNPTi5GLlVTRC5IAQAAALNRsgACAAAABTYuMzkyAQ4AAAAFAAAAAjExAQAAAAEwAgAAAAoxMDAwODk4MDc3AwAAAAYxMDAxODAEAAAAATIGAAAAATAHAAAAAzE2MAgAAAABMAkAAAABMQoAAAABMAsAAAALMTA5MzEzMDUwMjUMAAAAATcNAAAACDgvMS8yMDE4EAAAAAk3LzMxLzIwMTjWjBE4CAnWCMOGn280CdYIJUNJUS5JUVRSNTUwMjU5Mzk3LklRX1BSSU1BUllfSU5EVVNUUlkBAAAATgoMDwMAAAANQmlvdGVjaG5vbG9neQAMbRAONQnWCHd5gA41CdYIHUNJUS5OQVNEQVFHUzpKTkNFLklRX0VYQ0hBTkdFAQAAAOJ5ng0DAAAACE5hc2RhcUdTACkclBA1CdYI5HRbEjUJ1ghDQ0lRLk5BU0RBUUdNOkNSVlMuSVFfRUJJVERBXzVZUl9BTk5fQ0FHUi4yMDAwLjcvMzEvMjAxOC5MRlIuRi5VU0QuSAEAAAD0sKYQAwAAAAAA1owROAgJ1ggZ6aFvNAnWCCBDSVEuMC5JUV9UUl9UT1RBTF9HUk9TU19UVi5VU0QuSAUAAAAAAAAACAAAABgoSW52YWxpZCBUcmFuc2FjdGlvbiBJZClJU0dvNAnWCAfi8IE0CdYIO0NJUS5OQVNEQVFHUzpCR05FLklRX1RPVEFMX1JFVi5DWTIwMTcuNy8zMS8yMDE4LkxGUi5GLlVTRC5IAQAAAODk3QYCAAAABzI1NC42OTQBCAAA</t>
  </si>
  <si>
    <t>AAUAAAABMQEAAAAKMTg5OTg4MTE5NAMAAAADMTYwAgAAAAIyOAQAAAABMAcAAAAJNy8zMS8yMDE4CAAAAAoxMi8zMS8yMDE3CQAAAAEwnAvVOAgJ1giB/ZVvNAnWCChDSVEuTkFTREFRR1M6QURYUy5JUV9URVYuNy8xNi8yMDE4LlVTRC5IAQAAAJ7seAACAAAACTE3LjkwOTQ1NQEGAAAABQAAAAExAQAAAAoxODkyNzg4NDU0AwAAAAMxNjACAAAABjEwMDA2MAQAAAABMAcAAAAJNy8xNi8yMDE4KRyUEDUJ1gjkdFsSNQnWCD1DSVEuTkFTREFRR1M6Q0FMQS5JUV9SRVZFTlVFX0VTVC5DWTIwMjAuNy8zMS8yMDE4LkNPTi5GLlVTRC5IAQAAAKUngQYCAAAABTg1LjE1AQ4AAAAFAAAAAjExAQAAAAEwAgAAAAoxMDAyODk2NDI4AwAAAAYxMDAxODAEAAAAATIGAAAAATAHAAAAAzE2MAgAAAABMAkAAAABMQoAAAABMAsAAAALMTA5MTMyNzg0NTUMAAAAATcNAAAACDgvMS8yMDE4EAAAAAk3LzMxLzIwMTjIMLI3CAnWCN1LpG80CdYIPUNJUS5OQVNEQVFHUzpUU1JPLklRX1JFVkVOVUVfRVNULkNZMjAyMC43LzE2LzIwMTguQ09OLkYuVVNELkgBAAAAaNZYBgIAAAAJNjcwLjM4ODkyAQ4AAAAFAAAAAjExAQAAAAEwAgAAAAoxMDAxNTgwMzUwAwAAAAYxMDAxODAEAAAAATIGAAAAATAHAAAAAzE2MAgAAAABMAkAAAABMQoAAAABMAsAAAALMTA5NjcyMTU4MjYMAAAAATcNAAAACTcvMTcvMjAxOBAAAAAJNy8xNi8yMDE4</t>
  </si>
  <si>
    <t>xP8bETUJ1ggS/mQSNQnWCDhDSVEuTkFTREFRR1M6QkdORS5JUV9FQklUREEuQ1kyMDE3LjcvMzEvMjAxOC5MRlIuRi5VU0QuSAEAAADg5N0GAgAAAActNzcuMzkyAQgAAAAFAAAAATEBAAAACjE4OTk4ODExOTQDAAAAAzE2MAIAAAAENDA1MQQAAAABMAcAAAAJNy8zMS8yMDE4CAAAAAoxMi8zMS8yMDE3CQAAAAEwnAvVOAgJ1giB/ZVvNAnWCDpDSVEuTkFTREFRR006QVJSWS5JUV9UT1RBTF9ERUJULjIwMDAuNy8zMS8yMDE4LkxGUi5GLlVTRC5IAQAAAPhhAAACAAAABzEwNy4zNTUBCAAAAAUAAAABMQEAAAAKMTg4ODQ3MDY3NgMAAAADMTYwAgAAAAQ0MTczBAAAAAEwBwAAAAk3LzMxLzIwMTgIAAAACTMvMzEvMjAxOAkAAAABMJwL1TgICdYI1F+YbzQJ1gg2Q0lRLk5BU0RBUUdTOlRTUk8uSVFfVE9UQUxfREVCVC4uNy8xNi8yMDE4LkxGUi5GLlVTRC5IAQAAAGjWWAYCAAAABzQ0MC40MTcBCAAAAAUAAAABMQEAAAAKMTg4NjMzNzQ2NgMAAAADMTYwAgAAAAQ0MTczBAAAAAEwBwAAAAk3LzE2LzIwMTgIAAAACTMvMzEvMjAxOAkAAAABMMT/GxE1CdYIEv5kEjUJ1gg3Q0lRLk9UQ1BLOk1CVlguSVFfQ0FTSF9TVF9JTlZFU1QuLjkvMTUvMjAxNy5MRlIuRi5VU0QuSAEAAADYRIsCAgAAAAgxLjg0NjkwNgEIAAAABQAAAAExAQAAAAoxODU0MjY1NzYzAwAAAAMxNjACAAAABDEwMDIEAAAAATAHAAAACTkvMTUv</t>
  </si>
  <si>
    <t>MjAxNwgAAAAJNi8zMC8yMDE3CQAAAAEw3qd+EDUJ1giYElkSNQnWCDpDSVEuTkFTREFRR1M6TVJTTi5JUV9FQVJOSU5HX0NPLjIwMDAuNy8zMS8yMDE4LkxGUi5GLlVTRC5IAQAAAObFGAACAAAABy00My4wNDkBCAAAAAUAAAABMQEAAAAKMTg4OTA5NjY1MwMAAAADMTYwAgAAAAE3BAAAAAEwBwAAAAk3LzMxLzIwMTgIAAAACTMvMzEvMjAxOAkAAAABMNaMETgICdYIw4afbzQJ1ggvQ0lRLklRVFI1NjM5MTkwNDkuSVFfVFJfVEFSR0VUX1RPVEFMX1JFVi4uVVNELkgBAAAAybicIQIAAAAAAAxtEA41CdYIwNuCDjUJ1gguQ0lRLk5BU0RBUUdTOk1SU04uSVFfTUFSS0VUQ0FQLjcvMzEvMjAxOC5VU0QuSAEAAADmxRgAAgAAAAoyNzAuMjQxODY1AQYAAAAFAAAAATEBAAAACjE4ODkwOTQxMDADAAAAAzE2MAIAAAAGMTAwMDU0BAAAAAEwBwAAAAk3LzMxLzIwMTjWjBE4CAnWCMOGn280CdYINkNJUS5OQVNEQVFHTTpOTE5LLklRX1RPVEFMX0RFQlQuLjkvMTUvMjAxNy5MRlIuRi5VU0QuSAEAAACVe4wAAgAAAAUwLjM5NQEIAAAABQAAAAExAQAAAAoxODUxODk2OTUzAwAAAAMxNjACAAAABDQxNzMEAAAAATAHAAAACTkvMTUvMjAxNwgAAAAJNi8zMC8yMDE3CQAAAAEwKRyUEDUJ1gjkdFsSNQnWCCJDSVEuSVFUUjM3MTcxNTExOS5JUV9UUl9UT1RBTF9DQVNIAQAAAC/sJxYCAAAAAABYzxIONQnWCMDbgg41CdYI</t>
  </si>
  <si>
    <t>OkNJUS5OQVNEQVFHTTpBUlFMLklRX0VBUk5JTkdfQ08uMjAwMC43LzMxLzIwMTguTEZSLkYuVVNELkgBAAAA9mEAAAIAAAAHLTI4LjE1OQEIAAAABQAAAAExAQAAAAoxODg4Nzg4NzcwAwAAAAMxNjACAAAAATcEAAAAATAHAAAACTcvMzEvMjAxOAgAAAAJMy8zMS8yMDE4CQAAAAEw1owROAgJ1ghzJJ1vNAnWCCFDSVEuLklRX1RSX1RBUkdFVF9TVE9DS1BSRU1JVU1fMVcFAAAAAAAAAAgAAAAUKEludmFsaWQgSWRlbnRpZmllcimcC9U4CAnWCHd5gA41CdYILkNJUS5OQVNEQVFHUzpTR0VOLklRX01BUktFVENBUC43LzE2LzIwMTguVVNELkgBAAAAYYUAAAIAAAAMMTA5MTUuOTAzMjg4AQYAAAAFAAAAATEBAAAACjE4ODQ4OTExNTcDAAAAAzE2MAIAAAAGMTAwMDU0BAAAAAEwBwAAAAk3LzE2LzIwMThGnRkRNQnWCGhgZxI1CdYIJUNJUS5OQVNEQVFHTTpBRk1ELklRX0ZJUlNUUFJJQ0lOR0RBVEUBAAAA2/cMAAUAAAAJOS8xMi8yMDE0ACkclBA1CdYIMNddEjUJ1ggdQ0lRLk5BU0RBUUdTOkdUSFguSVFfRVhDSEFOR0UBAAAAZTRpCAMAAAAITmFzZGFxR1MAnAvVOAgJ1ggkwppvNAnWCDhDSVEuWFRSQTpNT1IuSVFfRUJJVERBX01BUkdJTi4yMDAwLjcvMzEvMjAxOC5MRlIuRi5VU0QuSAEAAADfEQIAAgAAAAktMTAwLjI3ODMBCAAAAAUAAAABMQEAAAAKMTg4NjE1MTY0OAMAAAACNTACAAAABDQwNDcEAAAA</t>
  </si>
  <si>
    <t>ATAHAAAACTcvMzEvMjAxOAgAAAAJMy8zMS8yMDE4CQAAAAEwnAvVOAgJ1gjUX5hvNAnWCDlDSVEuTkFTREFRR1M6TksuSVFfUFJFRl9FUVVJVFkuMjAwMC43LzMxLzIwMTguTEZSLkYuVVNELkgBAAAADX2hDwMAAAAAANaMETgICdYIw4afbzQJ1gg5Q0lRLlhUUkE6TU9SLklRX0NBU0hfU1RfSU5WRVNULjIwMDAuNy8zMS8yMDE4LkxGUi5GLlVTRC5IAQAAAN8RAgACAAAACjM1Mi4wNTExNzYBCAAAAAUAAAABMQEAAAAKMTg4NjE1MTY0OAMAAAADMTYwAgAAAAQxMDAyBAAAAAEwBwAAAAk3LzMxLzIwMTgIAAAACTMvMzEvMjAxOAkAAAABMJwL1TgICdYI1F+YbzQJ1ggvQ0lRLklRVFI1NDI4MDY2ODYuSVFfVFJfSU1QTElFRF9FVl9GSU5BTC4uVVNELkgBAAAAnpJaIAIAAAAAALKzSW80CdYIgf2VbzQJ1gggQ0lRLklRVFI1NTAyNTkzOTcuSVFfVFJfRUFSTk9VVFMBAAAAxUrMIAIAAAAAAAxtEA41CdYId3mADjUJ1gg1Q0lRLk5BU0RBUUdTOlBCWUkuSVFfVE9UQUxfUkVWLi43LzE2LzIwMTguTEZSLkYuVVNELkgBAAAAAmqsBwIAAAAGOTQuMjAxAQgAAAAFAAAAATEBAAAACjE4ODg2Njc3NDMDAAAAAzE2MAIAAAACMjgEAAAAATAHAAAACTcvMTYvMjAxOAgAAAAJMy8zMS8yMDE4CQAAAAEwxP8bETUJ1ggS/mQSNQnWCDVDSVEuTkFTREFRR1M6Q0FMQS5JUV9DQVBFWC4xOTkyLjcvMzEvMjAxOC5MRlIuRi5V</t>
  </si>
  <si>
    <t>U0QuSAEAAAClJ4EGAgAAAAYtMC41NDIBCAAAAAUAAAABMQEAAAAKMTg0MDk4MjY0NgMAAAADMTYwAgAAAAQyMDIxBAAAAAEwBwAAAAk3LzMxLzIwMTgIAAAACTMvMzEvMjAxNgkAAAABMMgwsjcICdYI3UukbzQJ1gg7Q0lRLk5BU0RBUUdNOk5MTksuSVFfTkVUX1dPUktJTkdfQ0FQLi43LzE2LzIwMTguTEZSLkYuVVNELkgBAAAAlXuMAAIAAAAGLTMuNTk4AQgAAAAFAAAAATEBAAAACjE4ODgzNTQyMDcDAAAAAzE2MAIAAAAEMTMxMQQAAAABMAcAAAAJNy8xNi8yMDE4CAAAAAkzLzMxLzIwMTgJAAAAATApHJQQNQnWCOR0WxI1CdYIPUNJUS5OQVNEQVFHUzpBVE5YLklRX1JFVkVOVUVfRVNULkNZMjAxOS43LzMxLzIwMTguQ09OLkYuVVNELkgBAAAA3JlrAQIAAAAIOTUuNTc4MjMBDgAAAAUAAAACMTEBAAAAATACAAAACjEwMDM3NzgzNjkDAAAABjEwMDE4MAQAAAABMgYAAAABMAcAAAADMTYwCAAAAAEwCQAAAAExCgAAAAEwCwAAAAsxMDk5NTQyMzM5MwwAAAABNw0AAAAIOC8xLzIwMTgQAAAACTcvMzEvMjAxONaMETgICdYIJMKabzQJ1gg+Q0lRLk5BU0RBUUdNOkZBVEUuSVFfVE9UQUxfRVFVSVRZLkNZMjAxNy43LzMxLzIwMTguTEZSLkYuVVNELkgBAAAAaDFXAgIAAAAGNzcuMTg5AQgAAAAFAAAAATEBAAAACjE4NzcwNjkwOTADAAAAAzE2MAIAAAAEMTI3NQQAAAABMAcAAAAJNy8zMS8yMDE4CAAAAAox</t>
  </si>
  <si>
    <t>Mi8zMS8yMDE3CQAAAAEw1owROAgJ1gjDhp9vNAnWCDZDSVEuTkFTREFRQ006U1JORS5JUV9FQklUREEuMjAwMC43LzMxLzIwMTguTEZSLkYuVVNELkgBAAAASUOUAwIAAAAGNjMuMDcxAQgAAAAFAAAAATEBAAAACjE4ODc5ODk4MzEDAAAAAzE2MAIAAAAENDA1MQQAAAABMAcAAAAJNy8zMS8yMDE4CAAAAAkzLzMxLzIwMTgJAAAAATDWjBE4CAnWCHMknW80CdYIIUNJUS5OQVNEQVFHUzpLVVJBLklRX0NPTVBBTllfTkFNRQEAAAC4y9oQAwAAABNLdXJhIE9uY29sb2d5LCBJbmMuANaMETgICdYIcySdbzQJ1gghQ0lRLk5BU0RBUUdTOkFEWFMuSVFfQ09NUEFOWV9OQU1FAQAAAJ7seAADAAAADUFkdmF4aXMsIEluYy4AKRyUEDUJ1gjkdFsSNQnWCDhDSVEuTkFTREFRR006TkxOSy5JUV9FQklUREEuQ1kyMDE2LjcvMTYvMjAxOC5MRlIuRi5VU0QuSAEAAACVe4wAAgAAAActNzcuMDc0AQgAAAAFAAAAATEBAAAACjE4NzcyOTg3MDUDAAAAAzE2MAIAAAAENDA1MQQAAAABMAcAAAAJNy8xNi8yMDE4CAAAAAoxMi8zMS8yMDE2CQAAAAEwKRyUEDUJ1gjkdFsSNQnWCChDSVEuTkFTREFRR006WE5DUi5JUV9URVYuNy8xNi8yMDE4LlVTRC5IAQAAAKZaCwACAAAACzE3OTAuOTU5NjQxAQYAAAAFAAAAATEBAAAACjE4ODcxMjQ5OTADAAAAAzE2MAIAAAAGMTAwMDYwBAAAAAEwBwAAAAk3LzE2LzIwMThGnRkRNQnWCBL+</t>
  </si>
  <si>
    <t>ZBI1CdYIPENJUS5OQVNEQVFDTTpaSU9QLklRX0VCSVREQV9FU1QuQ1kyMDE5LjcvMzEvMjAxOC5DT04uRi5VU0QuSAEAAACzUbIAAgAAAAMtNjUBDgAAAAUAAAACMTEBAAAAATACAAAACjEwMDA4OTgwNzUDAAAABjEwMDE4NwQAAAABMgYAAAABMAcAAAADMTYwCAAAAAEwCQAAAAExCgAAAAEwCwAAAAsxMDkzMTUzMzY0NwwAAAABNw0AAAAIOC8xLzIwMTgQAAAACTcvMzEvMjAxONaMETgICdYIw4afbzQJ1gg9Q0lRLk5BU0RBUUdNOklNTVUuSVFfUkVWRU5VRV9FU1QuQ1kyMDIwLjcvMTYvMjAxOC5DT04uRi5VU0QuSAEAAAAgQwQAAgAAAAgyNTQuNDMzMwEOAAAABQAAAAIxMQEAAAABMAIAAAAJMzcwMDgxMzk2AwAAAAYxMDAxODAEAAAAATIGAAAAATAHAAAAAzE2MAgAAAABMAkAAAABMQoAAAABMAsAAAALMTA5NTg2NzYxNDMMAAAAATcNAAAACTcvMTcvMjAxOBAAAAAJNy8xNi8yMDE4xP8bETUJ1ggS/mQSNQnWCDBDSVEuSVFUUjI3MzUwNzE4NS5JUV9UUl9UQVJHRVRfRUJJVERBX0VTVC4uVVNELkgBAAAAcWNNEAIAAAAAALKzSW80CdYIgf2VbzQJ1gg2Q0lRLkVOWFRQQTpJUEguSVFfRUJJVERBX01BUkdJTi4uNy8xNi8yMDE4LkxGUi5GLlVTRC5IAQAAAJmABgACAAAACC04MC44MjM0AQgAAAAFAAAAATEBAAAACjE4ODk1NTIxNjQDAAAAAjUwAgAAAAQ0MDQ3BAAAAAEwBwAAAAk3LzE2LzIwMTgIAAAA</t>
  </si>
  <si>
    <t>CjEyLzMxLzIwMTcJAAAAATApHJQQNQnWCHM5YBI1CdYIO0NJUS5OQVNEQVFHUzpHVEhYLklRX0VCSVRfTUFSR0lOLjIwMDAuNy8zMS8yMDE4LkxGUi5GLlVTRC5IAQAAAGU0aQgDAAAAAACcC9U4CAnWCCTCmm80CdYIIENJUS5JUTM2MTgzODE2LklRX0xBU1RTQUxFUFJJQ0UuAQAAAAgfKAICAAAABDIuMDkAnAvVOAgJ1gh3eYAONQnWCCVDSVEuTkFTREFRR006WE5DUi5JUV9GSVJTVFBSSUNJTkdEQVRFAQAAAKZaCwAFAAAACTEyLzMvMjAxMwBGnRkRNQnWCBL+ZBI1CdYIKUNJUS5JUVRSNTQyODA2Njg2LklRX1RSX0lNUExJRURfRVFfTklfTFRNAQAAAJ6SWiACAAAAAACys0lvNAnWCIH9lW80CdYIMUNJUS5JUVRSNTQ3NDIzNjgwLklRX1RSX1RBUkdFVF9SRVZFTlVFX0VTVC4uVVNELkgBAAAAwAWhIAIAAAAAAAxtEA41CdYIwNuCDjUJ1gg4Q0lRLk5BU0RBUUdTOktVUkEuSVFfRUJJVERBLkNZMjAxNy43LzMxLzIwMTguTEZSLkYuVVNELkgBAAAAuMvaEAIAAAAHLTM2LjA0NwEIAAAABQAAAAExAQAAAAoxODc4MDEyNDc4AwAAAAMxNjACAAAABDQwNTEEAAAAATAHAAAACTcvMzEvMjAxOAgAAAAKMTIvMzEvMjAxNwkAAAABMNaMETgICdYIcySdbzQJ1gg9Q0lRLk5BU0RBUUNNOlNSTkUuSVFfRUJJVERBX01BUkdJTi4yMDAwLjcvMzEvMjAxOC5MRlIuRi5VU0QuSAEAAABJQ5QDAgAAAAc0MS4xNjE1AQgA</t>
  </si>
  <si>
    <t>AAAFAAAAATEBAAAACjE4ODc5ODk4MzEDAAAAAzE2MAIAAAAENDA0NwQAAAABMAcAAAAJNy8zMS8yMDE4CAAAAAkzLzMxLzIwMTgJAAAAATDWjBE4CAnWCHMknW80CdYIOENJUS5OQVNEQVFHTTpBUlJZLklRX0VCSVREQS5DWTIwMTcuNy8zMS8yMDE4LkxGUi5GLlVTRC5IAQAAAPhhAAACAAAACC0xMTcuMjYyAQgAAAAFAAAAATEBAAAACjE4NzMyMDM3OTgDAAAAAzE2MAIAAAAENDA1MQQAAAABMAcAAAAJNy8zMS8yMDE4CAAAAAoxMi8zMS8yMDE3CQAAAAEwnAvVOAgJ1gjUX5hvNAnWCDxDSVEuTkFTREFRR1M6TVJTTi5JUV9FQklUREFfRVNULkNZMjAxOS43LzE2LzIwMTguQ09OLkYuVVNELkgBAAAA5sUYAAIAAAAHLTY5LjU2OAEOAAAABQAAAAIxMQEAAAABMAIAAAAKMTAwMzgwMzI4MAMAAAAGMTAwMTg3BAAAAAEyBgAAAAEwBwAAAAMxNjAIAAAAATAJAAAAATEKAAAAATALAAAACzEwODgzODMxMzk0DAAAAAE3DQAAAAk3LzE3LzIwMTgQAAAACTcvMTYvMjAxOMT/GxE1CdYIczlgEjUJ1gg5Q0lRLk5BU0RBUUdNOkNSVlMuSVFfVE9UQUxfUkVWLjE5OTYuNy8zMS8yMDE4LkxGUi5GLlVTRC5IAQAAAPSwphADAAAAAADWjBE4CAnWCBnpoW80CdYIQkNJUS5OQVNEQVFHTTpYTkNSLklRX1RPVEFMX1JFVl8yWVJfQU5OX0NBR1IuLjcvMTYvMjAxOC5MRlIuRi5VU0QuSAEAAACmWgsAAgAAAActMS45NzY0AQgA</t>
  </si>
  <si>
    <t>AAAFAAAAATEBAAAACjE4ODcxMjU4NTUDAAAAAzE2MAIAAAAENDIwNwQAAAABMAcAAAAJNy8xNi8yMDE4CAAAAAkzLzMxLzIwMTgJAAAAATDE/xsRNQnWCBL+ZBI1CdYIP0NJUS5OQVNEQVFHTTpGQVRFLklRX05FVF9XT1JLSU5HX0NBUC4xOTk2LjcvMzEvMjAxOC5MRlIuRi5VU0QuSAEAAABoMVcCAgAAAAUtOC4xNAEIAAAABQAAAAExAQAAAAoxODg4NTAwMzMzAwAAAAMxNjACAAAABDEzMTEEAAAAATAHAAAACTcvMzEvMjAxOAgAAAAJMy8zMS8yMDE3CQAAAAEw1owROAgJ1gjDhp9vNAnWCDtDSVEuTkFTREFRR006Q1JWUy5JUV9UT1RBTF9SRVYuQ1kyMDE2LjcvMzEvMjAxOC5MRlIuRi5VU0QuSAEAAAD0sKYQAwAAAAAA1owROAgJ1ggZ6aFvNAnWCDtDSVEuTkFTREFRR006TFBUWC5JUV9ORVRfV09SS0lOR19DQVAuLjcvMTYvMjAxOC5MRlIuRi5VU0QuSAEAAAAMNgkHAgAAAAYtNC41NTgBCAAAAAUAAAABMQEAAAAKMTg5MDE2MzkzNgMAAAADMTYwAgAAAAQxMzExBAAAAAEwBwAAAAk3LzE2LzIwMTgIAAAACTMvMzEvMjAxOAkAAAABMCkclBA1CdYIMNddEjUJ1gg5Q0lRLk9UQ1BLOk1CVlguSVFfRUFSTklOR19DTy5DWTIwMTYuNy8xNi8yMDE4LkxGUi5GLlVTRC5IAQAAANhEiwICAAAACi0xNy42NjA0ODMBCAAAAAUAAAABMQEAAAAKMTg4MTIxMzIyMAMAAAADMTYwAgAAAAE3BAAAAAEwBwAAAAk3LzE2</t>
  </si>
  <si>
    <t>LzIwMTgIAAAACjEyLzMxLzIwMTYJAAAAATDep34QNQnWCJgSWRI1CdYINENJUS5PVENQSzpNQlZYLklRX1BSRUZfRVFVSVRZLi45LzE1LzIwMTcuTEZSLkYuVVNELkgBAAAA2ESLAgIAAAAIMC4wMzc2NjMBCAAAAAUAAAABMQEAAAAKMTg1NDI2NTc2MwMAAAADMTYwAgAAAAQxMDA1BAAAAAEwBwAAAAk5LzE1LzIwMTcIAAAACTYvMzAvMjAxNwkAAAABMN6nfhA1CdYImBJZEjUJ1gg6Q0lRLk5BU0RBUUdTOktVUkEuSVFfRUFSTklOR19DTy4xOTkyLjcvMzEvMjAxOC5MRlIuRi5VU0QuSAEAAAC4y9oQAgAAAActMjQuNzc1AQgAAAAFAAAAATEBAAAACjE4NDIyODA3MTcDAAAAAzE2MAIAAAABNwQAAAABMAcAAAAJNy8zMS8yMDE4CAAAAAkzLzMxLzIwMTYJAAAAATDWjBE4CAnWCHMknW80CdYIJUNJUS5JUVRSNDA4MjkxMzk1LklRX1RSX0lNUExJRURfRVFfQlYBAAAAQwhWGAMAAAACTk0AWM8SDjUJ1gjA24IONQnWCC9DSVEuSVFUUjQxMTg3MTA4Mi5JUV9UUl9JTVBMSUVEX0VWX0ZJTkFMLi5VU0QuSAEAAABqp4wYAgAAAAsxNzI4LjI1NTgxNAEGAAAABQAAAAI1NAEAAAAGMTAyMDQ1AgAAAAk0MTE4NzEwODIDAAAACTQxMTg3MTI5MQQAAAADMTYwBgAAAAVGYWxzZbKzSW80CdYINZuTbzQJ1ggrQ0lRLkFTWDpJTVUuSVFfQ0FQRVguLjcvMTYvMjAxOC5MRlIuRi5VU0QuSAEAAACYk6kAAgAAAAktMC4wMDI2</t>
  </si>
  <si>
    <t>MDEBCAAAAAUAAAABMQEAAAAKMTg3NzMwNTMyMAMAAAADMTYwAgAAAAQyMDIxBAAAAAEwBwAAAAk3LzE2LzIwMTgIAAAACjEyLzMxLzIwMTcJAAAAATApHJQQNQnWCDDXXRI1CdYIPENJUS5OQVNEQVFHUzpOSy5JUV9UT1RBTF9FUVVJVFkuQ1kyMDE3LjcvMzEvMjAxOC5MRlIuRi5VU0QuSAEAAAANfaEPAgAAAAcyMTguODQ0AQgAAAAFAAAAATEBAAAACjE4NzgwMTI1OTcDAAAAAzE2MAIAAAAEMTI3NQQAAAABMAcAAAAJNy8zMS8yMDE4CAAAAAoxMi8zMS8yMDE3CQAAAAEw1owROAgJ1ggZ6aFvNAnWCDFDSVEuTkFTREFRR1M6UEJZSS5JUV9DQVBFWC4uNy8xNi8yMDE4LkxGUi5GLlVTRC5IAQAAAAJqrAcCAAAABi0wLjM0NwEIAAAABQAAAAExAQAAAAoxODg4NjY3NzQzAwAAAAMxNjACAAAABDIwMjEEAAAAATAHAAAACTcvMTYvMjAxOAgAAAAJMy8zMS8yMDE4CQAAAAEwxP8bETUJ1ggS/mQSNQnWCDZDSVEuTkFTREFRR1M6QkdORS5JUV9FQklUREEuMjAwMC43LzMxLzIwMTguTEZSLkYuVVNELkgBAAAA4OTdBgIAAAAILTE1MS41ODYBCAAAAAUAAAABMQEAAAAKMTg4NzY4ODU4OAMAAAADMTYwAgAAAAQ0MDUxBAAAAAEwBwAAAAk3LzMxLzIwMTgIAAAACTMvMzEvMjAxOAkAAAABMJwL1TgICdYIgf2VbzQJ1ggiQ0lRLklRVFI1NTExNjYyOTIuSVFfVFJfVE9UQUxfQ0FTSAEAAABUIdogAgAAAAk1NTIuNTQ4</t>
  </si>
  <si>
    <t>OTYBBgAAAAUAAAACNTQBAAAABjEwMTA1NgIAAAAJNTUxMTY2MjkyAwAAAAk1NTExNzMzNzUEAAAAAzE2MAYAAAAFRmFsc2UMbRAONQnWCMDbgg41CdYIPENJUS5OQVNEQVFHUzpCR05FLklRX0VCSVREQV9FU1QuQ1kyMDE5LjcvMzEvMjAxOC5DT04uRi5VU0QuSAEAAADg5N0GAgAAAAotMzQxLjUzOTY3AQ4AAAAFAAAAAjExAQAAAAEwAgAAAAoxMDAzMzI2MjcyAwAAAAYxMDAxODcEAAAAATIGAAAAATAHAAAAAzE2MAgAAAABMAkAAAABMQoAAAABMAsAAAALMTA5ODY2NjQ5NDkMAAAAATcNAAAACDgvMS8yMDE4EAAAAAk3LzMxLzIwMTicC9U4CAnWCIH9lW80CdYIJ0NJUS5OQVNEQVFHUzpBTkFCLklRX0JFVEFfMllSLjcvMTYvMjAxOAEAAAAhTLIBAgAAABEwLjc5MDM1NjgyMDE5NTA0NADE/xsRNQnWCMKbYhI1CdYIOUNJUS5PVENQSzpNQlZYLklRX0VBUk5JTkdfQ08uQ1kyMDE3LjcvMTYvMjAxOC5MRlIuRi5VU0QuSAEAAADYRIsCAgAAAAotMTkuMDIwNjc5AQgAAAAFAAAAATEBAAAACjE4ODEyMTMyNDUDAAAAAzE2MAIAAAABNwQAAAABMAcAAAAJNy8xNi8yMDE4CAAAAAoxMi8zMS8yMDE3CQAAAAEw3qd+EDUJ1giYElkSNQnWCDBDSVEuSVFUUjU1MTE2NjI5Mi5JUV9UUl9UQVJHRVRfRUJJVERBX0VTVC4uVVNELkgBAAAAVCHaIAIAAAAAAAxtEA41CdYIwNuCDjUJ1gghQ0lRLklRMjg2Njc1Mzg0LklR</t>
  </si>
  <si>
    <t>X0NPTVBBTllfVElDS0VSAQAAALhRFhEDAAAADU5hc2RhcUNNOkNLUFQADG0QDjUJ1gh/UJgONQnWCBhDSVEuLklRX1RSX01BSl9NSU5fU1RBS0UFAAAAAAAAAAgAAAAUKEludmFsaWQgSWRlbnRpZmllcimcC9U4CAnWCHd5gA41CdYIK0NJUS5JUVRSMzAyODY2NjI3LklRX1RSX1RPVEFMX0dST1NTX1RWLi5VU0QBAAAAw2ANEgIAAAAJNDIuODExNzI4AQYAAAAFAAAAAjU0AQAAAAYxMDIwODgCAAAACTMwMjg2NjYyNwMAAAAJMzAyODY3MTUxBAAAAAMxNjAGAAAABUZhbHNlWM8SDjUJ1ggMPoUONQnWCDdDSVEuTkFTREFRR006TkxOSy5JUV9QUkVGX0VRVUlUWS4uOS8xNS8yMDE3LkxGUi5GLlVTRC5IAQAAAJV7jAADAAAAAAApHJQQNQnWCOR0WxI1CdYIQ0NJUS5OQVNEQVFHUzpDQUxBLklRX0VCSVREQV8yWVJfQU5OX0NBR1IuMjAwMC43LzMxLzIwMTguTEZSLkYuVVNELkgBAAAApSeBBgMAAAACTk0BCAAAAAUAAAABMQEAAAAKMTg4Nzk4MDMwNQMAAAADMTYwAgAAAAQ0MjA5BAAAAAEwBwAAAAk3LzMxLzIwMTgIAAAACTMvMzEvMjAxOAkAAAABMMgwsjcICdYI3UukbzQJ1ggeQ0lRLklRODQ5ODgzLklRX0NPTVBBTllfVElDS0VSAQAAANv3DAADAAAADU5hc2RhcUdNOkFGTUQADG0QDjUJ1gh/UJgONQnWCDVDSVEuTkFTREFRR1M6QURYUy5JUV9OSV9NQVJHSU4uLjcvMTYvMjAxOC5MRlIuRi5VU0QuSAEA</t>
  </si>
  <si>
    <t>AACe7HgAAwAAAAJOTQEIAAAABQAAAAExAQAAAAoxODkyNzg4NTQ4AwAAAAMxNjACAAAABDQwOTQEAAAAATAHAAAACTcvMTYvMjAxOAgAAAAJNC8zMC8yMDE4CQAAAAEwKRyUEDUJ1gjkdFsSNQnWCD9DSVEuT1RDUEs6TldCTy5JUV9UT1RBTF9SRVZfNVlSX0FOTl9DQUdSLi43LzE2LzIwMTguTEZSLkYuVVNELkgBAAAAo3oUAAIAAAAILTE1LjE0MDcBCAAAAAUAAAABMQEAAAAKMTg4OTMwMjgyNAMAAAADMTYwAgAAAAQ0MjMzBAAAAAEwBwAAAAk3LzE2LzIwMTgIAAAACTMvMzEvMjAxOAkAAAABMCkclBA1CdYIMNddEjUJ1gg9Q0lRLk5BU0RBUUdTOk1SU04uSVFfUkVWRU5VRV9FU1QuQ1kyMDE5LjcvMzEvMjAxOC5DT04uRi5VU0QuSAEAAADmxRgAAgAAAAYyMC41MjQBDgAAAAUAAAACMTEBAAAAATACAAAACjEwMDM4MDMyODADAAAABjEwMDE4MAQAAAABMgYAAAABMAcAAAADMTYwCAAAAAEwCQAAAAExCgAAAAEwCwAAAAsxMTA0MzU4MTUzOAwAAAABNw0AAAAIOC8xLzIwMTgQAAAACTcvMzEvMjAxONaMETgICdYIw4afbzQJ1ghDQ0lRLk5BU0RBUUdTOkpOQ0UuSVFfTUlOT1JJVFlfSU5URVJFU1RfVE9UQUwuLjcvMTYvMjAxOC5MRlIuRi5VU0QuSAEAAADieZ4NAwAAAAAAKRyUEDUJ1gjkdFsSNQnWCDZDSVEuTkFTREFRR1M6TUdOWC5JUV9UT1RBTF9ERUJULi43LzE2LzIwMTguTEZSLkYuVVNELkgBAAAA</t>
  </si>
  <si>
    <t>TysJAAIAAAABMAEIAAAABQAAAAExAQAAAAoxODg3MTE0OTQ1AwAAAAMxNjACAAAABDQxNzMEAAAAATAHAAAACTcvMTYvMjAxOAgAAAAJMy8zMS8yMDE4CQAAAAEwxP8bETUJ1gjCm2ISNQnWCDlDSVEuTkFTREFRR006RkFURS5JUV9UT1RBTF9ERUJULjIwMDAuNS81LzIwMTcuTEZSLkYuVVNELkgBAAAAaDFXAgIAAAAGMTAuNjg4AQgAAAAFAAAAATEBAAAACjE4MzIxNjc4OTYDAAAAAzE2MAIAAAAENDE3MwQAAAABMAcAAAAINS81LzIwMTcIAAAACjEyLzMxLzIwMTYJAAAAATDWjBE4CAnWCMOGn280CdYIM0NJUS5OQVNEQVFHUzpOSy5JUV9DQVBFWC4xOTkyLjcvMzEvMjAxOC5MRlIuRi5VU0QuSAEAAAANfaEPAgAAAAUtMy4yNwEIAAAABQAAAAExAQAAAAoxODQwNzQxODU3AwAAAAMxNjACAAAABDIwMjEEAAAAATAHAAAACTcvMzEvMjAxOAgAAAAJMy8zMS8yMDE2CQAAAAEw1owROAgJ1ggZ6aFvNAnWCD1DSVEuTkFTREFRR1M6Q0FMQS5JUV9SRVZFTlVFX0VTVC5DWTIwMTkuNy8xNi8yMDE4LkNPTi5GLlVTRC5IAQAAAKUngQYCAAAABzIwLjIwMjUBDgAAAAUAAAACMTEBAAAAATACAAAACjEwMDI4OTY0MjMDAAAABjEwMDE4MAQAAAABMgYAAAABMAcAAAADMTYwCAAAAAEwCQAAAAExCgAAAAEwCwAAAAsxMDkxMzI3ODQ3MwwAAAABNw0AAAAJNy8xNy8yMDE4EAAAAAk3LzE2LzIwMTgpHJQQNQnWCOR0WxI1</t>
  </si>
  <si>
    <t>CdYIPUNJUS5OQVNEQVFHUzpCR05FLklRX1JFVkVOVUVfRVNULkNZMjAyMS43LzE2LzIwMTguQ09OLkYuVVNELkgBAAAA4OTdBgIAAAAJODAwLjI4MzY3AQ4AAAAFAAAAAjExAQAAAAEwAgAAAAoxMDAzMzI2MjgyAwAAAAYxMDAxODAEAAAAATIGAAAAATAHAAAAAzE2MAgAAAABMAkAAAABMQoAAAABMAsAAAALMTA5NTEyNDA1NDEMAAAAATcNAAAACTcvMTcvMjAxOBAAAAAJNy8xNi8yMDE4xP8bETUJ1ghoYGcSNQnWCDpDSVEuTkFTREFRQ006TVRFTS5JUV9FQVJOSU5HX0NPLjIwMDAuNy8zMS8yMDE4LkxGUi5GLlVTRC5IAQAAAJmbqQECAAAABy0zMC42NTkBCAAAAAUAAAABMQEAAAAKMTg4ODczMzAwNAMAAAADMTYwAgAAAAE3BAAAAAEwBwAAAAk3LzMxLzIwMTgIAAAACTMvMzEvMjAxOAkAAAABMMgwsjcICdYIGemhbzQJ1ggwQ0lRLk5BU0RBUUdTOk1SU04uSVFfTEFTVFNBTEVQUklDRS43LzE2LzIwMTguVVNEAQAAAObFGAACAAAABTE1LjQyAEadGRE1CdYIczlgEjUJ1gg4Q0lRLk5BU0RBUUdTOlNHRU4uSVFfRUJJVERBLkNZMjAxNy43LzE2LzIwMTguTEZSLkYuVVNELkgBAAAAYYUAAAIAAAAILTE3MS41MzIBCAAAAAUAAAABMQEAAAAKMTg3NDY5NjIyMAMAAAADMTYwAgAAAAQ0MDUxBAAAAAEwBwAAAAk3LzE2LzIwMTgIAAAACjEyLzMxLzIwMTcJAAAAATDE/xsRNQnWCGhgZxI1CdYIK0NJUS5OWVNF</t>
  </si>
  <si>
    <t>OkJIVk4uSVFfQ0FTSF9FUVVJVi4uNS8zLzIwMTcuLi5VU0QBAAAA3GcgDwIAAAAGMjMuNTY1AQgAAAAFAAAAATEBAAAACjE4MzU3ODk3MTADAAAAAzE2MAIAAAAEMTA5NgQAAAABMAcAAAAINS8zLzIwMTcIAAAACjEyLzMxLzIwMTYJAAAAATCys0lvNAnWCK+o1oE0CdYIKENJUS5OQVNEQVFHUzpGUFJYLklRX1RFVi43LzMxLzIwMTguVVNELkgBAAAAN10zAAIAAAAKMTM1LjE5MjQwNgEGAAAABQAAAAExAQAAAAoxODg3NDAyMTYwAwAAAAMxNjACAAAABjEwMDA2MAQAAAABMAcAAAAJNy8zMS8yMDE41owROAgJ1ggZ6aFvNAnWCDxDSVEuTkFTREFRR1M6QU5BQi5JUV9FQVJOSU5HX0NPLkNZMjAxNi43LzE2LzIwMTguTEZSLkYuVVNELkgBAAAAIUyyAQIAAAAGLTQuMjU5AQgAAAAFAAAAATEBAAAACjE4NzcwNjUxOTYDAAAAAzE2MAIAAAABNwQAAAABMAcAAAAJNy8xNi8yMDE4CAAAAAoxMi8zMS8yMDE2CQAAAAEwxP8bETUJ1gjCm2ISNQnWCCRDSVEuTkFTREFRR1M6RVBaTS5JUV9FRkZFQ1RfVEFYX1JBVEUBAAAAAyY9AwMAAAACTk0BCAAAAAUAAAABMQEAAAAKMTg5ODE3MzI1NAMAAAADMTYwAgAAAAQ0Mzc2BAAAAAEwBwAAAAk4LzIzLzIwMTgIAAAACTYvMzAvMjAxOAkAAAABMNaMETgICdYIcySdbzQJ1gg8Q0lRLk5BU0RBUUdNOklNTVUuSVFfRUFSTklOR19DTy5DWTIwMTYuNy8zMS8yMDE4LkxGUi5G</t>
  </si>
  <si>
    <t>LlVTRC5IAQAAACBDBAACAAAACi03MC42MjQxMTEBCAAAAAUAAAABMQEAAAAKMTg3MzQ5MzQ5MQMAAAADMTYwAgAAAAE3BAAAAAEwBwAAAAk3LzMxLzIwMTgIAAAACjEyLzMxLzIwMTYJAAAAATCcC9U4CAnWCNRfmG80CdYIJUNJUS5JUVRSMzA3ODYzOTg0LklRX1RSX0lNUExJRURfRVFfQlYBAAAAsKFZEgIAAAAAAFjPEg41CdYIwNuCDjUJ1gg8Q0lRLk5BU0RBUUdTOlRTUk8uSVFfRUJJVERBX0VTVC5DWTIwMTkuNy8xNi8yMDE4LkNPTi5GLlVTRC5IAQAAAGjWWAYCAAAACi0zOTkuMTQ1NDMBDgAAAAUAAAACMTEBAAAAATACAAAACjEwMDE1ODAzNDUDAAAABjEwMDE4NwQAAAABMgYAAAABMAcAAAADMTYwCAAAAAEwCQAAAAExCgAAAAEwCwAAAAsxMDk0MDUwNzEyNgwAAAABNw0AAAAJNy8xNy8yMDE4EAAAAAk3LzE2LzIwMTjE/xsRNQnWCBL+ZBI1CdYIJ0NJUS5OQVNEQVFHUzpUU1JPLklRX0JFVEFfNVlSLjcvMzEvMjAxOAEAAABo1lgGAgAAAA8xLjA2NTQzNTQxNDY1MDcAnAvVOAgJ1ggkwppvNAnWCDlDSVEuTkFTREFRR1M6RVBaTS5JUV9UT1RBTF9SRVYuMTk5Ni43LzMxLzIwMTguTEZSLkYuVVNELkgBAAAAAyY9AwIAAAAFNy41MzUBCAAAAAUAAAABMQEAAAAKMTg4NzI0NjA0OQMAAAADMTYwAgAAAAIyOAQAAAABMAcAAAAJNy8zMS8yMDE4CAAAAAkzLzMxLzIwMTcJAAAAATDWjBE4CAnWCCTCmm80</t>
  </si>
  <si>
    <t>CdYIQkNJUS5OQVNEQVFHUzpDQUxBLklRX1RPVEFMX1JFVl8yWVJfQU5OX0NBR1IuLjcvMTYvMjAxOC5MRlIuRi5VU0QuSAEAAAClJ4EGAwAAAAAAKRyUEDUJ1gjkdFsSNQnWCCdDSVEuTkFTREFRQ006WklPUC5JUV9QRVJJT0REQVRFX0lTLjEwMDABAAAAs1GyAAUAAAAKMTIvMzEvMjAxNwDWjBE4CAnWCMOGn280CdYIJUNJUS5JUVRSMzA3ODYzOTg0LklRX1BSSU1BUllfSU5EVVNUUlkBAAAAv6PwDAMAAAANQmlvdGVjaG5vbG9neQAMbRAONQnWCMDbgg41CdYIN0NJUS5OQVNEQVFDTTpDS1BULklRX1BSRUZfRVFVSVRZLi43LzE2LzIwMTguTEZSLkYuVVNELkgBAAAAuFEWEQMAAAAAACkclBA1CdYIMNddEjUJ1gg1Q0lRLk5BU0RBUUdTOkFUTlguSVFfQ0FQRVguMTk5Ni43LzMxLzIwMTguTEZSLkYuVVNELkgBAAAA3JlrAQIAAAAGLTIuODgzAQgAAAAFAAAAATEBAAAACjE4ODg3MDI5NzYDAAAAAzE2MAIAAAAEMjAyMQQAAAABMAcAAAAJNy8zMS8yMDE4CAAAAAkzLzMxLzIwMTcJAAAAATDWjBE4CAnWCCTCmm80CdYIOENJUS5PVENQSzpOV0JPLklRX05FVF9XT1JLSU5HX0NBUC4uNy8xNi8yMDE4LkxGUi5GLlVTRC5IAQAAAKN6FAACAAAABy04MC4xNDMBCAAAAAUAAAABMQEAAAAKMTg4OTMwMjgyNAMAAAADMTYwAgAAAAQxMzExBAAAAAEwBwAAAAk3LzE2LzIwMTgIAAAACTMvMzEvMjAxOAkAAAABMCkc</t>
  </si>
  <si>
    <t>lBA1CdYIczlgEjUJ1ggxQ0lRLklRVFIzMDI4NjY2MjcuSVFfVFJfVEFSR0VUX1JFVkVOVUVfRVNULi5VU0QuSAEAAADDYA0SAgAAAAAAWM8SDjUJ1ggMPoUONQnWCCtDSVEuSVFUUjQyMjg4NzcwMS5JUV9UUl9JTVBMSUVEX0VWX0VCSVRfRldEAQAAABXBNBkCAAAAAAAMbRAONQnWCMDbgg41CdYIQ0NJUS5OQVNEQVFHTTpBUlJZLklRX0VCSVREQV8zWVJfQU5OX0NBR1IuMjAwMC43LzMxLzIwMTguTEZSLkYuVVNELkgBAAAA+GEAAAMAAAACTk0BCAAAAAUAAAABMQEAAAAKMTg4ODQ3MDY3NgMAAAADMTYwAgAAAAQ0MjIyBAAAAAEwBwAAAAk3LzMxLzIwMTgIAAAACTMvMzEvMjAxOAkAAAABMJwL1TgICdYIJMKabzQJ1ggiQ0lRLkVOWFRQQTpJUEguSVFfRklSU1RQUklDSU5HREFURQEAAACZgAYABQAAAAkxMS8xLzIwMDYAKRyUEDUJ1ghzOWASNQnWCDVDSVEuTkFTREFRR1M6R1RIWC5JUV9DQVBFWC4xOTkyLjcvMzEvMjAxOC5MRlIuRi5VU0QuSAEAAABlNGkIAwAAAAAAnAvVOAgJ1ggkwppvNAnWCDhDSVEuKElOVkFMSUQgSURFTlRJRklFUikuSVFfREFfQ0YuLjcvMTYvMjAxOC5MRlIuRi5VU0QuSAUAAAAAAAAACAAAABQoSW52YWxpZCBJZGVudGlmaWVyKd6nfhA1CdYImBJZEjUJ1gg4Q0lRLk5BU0RBUUdTOk1SU04uSVFfRUJJVERBLkNZMjAxNi43LzMxLzIwMTguTEZSLkYuVVNELkgBAAAA5sUYAAIA</t>
  </si>
  <si>
    <t>AAAHLTEzLjE2NgEIAAAABQAAAAExAQAAAAoxODgwNTQ3MzgzAwAAAAMxNjACAAAABDQwNTEEAAAAATAHAAAACTcvMzEvMjAxOAgAAAAKMTIvMzEvMjAxNgkAAAABMNaMETgICdYIw4afbzQJ1ggnQ0lRLk5BU0RBUUdTOkZQUlguSVFfQkVUQV81WVIuNy8xNi8yMDE4AQAAADddMwACAAAAEDMuNDQ1MDQ2ODc2Mjg4OTIAKRyUEDUJ1ghzOWASNQnWCD9DSVEuTkFTREFRR006TkxOSy5JUV9FQklUREFfNVlSX0FOTl9DQUdSLi43LzE2LzIwMTguTEZSLkYuVVNELkgBAAAAlXuMAAMAAAACTk0BCAAAAAUAAAABMQEAAAAKMTg4ODM1NDIwNwMAAAADMTYwAgAAAAQ0MjM1BAAAAAEwBwAAAAk3LzE2LzIwMTgIAAAACTMvMzEvMjAxOAkAAAABMCkclBA1CdYI5HRbEjUJ1ggYQ0lRLlhUUkE6TU9SLklRX0VYQ0hBTkdFAQAAAN8RAgADAAAABFhUUkEAnAvVOAgJ1gjUX5hvNAnWCCxDSVEuSVFUUjQxMTg3MTA4Mi5JUV9UUl9UQVJHRVRfRUJJVERBLi5VU0QuSAEAAABqp4wYAgAAAAAAsrNJbzQJ1gg1m5NvNAnWCDpDSVEuTkFTREFRR1M6UEJZSS5JUV9DQVNIX1NUX0lOVkVTVC4uOS8xNS8yMDE3LkxGUi5GLlVTRC5IAQAAAAJqrAcCAAAABzE1MS42NDkBCAAAAAUAAAABMQEAAAAKMTg1Mjk5NDE3NgMAAAADMTYwAgAAAAQxMDAyBAAAAAEwBwAAAAk5LzE1LzIwMTcIAAAACTYvMzAvMjAxNwkAAAABMMT/GxE1CdYIEv5k</t>
  </si>
  <si>
    <t>EjUJ1gg7Q0lRLk5BU0RBUUdTOkdUSFguSVFfVE9UQUxfUkVWLkNZMjAxNy43LzMxLzIwMTguTEZSLkYuVVNELkgBAAAAZTRpCAMAAAAAAJwL1TgICdYIJMKabzQJ1gg6Q0lRLk5BU0RBUUNNOlpJT1AuSVFfVE9UQUxfREVCVC4yMDAwLjcvMzEvMjAxOC5MRlIuRi5VU0QuSAEAAACzUbIAAgAAAAEwAQgAAAAFAAAAATEBAAAACjE4ODc5NzIzNTkDAAAAAzE2MAIAAAAENDE3MwQAAAABMAcAAAAJNy8zMS8yMDE4CAAAAAkzLzMxLzIwMTgJAAAAATDWjBE4CAnWCMOGn280CdYIL0NJUS5BU1g6SU1VLklRX05JX01BUkdJTi4uNy8xNi8yMDE4LkxGUi5GLlVTRC5IAQAAAJiTqQACAAAACS0yMzQuNTAyMQEIAAAABQAAAAExAQAAAAoxODc3MzA1MzIwAwAAAAE5AgAAAAQ0MDk0BAAAAAEwBwAAAAk3LzE2LzIwMTgIAAAACjEyLzMxLzIwMTcJAAAAATApHJQQNQnWCDDXXRI1CdYIQENJUS4oSU5WQUxJRCBJREVOVElGSUVSKS5JUV9UT1RBTF9SRVYuMTk5Ni43LzMxLzIwMTguTEZSLkYuVVNELkgFAAAAAAAAAAgAAAAUKEludmFsaWQgSWRlbnRpZmllcinIMLI3CAnWCO02sG80CdYIIkNJUS5JUVRSMzAyODY2NjI3LklRX1RSX1BDVF9TT1VHSFQBAAAAw2ANEgIAAAADMTAwAFjPEg41CdYIDD6FDjUJ1ggnQ0lRLk5BU0RBUUdTOlRTUk8uSVFfQkVUQV8yWVIuNy8zMS8yMDE4AQAAAGjWWAYCAAAAEDEuMDI1MTcyMzEy</t>
  </si>
  <si>
    <t>NjMyMzUAnAvVOAgJ1ggkwppvNAnWCDdDSVEuTkFTREFRQ006QVZFTy5JUV9FQklUX01BUkdJTi4uNy8xNi8yMDE4LkxGUi5GLlVTRC5IAQAAAPQWHQADAAAAAk5NAQgAAAAFAAAAATEBAAAACjE4ODcyMzQyOTUDAAAAAzE2MAIAAAAENDA1MwQAAAABMAcAAAAJNy8xNi8yMDE4CAAAAAkzLzMxLzIwMTgJAAAAATDE/xsRNQnWCMKbYhI1CdYINUNJUS5OQVNEQVFHUzpBTkFCLklRX1RPVEFMX1JFVi4uNy8xNi8yMDE4LkxGUi5GLlVTRC5IAQAAACFMsgECAAAAAjEwAQgAAAAFAAAAATEBAAAACjE4ODc0MDAwNDMDAAAAAzE2MAIAAAACMjgEAAAAATAHAAAACTcvMTYvMjAxOAgAAAAJMy8zMS8yMDE4CQAAAAEwxP8bETUJ1gjCm2ISNQnWCD5DSVEuWFRSQTpNT1IuSVFfRUJJVERBXzVZUl9BTk5fQ0FHUi4yMDAwLjcvMzEvMjAxOC5MRlIuRi5VU0QuSAEAAADfEQIAAwAAAAJOTQEIAAAABQAAAAExAQAAAAoxODg2MTUxNjQ4AwAAAAI1MAIAAAAENDIzNQQAAAABMAcAAAAJNy8zMS8yMDE4CAAAAAkzLzMxLzIwMTgJAAAAATCcC9U4CAnWCNRfmG80CdYINkNJUS5OQVNEQVFHTTpMUFRYLklRX0VBUk5JTkdfQ08uLjcvMTYvMjAxOC5MRlIuRi5VU0QuSAEAAAAMNgkHAgAAAActMzAuOTM1AQgAAAAFAAAAATEBAAAACjE4OTAxNjM5MzYDAAAAAzE2MAIAAAABNwQAAAABMAcAAAAJNy8xNi8yMDE4CAAAAAkzLzMxLzIw</t>
  </si>
  <si>
    <t>MTgJAAAAATApHJQQNQnWCDDXXRI1CdYIIENJUS5JUVRSNTQyODA2Njg2LklRX1RSX0VBUk5PVVRTAQAAAJ6SWiACAAAAAACys0lvNAnWCIH9lW80CdYIPkNJUS5OQVNEQVFHTTpDUklTLklRX0NBU0hfU1RfSU5WRVNULjIwMDAuNy8zMS8yMDE4LkxGUi5GLlVTRC5IAQAAABdqAAACAAAABjQ4LjQ1MwEIAAAABQAAAAExAQAAAAoxODg2MjQ3NDIwAwAAAAMxNjACAAAABDEwMDIEAAAAATAHAAAACTcvMzEvMjAxOAgAAAAJMy8zMS8yMDE4CQAAAAEwyDCyNwgJ1gjdS6RvNAnWCB1DSVEuTkFTREFRR1M6S1VSQS5JUV9FWENIQU5HRQEAAAC4y9oQAwAAAAhOYXNkYXFHUwDWjBE4CAnWCHMknW80CdYIOUNJUS5OQVNEQVFHUzpDQUxBLklRX1RPVEFMX1JFVi4yMDAwLjcvMzEvMjAxOC5MRlIuRi5VU0QuSAEAAAClJ4EGAgAAAAYyNi45NTIBCAAAAAUAAAABMQEAAAAKMTg4Nzk4MDMwNQMAAAADMTYwAgAAAAIyOAQAAAABMAcAAAAJNy8zMS8yMDE4CAAAAAkzLzMxLzIwMTgJAAAAATDIMLI3CAnWCN1LpG80CdYIJ0NJUS5OQVNEQVFHUzpQQllJLklRX0JFVEFfMllSLjcvMTYvMjAxOAEAAAACaqwHAgAAABAxLjk2ODQ2NjM0MDg4Mjk5AMT/GxE1CdYIEv5kEjUJ1gg6Q0lRLk5BU0RBUUdTOktVUkEuSVFfVE9UQUxfREVCVC4yMDAwLjcvMzEvMjAxOC5MRlIuRi5VU0QuSAEAAAC4y9oQAgAAAAU3LjE1NQEIAAAABQAA</t>
  </si>
  <si>
    <t>AAExAQAAAAoxODg3MzgyOTM3AwAAAAMxNjACAAAABDQxNzMEAAAAATAHAAAACTcvMzEvMjAxOAgAAAAJMy8zMS8yMDE4CQAAAAEw1owROAgJ1ghzJJ1vNAnWCENDSVEuTkFTREFRR006SU1NVS5JUV9FQklUREFfMllSX0FOTl9DQUdSLjIwMDAuNy8zMS8yMDE4LkxGUi5GLlVTRC5IAQAAACBDBAADAAAAAk5NAQgAAAAFAAAAATEBAAAACjE4ODg1MjMzODQDAAAAAzE2MAIAAAAENDIwOQQAAAABMAcAAAAJNy8zMS8yMDE4CAAAAAkzLzMxLzIwMTgJAAAAATCcC9U4CAnWCNRfmG80CdYIIENJUS5JUVRSMzA3ODYzOTg0LklRX1RSX0VBUk5PVVRTAQAAALChWRICAAAAAzUxMAEGAAAABQAAAAI1NAEAAAAGMTAxNDAzAgAAAAkzMDc4NjM5ODQDAAAACTMwNzg2NDI4MAQAAAADMTYwBgAAAAVGYWxzZVjPEg41CdYIwNuCDjUJ1ggxQ0lRLk5BU0RBUUdTOkJHTkUuSVFfRUFSTklOR19DTy4xOTkyLi5MRlIuRi5VU0QuSAEAAADg5N0GAgAAAActODcuMzc0AQgAAAAFAAAAATEBAAAACjE4NTI3MDA1MjEDAAAAAzE2MAIAAAABNwQAAAABMAcAAAAJOC8yMy8yMDE4CAAAAAk2LzMwLzIwMTYJAAAAATCcC9U4CAnWCJwL1TgICdYINENJUS5YVFJBOk1PUi5JUV9OSV9NQVJHSU4uMjAwMC43LzMxLzIwMTguTEZSLkYuVVNELkgBAAAA3xECAAIAAAAJLTEyOC42MTE4AQgAAAAFAAAAATEBAAAACjE4ODYxNTE2NDgDAAAAAjUw</t>
  </si>
  <si>
    <t>AgAAAAQ0MDk0BAAAAAEwBwAAAAk3LzMxLzIwMTgIAAAACTMvMzEvMjAxOAkAAAABMJwL1TgICdYI1F+YbzQJ1ggkQ0lRLk5BU0RBUUdTOkdUSFguSVFfRUZGRUNUX1RBWF9SQVRFAQAAAGU0aQgDAAAAAADWjBE4CAnWCCTCmm80CdYIPENJUS5OQVNEQVFHTTpBUlFMLklRX0VCSVREQV9FU1QuQ1kyMDE4LjcvMzEvMjAxOC5DT04uRi5VU0QuSAEAAAD2YQAAAwAAAAAA1owROAgJ1ghzJJ1vNAnWCCtDSVEuTkFTREFRR1M6RlBSWC5JUV9MQVNUU0FMRVBSSUNFLjUvNS8yMDE3AQAAADddMwACAAAABTI5Ljc5AMgwsjcICdYIGemhbzQJ1gg5Q0lRLk5BU0RBUUdNOklNTVUuSVFfVE9UQUxfUkVWLjIwMDAuNy8zMS8yMDE4LkxGUi5GLlVTRC5IAQAAACBDBAACAAAACDIuNDExODM1AQgAAAAFAAAAATEBAAAACjE4ODg1MjMzODQDAAAAAzE2MAIAAAACMjgEAAAAATAHAAAACTcvMzEvMjAxOAgAAAAJMy8zMS8yMDE4CQAAAAEwnAvVOAgJ1gjUX5hvNAnWCEZDSVEuTkFTREFRR1M6QVROWC5JUV9UT1RBTF9SRVZfM1lSX0FOTl9DQUdSLjIwMDAuNy8zMS8yMDE4LkxGUi5GLlVTRC5IAQAAANyZawEDAAAAAADWjBE4CAnWCCTCmm80CdYIJUNJUS5JUVRSMjUzOTU0NDczLklRX1BSSU1BUllfSU5EVVNUUlkBAAAApQgjDwMAAAAPUGhhcm1hY2V1dGljYWxzALKzSW80CdYINZuTbzQJ1gg4Q0lRLk5BU0RBUUdNOkxQVFgu</t>
  </si>
  <si>
    <t>SVFfRUJJVERBLkNZMjAxNy43LzE2LzIwMTguTEZSLkYuVVNELkgBAAAADDYJBwIAAAAHLTMwLjU4OQEIAAAABQAAAAExAQAAAAoxODc1NTU5OTYzAwAAAAMxNjACAAAABDQwNTEEAAAAATAHAAAACTcvMTYvMjAxOAgAAAAKMTIvMzEvMjAxNwkAAAABMCkclBA1CdYIMNddEjUJ1gg6Q0lRLk5BU0RBUUdTOkZQUlguSVFfQ0FTSF9TVF9JTlZFU1QuLjkvMTUvMjAxNy5MRlIuRi5VU0QuSAEAAAA3XTMAAgAAAAczNTAuNzE4AQgAAAAFAAAAATEBAAAACjE4NTI0NzUwNzIDAAAAAzE2MAIAAAAEMTAwMgQAAAABMAcAAAAJOS8xNS8yMDE3CAAAAAk2LzMwLzIwMTcJAAAAATApHJQQNQnWCHM5YBI1CdYINENJUS5OQVNEQVFHUzpCR05FLklRX1JFVkVOVUVfRVNULkNZMjAxOC4uQ09OLkYuVVNELkgBAAAA4OTdBgIAAAAJMTg3LjYzMTI5AQ4AAAAFAAAAAjExAQAAAAEwAgAAAAoxMDAzMzI2MjYzAwAAAAYxMDAxODAEAAAAATIGAAAAATAHAAAAAzE2MAgAAAABMAkAAAABMQoAAAABMAsAAAALMTEwNTExMjAzODQMAAAAATcNAAAACTgvMjQvMjAxOBAAAAAJOC8yMy8yMDE4nAvVOAgJ1gicC9U4CAnWCC5DSVEuSVFUUjQwODQwNzgyMi5JUV9UUl9UQVJHRVRfU1RPQ0tQUkVNSVVNXzFNAQAAAA7PVxgCAAAAAACys0lvNAnWCIH9lW80CdYIKkNJUS5JUVRSNTQ3NDIzNjgwLklRX1RSX1RBUkdFVF9FQklULi5VU0QuSAEA</t>
  </si>
  <si>
    <t>AADABaEgAgAAAAgtMTIyLjg4MQEGAAAABQAAAAIzNwEAAAAKMTg2NDQ2NDE4NAIAAAAFMjE2NzUDAAAAAzE2MAQAAAABMAcAAAAIMS8xLzE5MDAMbRAONQnWCMDbgg41CdYIN0NJUS5OQVNEQVFHTTpGQVRFLklRX1BFUklPRERBVEVfSVMuMjAwMC43LzMxLzIwMTguTEZSLkYBAAAAaDFXAgUAAAAJMy8zMS8yMDE4ANaMETgICdYIw4afbzQJ1gg4Q0lRLk5BU0RBUUdTOkNUTVguSVFfRUJJVERBLkNZMjAxNi43LzE2LzIwMTguTEZSLkYuVVNELkgBAAAA3DibAwIAAAAHLTU3Ljg1MwEIAAAABQAAAAExAQAAAAoxODc3MzE2NzM0AwAAAAMxNjACAAAABDQwNTEEAAAAATAHAAAACTcvMTYvMjAxOAgAAAAKMTIvMzEvMjAxNgkAAAABMMT/GxE1CdYIwptiEjUJ1gg6Q0lRLk5BU0RBUUdTOlNHRU4uSVFfQ0FTSF9TVF9JTlZFU1QuLjcvMTYvMjAxOC5MRlIuRi5VU0QuSAEAAABhhQAAAgAAAAczOTkuOTE2AQgAAAAFAAAAATEBAAAACjE4ODQ4OTI4NTIDAAAAAzE2MAIAAAAEMTAwMgQAAAABMAcAAAAJNy8xNi8yMDE4CAAAAAkzLzMxLzIwMTgJAAAAATDE/xsRNQnWCGhgZxI1CdYIHkNJUS5JUTM2MTgzODEzLklRX0NPTVBBTllfTkFNRQEAAAAFHygCAwAAADJVbml0ZWQgU3RhdGVzIFRyZWFzdXJ5IENvbnN0YW50IE1hdHVyaXR5IC0gMSBNb250aAAMbRAONQnWCHd5gA41CdYIO0NJUS5OQVNEQVFHUzpNUlNOLklR</t>
  </si>
  <si>
    <t>X1BSRUZfRVFVSVRZLjIwMDAuNy8zMS8yMDE4LkxGUi5GLlVTRC5IAQAAAObFGAADAAAAAADWjBE4CAnWCMOGn280CdYIQ0NJUS5OQVNEQVFDTTpaSU9QLklRX0VCSVREQV8zWVJfQU5OX0NBR1IuMjAwMC43LzMxLzIwMTguTEZSLkYuVVNELkgBAAAAs1GyAAMAAAACTk0BCAAAAAUAAAABMQEAAAAKMTg4Nzk3MjM1OQMAAAADMTYwAgAAAAQ0MjIyBAAAAAEwBwAAAAk3LzMxLzIwMTgIAAAACTMvMzEvMjAxOAkAAAABMNaMETgICdYIw4afbzQJ1ghDQ0lRLk5BU0RBUUdNOkFSUUwuSVFfRUJJVERBXzNZUl9BTk5fQ0FHUi4yMDAwLjcvMzEvMjAxOC5MRlIuRi5VU0QuSAEAAAD2YQAAAwAAAAJOTQEIAAAABQAAAAExAQAAAAoxODg4Nzg4NzcwAwAAAAMxNjACAAAABDQyMjIEAAAAATAHAAAACTcvMzEvMjAxOAgAAAAJMy8zMS8yMDE4CQAAAAEw1owROAgJ1gjDhp9vNAnWCDVDSVEuTkFTREFRR1M6QkdORS5JUV9EQV9DRi4yMDAwLjcvMzEvMjAxOC5MRlIuRi5VU0QuSAEAAADg5N0GAgAAAAU2LjEzOAEIAAAABQAAAAExAQAAAAoxODg3Njg4NTg4AwAAAAMxNjACAAAABDIxNjAEAAAAATAHAAAACTcvMzEvMjAxOAgAAAAJMy8zMS8yMDE4CQAAAAEwnAvVOAgJ1gjUX5hvNAnWCDxDSVEuTkFTREFRQ006QVZFTy5JUV9FQklUREFfRVNULkNZMjAyMC43LzE2LzIwMTguQ09OLkYuVVNELkgBAAAA9BYdAAMAAAAAAMT/</t>
  </si>
  <si>
    <t>GxE1CdYIwptiEjUJ1ggpQ0lRLklRVFIzMTIxMjI1MDQuSVFfQlVTSU5FU1NfREVTQ1JJUFRJT04BAAAAtIk4DAMAAACUBkFkdXJvIEJpb3RlY2ggRXVyb3BlLCBhIGNsaW5pY2FsLXN0YWdlIGNhbmNlciBpbW11bm90aGVyYXB5IGNvbXBhbnksIGlzIGVuZ2FnZWQgaW4gdGhlIGRpc2NvdmVyeSwgZGV2ZWxvcG1lbnQsIGFuZCBjb21tZXJjaWFsaXphdGlvbiBvZiBhIHBpcGVsaW5lIG9mIG5vdmVsIGltbXVub3RoZXJhcGllcyBmb3IgdmFyaW91cyBjYW5jZXIgdHlwZXMuIEl0IGRldmVsb3BzIGxpdmUsIGF0dGVudWF0ZWQsIGFuZCBkb3VibGUtZGVsZXRlZCBMaXN0ZXJpYSBtb25vbmN5dG9nZW5lczsgYW5kIFNUSU5HLXRhcmdldGVkIEN5Y2xpYyBkaW51Y2xlb3RpZGVzIHBsYXRmb3JtcywgYW5kIEItc2VsZWN0IG1vbm9jbG9uYWwgYW50aWJvZGllcy4gVGhlIGNvbXBhbnkgYWxzbyBwcm92aWRlcyBHVkFYIFBhbmNyZWFzIGZvciBwYXRpZW50cyB3aXRoIG1ldGFzdGF0aWMgcGFuY3JlYXRpYyBjYW5jZXIuIEFkdXJvIEJpb3RlY2ggRXVyb3BlIHdhcyBmb3JtZXJseSBrbm93biBhcyBCaW9Ob3Zpb24gQi5WLiBhbmQgY2hhbmdlZCBpdHMgbmFtZSB0byBBZHVybyBCaW90ZWNoIEV1cm9wZS4gQXMgYSByZXN1bHQgb2YgdGhlIGFjcXVpc2l0aW9uIEJpb05vdmlvbiBoYXMgYmVlbiByZW5hbWVkIGFz</t>
  </si>
  <si>
    <t>IEFkdXJvIEJpb3RlY2ggRXVyb3BlLiBUaGUgY29tcGFueSBpcyBiYXNlZCBpbiBPc3MsIHRoZSBOZXRoZXJsYW5kcy4gQXMgb2YgT2N0b2JlciAzMCwgMjAxNSwgQWR1cm8gQmlvdGVjaCBFdXJvcGUgb3BlcmF0ZXMgYXMgYSBzdWJzaWRpYXJ5IG9mIEFkdXJvIE5ldGhlcmxhbmRzIENvw7ZwZXJhdGllZiBVLkEuAAxtEA41CdYIwNuCDjUJ1gg3Q0lRLlhUUkE6TU9SLklRX0VCSVREQV9FU1QuQ1kyMDE4LjcvMzEvMjAxOC5DT04uRi5VU0QuSAEAAADfEQIAAgAAABEtMTA4LjYyOTM5NzM0Mjg1NwEOAAAABQAAAAIxMQEAAAABMAIAAAAKMTAwMDgwMjAxMAMAAAAGMTAwMTg3BAAAAAEzBgAAAAEwBwAAAAMxNjAIAAAAATAJAAAAATEKAAAAATALAAAACzExMDAxMzE1MzI2DAAAAAE3DQAAAAg4LzEvMjAxOBAAAAAJNy8zMS8yMDE4nAvVOAgJ1gjUX5hvNAnWCCNDSVEuTkFTREFRR1M6TVJTTi5JUV9QRVJJT0REQVRFX0lTLgEAAADmxRgABQAAAAk2LzMwLzIwMTgAxP8bETUJ1ghzOWASNQnWCDxDSVEuTkFTREFRR1M6S1VSQS5JUV9FQklUREFfRVNULkNZMjAyMC43LzMxLzIwMTguQ09OLkYuVVNELkgBAAAAuMvaEAMAAAAAANaMETgICdYIcySdbzQJ1ghDQ0lRLk5BU0RBUUNNOlNSTkUuSVFfRUJJVERBXzVZUl9BTk5fQ0FHUi4yMDAwLjcvMzEvMjAxOC5MRlIuRi5VU0QuSAEAAABJQ5QDAwAAAAJOTQEIAAAA</t>
  </si>
  <si>
    <t>BQAAAAExAQAAAAoxODg3OTg5ODMxAwAAAAMxNjACAAAABDQyMzUEAAAAATAHAAAACTcvMzEvMjAxOAgAAAAJMy8zMS8yMDE4CQAAAAEw1owROAgJ1ghzJJ1vNAnWCDZDSVEuTkFTREFRR1M6UEJZSS5JUV9FQVJOSU5HX0NPLi43LzE2LzIwMTguTEZSLkYuVVNELkgBAAAAAmqsBwIAAAAILTI0My40MzUBCAAAAAUAAAABMQEAAAAKMTg4ODY2Nzc0MwMAAAADMTYwAgAAAAE3BAAAAAEwBwAAAAk3LzE2LzIwMTgIAAAACTMvMzEvMjAxOAkAAAABMMT/GxE1CdYIEv5kEjUJ1gg+Q0lRLk5BU0RBUUNNOk1URU0uSVFfVE9UQUxfRVFVSVRZLkNZMjAxNy43LzMxLzIwMTguTEZSLkYuVVNELkgBAAAAmZupAQIAAAAGNzcuMjg5AQgAAAAFAAAAATEBAAAACjE4ODExMTg4MTADAAAAAzE2MAIAAAAEMTI3NQQAAAABMAcAAAAJNy8zMS8yMDE4CAAAAAoxMi8zMS8yMDE3CQAAAAEwyDCyNwgJ1ggZ6aFvNAnWCCdDSVEuTkFTREFRR006SU1NVS5JUV9CRVRBXzJZUi43LzMxLzIwMTgBAAAAIEMEAAIAAAAQMS44NTE1ODE2MzI1MDM3NwCcC9U4CAnWCNRfmG80CdYIKUNJUS5JUVRSNDIyODg3NzAxLklRX0JVU0lORVNTX0RFU0NSSVBUSU9OAQAAAP3m1g8DAAAAjQdQZWxpY2FuIFRoZXJhcGV1dGljcywgSW5jLiBkZXZlbG9wcyBiaW9sb2dpYyBhZ2VudHMgdGhhdCByZXByZXNlbnQgdGhlIG5leHQgZ2VuZXJhdGlvbiBvZiBU</t>
  </si>
  <si>
    <t>TkYgYmFzZWQgaW1tdW5vdGhlcmFweS4gSXQgb2ZmZXJzIFBUWC0yNSwgYSBodW1hbml6ZWQgbW9ub2Nsb25hbCBhbnRpYm9keSB0aGF0IGlzIGEgZnVuY3Rpb25hbCBhZ29uaXN0IG9mIGh1bWFuIFRORlJTRjI1LCBhbmQgcHJvdmlkZXMgc2VsZWN0aXZlIGFuZCBwb3RlbnQgc3RpbXVsYXRpb24gb2Yg4oCYbWVtb3J54oCZIENEOCsgY3l0b3RveGljIFQgY2VsbHMsIHdoaWNoIGVsaW1pbmF0ZXMgdHVtb3IgY2VsbHMgaW4gcGF0aWVudHMuIFRoZSBjb21wYW55IGFsc28gcHJvdmlkZXMgUFRYLTE1LCBhIGh1bWFuIFRMMUEtSWcgZnVzaW9uIHByb3RlaW4gdGhhdCBjYW4gYmUgdXNlZCB0byBjYXVzZSBwcm9saWZlcmF0aW9uIG9mIHJlZ3VsYXRvcnkgVCBjZWxscyBpbiBwYXRpZW50cywgd2hpY2ggbGVhZHMgdG8gZXhwYW5zaW9uIGFuZCBsb25nLXRlcm0gdG9sZXJhbmNlIHRvd2FyZCBhbGxvZ2VuZWljIGJvbmUgbWFycm93IHRyYW5zcGxhbnRhdGlvbiwgaGVhcnQgdHJhbnNwbGFudGF0aW9uLCBhbmQgaXNsZXQgdHJhbnNwbGFudGF0aW9uIGluIHRoZSBhYnNlbmNlIG9mIG1haW50ZW5hbmNlIGltbXVub3N1cHByZXNzaW9uLiBQZWxpY2FuIFRoZXJhcGV1dGljcywgSW5jLiB3YXMgZm9ybWVybHkga25vd24gYXMgSGVhdCBCaW9sb2dpY3MgSUksIEluYy4gVGhlIGNvbXBhbnkgd2FzIGZvdW5kZWQg</t>
  </si>
  <si>
    <t>aW4gMjAwOSBhbmQgaXMgYmFzZWQgaW4gQXVzdGluLCBUZXhhcy4gQXMgb2YgQXByaWwgMjgsIDIwMTcsIFBlbGljYW4gVGhlcmFwZXV0aWNzLCBJbmMuIG9wZXJhdGVzIGFzIGEgc3Vic2lkaWFyeSBvZiBIZWF0IEJpb2xvZ2ljcywgSW5jLi4ADG0QDjUJ1gjA24IONQnWCDpDSVEuTkFTREFRQ006U1JORS5JUV9FQVJOSU5HX0NPLjIwMDAuNy8zMS8yMDE4LkxGUi5GLlVTRC5IAQAAAElDlAMCAAAABTEuMzY0AQgAAAAFAAAAATEBAAAACjE4ODc5ODk4MzEDAAAAAzE2MAIAAAABNwQAAAABMAcAAAAJNy8zMS8yMDE4CAAAAAkzLzMxLzIwMTgJAAAAATDWjBE4CAnWCHMknW80CdYIJUNJUS5JUVRSMjczNTA3MTg1LklRX1BSSU1BUllfSU5EVVNUUlkBAAAAfQwUAAMAAAANQmlvdGVjaG5vbG9neQCys0lvNAnWCIH9lW80CdYILUNJUS5OQVNEQVFHUzpCR05FLklRX0VCSVREQS4yMDAwLi5MRlIuRi5VU0QuSAEAAADg5N0GAgAAAAgtMjM4LjUxMQEIAAAABQAAAAExAQAAAAoxODk5OTAwNjMxAwAAAAMxNjACAAAABDQwNTEEAAAAATAHAAAACTgvMjMvMjAxOAgAAAAJNi8zMC8yMDE4CQAAAAEwnAvVOAgJ1gicC9U4CAnWCClDSVEuSVEzNjE4MzgzNy5JUV9MQVNUU0FMRVBSSUNFLjcvMTYvMjAxOAEAAAAdHygCAgAAAAQyLjg1AAxtEA41CdYIDD6FDjUJ1gg5Q0lRLk5BU0RBUUdNOk5MTksuSVFfRUJJVERBX01B</t>
  </si>
  <si>
    <t>UkdJTi4uNy8xNi8yMDE4LkxGUi5GLlVTRC5IAQAAAJV7jAACAAAACS0xODcuNzQ4OQEIAAAABQAAAAExAQAAAAoxODg4MzU0MjA3AwAAAAMxNjACAAAABDQwNDcEAAAAATAHAAAACTcvMTYvMjAxOAgAAAAJMy8zMS8yMDE4CQAAAAEwKRyUEDUJ1gjkdFsSNQnWCD9DSVEuTkFTREFRR1M6Sk5DRS5JUV9FQklUREFfM1lSX0FOTl9DQUdSLi43LzE2LzIwMTguTEZSLkYuVVNELkgBAAAA4nmeDQMAAAACTk0BCAAAAAUAAAABMQEAAAAKMTg4ODE4NjM3NAMAAAADMTYwAgAAAAQ0MjIyBAAAAAEwBwAAAAk3LzE2LzIwMTgIAAAACTMvMzEvMjAxOAkAAAABMN6nfhA1CdYImBJZEjUJ1ggrQ0lRLk5BU0RBUUNNOlNSTkUuSVFfTEFTVFNBTEVQUklDRS41LzUvMjAxNwEAAABJQ5QDAgAAAAMxLjgA1owROAgJ1ghzJJ1vNAnWCDdDSVEuTkFTREFRR1M6TUdOWC5JUV9QUkVGX0VRVUlUWS4uOS8xNS8yMDE3LkxGUi5GLlVTRC5IAQAAAE8rCQADAAAAAADE/xsRNQnWCMKbYhI1CdYIOkNJUS5OQVNEQVFDTTpaSU9QLklRX1BSRUZfRVFVSVRZLjIwMDAuNS81LzIwMTcuTEZSLkYuVVNELkgBAAAAs1GyAAIAAAAHMTI5LjQ0MgEIAAAABQAAAAExAQAAAAoxODM5MzQxMTk0AwAAAAMxNjACAAAABDEwMDUEAAAAATAHAAAACDUvNS8yMDE3CAAAAAkzLzMxLzIwMTcJAAAAATDWjBE4CAnWCMOGn280CdYIJENJUS5OQVNEQVFDTTpN</t>
  </si>
  <si>
    <t>VEVNLklRX0VGRkVDVF9UQVhfUkFURQEAAACZm6kBAwAAAAAAyDCyNwgJ1ggZ6aFvNAnWCEZDSVEuTkFTREFRR1M6RVBaTS5JUV9UT1RBTF9SRVZfM1lSX0FOTl9DQUdSLjIwMDAuNy8zMS8yMDE4LkxGUi5GLlVTRC5IAQAAAAMmPQMCAAAACC0yOS44MjAzAQgAAAAFAAAAATEBAAAACjE4ODcyNDYwNzcDAAAAAzE2MAIAAAAENDIyMAQAAAABMAcAAAAJNy8zMS8yMDE4CAAAAAkzLzMxLzIwMTgJAAAAATDWjBE4CAnWCHMknW80CdYILkNJUS5JUVRSNTUxMTY2MjkyLklRX1RSX1RBUkdFVF9TVE9DS1BSRU1JVU1fMU0BAAAAVCHaIAIAAAAIMTcwLjI3MDMBBgAAAAUAAAACNTQBAAAABjEwMTA1NQIAAAAJNTUxMTY2MjkyAwAAAAk1NTExNzMzNzUEAAAAAzE2MAYAAAAFRmFsc2UMbRAONQnWCMDbgg41CdYIJUNJUS5JUVRSNTYxNjA2MzY1LklRX1RSX01BSl9NSU5fU1RBS0UBAAAA3W55IQMAAAAITWFqb3JpdHkAsrNJbzQJ1gg1m5NvNAnWCD1DSVEuTkFTREFRR1M6QkdORS5JUV9SRVZFTlVFX0VTVC5DWTIwMTguNy8zMS8yMDE4LkNPTi5GLlVTRC5IAQAAAODk3QYCAAAACTEwOC45MDg4MwEOAAAABQAAAAIxMQEAAAABMAIAAAAKMTAwMzMyNjI2MwMAAAAGMTAwMTgwBAAAAAEyBgAAAAEwBwAAAAMxNjAIAAAAATAJAAAAATEKAAAAATALAAAACzEwOTg2NjY0OTkxDAAAAAE3DQAAAAg4LzEvMjAxOBAAAAAJNy8z</t>
  </si>
  <si>
    <t>MS8yMDE4nAvVOAgJ1giB/ZVvNAnWCC5DSVEuTkFTREFRR1M6RlBSWC5JUV9NQVJLRVRDQVAuNy8xNi8yMDE4LlVTRC5IAQAAADddMwACAAAACjYwNy43MTIzMjgBBgAAAAUAAAABMQEAAAAKMTg4NzQwMjE2MAMAAAADMTYwAgAAAAYxMDAwNTQEAAAAATAHAAAACTcvMTYvMjAxOCkclBA1CdYIczlgEjUJ1gg6Q0lRLk5BU0RBUUdNOkFSUlkuSVFfRUFSTklOR19DTy4yMDAwLjcvMzEvMjAxOC5MRlIuRi5VU0QuSAEAAAD4YQAAAgAAAActMTI0LjQ5AQgAAAAFAAAAATEBAAAACjE4ODg0NzA2NzYDAAAAAzE2MAIAAAABNwQAAAABMAcAAAAJNy8zMS8yMDE4CAAAAAkzLzMxLzIwMTgJAAAAATCcC9U4CAnWCCTCmm80CdYIMENJUS5OQVNEQVFDTTpDS1BULklRX0xBU1RTQUxFUFJJQ0UuNy8xNi8yMDE4LlVTRAEAAAC4URYRAgAAAAQyLjU4ACkclBA1CdYIMNddEjUJ1gglQ0lRLk5BU0RBUUdNOkZBVEUuSVFfRklSU1RQUklDSU5HREFURQEAAABoMVcCBQAAAAkxMC8xLzIwMTMA1owROAgJ1ggiu+mBNAnWCDlDSVEuTkFTREFRR006Q1JJUy5JUV9OSV9NQVJHSU4uMjAwMC43LzMxLzIwMTguTEZSLkYuVVNELkgBAAAAF2oAAAMAAAACTk0BCAAAAAUAAAABMQEAAAAKMTg4NjI0NzQyMAMAAAADMTYwAgAAAAQ0MDk0BAAAAAEwBwAAAAk3LzMxLzIwMTgIAAAACTMvMzEvMjAxOAkAAAABMMgwsjcICdYI3UukbzQJ1gg5</t>
  </si>
  <si>
    <t>Q0lRLk5BU0RBUUdTOkZQUlguSVFfRUJJVERBX01BUkdJTi4uNy8xNi8yMDE4LkxGUi5GLlVTRC5IAQAAADddMwACAAAACS0yMTkuMzQ3MgEIAAAABQAAAAExAQAAAAoxODg3NDAyMjI3AwAAAAMxNjACAAAABDQwNDcEAAAAATAHAAAACTcvMTYvMjAxOAgAAAAJMy8zMS8yMDE4CQAAAAEwKRyUEDUJ1ghzOWASNQnWCDdDSVEuTkFTREFRR1M6R1RIWC5JUV9QRVJJT0REQVRFX0lTLjIwMDAuNy8zMS8yMDE4LkxGUi5GAQAAAGU0aQgFAAAACTMvMzEvMjAxOACcC9U4CAnWCCTCmm80CdYIOUNJUS5OQVNEQVFDTTpTUk5FLklRX05JX01BUkdJTi4yMDAwLjcvMzEvMjAxOC5MRlIuRi5VU0QuSAEAAABJQ5QDAgAAAActMC4yNDY2AQgAAAAFAAAAATEBAAAACjE4ODc5ODk4MzEDAAAAAzE2MAIAAAAENDA5NAQAAAABMAcAAAAJNy8zMS8yMDE4CAAAAAkzLzMxLzIwMTgJAAAAATDWjBE4CAnWCHMknW80CdYILkNJUS5JUVRSNTM1NzE5OTk4LklRX1RSX1RBUkdFVF9TVE9DS1BSRU1JVU1fMU0BAAAAPnDuHwIAAAAHNjEuNTM2NAEGAAAABQAAAAI1NAEAAAAGMTAxMDU1AgAAAAk1MzU3MTk5OTgDAAAACTUzNTcyNDgxMwQAAAADMTYwBgAAAAVGYWxzZbKzSW80CdYIgf2VbzQJ1gg3Q0lRLk5BU0RBUUdTOlNHRU4uSVFfUFJFRl9FUVVJVFkuLjkvMTUvMjAxNy5MRlIuRi5VU0QuSAEAAABhhQAAAwAAAAAAxP8bETUJ1gho</t>
  </si>
  <si>
    <t>YGcSNQnWCClDSVEuSVEzNjE4MzgyMi5JUV9MQVNUU0FMRVBSSUNFLjcvMzEvMjAxOAEAAAAOHygCAgAAAAQyLjQ0AElTR280CdYIgf2VbzQJ1gg1Q0lRLihJTlZBTElEIElERU5USUZJRVIpLklRX01BUktFVENBUC45LzE1LzIwMTcuVVNELkgFAAAAAAAAAAgAAAAUKEludmFsaWQgSWRlbnRpZmllcinep34QNQnWCJgSWRI1CdYIK0NJUS5JUVRSNDExODcxMDgyLklRX1RSX0lNUExJRURfRVZfRUJJVF9GV0QBAAAAaqeMGAIAAAAAALKzSW80CdYINZuTbzQJ1ggjQ0lRLklRVFIzNzE3MTUxMTkuSVFfVFJfVE9UQUxfU1RPQ0sBAAAAL+wnFgIAAAAAAFjPEg41CdYIwNuCDjUJ1ggzQ0lRLk5BU0RBUUdNOklNTVUuSVFfUEVSSU9EREFURV9JUy4uNy8xNi8yMDE4LkxGUi5GAQAAACBDBAAFAAAACTMvMzEvMjAxOADE/xsRNQnWCGhgZxI1CdYIKUNJUS5OQVNEQVFHUzpGUFJYLklRX0JVU0lORVNTX0RFU0NSSVBUSU9OAQAAADddMwADAAAA3gxGaXZlIFByaW1lIFRoZXJhcGV1dGljcywgSW5jLiwgYSBjbGluaWNhbC1zdGFnZSBiaW90ZWNobm9sb2d5IGNvbXBhbnksIGZvY3VzZXMgb24gdGhlIGRpc2NvdmVyeSBhbmQgZGV2ZWxvcG1lbnQgb2YgaW1tdW5vLW9uY29sb2d5IHByb3RlaW4gdGhlcmFwZXV0aWNzLiBUaGUgY29tcGFueeKAmXMgcHJvZHVjdCBjYW5kaWRhdGVzIGluY2x1ZGUgQ2FiaXJhbGl6dW1h</t>
  </si>
  <si>
    <t>YiwgYW4gYW50aWJvZHkgdGhhdCBpbmhpYml0cyBjb2xvbnkgc3RpbXVsYXRpbmcgZmFjdG9yLTEgcmVjZXB0b3IgdGhhdCBpcyBpbiBQaGFzZSBJYS9JYiBjbGluaWNhbCB0cmlhbHMgZm9yIHRoZSB0cmVhdG1lbnQgb2YgdmFyaW91cyBjYW5jZXJzIGluIGNvbWJpbmF0aW9uIHdpdGggbml2b2x1bWFiOyBhbmQgaXMgaW4gUGhhc2UgSS9JSSBjbGluaWNhbCB0cmlhbHMgZm9yIHRoZSB0cmVhdG1lbnQgb2YgcGlnbWVudGVkIHZpbGxvbm9kdWxhciBzeW5vdml0aXMgdHVtb3IuIEl0cyBwcm9kdWN0IGNhbmRpZGF0ZXMgYWxzbyBjb21wcmlzZSBCZW1hcml0dXp1bWFiLCBhbiBhbnRpYm9keSB0aGF0IGluaGliaXRzIGZpYnJvYmxhc3QgZ3Jvd3RoIGZhY3RvciByZWNlcHRvciBJSWIsIHdoaWNoIGlzIGluIFBoYXNlIEkgY2xpbmljYWwgdHJpYWxzIHRvIHRyZWF0IHBhdGllbnRzIHdpdGggZ2FzdHJpYyBvciBnYXN0cm9lc29waGFnZWFsIGp1bmN0aW9uIGFuZCBibGFkZGVyIGNhbmNlcjsgYW5kIEZQQTE1MCwgYSBDRDggVCBjZWxsIGNoZWNrcG9pbnQgaW5oaWJpdG9yIGFudGlib2R5IHRoYXQgdGFyZ2V0cyBCNy1INCBhcyBhIG1vbm90aGVyYXB5IGluIHZhcmlvdXMgY2FuY2Vycy4gVGhlIGNvbXBhbnnigJlzIEZQLTEwMzkgaXMgaW4gUGhhc2UgSWIgY2xpbmljYWwgdHJpYWxzIHRvIHRyZWF0IHBh</t>
  </si>
  <si>
    <t>dGllbnRzIHdpdGggbWFsaWduYW50IHBsZXVyYWwgbWVzb3RoZWxpb21hLiBJdHMgcHJlY2xpbmljYWwgcHJvZHVjdCBjYW5kaWRhdGVzIGluY2x1ZGUgRlBBMTUwLCBhIENEOCBUIGNlbGwgY2hlY2twb2ludCBpbmhpYml0b3IgYW50aWJvZHk7IEZQQTE1NCwgYSB0ZXRyYXZhbGVudCBhZ29uaXN0aWMgYW50aWJvZHkgdGhhdCBhY3RpdmF0ZXMgZ2x1Y29jb3J0aWNvaWQtaW5kdWNlZCB0dW1vciBuZWNyb3NpcyBmYWN0b3IgcmVjZXB0b3I7IGFuZCBGUFQxNTUsIGEgQ0Q4MC1GYyBmdXNpb24gcHJvdGVpbiwgd2hpY2ggbW9kdWxhdGVzIHNpZ25hbGluZyBwYXRod2F5cy4gVGhlIGNvbXBhbnkgaGFzIGxpY2Vuc2UgYW5kIGNvbGxhYm9yYXRpb24gYWdyZWVtZW50cyB3aXRoIEJyaXN0b2wtTXllcnMgU3F1aWJiIENvbXBhbnksIEdsYXhvU21pdGhLbGluZSBMTEMsIElOQlJYIDExMCBMUCwgVUNCIFBoYXJtYSBTLkEuLCBhbmQgWmFpIExhYiAoU2hhbmdoYWkpIENvLiwgTHRkLjsgY29sbGFib3JhdGlvbiBhZ3JlZW1lbnQgd2l0aCBSb2NoZTsgYW5kIGxpY2Vuc2UgYWdyZWVtZW50cyB3aXRoIGJsdWViaXJkIGJpbywgSW5jLiwgR2FsYXh5IEJpb3RlY2gsIExMQywgQmlvV2EsIEluYy4gYW5kIExvbnphIFNhbGVzIEFHLiBGaXZlIFByaW1lIFRoZXJhcGV1dGljcywgSW5jLiB3YXMgZm91bmRlZCBpbiAy</t>
  </si>
  <si>
    <t>MDAxIGFuZCBpcyBoZWFkcXVhcnRlcmVkIGluIFNvdXRoIFNhbiBGcmFuY2lzY28sIENhbGlmb3JuaWEuANaMETgICdYINu6VDjUJ1gg6Q0lRLk5BU0RBUUdTOk5LLklRX0VCSVREQV9FU1QuQ1kyMDE4LjcvMzEvMjAxOC5DT04uRi5VU0QuSAEAAAANfaEPAwAAAAAA1owROAgJ1gjDhp9vNAnWCCVDSVEuSVFUUjQyMjg4NzcwMS5JUV9UUl9JTVBMSUVEX0VRX0JWAQAAABXBNBkDAAAAAk5NAAxtEA41CdYIwNuCDjUJ1gg0Q0lRLk9UQ1BLOk5XQk8uSVFfUFJFRl9FUVVJVFkuLjcvMTYvMjAxOC5MRlIuRi5VU0QuSAEAAACjehQAAgAAAAYxNy43OTgBCAAAAAUAAAABMQEAAAAKMTg4OTMwMjgyNAMAAAADMTYwAgAAAAQxMDA1BAAAAAEwBwAAAAk3LzE2LzIwMTgIAAAACTMvMzEvMjAxOAkAAAABMCkclBA1CdYIczlgEjUJ1gg8Q0lRLkVOWFRQQTpJUEguSVFfRUJJVERBXzNZUl9BTk5fQ0FHUi4uNy8xNi8yMDE4LkxGUi5GLlVTRC5IAQAAAJmABgADAAAAAk5NAQgAAAAFAAAAATEBAAAACjE4ODk1NTIxNjQDAAAAAjUwAgAAAAQ0MjIyBAAAAAEwBwAAAAk3LzE2LzIwMTgIAAAACjEyLzMxLzIwMTcJAAAAATApHJQQNQnWCHM5YBI1CdYIOkNJUS5OQVNEQVFHUzpTR0VOLklRX01JTk9SSVRZX0lOVEVSRVNUX1RPVEFMLi4uTEZSLkYuVVNELkgBAAAAYYUAAAMAAAAAAEadGRE1CdYIRp0ZETUJ1gglQ0lRLklRVFIz</t>
  </si>
  <si>
    <t>MTIxMjI1MDQuSVFfVFJfTUFKX01JTl9TVEFLRQEAAACInJoSAwAAAAhNYWpvcml0eQBYzxIONQnWCMDbgg41CdYIPUNJUS5OQVNEQVFDTTpTUk5FLklRX1JFVkVOVUVfRVNULkNZMjAxOS43LzMxLzIwMTguQ09OLkYuVVNELkgBAAAASUOUAwIAAAAINDAuMTkxMzMBDgAAAAUAAAACMTEBAAAAATACAAAACjEwMDI0ODE5MzIDAAAABjEwMDE4MAQAAAABMgYAAAABMAcAAAADMTYwCAAAAAEwCQAAAAExCgAAAAEwCwAAAAsxMDk1NjA1Njc4NgwAAAABNw0AAAAIOC8xLzIwMTgQAAAACTcvMzEvMjAxONaMETgICdYIcySdbzQJ1gggQ0lRLklRVFI1MzM2Mzk1MDEuSVFfVFJfRUFSTk9VVFMBAAAATbHOHwIAAAAAAAxtEA41CdYIwNuCDjUJ1gg+Q0lRLk5BU0RBUUdNOkNSVlMuSVFfVE9UQUxfRVFVSVRZLkNZMjAxNi43LzMxLzIwMTguTEZSLkYuVVNELkgBAAAA9LCmEAIAAAAHMTMyLjgwMQEIAAAABQAAAAExAQAAAAoxODc3MjIwNzkzAwAAAAMxNjACAAAABDEyNzUEAAAAATAHAAAACTcvMzEvMjAxOAgAAAAKMTIvMzEvMjAxNgkAAAABMNaMETgICdYIGemhbzQJ1ggjQ0lRLk5BU0RBUUNNOkNLUFQuSVFfUEVSSU9EREFURV9JUy4BAAAAuFEWEQUAAAAJNi8zMC8yMDE4ACkclBA1CdYIMNddEjUJ1gg+Q0lRLk5BU0RBUUNNOlpJT1AuSVFfVE9UQUxfRVFVSVRZLkNZMjAxNy43LzMxLzIwMTguTEZSLkYuVVNELkgB</t>
  </si>
  <si>
    <t>AAAAs1GyAAIAAAAGNDcuMTg2AQgAAAAFAAAAATEBAAAACjE4NzcyMDQ0NjYDAAAAAzE2MAIAAAAEMTI3NQQAAAABMAcAAAAJNy8zMS8yMDE4CAAAAAoxMi8zMS8yMDE3CQAAAAEw1owROAgJ1gjDhp9vNAnWCDpDSVEuTkFTREFRR1M6VFNSTy5JUV9FQVJOSU5HX0NPLjE5OTIuNy8zMS8yMDE4LkxGUi5GLlVTRC5IAQAAAGjWWAYCAAAACC0yOTMuODgyAQgAAAAFAAAAATEBAAAACjE4NDA5MzQ2NjMDAAAAAzE2MAIAAAABNwQAAAABMAcAAAAJNy8zMS8yMDE4CAAAAAkzLzMxLzIwMTYJAAAAATCcC9U4CAnWCCTCmm80CdYIJ0NJUS5OQVNEQVFDTTpNVEVNLklRX1BFUklPRERBVEVfSVMuMTAwMAEAAACZm6kBBQAAAAoxMi8zMS8yMDE3AMgwsjcICdYIGemhbzQJ1ggvQ0lRLklRVFI0MDc3NjA2OTIuSVFfVFJfSU1QTElFRF9FVl9GSU5BTC4uVVNELkgBAAAANO9NGAIAAAALMTMzMC4wMTM0ODcBBgAAAAUAAAACNTQBAAAABjEwMjA0NQIAAAAJNDA3NzYwNjkyAwAAAAk0MDc3ODUzMjAEAAAAAzE2MAYAAAAFRmFsc2UMbRAONQnWCAw+hQ41CdYIIUNJUS5JUVRSMzA3ODYzOTg0LklRX1RSX0JVWUVSTkFNRQEAAACwoVkSAwAAABFNZXJjayAmIENvLiwgSW5jLgBYzxIONQnWCMDbgg41CdYIJUNJUS5JUVRSMzEyMTIyNTA0LklRX1RSX0lNUExJRURfRVFfQlYBAAAAiJyaEgIAAAAJMjkuMDMzNDc2AFjPEg41CdYI</t>
  </si>
  <si>
    <t>wNuCDjUJ1gg5Q0lRLk5BU0RBUUdNOkNSVlMuSVFfTklfTUFSR0lOLjIwMDAuNy8zMS8yMDE4LkxGUi5GLlVTRC5IAQAAAPSwphADAAAAAADWjBE4CAnWCBnpoW80CdYIIUNJUS5JUVRSNTM1NzE5OTk4LklRX1RSX0JVWUVSTkFNRQEAAAA+cO4fAwAAABVHaWxlYWQgU2NpZW5jZXMsIEluYy4AsrNJbzQJ1giB/ZVvNAnWCC9DSVEuRU5YVFBBOklQSC5JUV9FQklUREEuLjcvMTYvMjAxOC5MRlIuRi5VU0QuSAEAAACZgAYAAgAAAAktNDIuNzM0MTUBCAAAAAUAAAABMQEAAAAKMTg4OTU1MjE2NAMAAAADMTYwAgAAAAQ0MDUxBAAAAAEwBwAAAAk3LzE2LzIwMTgIAAAACjEyLzMxLzIwMTcJAAAAATApHJQQNQnWCHM5YBI1CdYINkNJUS5PVENQSzpNQlZYLklRX0VCSVREQV9NQVJHSU4uLjcvMTYvMjAxOC5MRlIuRi5VU0QuSAEAAADYRIsCAwAAAAAA3qd+EDUJ1giYElkSNQnWCDxDSVEuTkFTREFRR1M6VFNSTy5JUV9FQklUREFfRVNULkNZMjAxOS43LzMxLzIwMTguQ09OLkYuVVNELkgBAAAAaNZYBgIAAAAKLTM5OS4xNDU0MwEOAAAABQAAAAIxMQEAAAABMAIAAAAKMTAwMTU4MDM0NQMAAAAGMTAwMTg3BAAAAAEyBgAAAAEwBwAAAAMxNjAIAAAAATAJAAAAATEKAAAAATALAAAACzEwOTQwNTA3MTI2DAAAAAE3DQAAAAg4LzEvMjAxOBAAAAAJNy8zMS8yMDE4nAvVOAgJ1ggkwppvNAnWCDZDSVEuTkFTREFRR1M6</t>
  </si>
  <si>
    <t>RVBaTS5JUV9FQklUREEuMTk5Ni43LzMxLzIwMTguTEZSLkYuVVNELkgBAAAAAyY9AwIAAAAILTEyMC4wNjUBCAAAAAUAAAABMQEAAAAKMTg4NzI0NjA0OQMAAAADMTYwAgAAAAQ0MDUxBAAAAAEwBwAAAAk3LzMxLzIwMTgIAAAACTMvMzEvMjAxNwkAAAABMNaMETgICdYIcySdbzQJ1gg+Q0lRLlhUUkE6TU9SLklRX0VCSVREQV8yWVJfQU5OX0NBR1IuMjAwMC43LzMxLzIwMTguTEZSLkYuVVNELkgBAAAA3xECAAMAAAACTk0BCAAAAAUAAAABMQEAAAAKMTg4NjE1MTY0OAMAAAACNTACAAAABDQyMDkEAAAAATAHAAAACTcvMzEvMjAxOAgAAAAJMy8zMS8yMDE4CQAAAAEwnAvVOAgJ1gjUX5hvNAnWCEJDSVEuTkFTREFRR1M6Q1RNWC5JUV9UT1RBTF9SRVZfNVlSX0FOTl9DQUdSLi43LzE2LzIwMTguTEZSLkYuVVNELkgBAAAA3DibAwMAAAAAAMT/GxE1CdYIwptiEjUJ1gg7Q0lRLk5BU0RBUUdTOktVUkEuSVFfVE9UQUxfUkVWLkNZMjAxNy43LzMxLzIwMTguTEZSLkYuVVNELkgBAAAAuMvaEAMAAAAAANaMETgICdYIcySdbzQJ1ggsQ0lRLklRVFI1MzU3MTk5OTguSVFfVFJfVEFSR0VUX0VCSVREQS4uVVNELkgBAAAAPnDuHwIAAAAHLTM0Mi4wNQEGAAAABQAAAAIzNwEAAAAKMTg1MjU1ODIyOAIAAAAFMjE2NzcDAAAAAzE2MAQAAAABMAcAAAAIMS8xLzE5MDCys0lvNAnWCIH9lW80CdYILENJUS5JUVRSNDA3</t>
  </si>
  <si>
    <t>NzYwNjkyLklRX1RSX1RBUkdFVF9FQklUREEuLlVTRC5IAQAAADTvTRgCAAAAAAAMbRAONQnWCAw+hQ41CdYIN0NJUS5OQVNEQVFDTTpNVEVNLklRX1BFUklPRERBVEVfSVMuMjAwMC43LzMxLzIwMTguTEZSLkYBAAAAmZupAQUAAAAJMy8zMS8yMDE4AMgwsjcICdYIGemhbzQJ1gg2Q0lRLk5BU0RBUUdNOkFSUlkuSVFfRUJJVERBLjE5OTIuNy8zMS8yMDE4LkxGUi5GLlVTRC5IAQAAAPhhAAACAAAABy03OS4zNDEBCAAAAAUAAAABMQEAAAAKMTg0MTA5NTAyNgMAAAADMTYwAgAAAAQ0MDUxBAAAAAEwBwAAAAk3LzMxLzIwMTgIAAAACTMvMzEvMjAxNgkAAAABMJwL1TgICdYI1F+YbzQJ1gg6Q0lRLk5BU0RBUUdTOlRTUk8uSVFfQ0FTSF9TVF9JTlZFU1QuLjcvMTYvMjAxOC5MRlIuRi5VU0QuSAEAAABo1lgGAgAAAAY0OTguOTgBCAAAAAUAAAABMQEAAAAKMTg4NjMzNzQ2NgMAAAADMTYwAgAAAAQxMDAyBAAAAAEwBwAAAAk3LzE2LzIwMTgIAAAACTMvMzEvMjAxOAkAAAABMMT/GxE1CdYIEv5kEjUJ1gg2Q0lRLk5BU0RBUUdNOkFSUUwuSVFfRUJJVERBLjIwMDAuNy8zMS8yMDE4LkxGUi5GLlVTRC5IAQAAAPZhAAACAAAABy0yMy43MjIBCAAAAAUAAAABMQEAAAAKMTg4ODc4ODc3MAMAAAADMTYwAgAAAAQ0MDUxBAAAAAEwBwAAAAk3LzMxLzIwMTgIAAAACTMvMzEvMjAxOAkAAAABMNaMETgICdYIcySdbzQJ</t>
  </si>
  <si>
    <t>1gg8Q0lRLk5BU0RBUUdNOkFSUlkuSVFfVE9UQUxfRVFVSVRZLjIwMDAuNy8zMS8yMDE4LkxGUi5GLlVTRC5IAQAAAPhhAAACAAAABjI2NS4xNQEIAAAABQAAAAExAQAAAAoxODg4NDcwNjc2AwAAAAMxNjACAAAABDEyNzUEAAAAATAHAAAACTcvMzEvMjAxOAgAAAAJMy8zMS8yMDE4CQAAAAEwnAvVOAgJ1ggkwppvNAnWCDpDSVEuTkFTREFRR1M6VFNSTy5JUV9DQVNIX1NUX0lOVkVTVC4uOS8xNS8yMDE3LkxGUi5GLlVTRC5IAQAAAGjWWAYCAAAABzUwNy45NDEBCAAAAAUAAAABMQEAAAAKMTg1MjY2MjU1MwMAAAADMTYwAgAAAAQxMDAyBAAAAAEwBwAAAAk5LzE1LzIwMTcIAAAACTYvMzAvMjAxNwkAAAABMMT/GxE1CdYIEv5kEjUJ1ggnQ0lRLk5BU0RBUUdTOlNHRU4uSVFfQkVUQV81WVIuNy8xNi8yMDE4AQAAAGGFAAACAAAAEDEuNjg2MDE3NTAyNDE0MTIAxP8bETUJ1ghoYGcSNQnWCDFDSVEuTkFTREFRR006TFBUWC5JUV9DQVBFWC4uNy8xNi8yMDE4LkxGUi5GLlVTRC5IAQAAAAw2CQcCAAAABTAuMDAxAQgAAAAFAAAAATEBAAAACjE4OTAxNjM5MzYDAAAAAzE2MAIAAAAEMjAyMQQAAAABMAcAAAAJNy8xNi8yMDE4CAAAAAkzLzMxLzIwMTgJAAAAATApHJQQNQnWCDDXXRI1CdYII0NJUS5JUVRSMjczNTA3MTg1LklRX1RSX0NMT1NFRF9EQVRFAQAAAHFjTRAFAAAACjExLzEwLzIwMTQAsrNJbzQJ1giB</t>
  </si>
  <si>
    <t>/ZVvNAnWCDZDSVEuTkFTREFRR006RkFURS5JUV9FQklUREEuMjAwMC43LzMxLzIwMTguTEZSLkYuVVNELkgBAAAAaDFXAgIAAAAHLTQ1LjE1NwEIAAAABQAAAAExAQAAAAoxODg4NTAwNTI3AwAAAAMxNjACAAAABDQwNTEEAAAAATAHAAAACTcvMzEvMjAxOAgAAAAJMy8zMS8yMDE4CQAAAAEw1owROAgJ1gjDhp9vNAnWCD1DSVEuTkFTREFRR1M6TksuSVFfTkVUX1dPUktJTkdfQ0FQLjE5OTYuNy8zMS8yMDE4LkxGUi5GLlVTRC5IAQAAAA19oQ8CAAAABi04LjY3MgEIAAAABQAAAAExAQAAAAoxODg3MTE4NzY3AwAAAAMxNjACAAAABDEzMTEEAAAAATAHAAAACTcvMzEvMjAxOAgAAAAJMy8zMS8yMDE3CQAAAAEw1owROAgJ1gjDhp9vNAnWCDVDSVEuTkFTREFRR1M6RlBSWC5JUV9DQVBFWC4xOTkyLjcvMzEvMjAxOC5MRlIuRi5VU0QuSAEAAAA3XTMAAgAAAAYtMi44MTMBCAAAAAUAAAABMQEAAAAKMTg0MDU2NTc5NAMAAAADMTYwAgAAAAQyMDIxBAAAAAEwBwAAAAk3LzMxLzIwMTgIAAAACTMvMzEvMjAxNgkAAAABMNaMETgICdYIGemhbzQJ1ggjQ0lRLklRVFI0MjI4ODc3MDEuSVFfVFJfQ0xPU0VEX0RBVEUBAAAAFcE0GQUAAAAJNC8yOC8yMDE3AAxtEA41CdYIwNuCDjUJ1ggjQ0lRLklRVFI0MjQzNDIwNDYuSVFfVFJfQ0xPU0VEX0RBVEUBAAAAHvJKGQUAAAAJMy8yMy8yMDE3AAxtEA41CdYIwNuCDjUJ</t>
  </si>
  <si>
    <t>1ghDQ0lRLk5BU0RBUUNNOk1URU0uSVFfRUJJVERBXzNZUl9BTk5fQ0FHUi4yMDAwLjcvMzEvMjAxOC5MRlIuRi5VU0QuSAEAAACZm6kBAwAAAAAAyDCyNwgJ1gjdS6RvNAnWCD1DSVEuTkFTREFRR1M6QURYUy5JUV9SRVZFTlVFX0VTVC5DWTIwMjEuNy8xNi8yMDE4LkNPTi5GLlVTRC5IAQAAAJ7seAACAAAABTIxLjk1AQ4AAAAFAAAAAjExAQAAAAEwAgAAAAk2NTA2NTUwNTgDAAAABjEwMDE4MAQAAAABMgYAAAABMAcAAAADMTYwCAAAAAEwCQAAAAExCgAAAAEwCwAAAAsxMDkyNDEwMDkzMwwAAAABNw0AAAAJNy8xNy8yMDE4EAAAAAk3LzE2LzIwMTgpHJQQNQnWCOR0WxI1CdYIJ0NJUS5OQVNEQVFDTTpNVEVNLklRX0JFVEFfMllSLjcvMzEvMjAxOAEAAACZm6kBAgAAABEwLjk4OTM1Mjk4NDIyMTczMwDIMLI3CAnWCBnpoW80CdYIJ0NJUS5OQVNEQVFHUzpCR05FLklRX0JFVEFfMllSLjcvMTYvMjAxOAEAAADg5N0GAgAAABEwLjg2ODkwMTcwMDIzNjUxOQDE/xsRNQnWCGhgZxI1CdYIMENJUS5JUVRSNDI0MzQyMDQ2LklRX1RSX1RBUkdFVF9FQklUREFfRVNULi5VU0QuSAEAAAAe8koZAgAAAAAADG0QDjUJ1gjA24IONQnWCCxDSVEuTkFTREFRR1M6U0dFTi5JUV9OSV9NQVJHSU4uLi5MRlIuRi5VU0QuSAEAAABhhQAAAgAAAActNy43NTE0AQgAAAAFAAAAATEBAAAACjE4OTcyMzM1MTgDAAAAAzE2MAIA</t>
  </si>
  <si>
    <t>AAAENDA5NAQAAAABMAcAAAAJOC8yMy8yMDE4CAAAAAk2LzMwLzIwMTgJAAAAATBGnRkRNQnWCEadGRE1CdYIJUNJUS5OQVNEQVFHUzpUU1JPLklRX0ZJUlNUUFJJQ0lOR0RBVEUBAAAAaNZYBgUAAAAJNi8yOC8yMDEyAJwL1TgICdYID2WMDjUJ1ggiQ0lRLklRVFI1NDc0MjM2ODAuSVFfVFJfUENUX1NPVUdIVAEAAADABaEgAgAAAAMxMDABBgAAAAUAAAACNTQBAAAABjEwMTAyNAIAAAAJNTQ3NDIzNjgwAwAAAAk1NDc0MzMwNjUEAAAAAzE2MAYAAAAEVHJ1ZQxtEA41CdYIwNuCDjUJ1gg1Q0lRLk5BU0RBUUdNOkFSUUwuSVFfQ0FQRVguMTk5Ni43LzMxLzIwMTguTEZSLkYuVVNELkgBAAAA9mEAAAIAAAAGLTAuMDE1AQgAAAAFAAAAATEBAAAACjE4ODg3ODg3MzcDAAAAAzE2MAIAAAAEMjAyMQQAAAABMAcAAAAJNy8zMS8yMDE4CAAAAAkzLzMxLzIwMTcJAAAAATDWjBE4CAnWCHMknW80CdYINkNJUS5OQVNEQVFHUzpBVE5YLklRX0VCSVREQS4xOTk2LjcvMzEvMjAxOC5MRlIuRi5VU0QuSAEAAADcmWsBAgAAAAgtMTA2LjY5NwEIAAAABQAAAAExAQAAAAoxODg4NzAyOTc2AwAAAAMxNjACAAAABDQwNTEEAAAAATAHAAAACTcvMzEvMjAxOAgAAAAJMy8zMS8yMDE3CQAAAAEw1owROAgJ1ggkwppvNAnWCEJDSVEuTkFTREFRR1M6Q0FMQS5JUV9UT1RBTF9SRVZfNVlSX0FOTl9DQUdSLi43LzE2LzIwMTguTEZS</t>
  </si>
  <si>
    <t>LkYuVVNELkgBAAAApSeBBgMAAAAAACkclBA1CdYI5HRbEjUJ1gg6Q0lRLkVOWFRQQTpJUEguSVFfUkVWRU5VRV9FU1QuQ1kyMDIwLjcvMTYvMjAxOC5DT04uRi5VU0QuSAEAAACZgAYAAgAAAA83NC43NDg4NTg0NzEwMjcBDgAAAAUAAAACMTEBAAAAATACAAAACjEwMDE2NDMzOTMDAAAABjEwMDE4MAQAAAABMwYAAAABMAcAAAADMTYwCAAAAAEwCQAAAAExCgAAAAEwCwAAAAsxMDk1Mzg0MjMyOQwAAAABNw0AAAAJNy8xNy8yMDE4EAAAAAk3LzE2LzIwMTgpHJQQNQnWCHM5YBI1CdYIOkNJUS5OQVNEQVFHUzpLVVJBLklRX1BSRUZfRVFVSVRZLjIwMDAuNS81LzIwMTcuTEZSLkYuVVNELkgBAAAAuMvaEAMAAAAAANaMETgICdYIcySdbzQJ1ghHQ0lRLk5BU0RBUUdNOkFSUlkuSVFfTUlOT1JJVFlfSU5URVJFU1RfVE9UQUwuMjAwMC43LzMxLzIwMTguTEZSLkYuVVNELkgBAAAA+GEAAAMAAAAAAJwL1TgICdYI1F+YbzQJ1ggrQ0lRLklRVFI1MzU3MTk5OTguSVFfVFJfVE9UQUxfR1JPU1NfVFYuLlVTRAEAAAA+cO4fAgAAAAsxMTIyNS41ODAxMwEGAAAABQAAAAI1NAEAAAAGMTAyMDg4AgAAAAk1MzU3MTk5OTgDAAAACTUzNTcyNDgxMwQAAAADMTYwBgAAAAVGYWxzZbKzSW80CdYIgf2VbzQJ1gg9Q0lRLk5BU0RBUUdNOkFSUUwuSVFfUkVWRU5VRV9FU1QuQ1kyMDE4LjcvMzEvMjAxOC5DT04uRi5VU0QuSAEA</t>
  </si>
  <si>
    <t>AAD2YQAAAgAAAAYxNy42ODIBDgAAAAUAAAACMTEBAAAAATACAAAACjEwMDE2Njg2NjYDAAAABjEwMDE4MAQAAAABMgYAAAABMAcAAAADMTYwCAAAAAEwCQAAAAExCgAAAAEwCwAAAAsxMTAxMDEwNTM0MQwAAAABNw0AAAAIOC8xLzIwMTgQAAAACTcvMzEvMjAxONaMETgICdYIcySdbzQJ1gglQ0lRLklRVFIyNDU4MzEwMDcuSVFfUFJJTUFSWV9JTkRVU1RSWQEAAAB2iAAAAwAAAA1CaW90ZWNobm9sb2d5ALKzSW80CdYIgf2VbzQJ1gg8Q0lRLk5BU0RBUUdTOkZQUlguSVFfRUFSTklOR19DTy5DWTIwMTYuNy8zMS8yMDE4LkxGUi5GLlVTRC5IAQAAADddMwACAAAABy02NS42OTcBCAAAAAUAAAABMQEAAAAKMTg3NjEzNTk4OAMAAAADMTYwAgAAAAE3BAAAAAEwBwAAAAk3LzMxLzIwMTgIAAAACjEyLzMxLzIwMTYJAAAAATDIMLI3CAnWCBnpoW80CdYIIkNJUS5JUVRSMjczNTA3MTg1LklRX1RSX1BDVF9TT1VHSFQBAAAAcWNNEAIAAAADMTAwALKzSW80CdYIgf2VbzQJ1gguQ0lRLklRVFI1NjM5MTkwNDkuSVFfVFJfVEFSR0VUX1NUT0NLUFJFTUlVTV8xTQEAAADJuJwhAgAAAAc1NS45MDg5AQYAAAAFAAAAAjU0AQAAAAYxMDEwNTUCAAAACTU2MzkxOTA0OQMAAAAJNTYzOTQwMDQyBAAAAAMxNjAGAAAABUZhbHNlDG0QDjUJ1gjA24IONQnWCDVDSVEuTkFTREFRR006RkFURS5JUV9DQVBFWC4xOTk2LjcvMzEv</t>
  </si>
  <si>
    <t>MjAxOC5MRlIuRi5VU0QuSAEAAABoMVcCAgAAAAYtMC40MzQBCAAAAAUAAAABMQEAAAAKMTg4ODUwMDMzMwMAAAADMTYwAgAAAAQyMDIxBAAAAAEwBwAAAAk3LzMxLzIwMTgIAAAACTMvMzEvMjAxNwkAAAABMNaMETgICdYIw4afbzQJ1gg+Q0lRLk5BU0RBUUdTOkFOQUIuSVFfVE9UQUxfRVFVSVRZLkNZMjAxNy43LzE2LzIwMTguTEZSLkYuVVNELkgBAAAAIUyyAQIAAAAHMzA3LjU4MQEIAAAABQAAAAExAQAAAAoxODc3MDY1MjMxAwAAAAMxNjACAAAABDEyNzUEAAAAATAHAAAACTcvMTYvMjAxOAgAAAAKMTIvMzEvMjAxNwkAAAABMMT/GxE1CdYIwptiEjUJ1ggxQ0lRLk5BU0RBUUdTOkFOQUIuSVFfREFfQ0YuLjcvMTYvMjAxOC5MRlIuRi5VU0QuSAEAAAAhTLIBAgAAAAUwLjE5OAEIAAAABQAAAAExAQAAAAoxODg3NDAwMDQzAwAAAAMxNjACAAAABDIxNjAEAAAAATAHAAAACTcvMTYvMjAxOAgAAAAJMy8zMS8yMDE4CQAAAAEwxP8bETUJ1gjCm2ISNQnWCCBDSVEuSVFUUjUzNTcxOTk5OC5JUV9UUl9FQVJOT1VUUwEAAAA+cO4fAgAAAAAAsrNJbzQJ1giB/ZVvNAnWCDtDSVEuTkFTREFRR006QUZNRC5JUV9UT1RBTF9SRVYuQ1kyMDE3LjcvMTYvMjAxOC5MRlIuRi5VU0QuSAEAAADb9wwAAgAAAAgyLjY1OTcwMgEIAAAABQAAAAExAQAAAAoxODc5MTQ3Njk2AwAAAAMxNjACAAAAAjI4BAAAAAEwBwAAAAk3</t>
  </si>
  <si>
    <t>LzE2LzIwMTgIAAAACjEyLzMxLzIwMTcJAAAAATApHJQQNQnWCDDXXRI1CdYIKUNJUS5OQVNEQVFHTTpYTkNSLklRX0JVU0lORVNTX0RFU0NSSVBUSU9OAQAAAKZaCwADAAAAyg9YZW5jb3IsIEluYy4sIGEgY2xpbmljYWwgc3RhZ2UgYmlvcGhhcm1hY2V1dGljYWwgY29tcGFueSwgZm9jdXNlcyBvbiB0aGUgZGlzY292ZXJ5IGFuZCBkZXZlbG9wbWVudCBvZiBlbmdpbmVlcmVkIG1vbm9jbG9uYWwgYW50aWJvZHkgdGhlcmFwZXV0aWNzIHRvIHRyZWF0IHNldmVyZSBhbmQgbGlmZSB0aHJlYXRlbmluZyBkaXNlYXNlcyB3aXRoIHVubWV0IG1lZGljYWwgbmVlZHMuIEl0IGRldmVsb3BzIGl0cyBhbnRpYm9keSBwcm9kdWN0IGNhbmRpZGF0ZXMgdG8gdHJlYXQgYXV0b2ltbXVuZSBhbmQgYWxsZXJnaWMgZGlzZWFzZXMsIGNhbmNlciwgYW5kIG90aGVyIGNvbmRpdGlvbnMuIFRoZSBjb21wYW554oCZcyBwcm9kdWN0IGNhbmRpZGF0ZXMgaW5jbHVkZSBYbUFiNTg3MSwgYW4gaW1tdW5lIGluaGliaXRvciwgd2hpY2ggaXMgaW4gUGhhc2UgSUkgY2xpbmljYWwgdHJpYWwgZm9yIHRoZSB0cmVhdG1lbnQgb2YgYXV0b2ltbXVuZSBkaXNlYXNlczsgYW5kIFhtQWI3MTk1LCBhbiBpbW11bmUgaW5oaWJpdG9yIHRoYXQgaGFzIGJlZW4gY29tcGxldGVkIFBoYXNlIEkgY2xpbmljYWwgdHJpYWwgZm9yIGFzdGhtYSBh</t>
  </si>
  <si>
    <t>bmQgYWxsZXJnaWMgZGlzZWFzZXMuIEl0cyBwcm9kdWN0IGNhbmRpZGF0ZXMgYWxzbyBjb21wcmlzZSBYbUFiMTQwNDUsIGEgYmlzcGVjaWZpYyBvbmNvbG9neSBjYW5kaWRhdGUsIHdoaWNoIGlzIGluIFBoYXNlIEkgY2xpbmljYWwgdHJpYWwgZm9yIHRoZSB0cmVhdG1lbnQgb2YgYWN1dGUgbXllbG9pZCBsZXVrZW1pYTsgWG1BYjEzNjc2IHRoYXQgaXMgaW4gUGhhc2UgSSBjbGluaWNhbCB0cmlhbCB0byB0cmVhdCBCLWNlbGwgbWFsaWduYW5jaWVzOyBhbmQgWG1BYjE4MDg3LCB3aGljaCBpcyBpbiBQaGFzZSBJIGNsaW5pY2FsIHRyaWFsIGZvciBuZXVyb2VuZG9jcmluZSB0dW1vcnMgYW5kIGdhc3Ryb2ludGVzdGluYWwgc3Ryb21hbCB0dW1vcnMuIEluIGFkZGl0aW9uLCB0aGUgY29tcGFueSBvZmZlcnMgTU9SMjA4LCBhbiBhbnRpYm9keSBkcnVnLCB0aGF0IGluIFBoYXNlIElJSSBjbGluaWNhbCB0cmlhbCB0byB0cmVhdCBub24tSG9kZ2tpbiBseW1waG9tYXMsIGFzIHdlbGwgYXMgaW4gUGhhc2UgSUkgY2xpbmljYWwgdHJpYWwgZm9yIGNocm9uaWMgbHltcGhvY3l0aWMgbGV1a2VtaWE7IGFuZCBBTUc0MjQsIGEgYmlzcGVjaWZpYyBDRDM4IHggQ0QzIHByZWNsaW5pY2FsIGNhbmRpZGF0ZSBmb3IgdmFyaW91cyBteWVsb21hLiBGdXJ0aGVyLCBpdCBpcyBkZXZlbG9waW5nIGJpc3BlY2lmaWMg</t>
  </si>
  <si>
    <t>YW50aWJvZGllcyB0byB0cmVhdCB2YXJpb3VzIGNhbmNlcnMsIHN1Y2ggYXMgWG1BYjIwNzE3LCBYbUFiMjI4NDEsIGFuZCBYbUFiMjMxMDQsIHdoaWNoIGFyZSBpbiBwcmVjbGluaWNhbCBQaGFzZS4gVGhlIGNvbXBhbnkgaGFzIGNvbGxhYm9yYXRpb24gYW5kIGxpY2Vuc2UgYWdyZWVtZW50IHdpdGggTm92YXJ0aXMgSW5zdGl0dXRlcyBmb3IgQmlvTWVkaWNhbCBSZXNlYXJjaCwgSW5jLiB0byBkZXZlbG9wIGFuZCBjb21tZXJjaWFsaXplIGJpc3BlY2lmaWMgYW5kIG90aGVyIEZjIGVuZ2luZWVyZWQgYW50aWJvZHkgZHJ1ZyBjYW5kaWRhdGVzIHVzaW5nIGl0cyBwcm9wcmlldGFyeSBYbUFiIHRlY2hub2xvZ2llcyBhbmQgZHJ1ZyBjYW5kaWRhdGVzLCBhcyB3ZWxsIGFzIE1vcnBob1N5cyBBZyB0byBkZXZlbG9wIGFuZCBjb21tZXJjaWFsaXplIGJpc3BlY2lmaWMgYW50aWJvZHkgcHJvZHVjdCBjYW5kaWRhdGVzOyBsaWNlbnNlIGFncmVlbWVudCB3aXRoIEFtZ2VuIEluYy4gdG8gZGV2ZWxvcCBhbmQgY29tbWVyY2lhbGl6ZSBiaXNwZWNpZmljIGFudGlib2R5IHByb2R1Y3QgY2FuZGlkYXRlczsgYW5kIGRldmVsb3BtZW50IGFuZCBtYW51ZmFjdHVyaW5nIHNlcnZpY2VzIGFncmVlbWVudCB3aXRoIENhdGFsZW50IFBoYXJtYSBTb2x1dGlvbnMgTExDLiBYZW5jb3IsIEluYy53YXMgZm91bmRlZCBp</t>
  </si>
  <si>
    <t>biAxOTk3IGFuZCBpcyBoZWFkcXVhcnRlcmVkIGluIE1vbnJvdmlhLCBDYWxpZm9ybmlhLgBGnRkRNQnWCBL+ZBI1CdYIPENJUS5OQVNEQVFHUzpBVE5YLklRX0VCSVREQV9FU1QuQ1kyMDIwLjcvMzEvMjAxOC5DT04uRi5VU0QuSAEAAADcmWsBAgAAAAktMTYuOTA0MTgBDgAAAAUAAAACMTEBAAAAATACAAAACjEwMDM3NzgzNzQDAAAABjEwMDE4NwQAAAABMgYAAAABMAcAAAADMTYwCAAAAAEwCQAAAAExCgAAAAEwCwAAAAsxMDkxMzE4NDc2OAwAAAABNw0AAAAIOC8xLzIwMTgQAAAACTcvMzEvMjAxONaMETgICdYIJMKabzQJ1gg/Q0lRLk5BU0RBUUdTOkNBTEEuSVFfRUJJVERBXzNZUl9BTk5fQ0FHUi4uNy8xNi8yMDE4LkxGUi5GLlVTRC5IAQAAAKUngQYDAAAAAk5NAQgAAAAFAAAAATEBAAAACjE4ODc5ODAzMDUDAAAAAzE2MAIAAAAENDIyMgQAAAABMAcAAAAJNy8xNi8yMDE4CAAAAAkzLzMxLzIwMTgJAAAAATApHJQQNQnWCOR0WxI1CdYILUNJUS5OQVNEQVFHUzpNUlNOLklRX0RJVklERU5EX1lJRUxELjcvMzEvMjAxOAEAAADmxRgAAwAAAAAA1owROAgJ1gjDhp9vNAnWCCNDSVEuSVFUUjI2MzcxODY0Ny5JUV9UUl9UT1RBTF9TVE9DSwEAAAD3BrgPAgAAAAAAsrNJbzQJ1giB/ZVvNAnWCDBDSVEuSVFUUjI0NTgzMTAwNy5JUV9UUl9UQVJHRVRfRUJJVERBX0VTVC4uVVNELkgBAAAAXxWnDgIAAAAI</t>
  </si>
  <si>
    <t>LTM3LjI4MjUAsrNJbzQJ1giB/ZVvNAnWCEJDSVEuTkFTREFRR1M6U0dFTi5JUV9UT1RBTF9SRVZfNVlSX0FOTl9DQUdSLi43LzE2LzIwMTguTEZSLkYuVVNELkgBAAAAYYUAAAIAAAAHMTguNDk1MQEIAAAABQAAAAExAQAAAAoxODg0ODkyODUyAwAAAAMxNjACAAAABDQyMzMEAAAAATAHAAAACTcvMTYvMjAxOAgAAAAJMy8zMS8yMDE4CQAAAAEwxP8bETUJ1ghoYGcSNQnWCCVDSVEuSVFUUjU2MzkxOTA0OS5JUV9UUl9JTVBMSUVEX0VRX0JWAQAAAMm4nCECAAAACDkuNjkxNjc1AQYAAAAFAAAAAjU0AQAAAAYxMDIwOTcCAAAACTU2MzkxOTA0OQMAAAAJNTYzOTQwMDQyBAAAAAMxNjAGAAAABUZhbHNlDG0QDjUJ1gjA24IONQnWCCJDSVEuSVFUUjMyMTg2NTI5Ny5JUV9UUl9UQVJHRVROQU1FAQAAAFFGLxMDAAAAEUlPbWV0IFBoYXJtYSBMdGQuAFjPEg41CdYIDD6FDjUJ1ggvQ0lRLklRVFI1NTExNjYyOTIuSVFfVFJfSU1QTElFRF9FVl9GSU5BTC4uVVNELkgBAAAAVCHaIAIAAAAKNTI5LjgxMTU3MQEGAAAABQAAAAI1NAEAAAAGMTAyMDQ1AgAAAAk1NTExNjYyOTIDAAAACTU1MTE3MzM3NQQAAAADMTYwBgAAAAVGYWxzZQxtEA41CdYIwNuCDjUJ1ggoQ0lRLk5BU0RBUUNNOkFWRU8uSVFfVEVWLjcvMTYvMjAxOC5VU0QuSAEAAAD0Fh0AAgAAAAozMzAuMzY1MjkyAQYAAAAFAAAAATEBAAAACjE4ODcyMzM5</t>
  </si>
  <si>
    <t>MTADAAAAAzE2MAIAAAAGMTAwMDYwBAAAAAEwBwAAAAk3LzE2LzIwMThGnRkRNQnWCMKbYhI1CdYIMUNJUS5OQVNEQVFHUzpBRFhTLklRX0NBUEVYLi43LzE2LzIwMTguTEZSLkYuVVNELkgBAAAAnux4AAIAAAAJLTIuMzgzNDA4AQgAAAAFAAAAATEBAAAACjE4OTI3ODg1NDgDAAAAAzE2MAIAAAAEMjAyMQQAAAABMAcAAAAJNy8xNi8yMDE4CAAAAAk0LzMwLzIwMTgJAAAAATApHJQQNQnWCOR0WxI1CdYIJUNJUS5JUVRSNTMzNjM5NTAxLklRX1RSX01BSl9NSU5fU1RBS0UBAAAATbHOHwMAAAAITWFqb3JpdHkADG0QDjUJ1gjA24IONQnWCB5DSVEuSVEzNjE4MzgyOC5JUV9DT01QQU5ZX05BTUUBAAAAFB8oAgMAAAAxVW5pdGVkIFN0YXRlcyBUcmVhc3VyeSBDb25zdGFudCBNYXR1cml0eSAtIDMgWWVhcgAMbRAONQnWCHd5gA41CdYIR0NJUS5OQVNEQVFHUzpGUFJYLklRX01JTk9SSVRZX0lOVEVSRVNUX1RPVEFMLjIwMDAuNy8zMS8yMDE4LkxGUi5GLlVTRC5IAQAAADddMwADAAAAAADWjBE4CAnWCBnpoW80CdYIOkNJUS5OQVNEQVFHUzpBTkFCLklRX0NBU0hfU1RfSU5WRVNULi45LzE1LzIwMTcuTEZSLkYuVVNELkgBAAAAIUyyAQIAAAAHMTA2LjM1OQEIAAAABQAAAAExAQAAAAoxODUzMDI0OTcyAwAAAAMxNjACAAAABDEwMDIEAAAAATAHAAAACTkvMTUvMjAxNwgAAAAJNi8zMC8yMDE3CQAAAAEwxP8b</t>
  </si>
  <si>
    <t>ETUJ1gjCm2ISNQnWCDxDSVEuTkFTREFRR1M6R1RIWC5JUV9UT1RBTF9FUVVJVFkuMjAwMC43LzMxLzIwMTguTEZSLkYuVVNELkgBAAAAZTRpCAIAAAAHMTgzLjE1NQEIAAAABQAAAAExAQAAAAoxODg2MzY3NjY3AwAAAAMxNjACAAAABDEyNzUEAAAAATAHAAAACTcvMzEvMjAxOAgAAAAJMy8zMS8yMDE4CQAAAAEw1owROAgJ1ggkwppvNAnWCDdDSVEuTkFTREFRR1M6Q0FMQS5JUV9QRVJJT0REQVRFX0lTLjIwMDAuNy8zMS8yMDE4LkxGUi5GAQAAAKUngQYFAAAACTMvMzEvMjAxOADIMLI3CAnWCN1LpG80CdYIN0NJUS5OQVNEQVFHTTpMUFRYLklRX1BSRUZfRVFVSVRZLi45LzE1LzIwMTcuTEZSLkYuVVNELkgBAAAADDYJBwMAAAAAACkclBA1CdYIMNddEjUJ1gg/Q0lRLk5BU0RBUUNNOk1URU0uSVFfTkVUX1dPUktJTkdfQ0FQLjIwMDAuNy8zMS8yMDE4LkxGUi5GLlVTRC5IAQAAAJmbqQECAAAABi02LjQ4NgEIAAAABQAAAAExAQAAAAoxODg4NzMzMDA0AwAAAAMxNjACAAAABDEzMTEEAAAAATAHAAAACTcvMzEvMjAxOAgAAAAJMy8zMS8yMDE4CQAAAAEwyDCyNwgJ1ggZ6aFvNAnWCD9DSVEuTkFTREFRQ006U1JORS5JUV9ORVRfV09SS0lOR19DQVAuMTk5Ni43LzMxLzIwMTguTEZSLkYuVVNELkgBAAAASUOUAwIAAAAHLTY0LjkyNAEIAAAABQAAAAExAQAAAAoxODg3OTg5ODI4AwAAAAMxNjACAAAABDEz</t>
  </si>
  <si>
    <t>MTEEAAAAATAHAAAACTcvMzEvMjAxOAgAAAAJMy8zMS8yMDE3CQAAAAEw1owROAgJ1ghzJJ1vNAnWCD9DSVEuTkFTREFRR1M6QU5BQi5JUV9FQklUREFfMllSX0FOTl9DQUdSLi43LzE2LzIwMTguTEZSLkYuVVNELkgBAAAAIUyyAQMAAAACTk0BCAAAAAUAAAABMQEAAAAKMTg4NzQwMDA0MwMAAAADMTYwAgAAAAQ0MjA5BAAAAAEwBwAAAAk3LzE2LzIwMTgIAAAACTMvMzEvMjAxOAkAAAABMMT/GxE1CdYIwptiEjUJ1ggjQ0lRLk5BU0RBUUdTOkFOQUIuSVFfUEVSSU9EREFURV9JUy4BAAAAIUyyAQUAAAAJNi8zMC8yMDE4AMT/GxE1CdYIEv5kEjUJ1ghCQ0lRLk5BU0RBUUdTOk1SU04uSVFfVE9UQUxfUkVWXzVZUl9BTk5fQ0FHUi4uNy8xNi8yMDE4LkxGUi5GLlVTRC5IAQAAAObFGAADAAAAAAApHJQQNQnWCHM5YBI1CdYIO0NJUS5OQVNEQVFHUzpKTkNFLklRX1RPVEFMX1JFVi5DWTIwMTcuNy8xNi8yMDE4LkxGUi5GLlVTRC5IAQAAAOJ5ng0CAAAABjcxLjY0NAEIAAAABQAAAAExAQAAAAoxODc3NzE2NjEzAwAAAAMxNjACAAAAAjI4BAAAAAEwBwAAAAk3LzE2LzIwMTgIAAAACjEyLzMxLzIwMTcJAAAAATApHJQQNQnWCOR0WxI1CdYIPENJUS5OQVNEQVFHUzpGUFJYLklRX0VCSVREQV9FU1QuQ1kyMDE5LjcvMzEvMjAxOC5DT04uRi5VU0QuSAEAAAA3XTMAAgAAAAgtMTQzLjY0NwEOAAAABQAAAAIxMQEA</t>
  </si>
  <si>
    <t>AAABMAIAAAAKMTAwMTk1NjM0OQMAAAAGMTAwMTg3BAAAAAEyBgAAAAEwBwAAAAMxNjAIAAAAATAJAAAAATEKAAAAATALAAAACzEwOTI3OTgwNTQ3DAAAAAE3DQAAAAg4LzEvMjAxOBAAAAAJNy8zMS8yMDE41owROAgJ1ggZ6aFvNAnWCENDSVEuTkFTREFRR1M6R1RIWC5JUV9FQklUREFfMllSX0FOTl9DQUdSLjIwMDAuNy8zMS8yMDE4LkxGUi5GLlVTRC5IAQAAAGU0aQgDAAAAAADWjBE4CAnWCCTCmm80CdYIN0NJUS5YVFJBOk1PUi5JUV9FQklUREFfRVNULkNZMjAyMC43LzMxLzIwMTguQ09OLkYuVVNELkgBAAAA3xECAAIAAAARLTY2Ljc1MjcwOTIwNzg1MjkBDgAAAAUAAAACMTEBAAAAATACAAAACjEwMDA5ODkwMDcDAAAABjEwMDE4NwQAAAABMwYAAAABMAcAAAADMTYwCAAAAAEwCQAAAAExCgAAAAEwCwAAAAsxMTA1MjI5NTAyNQwAAAABNw0AAAAIOC8xLzIwMTgQAAAACTcvMzEvMjAxOJwL1TgICdYI1F+YbzQJ1gg/Q0lRLk5BU0RBUUdNOkFSUlkuSVFfTkVUX1dPUktJTkdfQ0FQLjIwMDAuNy8zMS8yMDE4LkxGUi5GLlVTRC5IAQAAAPhhAAACAAAABy0yMi45MDkBCAAAAAUAAAABMQEAAAAKMTg4ODQ3MDY3NgMAAAADMTYwAgAAAAQxMzExBAAAAAEwBwAAAAk3LzMxLzIwMTgIAAAACTMvMzEvMjAxOAkAAAABMJwL1TgICdYI1F+YbzQJ1gg5Q0lRLk5BU0RBUUdTOk1SU04uSVFfVE9UQUxfUkVWLjE5</t>
  </si>
  <si>
    <t>OTYuNy8zMS8yMDE4LkxGUi5GLlVTRC5IAQAAAObFGAACAAAABjI1Ljc2NAEIAAAABQAAAAExAQAAAAoxODg5MDk2NTk3AwAAAAMxNjACAAAAAjI4BAAAAAEwBwAAAAk3LzMxLzIwMTgIAAAACTMvMzEvMjAxNwkAAAABMNaMETgICdYIw4afbzQJ1gg6Q0lRLk5BU0RBUUdTOk1SU04uSVFfRUFSTklOR19DTy4xOTkyLjcvMzEvMjAxOC5MRlIuRi5VU0QuSAEAAADmxRgAAwAAAAAA1owROAgJ1gjDhp9vNAnWCCNDSVEuSVFUUjQxMzk1MzY2MS5JUV9UUl9DTE9TRURfREFURQEAAAB9bqwYBQAAAAkxLzI1LzIwMTcAsrNJbzQJ1giB/ZVvNAnWCD1DSVEuTkFTREFRR1M6TUdOWC5JUV9SRVZFTlVFX0VTVC5DWTIwMjAuNy8xNi8yMDE4LkNPTi5GLlVTRC5IAQAAAE8rCQACAAAACDYwLjUxNzgxAQ4AAAAFAAAAAjExAQAAAAEwAgAAAAoxMDAxOTcyOTMxAwAAAAYxMDAxODAEAAAAATIGAAAAATAHAAAAAzE2MAgAAAABMAkAAAABMQoAAAABMAsAAAALMTEwMzM2MzMxNDQMAAAAATcNAAAACTcvMTcvMjAxOBAAAAAJNy8xNi8yMDE4xP8bETUJ1gjCm2ISNQnWCDxDSVEuTkFTREFRR1M6S1VSQS5JUV9FQklUREFfRVNULkNZMjAxOS43LzMxLzIwMTguQ09OLkYuVVNELkgBAAAAuMvaEAMAAAAAANaMETgICdYIcySdbzQJ1gg9Q0lRLk5BU0RBUUdTOk1HTlguSVFfUkVWRU5VRV9FU1QuQ1kyMDIxLjcvMTYvMjAxOC5DT04u</t>
  </si>
  <si>
    <t>Ri5VU0QuSAEAAABPKwkAAgAAAAkyMzAuMzE1NjcBDgAAAAUAAAACMTEBAAAAATACAAAACjEwMDE5NzI5MzIDAAAABjEwMDE4MAQAAAABMgYAAAABMAcAAAADMTYwCAAAAAEwCQAAAAExCgAAAAEwCwAAAAsxMTAzMzYzMzA5NgwAAAABNw0AAAAJNy8xNy8yMDE4EAAAAAk3LzE2LzIwMTjE/xsRNQnWCMKbYhI1CdYIO0NJUS5PVENQSzpOV0JPLklRX1RPVEFMX0VRVUlUWS5DWTIwMTcuNy8xNi8yMDE4LkxGUi5GLlVTRC5IAQAAAKN6FAACAAAABy00Ny4yOTMBCAAAAAUAAAABMQEAAAAKMTg4MzI0OTA4NgMAAAADMTYwAgAAAAQxMjc1BAAAAAEwBwAAAAk3LzE2LzIwMTgIAAAACjEyLzMxLzIwMTcJAAAAATApHJQQNQnWCDDXXRI1CdYIPENJUS5OQVNEQVFHUzpUU1JPLklRX1RPVEFMX0VRVUlUWS4yMDAwLjcvMzEvMjAxOC5MRlIuRi5VU0QuSAEAAABo1lgGAgAAAAcxMTcuNzI4AQgAAAAFAAAAATEBAAAACjE4ODYzMzc0NjYDAAAAAzE2MAIAAAAEMTI3NQQAAAABMAcAAAAJNy8zMS8yMDE4CAAAAAkzLzMxLzIwMTgJAAAAATCcC9U4CAnWCCTCmm80CdYIPkNJUS5OQVNEQVFDTTpDS1BULklRX1RPVEFMX0VRVUlUWS5DWTIwMTcuNy8xNi8yMDE4LkxGUi5GLlVTRC5IAQAAALhRFhECAAAABjE1LjA0MQEIAAAABQAAAAExAQAAAAoxODc4Nzg0NTc4AwAAAAMxNjACAAAABDEyNzUEAAAAATAHAAAACTcvMTYvMjAx</t>
  </si>
  <si>
    <t>OAgAAAAKMTIvMzEvMjAxNwkAAAABMCkclBA1CdYI5HRbEjUJ1gghQ0lRLk5BU0RBUUdNOk5MTksuSVFfQ09NUEFOWV9OQU1FAQAAAJV7jAADAAAAHE5ld0xpbmsgR2VuZXRpY3MgQ29ycG9yYXRpb24AKRyUEDUJ1gjkdFsSNQnWCDhDSVEuTkFTREFRR1M6U0dFTi5JUV9FQklUREEuQ1kyMDE2LjcvMTYvMjAxOC5MRlIuRi5VU0QuSAEAAABhhQAAAgAAAAgtMTI0LjY5MQEIAAAABQAAAAExAQAAAAoxODc0Njk2MTk2AwAAAAMxNjACAAAABDQwNTEEAAAAATAHAAAACTcvMTYvMjAxOAgAAAAKMTIvMzEvMjAxNgkAAAABMMT/GxE1CdYIaGBnEjUJ1ggsQ0lRLklRVFIyNzM1MDcxODUuSVFfVFJfVEFSR0VUX0VCSVREQS4uVVNELkgBAAAAcWNNEAIAAAAHLTI3LjgwNwEGAAAABQAAAAIzNwEAAAAKMTY5MTc2ODI2NAIAAAAFMjE2NzcDAAAAAzE2MAQAAAABMAcAAAAIMS8xLzE5MDCys0lvNAnWCIH9lW80CdYIP0NJUS5OQVNEQVFDTTpDS1BULklRX0VCSVREQV81WVJfQU5OX0NBR1IuLjcvMTYvMjAxOC5MRlIuRi5VU0QuSAEAAAC4URYRAwAAAAAAKRyUEDUJ1gjkdFsSNQnWCD1DSVEuTkFTREFRR006Q1JWUy5JUV9SRVZFTlVFX0VTVC5DWTIwMjAuNy8zMS8yMDE4LkNPTi5GLlVTRC5IAQAAAPSwphACAAAAATABDgAAAAUAAAACMTEBAAAAATACAAAACjEwMDMzNzAzNTcDAAAABjEwMDE4MAQAAAABMgYAAAABMAcA</t>
  </si>
  <si>
    <t>AAADMTYwCAAAAAEwCQAAAAExCgAAAAEwCwAAAAsxMDk1NTQ2MTgxMQwAAAABNw0AAAAIOC8xLzIwMTgQAAAACTcvMzEvMjAxONaMETgICdYIGemhbzQJ1gg8Q0lRLk5BU0RBUUNNOlNSTkUuSVFfRUJJVERBX0VTVC5DWTIwMTkuNy8zMS8yMDE4LkNPTi5GLlVTRC5IAQAAAElDlAMCAAAABy05Ni4yNTQBDgAAAAUAAAACMTEBAAAAATACAAAACjEwMDI0ODE5MzIDAAAABjEwMDE4NwQAAAABMgYAAAABMAcAAAADMTYwCAAAAAEwCQAAAAExCgAAAAEwCwAAAAsxMDk0NTYyNjU4MQwAAAABNw0AAAAIOC8xLzIwMTgQAAAACTcvMzEvMjAxONaMETgICdYIcySdbzQJ1gg1Q0lRLk5BU0RBUUdTOkNBTEEuSVFfREFfQ0YuMjAwMC43LzMxLzIwMTguTEZSLkYuVVNELkgBAAAApSeBBgIAAAAFMC40MDkBCAAAAAUAAAABMQEAAAAKMTg4Nzk4MDMwNQMAAAADMTYwAgAAAAQyMTYwBAAAAAEwBwAAAAk3LzMxLzIwMTgIAAAACTMvMzEvMjAxOAkAAAABMMgwsjcICdYI3UukbzQJ1gg6Q0lRLk5BU0RBUUdTOkNBTEEuSVFfQ0FTSF9TVF9JTlZFU1QuLjkvMTUvMjAxNy5MRlIuRi5VU0QuSAEAAAClJ4EGAgAAAAcxNjYuMjMxAQgAAAAFAAAAATEBAAAACjE4NTI0NzUwNzkDAAAAAzE2MAIAAAAEMTAwMgQAAAABMAcAAAAJOS8xNS8yMDE3CAAAAAk2LzMwLzIwMTcJAAAAATApHJQQNQnWCOR0WxI1CdYILUNJUS5OQVNEQVFHTTpJ</t>
  </si>
  <si>
    <t>TU1VLklRX0RJVklERU5EX1lJRUxELjcvMTYvMjAxOAEAAAAgQwQAAwAAAAAARp0ZETUJ1ggS/mQSNQnWCClDSVEuSVFUUjQxMzk1MzY2MS5JUV9CVVNJTkVTU19ERVNDUklQVElPTgEAAADxrVMMAwAAAKwIVG9sZXJvIFBoYXJtYWNldXRpY2FscywgSW5jLiwgYSBiaW9waGFybWFjZXV0aWNhbCBjb21wYW55LCBkaXNjb3ZlcnMgYW5kIGRldmVsb3BzIG5vdmVsIHRoZXJhcGV1dGljcyB0byB0cmVhdCBjYW5jZXIgYW5kIG90aGVyIGh1bWFuIGRpc2Vhc2VzIGluIHRoZSBVbml0ZWQgU3RhdGVzLiBUaGUgY29tcGFueSBkZXZlbG9wcyBBbHZvY2lkaWIsIGEgY3ljbGluLWRlcGVuZGVudCBraW5hc2Ugc21hbGwgbW9sZWN1bGUgaW5oaWJpdG9yOyBhbmQgVFAtMDQxMyB0aGF0IHRhcmdldHMgYSBzaWduYWxpbmcgcGF0aHdheSBjb21wbGljYXRlZCBpbiB0aGUgcmVndWxhdGlvbiBvZiBzZXJ1bSBpcm9uIGxldmVscyBmb3IgaW5kaXZpZHVhbHMgc3VmZmVyaW5nIHdpdGggY2hyb25pYyBpbmZsYW1tYXRvcnkgZGlzZWFzZXMsIHN1Y2ggYXMgY2FuY2VyIGFuZCByaGV1bWF0b2lkIGFydGhyaXRpcy4gSXQgYWxzbyBkZXZlbG9wcyBUUC0wOTAzLCBhbiBhbnRpLWNhbmNlciBhbmQgZHVhbC10YXJnZXRlZCBhZ2VudCB0aGF0IGluaGliaXRzIHR3byBzaWduYWxpbmcgcGF0aHdheXMgZm9yIHBhbmNyZWF0aWMg</t>
  </si>
  <si>
    <t>Y2FuY2VyIGNlbGwgZ3Jvd3RoIGFuZCBzdXJ2aXZhbCwgYW5kIGZvciB0aGUgbWFpbnRlbmFuY2Ugb2YgdGhlIHR1bW9yIHN0cm9tYWwgY2VsbHM7IGFuZCBUUC0zNjU0IFBJTSBpbmhpYml0b3Igc2lnbmFsaW5nIHBhdGh3YXkgdGhhdCBhbGxvd3MgdHVtb3IgY2VsbHMgdG8gcmVzcG9uZCB0byBub3JtYWwgY2VsbCBkZWF0aCBzaWduYWxzLCBhbmQgc2hvd3MgdG8gaW5kdWNlIGFwb3B0b3NpcyBpbiBleHBlcmltZW50YWwgc3lzdGVtcyBmb3IgcHJvc3RhdGUgY2FuY2VyLCBhY3V0ZSBteWVsb2lkIGxldWtlbWlhLCBhbmQgbHltcGhvbWEgbW9kZWxzLiBUaGUgY29tcGFueSB3YXMgZm91bmRlZCBpbiAyMDExIGFuZCBpcyBiYXNlZCBpbiBMZWhpLCBVdGFoLiBBcyBvZiBKYW51YXJ5IDI1LCAyMDE3LCBUb2xlcm8gUGhhcm1hY2V1dGljYWxzLCBJbmMuIG9wZXJhdGVzIGFzIGEgc3Vic2lkaWFyeSBvZiBEYWluaXBwb24gU3VtaXRvbW8gUGhhcm1hIEFtZXJpY2EgSG9sZGluZ3MsIEluYy4uALKzSW80CdYIgf2VbzQJ1gg9Q0lRLk5BU0RBUUdNOkNSSVMuSVFfQ0FTSF9TVF9JTlZFU1QuMjAwMC41LzUvMjAxNy5MRlIuRi5VU0QuSAEAAAAXagAAAgAAAAY2MC44MDIBCAAAAAUAAAABMQEAAAAKMTg0MDUwMTExOQMAAAADMTYwAgAAAAQxMDAyBAAAAAEwBwAAAAg1LzUvMjAxNwgAAAAJMy8zMS8yMDE3CQAA</t>
  </si>
  <si>
    <t>AAEwyDCyNwgJ1gjdS6RvNAnWCDxDSVEuTkFTREFRR1M6QVROWC5JUV9FQVJOSU5HX0NPLkNZMjAxNy43LzMxLzIwMTguTEZSLkYuVVNELkgBAAAA3JlrAQIAAAAILTEzMS4zOTYBCAAAAAUAAAABMQEAAAAKMTg3OTkwNzYzNQMAAAADMTYwAgAAAAE3BAAAAAEwBwAAAAk3LzMxLzIwMTgIAAAACjEyLzMxLzIwMTcJAAAAATDWjBE4CAnWCCTCmm80CdYIJ0NJUS5OQVNEQVFHTTpMUFRYLklRX0JFVEFfMVlSLjcvMTYvMjAxOAEAAAAMNgkHAgAAABEwLjMxODEzMTIyOTc1MDI2OQApHJQQNQnWCDDXXRI1CdYIP0NJUS5OQVNEQVFHUzpHVEhYLklRX05FVF9XT1JLSU5HX0NBUC4xOTkyLjcvMzEvMjAxOC5MRlIuRi5VU0QuSAEAAABlNGkIAwAAAAAAnAvVOAgJ1ggkwppvNAnWCDtDSVEuTkFTREFRR1M6UEJZSS5JUV9UT1RBTF9SRVYuQ1kyMDE3LjcvMTYvMjAxOC5MRlIuRi5VU0QuSAEAAAACaqwHAgAAAAYyNy42ODUBCAAAAAUAAAABMQEAAAAKMTg3ODA2MzM0NAMAAAADMTYwAgAAAAIyOAQAAAABMAcAAAAJNy8xNi8yMDE4CAAAAAoxMi8zMS8yMDE3CQAAAAEwxP8bETUJ1ggS/mQSNQnWCDlDSVEuRU5YVFBBOklQSC5JUV9FQVJOSU5HX0NPLkNZMjAxNy43LzE2LzIwMTguTEZSLkYuVVNELkgBAAAAmYAGAAIAAAAKLTU4LjA5OTE4MwEIAAAABQAAAAExAQAAAAoxODg5NTUyMTY0AwAAAAMxNjACAAAAATcEAAAA</t>
  </si>
  <si>
    <t>ATAHAAAACTcvMTYvMjAxOAgAAAAKMTIvMzEvMjAxNwkAAAABMCkclBA1CdYIczlgEjUJ1ggxQ0lRLk5BU0RBUUdTOkFEWFMuSVFfREFfQ0YuLjcvMTYvMjAxOC5MRlIuRi5VU0QuSAEAAACe7HgAAgAAAAgxLjM2MzQ3NwEIAAAABQAAAAExAQAAAAoxODkyNzg4NTQ4AwAAAAMxNjACAAAABDIxNjAEAAAAATAHAAAACTcvMTYvMjAxOAgAAAAJNC8zMC8yMDE4CQAAAAEwKRyUEDUJ1gjkdFsSNQnWCC5DSVEuSVFUUjMwNzg2Mzk4NC5JUV9UUl9UQVJHRVRfU1RPQ0tQUkVNSVVNXzFNAQAAALChWRICAAAAAABYzxIONQnWCMDbgg41CdYIIkNJUS5JUVRSNDIyODg3NzAxLklRX1RSX1BDVF9TT1VHSFQBAAAAFcE0GQIAAAACODABBgAAAAUAAAACNTQBAAAABjEwMTAyNAIAAAAJNDIyODg3NzAxAwAAAAk0MzA0MDYzNDMEAAAAAzE2MAYAAAAEVHJ1ZQxtEA41CdYIwNuCDjUJ1gg6Q0lRLk5BU0RBUUdTOlBCWUkuSVFfQ0FTSF9TVF9JTlZFU1QuLjcvMTYvMjAxOC5MRlIuRi5VU0QuSAEAAAACaqwHAgAAAAY3OC41NTIBCAAAAAUAAAABMQEAAAAKMTg4ODY2Nzc0MwMAAAADMTYwAgAAAAQxMDAyBAAAAAEwBwAAAAk3LzE2LzIwMTgIAAAACTMvMzEvMjAxOAkAAAABMMT/GxE1CdYIEv5kEjUJ1ggnQ0lRLk5BU0RBUUNNOk1URU0uSVFfQkVUQV8xWVIuNy8zMS8yMDE4AQAAAJmbqQECAAAAETAuOTg5MzUyOTg0MjIxNzMz</t>
  </si>
  <si>
    <t>AMgwsjcICdYIGemhbzQJ1ggpQ0lRLk5BU0RBUUdNOkFSUlkuSVFfQlVTSU5FU1NfREVTQ1JJUFRJT04BAAAA+GEAAAMAAAC5DkFycmF5IEJpb1BoYXJtYSBJbmMuLCBhIGJpb3BoYXJtYWNldXRpY2FsIGNvbXBhbnksIGZvY3VzZXMgb24gdGhlIGRpc2NvdmVyeSwgZGV2ZWxvcG1lbnQsIGFuZCBjb21tZXJjaWFsaXphdGlvbiBvZiBzbWFsbCBtb2xlY3VsZSBkcnVncyB0byB0cmVhdCBwYXRpZW50cyB3aXRoIGNhbmNlciBhbmQgb3RoZXIgZGlzZWFzZXMgaW4gTm9ydGggQW1lcmljYSwgRXVyb3BlLCBhbmQgdGhlIEFzaWEgUGFjaWZpYy4gSXQgcHJvdmlkZXMgQlJBRlRPVklUTSAoZW5jb3JhZmVuaWIpIGNhcHN1bGVzIGluIGNvbWJpbmF0aW9uIHdpdGggTUVLVE9WSSAoYmluaW1ldGluaWIpIHRhYmxldHMgZm9yIHRoZSB0cmVhdG1lbnQgb2YgcGF0aWVudHMgd2l0aCB1bnJlc2VjdGFibGUgb3IgbWV0YXN0YXRpYyBtZWxhbm9tYSB3aXRoIGEgQlJBRiBtdXRhdGlvbi4gVGhlIGNvbXBhbnnigJlzIGxlYWQgY2xpbmljYWwgcHJvZ3JhbXMgaW5jbHVkZSBlbmNvcmFmZW5pYiBhbmQgYmluaW1ldGluaWIgdGhhdCBhcmUgaW52ZXN0aWdhdGVkIGluIGFwcHJveGltYXRlbHkgMzAgY2xpbmljYWwgdHJpYWxzIGZvciB2YXJpb3VzIHNvbGlkIHR1bW9yIGluZGljYXRpb25zLCBpbmNsdWRpbmcgYSBQaGFz</t>
  </si>
  <si>
    <t>ZSBJSUkgdHJpYWwgaW4gQlJBRi1tdXRhbnQgY29sb3JlY3RhbCBjYW5jZXIuIEl0cyBwcm9kdWN0IHBpcGVsaW5lIGFsc28gaW5jbHVkZXMgaXBhdGFzZXJ0aWIsIGFuIEFLVCBpbmhpYml0b3IgdGhhdCBpcyBpbiBQaGFzZSBJSUkgdHJpYWwgdG8gdHJlYXQgcHJvc3RhdGUgb3IgYnJlYXN0IGNhbmNlcnM7IHNlbHVtZXRpbmliLCBhIE1FSyBpbmhpYml0b3IgZm9yIGNhbmNlcjsgbGFyb3RyZWN0aW5pYiwgYSBQYW5UcmsgaW5oaWJpdG9yIHRoYXQgaXMgaW4gYSBQaGFzZSBJSS9yZWdpc3RyYXRpb24gY2xpbmljYWwgdHJpYWwgZm9yIGNhbmNlcjsgdHVjYXRpbmliLCBhIEhFUjIgaW5oaWJpdG9yIGZvciBicmVhc3QgY2FuY2VyLCB3aGljaCBpcyBpbiBQaGFzZSBJSS9yZWdpc3RyYXRpb24gdHJpYWw7IGFuZCBBUlJZLTc5NyB0aGF0IGlzIGluIFBoYXNlIElJSSBjbGluaWNhbCB0cmlhbCBmb3IgTGFtaW4gQS9DLXJlbGF0ZWQgZGlsYXRlZCBjYXJkaW9teW9wYXRoeS4gSW4gYWRkaXRpb24sIHRoZSBjb21wYW55IGlzIGRldmVsb3BpbmcgdmFybGl0aW5pYi9BU0xBTjAwMSwgYSBQYW4tSEVSMiBpbmhpYml0b3IgZm9yIGdhc3RyaWMgY2FuY2VyOyBBUlJZLTM4MiwgYSBDU0YxUiBpbmhpYml0b3IgdGhhdCBpcyBpbiBQaGFzZSBJSSBjbGluaWNhbCB0cmlhbCB0byB0cmVhdCBjYW5jZXI7IG1vdG9s</t>
  </si>
  <si>
    <t>aW1vZC9WVFgtMjMzNywgYSBUb2xsLWxpa2UgcmVjZXB0b3IgdGhhdCBpcyBpbiBQaGFzZSBJSSBjbGluaWNhbCB0cmlhbCBmb3IgY2FuY2VyOyBhbmQgcHJleGFzZXJ0aWIvTFkyNjA2MzY4LCBhIENISy0xIGluaGliaXRvciwgd2hpY2ggaXMgaW4gbXVsdGlwbGUgUGhhc2UgSSBvciBJSSBjbGluaWNhbCB0cmlhbHMgZm9yIGNhbmNlci4gRnVydGhlciwgaXRzIGRydWcgY2FuZGlkYXRlcyBpbiBQaGFzZSBJIGNsaW5pY2FsIHRyaWFscyBpbmNsdWRlIEdEQy0wNTc1LCBhIENISy0xIGluaGliaXRvciBmb3IgY2FuY2VyOyBMT1hPLTI5MiwgYSBSRVQgaW5oaWJpdG9yIHRvIHRyZWF0IGNhbmNlcjsgYW5kIExPWE8tMTk1LCBhIFRyayBpbmhpYml0b3IgZm9yIGNhbmNlci4gQWRkaXRpb25hbGx5LCBpdHMgZHJ1ZyBjYW5kaWRhdGVzIGluY2x1ZGUgR2Fub3ZvL2Rhbm9wcmV2aXIsIGEgcHJvdGVhc2UgaW5oaWJpdG9yIGZvciBoZXBhdGl0aXMgQyB2aXJ1cy4gVGhlIGNvbXBhbnkgd2FzIGZvdW5kZWQgaW4gMTk5OCBhbmQgaXMgaGVhZHF1YXJ0ZXJlZCBpbiBCb3VsZGVyLCBDb2xvcmFkby4AnAvVOAgJ1gjUX5hvNAnWCDhDSVEuTkFTREFRR006RkFURS5JUV9FQklUREEuQ1kyMDE3LjcvMzEvMjAxOC5MRlIuRi5VU0QuSAEAAABoMVcCAgAAAActNDEuMTU0AQgAAAAFAAAAATEBAAAACjE4NzcwNjkwOTAD</t>
  </si>
  <si>
    <t>AAAAAzE2MAIAAAAENDA1MQQAAAABMAcAAAAJNy8zMS8yMDE4CAAAAAoxMi8zMS8yMDE3CQAAAAEw1owROAgJ1gjDhp9vNAnWCDBDSVEuQVNYOklNVS5JUV9UT1RBTF9ERUJULi43LzE2LzIwMTguTEZSLkYuVVNELkgBAAAAmJOpAAIAAAABMAEIAAAABQAAAAExAQAAAAoxODc3MzA1MzIwAwAAAAMxNjACAAAABDQxNzMEAAAAATAHAAAACTcvMTYvMjAxOAgAAAAKMTIvMzEvMjAxNwkAAAABMCkclBA1CdYIMNddEjUJ1ghCQ0lRLk5BU0RBUUdTOkpOQ0UuSVFfVE9UQUxfUkVWXzJZUl9BTk5fQ0FHUi4uNy8xNi8yMDE4LkxGUi5GLlVTRC5IAQAAAOJ5ng0DAAAAAADep34QNQnWCJgSWRI1CdYILUNJUS5OQVNEQVFHUzpLVVJBLklRX0RJVklERU5EX1lJRUxELjcvMzEvMjAxOAEAAAC4y9oQAwAAAAAA1owROAgJ1ghzJJ1vNAnWCDlDSVEuTkFTREFRR006SU1NVS5JUV9FQklUREFfTUFSR0lOLi43LzE2LzIwMTguTEZSLkYuVVNELkgBAAAAIEMEAAMAAAACTk0BCAAAAAUAAAABMQEAAAAKMTg4ODUyMzM4NAMAAAADMTYwAgAAAAQ0MDQ3BAAAAAEwBwAAAAk3LzE2LzIwMTgIAAAACTMvMzEvMjAxOAkAAAABMMT/GxE1CdYIEv5kEjUJ1gg1Q0lRLk5BU0RBUUdTOkZQUlguSVFfQ0FQRVguMjAwMC43LzMxLzIwMTguTEZSLkYuVVNELkgBAAAAN10zAAIAAAAGLTMuOTU3AQgAAAAFAAAAATEBAAAACjE4ODc0MDIyMjcD</t>
  </si>
  <si>
    <t>AAAAAzE2MAIAAAAEMjAyMQQAAAABMAcAAAAJNy8zMS8yMDE4CAAAAAkzLzMxLzIwMTgJAAAAATDWjBE4CAnWCBnpoW80CdYILkNJUS5OQVNEQVFHUzpOSy5JUV9MQVNUU0FMRVBSSUNFLjcvMzEvMjAxOC5VU0QBAAAADX2hDwIAAAADMy41ANaMETgICdYIw4afbzQJ1gg4Q0lRLk5BU0RBUUNNOk1URU0uSVFfRUJJVERBLkNZMjAxNy43LzMxLzIwMTguTEZSLkYuVVNELkgBAAAAmZupAQIAAAAHLTE1LjY5MgEIAAAABQAAAAExAQAAAAoxODgxMTE4ODEwAwAAAAMxNjACAAAABDQwNTEEAAAAATAHAAAACTcvMzEvMjAxOAgAAAAKMTIvMzEvMjAxNwkAAAABMMgwsjcICdYIGemhbzQJ1gg2Q0lRLk5BU0RBUUdTOlNHRU4uSVFfVE9UQUxfREVCVC4uOS8xNS8yMDE3LkxGUi5GLlVTRC5IAQAAAGGFAAACAAAAATABCAAAAAUAAAABMQEAAAAKMTg1MTI4MTU4NwMAAAADMTYwAgAAAAQ0MTczBAAAAAEwBwAAAAk5LzE1LzIwMTcIAAAACTYvMzAvMjAxNwkAAAABMMT/GxE1CdYIaGBnEjUJ1gg4Q0lRLk5BU0RBUUdNOklNTVUuSVFfRUJJVERBLkNZMjAxNi43LzMxLzIwMTguTEZSLkYuVVNELkgBAAAAIEMEAAIAAAAKLTU4LjY0NzQ0OAEIAAAABQAAAAExAQAAAAoxODczNDkzNDkxAwAAAAMxNjACAAAABDQwNTEEAAAAATAHAAAACTcvMzEvMjAxOAgAAAAKMTIvMzEvMjAxNgkAAAABMJwL1TgICdYI1F+YbzQJ1ggzQ0lR</t>
  </si>
  <si>
    <t>LkVOWFRQQTpJUEguSVFfVE9UQUxfREVCVC4uNy8xNi8yMDE4LkxGUi5GLlVTRC5IAQAAAJmABgACAAAACDcuMDQxMzA2AQgAAAAFAAAAATEBAAAACjE4ODk1NTIxNjQDAAAAAzE2MAIAAAAENDE3MwQAAAABMAcAAAAJNy8xNi8yMDE4CAAAAAoxMi8zMS8yMDE3CQAAAAEwKRyUEDUJ1ghzOWASNQnWCEZDSVEuTkFTREFRR006QVJSWS5JUV9UT1RBTF9SRVZfNVlSX0FOTl9DQUdSLjIwMDAuNy8zMS8yMDE4LkxGUi5GLlVTRC5IAQAAAPhhAAACAAAABjUuNTQ5NQEIAAAABQAAAAExAQAAAAoxODg4NDcwNjc2AwAAAAMxNjACAAAABDQyMzMEAAAAATAHAAAACTcvMzEvMjAxOAgAAAAJMy8zMS8yMDE4CQAAAAEwnAvVOAgJ1ggkwppvNAnWCCFDSVEuSVExMjg3Mzk4NDIuSVFfQ09NUEFOWV9USUNLRVIBAAAAAmqsBwMAAAANTmFzZGFxR1M6UEJZSQAMbRAONQnWCFvHjg41CdYIKkNJUS5JUVRSMjYzNzE4NjQ3LklRX1RSX1RBUkdFVF9FQklULi5VU0QuSAEAAAD3BrgPAgAAAAYtNC4zNjMBBgAAAAUAAAACMzcBAAAACjE2Nzc3OTQ1MDECAAAABTIxNjc1AwAAAAMxNjAEAAAAATAHAAAACDEvMS8xOTAwsrNJbzQJ1giB/ZVvNAnWCC1DSVEuTkFTREFRR006QUZNRC5JUV9ESVZJREVORF9ZSUVMRC43LzE2LzIwMTgBAAAA2/cMAAMAAAAAACkclBA1CdYIMNddEjUJ1ggoQ0lRLklRMjY2ODY0Mi5JUV9MQVNUU0FMRVBS</t>
  </si>
  <si>
    <t>SUNFLjcvMzEvMjAxOAEAAABiuCgAAgAAAAQ0Ljc5AElTR280CdYIgf2VbzQJ1ggxQ0lRLk5BU0RBUUNNOkNLUFQuSVFfQ0FQRVguLjcvMTYvMjAxOC5MRlIuRi5VU0QuSAEAAAC4URYRAwAAAAAAKRyUEDUJ1gjkdFsSNQnWCDpDSVEuTkFTREFRR1M6QkdORS5JUV9QUkVGX0VRVUlUWS4yMDAwLjUvNS8yMDE3LkxGUi5GLlVTRC5IAQAAAODk3QYDAAAAAACcC9U4CAnWCIH9lW80CdYIN0NJUS5OQVNEQVFHTTpBUlJZLklRX1BFUklPRERBVEVfSVMuMjAwMC43LzMxLzIwMTguTEZSLkYBAAAA+GEAAAUAAAAJMy8zMS8yMDE4AJwL1TgICdYI1F+YbzQJ1ggwQ0lRLklRVFIyNjM3MTg2NDcuSVFfVFJfVEFSR0VUX0VCSVREQV9FU1QuLlVTRC5IAQAAAPcGuA8CAAAAAACys0lvNAnWCIH9lW80CdYIQ0NJUS5OQVNEQVFDTTpDS1BULklRX01JTk9SSVRZX0lOVEVSRVNUX1RPVEFMLi43LzE2LzIwMTguTEZSLkYuVVNELkgBAAAAuFEWEQMAAAAAACkclBA1CdYIMNddEjUJ1gg9Q0lRLk5BU0RBUUdTOkZQUlguSVFfRUJJVERBX01BUkdJTi4yMDAwLjcvMzEvMjAxOC5MRlIuRi5VU0QuSAEAAAA3XTMAAgAAAAktMjE5LjM0NzIBCAAAAAUAAAABMQEAAAAKMTg4NzQwMjIyNwMAAAADMTYwAgAAAAQ0MDQ3BAAAAAEwBwAAAAk3LzMxLzIwMTgIAAAACTMvMzEvMjAxOAkAAAABMNaMETgICdYIGemhbzQJ1gg6Q0lRLk5BU0RB</t>
  </si>
  <si>
    <t>UUdTOlRTUk8uSVFfUFJFRl9FUVVJVFkuMjAwMC41LzUvMjAxNy5MRlIuRi5VU0QuSAEAAABo1lgGAwAAAAAAnAvVOAgJ1ggkwppvNAnWCCxDSVEuSVFUUjMyMTg2NTI5Ny5JUV9UUl9UT1RBTF9HUk9TU19UVi5VU0QuSAUAAAAAAAAACAAAABooSW52YWxpZCBDdXJyZW5jeSBSZXF1ZXN0KQxtEA41CdYIDD6FDjUJ1gg8Q0lRLk5BU0RBUUdTOkNBTEEuSVFfRUJJVERBX0VTVC5DWTIwMTguNy8zMS8yMDE4LkNPTi5GLlVTRC5IAQAAAKUngQYDAAAAAADIMLI3CAnWCN1LpG80CdYIP0NJUS5OQVNEQVFHUzpBVE5YLklRX05FVF9XT1JLSU5HX0NBUC4xOTk2LjcvMzEvMjAxOC5MRlIuRi5VU0QuSAEAAADcmWsBAgAAAActMjMuMjE2AQgAAAAFAAAAATEBAAAACjE4ODg3MDI5NzYDAAAAAzE2MAIAAAAEMTMxMQQAAAABMAcAAAAJNy8zMS8yMDE4CAAAAAkzLzMxLzIwMTcJAAAAATDWjBE4CAnWCCTCmm80CdYIMkNJUS5OQVNEQVFHUzpTR0VOLklRX1RPVEFMX1JFVi5DWTIwMTcuLkxGUi5GLlVTRC5IAQAAAGGFAAACAAAABjQ4Mi4yNQEIAAAABQAAAAExAQAAAAoxODc0Njk2MjIwAwAAAAMxNjACAAAAAjI4BAAAAAEwBwAAAAk4LzIzLzIwMTgIAAAACjEyLzMxLzIwMTcJAAAAATBGnRkRNQnWCEadGRE1CdYIPUNJUS5OQVNEQVFHTTpDUlZTLklRX1JFVkVOVUVfRVNULkNZMjAxOS43LzMxLzIwMTguQ09OLkYuVVNE</t>
  </si>
  <si>
    <t>LkgBAAAA9LCmEAIAAAABMAEOAAAABQAAAAIxMQEAAAABMAIAAAAKMTAwMzM3MDM1NgMAAAAGMTAwMTgwBAAAAAEyBgAAAAEwBwAAAAMxNjAIAAAAATAJAAAAATEKAAAAATALAAAACzEwOTU1NDYxODQ3DAAAAAE3DQAAAAg4LzEvMjAxOBAAAAAJNy8zMS8yMDE41owROAgJ1ggZ6aFvNAnWCDxDSVEuTkFTREFRR006Q1JJUy5JUV9FQklUREFfRVNULkNZMjAxOC43LzMxLzIwMTguQ09OLkYuVVNELkgBAAAAF2oAAAMAAAAAAMgwsjcICdYI3UukbzQJ1ggpQ0lRLklRVFI1NTExNjYyOTIuSVFfVFJfSU1QTElFRF9FUV9OSV9MVE0BAAAAVCHaIAMAAAACTk0ADG0QDjUJ1gjA24IONQnWCD5DSVEuTkFTREFRR1M6UEJZSS5JUV9UT1RBTF9FUVVJVFkuQ1kyMDE3LjcvMTYvMjAxOC5MRlIuRi5VU0QuSAEAAAACaqwHAgAAAAY1My4zMDIBCAAAAAUAAAABMQEAAAAKMTg3ODA2MzM0NAMAAAADMTYwAgAAAAQxMjc1BAAAAAEwBwAAAAk3LzE2LzIwMTgIAAAACjEyLzMxLzIwMTcJAAAAATDE/xsRNQnWCBL+ZBI1CdYIPENJUS5OQVNEQVFDTTpTUk5FLklRX1RPVEFMX0VRVUlUWS4yMDAwLjcvMzEvMjAxOC5MRlIuRi5VU0QuSAEAAABJQ5QDAgAAAAcyNDAuODczAQgAAAAFAAAAATEBAAAACjE4ODc5ODk4MzEDAAAAAzE2MAIAAAAEMTI3NQQAAAABMAcAAAAJNy8zMS8yMDE4CAAAAAkzLzMxLzIwMTgJAAAAATDWjBE4CAnW</t>
  </si>
  <si>
    <t>CHMknW80CdYIIENJUS5JUVRSNDA3NzYwNjkyLklRX1RSX0VBUk5PVVRTAQAAADTvTRgCAAAACjk0MC4xOTg5NzIBBgAAAAUAAAACNTQBAAAABjEwMTQwMwIAAAAJNDA3NzYwNjkyAwAAAAk0MDc3ODUzMjAEAAAAAzE2MAYAAAAFRmFsc2UMbRAONQnWCAw+hQ41CdYISkNJUS4oSU5WQUxJRCBJREVOVElGSUVSKS5JUV9NSU5PUklUWV9JTlRFUkVTVF9UT1RBTC4uOS8xNS8yMDE3LkxGUi5GLlVTRC5IBQAAAAAAAAAIAAAAFChJbnZhbGlkIElkZW50aWZpZXIp3qd+EDUJ1giYElkSNQnWCD1DSVEuTkFTREFRR006QVJSWS5JUV9SRVZFTlVFX0VTVC5DWTIwMjEuNy8zMS8yMDE4LkNPTi5GLlVTRC5IAQAAAPhhAAACAAAABzgxMC4zMzMBDgAAAAUAAAACMTEBAAAAATACAAAACTY1NDYxNTIxMAMAAAAGMTAwMTgwBAAAAAEyBgAAAAEwBwAAAAMxNjAIAAAAATAJAAAAATEKAAAAATALAAAACzEwOTg0MDkzMzE3DAAAAAE3DQAAAAg4LzEvMjAxOBAAAAAJNy8zMS8yMDE4nAvVOAgJ1gjUX5hvNAnWCCJDSVEuSVFUUjQwODI5MTM5NS5JUV9UUl9QQ1RfU09VR0hUAQAAAEMIVhgCAAAAAzEwMABYzxIONQnWCMDbgg41CdYIQkNJUS5YVFJBOk1PUi5JUV9NSU5PUklUWV9JTlRFUkVTVF9UT1RBTC4yMDAwLjcvMzEvMjAxOC5MRlIuRi5VU0QuSAEAAADfEQIAAwAAAAAAnAvVOAgJ1gjUX5hvNAnWCENDSVEuKElOVkFMSUQg</t>
  </si>
  <si>
    <t>SURFTlRJRklFUikuSVFfRUFSTklOR19DTy5DWTIwMTcuNy8xNi8yMDE4LkxGUi5GLlVTRC5IBQAAAAAAAAAIAAAAFChJbnZhbGlkIElkZW50aWZpZXIp3qd+EDUJ1giYElkSNQnWCEBDSVEuT1RDUEs6TUJWWC5JUV9NSU5PUklUWV9JTlRFUkVTVF9UT1RBTC4uNy8xNi8yMDE4LkxGUi5GLlVTRC5IAQAAANhEiwIDAAAAAADep34QNQnWCJgSWRI1CdYIJUNJUS5JUVRSNDA4NDA3ODIyLklRX1RSX0lNUExJRURfRVFfQlYBAAAADs9XGAMAAAACTk0AsrNJbzQJ1giB/ZVvNAnWCC9DSVEuSVFUUjU0NzQyMzY4MC5JUV9UUl9UQVJHRVRfVE9UQUxfUkVWLi5VU0QuSAEAAADABaEgAgAAAAAADG0QDjUJ1gjA24IONQnWCDFDSVEuTkFTREFRR1M6Q1RNWC5JUV9DQVBFWC4uNy8xNi8yMDE4LkxGUi5GLlVTRC5IAQAAANw4mwMCAAAABi0xLjM2NgEIAAAABQAAAAExAQAAAAoxODg3Njc1MzE2AwAAAAMxNjACAAAABDIwMjEEAAAAATAHAAAACTcvMTYvMjAxOAgAAAAJMy8zMS8yMDE4CQAAAAEwxP8bETUJ1gjCm2ISNQnWCENDSVEuTkFTREFRR1M6S1VSQS5JUV9FQklUREFfNVlSX0FOTl9DQUdSLjIwMDAuNy8zMS8yMDE4LkxGUi5GLlVTRC5IAQAAALjL2hADAAAAAADWjBE4CAnWCHMknW80CdYIOUNJUS5OQVNEQVFHTTpJTU1VLklRX1RPVEFMX1JFVi4xOTkyLjcvMzEvMjAxOC5MRlIuRi5VU0QuSAEAAAAgQwQAAgAA</t>
  </si>
  <si>
    <t>AAg0LjY5NjY2NQEIAAAABQAAAAExAQAAAAoxODQxMTcxMjI0AwAAAAMxNjACAAAAAjI4BAAAAAEwBwAAAAk3LzMxLzIwMTgIAAAACTMvMzEvMjAxNgkAAAABMJwL1TgICdYI1F+YbzQJ1ghDQ0lRLk5BU0RBUUdTOkZQUlguSVFfRUJJVERBXzJZUl9BTk5fQ0FHUi4yMDAwLjcvMzEvMjAxOC5MRlIuRi5VU0QuSAEAAAA3XTMAAwAAAAJOTQEIAAAABQAAAAExAQAAAAoxODg3NDAyMjI3AwAAAAMxNjACAAAABDQyMDkEAAAAATAHAAAACTcvMzEvMjAxOAgAAAAJMy8zMS8yMDE4CQAAAAEwyDCyNwgJ1ggZ6aFvNAnWCDxDSVEuTkFTREFRQ006U1JORS5JUV9FQklUREFfRVNULkNZMjAxOC43LzMxLzIwMTguQ09OLkYuVVNELkgBAAAASUOUAwIAAAAHLTc4LjY1NgEOAAAABQAAAAIxMQEAAAABMAIAAAAKMTAwMjAzNDI1MAMAAAAGMTAwMTg3BAAAAAEyBgAAAAEwBwAAAAMxNjAIAAAAATAJAAAAATEKAAAAATALAAAACzEwOTQ1NjI2NjIzDAAAAAE3DQAAAAg4LzEvMjAxOBAAAAAJNy8zMS8yMDE41owROAgJ1ghzJJ1vNAnWCC9DSVEuSVFUUjU2MzkxOTA0OS5JUV9UUl9JTVBMSUVEX0VWX0ZJTkFMLi5VU0QuSAEAAADJuJwhAgAAAAsxNDYyLjYyMzI0MgEGAAAABQAAAAI1NAEAAAAGMTAyMDQ1AgAAAAk1NjM5MTkwNDkDAAAACTU2Mzk0MDA0MgQAAAADMTYwBgAAAAVGYWxzZQxtEA41CdYIwNuCDjUJ1gglQ0lRLklR</t>
  </si>
  <si>
    <t>VFI1MzMzODU3NDQuSVFfVFJfTUFKX01JTl9TVEFLRQEAAAAQ0sofAwAAAAhNYWpvcml0eQAMbRAONQnWCMDbgg41CdYIOkNJUS5OQVNEQVFHUzpUU1JPLklRX0VBUk5JTkdfQ08uMTk5Ni43LzMxLzIwMTguTEZSLkYuVVNELkgBAAAAaNZYBgIAAAAILTQxOS45NjkBCAAAAAUAAAABMQEAAAAKMTg4NjMzNzQ1MQMAAAADMTYwAgAAAAE3BAAAAAEwBwAAAAk3LzMxLzIwMTgIAAAACTMvMzEvMjAxNwkAAAABMJwL1TgICdYIJMKabzQJ1ggvQ0lRLklRVFIyNTM5NTQ0NzMuSVFfVFJfVEFSR0VUX1RPVEFMX1JFVi4uVVNELkgBAAAAqQkjDwIAAAAAALKzSW80CdYINZuTbzQJ1gg5Q0lRLk5BU0RBUUdTOkNUTVguSVFfRUJJVERBX01BUkdJTi4uNy8xNi8yMDE4LkxGUi5GLlVTRC5IAQAAANw4mwMCAAAACC02OS43MzczAQgAAAAFAAAAATEBAAAACjE4ODc2NzUzMTYDAAAAAzE2MAIAAAAENDA0NwQAAAABMAcAAAAJNy8xNi8yMDE4CAAAAAkzLzMxLzIwMTgJAAAAATDE/xsRNQnWCMKbYhI1CdYIM0NJUS5OQVNEQVFHUzpUU1JPLklRX1BFUklPRERBVEVfSVMuLjcvMTYvMjAxOC5MRlIuRgEAAABo1lgGBQAAAAkzLzMxLzIwMTgAxP8bETUJ1ggS/mQSNQnWCC5DSVEuTkFTREFRQ006QVZFTy5JUV9NQVJLRVRDQVAuNy8xNi8yMDE4LlVTRC5IAQAAAPQWHQACAAAACjMzOC43NzIyOTIBBgAAAAUAAAABMQEAAAAKMTg4</t>
  </si>
  <si>
    <t>NzIzMzkxMAMAAAADMTYwAgAAAAYxMDAwNTQEAAAAATAHAAAACTcvMTYvMjAxOEadGRE1CdYIwptiEjUJ1gg+Q0lRLk5BU0RBUUdTOkZQUlguSVFfVE9UQUxfRVFVSVRZLkNZMjAxNy43LzMxLzIwMTguTEZSLkYuVVNELkgBAAAAN10zAAIAAAAHMjY1LjIwMgEIAAAABQAAAAExAQAAAAoxODc2MTM1OTkxAwAAAAMxNjACAAAABDEyNzUEAAAAATAHAAAACTcvMzEvMjAxOAgAAAAKMTIvMzEvMjAxNwkAAAABMMgwsjcICdYIGemhbzQJ1gglQ0lRLk5BU0RBUUNNOlpJT1AuSVFfRklSU1RQUklDSU5HREFURQEAAACzUbIABQAAAAk5LzE2LzIwMDUA1owROAgJ1gjDhp9vNAnWCEFDSVEuKElOVkFMSUQgSURFTlRJRklFUikuSVFfUFJFRl9FUVVJVFkuMjAwMC41LzUvMjAxNy5MRlIuRi5VU0QuSAUAAAAAAAAACAAAABQoSW52YWxpZCBJZGVudGlmaWVyKcgwsjcICdYI7TawbzQJ1gg5Q0lRLk5BU0RBUUdNOkFSUUwuSVFfVE9UQUxfUkVWLjIwMDAuNy8zMS8yMDE4LkxGUi5GLlVTRC5IAQAAAPZhAAACAAAABTQuMTM4AQgAAAAFAAAAATEBAAAACjE4ODg3ODg3NzADAAAAAzE2MAIAAAACMjgEAAAAATAHAAAACTcvMzEvMjAxOAgAAAAJMy8zMS8yMDE4CQAAAAEw1owROAgJ1ghzJJ1vNAnWCEJDSVEuTkFTREFRR1M6RlBSWC5JUV9UT1RBTF9SRVZfM1lSX0FOTl9DQUdSLi43LzE2LzIwMTguTEZSLkYuVVNELkgBAAAA</t>
  </si>
  <si>
    <t>N10zAAIAAAAHNDUuNzY3NAEIAAAABQAAAAExAQAAAAoxODg3NDAyMjI3AwAAAAMxNjACAAAABDQyMjAEAAAAATAHAAAACTcvMTYvMjAxOAgAAAAJMy8zMS8yMDE4CQAAAAEwKRyUEDUJ1ghzOWASNQnWCCFDSVEuTkFTREFRR1M6RlBSWC5JUV9DT01QQU5ZX05BTUUBAAAAN10zAAMAAAAdRml2ZSBQcmltZSBUaGVyYXBldXRpY3MsIEluYy4A1owROAgJ1gjji5MONQnWCCFDSVEuSVExMTUyMDUzNDQuSVFfQ09NUEFOWV9USUNLRVIBAAAA4OTdBgMAAAANTmFzZGFxR1M6QkdORQAMbRAONQnWCAw+hQ41CdYIQkNJUS4oSU5WQUxJRCBJREVOVElGSUVSKS5JUV9UT1RBTF9SRVYuQ1kyMDE3LjcvMzEvMjAxOC5MRlIuRi5VU0QuSAUAAAAAAAAACAAAABQoSW52YWxpZCBJZGVudGlmaWVyKcgwsjcICdYI7TawbzQJ1gg2Q0lRLk5BU0RBUUdNOlhOQ1IuSVFfVE9UQUxfREVCVC4uNy8xNi8yMDE4LkxGUi5GLlVTRC5IAQAAAKZaCwACAAAAATABCAAAAAUAAAABMQEAAAAKMTg4NzEyNTg1NQMAAAADMTYwAgAAAAQ0MTczBAAAAAEwBwAAAAk3LzE2LzIwMTgIAAAACTMvMzEvMjAxOAkAAAABMMT/GxE1CdYIEv5kEjUJ1ghHQ0lRLk5BU0RBUUdTOkNBTEEuSVFfTUlOT1JJVFlfSU5URVJFU1RfVE9UQUwuMjAwMC43LzMxLzIwMTguTEZSLkYuVVNELkgBAAAApSeBBgMAAAAAAMgwsjcICdYI3UukbzQJ1gg1Q0lRLk5BU0RB</t>
  </si>
  <si>
    <t>UUdNOkxQVFguSVFfVE9UQUxfUkVWLi43LzE2LzIwMTguTEZSLkYuVVNELkgBAAAADDYJBwMAAAAAACkclBA1CdYIMNddEjUJ1gg8Q0lRLk5BU0RBUUdNOkNSSVMuSVFfVE9UQUxfRVFVSVRZLjE5OTIuNy8zMS8yMDE4LkxGUi5GLlVTRC5IAQAAABdqAAACAAAACTU1Ljk0MjQ2OQEIAAAABQAAAAExAQAAAAoxODQwNTAxMDk5AwAAAAMxNjACAAAABDEyNzUEAAAAATAHAAAACTcvMzEvMjAxOAgAAAAJMy8zMS8yMDE2CQAAAAEwyDCyNwgJ1gjdS6RvNAnWCDlDSVEuTkFTREFRR1M6VFNSTy5JUV9UT1RBTF9SRVYuMjAwMC43LzMxLzIwMTguTEZSLkYuVVNELkgBAAAAaNZYBgIAAAAHMjY5Ljk5NQEIAAAABQAAAAExAQAAAAoxODg2MzM3NDY2AwAAAAMxNjACAAAAAjI4BAAAAAEwBwAAAAk3LzMxLzIwMTgIAAAACTMvMzEvMjAxOAkAAAABMJwL1TgICdYIJMKabzQJ1gguQ0lRLk5BU0RBUUdTOkNUTVguSVFfTUFSS0VUQ0FQLjkvMTUvMjAxNy5VU0QuSAEAAADcOJsDAgAAAAo2MzguMTc0MTIzAQYAAAAFAAAAATEBAAAACjE4NTIzNTc4NTgDAAAAAzE2MAIAAAAGMTAwMDU0BAAAAAEwBwAAAAk5LzE1LzIwMTdGnRkRNQnWCMKbYhI1CdYILUNJUS5OQVNEQVFHUzpBRFhTLklRX0RJVklERU5EX1lJRUxELjcvMTYvMjAxOAEAAACe7HgAAwAAAAAAKRyUEDUJ1gjkdFsSNQnWCC1DSVEuLklRX0VBUk5JTkdfQ08uMjAw</t>
  </si>
  <si>
    <t>MC43LzMxLzIwMTguTEZSLkYuVVNELkgFAAAAAQAAAAgAAAAUKEludmFsaWQgSWRlbnRpZmllcin1hDJHNAnWCPWEMkc0CdYIPkNJUS5OQVNEQVFHUzpNUlNOLklRX1RPVEFMX0VRVUlUWS5DWTIwMTYuNy8xNi8yMDE4LkxGUi5GLlVTRC5IAQAAAObFGAACAAAABjM4LjgzMQEIAAAABQAAAAExAQAAAAoxODgwNTQ3MzgzAwAAAAMxNjACAAAABDEyNzUEAAAAATAHAAAACTcvMTYvMjAxOAgAAAAKMTIvMzEvMjAxNgkAAAABMCkclBA1CdYIczlgEjUJ1ghGQ0lRLk5BU0RBUUdNOkNSSVMuSVFfTUlOT1JJVFlfSU5URVJFU1RfVE9UQUwuMjAwMC41LzUvMjAxNy5MRlIuRi5VU0QuSAEAAAAXagAAAwAAAAAAyDCyNwgJ1gjdS6RvNAnWCD1DSVEuTkFTREFRR1M6Q0FMQS5JUV9SRVZFTlVFX0VTVC5DWTIwMjEuNy8xNi8yMDE4LkNPTi5GLlVTRC5IAQAAAKUngQYCAAAABzIzNS42MzEBDgAAAAUAAAACMTEBAAAAATACAAAACjEwMDI4OTY0MzMDAAAABjEwMDE4MAQAAAABMgYAAAABMAcAAAADMTYwCAAAAAEwCQAAAAExCgAAAAEwCwAAAAsxMDkxMzI3ODQ0OQwAAAABNw0AAAAJNy8xNy8yMDE4EAAAAAk3LzE2LzIwMTgpHJQQNQnWCOR0WxI1CdYIIENJUS5JUVRSNDIyODg3NzAxLklRX1RSX0VBUk5PVVRTAQAAABXBNBkCAAAAAjQ3AQYAAAAFAAAAAjU0AQAAAAYxMDE0MDMCAAAACTQyMjg4NzcwMQMAAAAJNDMwNDA2</t>
  </si>
  <si>
    <t>MzQzBAAAAAMxNjAGAAAABUZhbHNlDG0QDjUJ1gjA24IONQnWCC5DSVEuSVFUUjQwMzc5MTc2Ny5JUV9UUl9UQVJHRVRfU1RPQ0tQUkVNSVVNXzFXAQAAAJdfERgCAAAAAABYzxIONQnWCMDbgg41CdYIJUNJUS5JUVRSNDAzNzkxNzY3LklRX1RSX01BSl9NSU5fU1RBS0UBAAAAl18RGAMAAAAITWFqb3JpdHkAWM8SDjUJ1gjA24IONQnWCDlDSVEuTkFTREFRQ006QVZFTy5JUV9FQklUREFfTUFSR0lOLi43LzE2LzIwMTguTEZSLkYuVVNELkgBAAAA9BYdAAMAAAAAAMT/GxE1CdYIwptiEjUJ1gg8Q0lRLk5BU0RBUUdNOkFSUUwuSVFfVE9UQUxfRVFVSVRZLjE5OTIuNy8zMS8yMDE4LkxGUi5GLlVTRC5IAQAAAPZhAAACAAAABTQwLjEyAQgAAAAFAAAAATEBAAAACjE4NDE5OTI1NjkDAAAAAzE2MAIAAAAEMTI3NQQAAAABMAcAAAAJNy8zMS8yMDE4CAAAAAkzLzMxLzIwMTYJAAAAATDWjBE4CAnWCHMknW80CdYIIkNJUS5JUVRSNDExODcxMDgyLklRX1RSX1BDVF9TT1VHSFQBAAAAaqeMGAIAAAACODYBBgAAAAUAAAACNTQBAAAABjEwMTAyNAIAAAAJNDExODcxMDgyAwAAAAk0MTE4NzEyOTEEAAAAAzE2MAYAAAAEVHJ1ZbKzSW80CdYINZuTbzQJ1ggiQ0lRLklRVFIzMTQ4MjkyMzYuSVFfVFJfUENUX1NPVUdIVAEAAAC06cMSAgAAAAMxMDAAWM8SDjUJ1gjA24IONQnWCD9DSVEuTkFTREFRR1M6RlBSWC5JUV9O</t>
  </si>
  <si>
    <t>RVRfV09SS0lOR19DQVAuMjAwMC43LzMxLzIwMTguTEZSLkYuVVNELkgBAAAAN10zAAIAAAAHLTI3LjU0OQEIAAAABQAAAAExAQAAAAoxODg3NDAyMjI3AwAAAAMxNjACAAAABDEzMTEEAAAAATAHAAAACTcvMzEvMjAxOAgAAAAJMy8zMS8yMDE4CQAAAAEw1owROAgJ1ggZ6aFvNAnWCDBDSVEuTkFTREFRR006TkxOSy5JUV9MQVNUU0FMRVBSSUNFLjcvMTYvMjAxOC5VU0QBAAAAlXuMAAIAAAAENC42OAApHJQQNQnWCOR0WxI1CdYIPENJUS5OQVNEQVFHUzpCR05FLklRX0dST1NTX01BUkdJTi4yMDAwLjcvMzEvMjAxOC5MRlIuRi5VU0QuSAEAAADg5N0GAgAAAAgtMjcuNTExOAEIAAAABQAAAAExAQAAAAoxODg3Njg4NTg4AwAAAAMxNjACAAAABDQwNzQEAAAAATAHAAAACTcvMzEvMjAxOAgAAAAJMy8zMS8yMDE4CQAAAAEwnAvVOAgJ1giB/ZVvNAnWCDdDSVEuTkFTREFRR1M6Sk5DRS5JUV9QUkVGX0VRVUlUWS4uNy8xNi8yMDE4LkxGUi5GLlVTRC5IAQAAAOJ5ng0DAAAAAAApHJQQNQnWCOR0WxI1CdYILkNJUS5JUVRSMzE0ODI5MjM2LklRX1RSX1RBUkdFVF9TVE9DS1BSRU1JVU1fMVcBAAAAtOnDEgIAAAAAAFjPEg41CdYIwNuCDjUJ1gg9Q0lRLk5BU0RBUUdTOk1SU04uSVFfUkVWRU5VRV9FU1QuQ1kyMDIwLjcvMTYvMjAxOC5DT04uRi5VU0QuSAEAAADmxRgAAgAAAAYyNC43MzgBDgAAAAUAAAACMTEB</t>
  </si>
  <si>
    <t>AAAAATACAAAACjEwMDM4MDMyODUDAAAABjEwMDE4MAQAAAABMgYAAAABMAcAAAADMTYwCAAAAAEwCQAAAAExCgAAAAEwCwAAAAsxMTA0Mjc2ODYyOAwAAAABNw0AAAAJNy8xNy8yMDE4EAAAAAk3LzE2LzIwMTjE/xsRNQnWCHM5YBI1CdYIO0NJUS5OQVNEQVFHUzpNUlNOLklRX1RPVEFMX1JFVi5DWTIwMTcuNy8zMS8yMDE4LkxGUi5GLlVTRC5IAQAAAObFGAACAAAABjE3LjU0NQEIAAAABQAAAAExAQAAAAoxODgwNTQ3Mzk1AwAAAAMxNjACAAAAAjI4BAAAAAEwBwAAAAk3LzMxLzIwMTgIAAAACjEyLzMxLzIwMTcJAAAAATDWjBE4CAnWCMOGn280CdYINkNJUS5OQVNEQVFDTTpDS1BULklRX1RPVEFMX0RFQlQuLjkvMTUvMjAxNy5MRlIuRi5VU0QuSAEAAAC4URYRAgAAAAEwAQgAAAAFAAAAATEBAAAACjE4NTI3NTIxNTIDAAAAAzE2MAIAAAAENDE3MwQAAAABMAcAAAAJOS8xNS8yMDE3CAAAAAk2LzMwLzIwMTcJAAAAATApHJQQNQnWCOR0WxI1CdYIJ0NJUS5OQVNEQVFHUzpNUlNOLklRX0JFVEFfMVlSLjcvMTYvMjAxOAEAAADmxRgAAgAAABEwLjU4MTM3MzU5MTYxNjMxOAApHJQQNQnWCHM5YBI1CdYIHUNJUS5OQVNEQVFHUzpTR0VOLklRX0VYQ0hBTkdFAQAAAGGFAAADAAAACE5hc2RhcUdTAEadGRE1CdYIaGBnEjUJ1gglQ0lRLklRVFIzMjE4NjUyOTcuSVFfVFJfTUFKX01JTl9TVEFLRQEAAABRRi8T</t>
  </si>
  <si>
    <t>AwAAAAhNYWpvcml0eQBYzxIONQnWCAw+hQ41CdYILkNJUS5JUVRSNDA4MjkxMzk1LklRX1RSX1RBUkdFVF9TVE9DS1BSRU1JVU1fMU0BAAAAQwhWGAIAAAAAAFjPEg41CdYIwNuCDjUJ1gg4Q0lRLk5BU0RBUUdTOk1HTlguSVFfR1JPU1NfTUFSR0lOLi43LzE2LzIwMTguTEZSLkYuVVNELkgBAAAATysJAAIAAAAGMC4xNzUyAQgAAAAFAAAAATEBAAAACjE4ODcxMTQ5NDUDAAAAAzE2MAIAAAAENDA3NAQAAAABMAcAAAAJNy8xNi8yMDE4CAAAAAkzLzMxLzIwMTgJAAAAATDE/xsRNQnWCMKbYhI1CdYIJUNJUS5OQVNEQVFHTTpBUlJZLklRX0ZJUlNUUFJJQ0lOR0RBVEUBAAAA+GEAAAUAAAAKMTEvMTcvMjAwMACcC9U4CAnWCNRfmG80CdYIIUNJUS5BU1g6SU1VLklRX0JFVEFfMVlSLjcvMTYvMjAxOAEAAACYk6kAAgAAABEwLjE0NTkxNjI0NTUxNTc1MQApHJQQNQnWCDDXXRI1CdYIHUNJUS5JUTI1MDc4LklRX0NPTVBBTllfVElDS0VSAQAAAPZhAAADAAAADU5hc2RhcUdNOkFSUUwAsrNJbzQJ1ghzJJ1vNAnWCD9DSVEuTkFTREFRR1M6U0dFTi5JUV9FQklUREFfMllSX0FOTl9DQUdSLi43LzE2LzIwMTguTEZSLkYuVVNELkgBAAAAYYUAAAMAAAACTk0BCAAAAAUAAAABMQEAAAAKMTg4NDg5Mjg1MgMAAAADMTYwAgAAAAQ0MjA5BAAAAAEwBwAAAAk3LzE2LzIwMTgIAAAACTMvMzEvMjAxOAkAAAABMMT/GxE1</t>
  </si>
  <si>
    <t>CdYIaGBnEjUJ1ggyQ0lRLkVOWFRQQTpJUEguSVFfTklfTUFSR0lOLi43LzE2LzIwMTguTEZSLkYuVVNELkgBAAAAmYAGAAIAAAAJLTEwOS44ODM0AQgAAAAFAAAAATEBAAAACjE4ODk1NTIxNjQDAAAAAjUwAgAAAAQ0MDk0BAAAAAEwBwAAAAk3LzE2LzIwMTgIAAAACjEyLzMxLzIwMTcJAAAAATApHJQQNQnWCHM5YBI1CdYIOUNJUS5OQVNEQVFHUzpHVEhYLklRX1RPVEFMX0RFQlQuMjAwMC41LzUvMjAxNy5MRlIuRi5VU0QuSAEAAABlNGkIAgAAAAEwAQgAAAAFAAAAATEBAAAACjE4MzgxNzc0MDADAAAAAzE2MAIAAAAENDE3MwQAAAABMAcAAAAINS81LzIwMTcIAAAACTMvMzEvMjAxNwkAAAABMNaMETgICdYIJMKabzQJ1ggsQ0lRLklRVFI1NTM1NDgwMjUuSVFfVFJfVE9UQUxfR1JPU1NfVFYuVVNELkgFAAAAAAAAAAgAAAAaKEludmFsaWQgQ3VycmVuY3kgUmVxdWVzdClJU0dvNAnWCIH9lW80CdYIIkNJUS5JUVRSNDA3NzYwNjkyLklRX1RSX1RBUkdFVE5BTUUBAAAANO9NGAMAAAAaR2FueW1lZCBQaGFybWFjZXV0aWNhbHMgQUcADG0QDjUJ1ggMPoUONQnWCCFDSVEuQVNYOklNVS5JUV9CRVRBXzJZUi43LzE2LzIwMTgBAAAAmJOpAAIAAAARMC42NjM1NDkyMDQ0NTY4NjgAKRyUEDUJ1ggw110SNQnWCDhDSVEuTkFTREFRR006Q1JWUy5JUV9FQklUREEuQ1kyMDE2LjcvMzEvMjAxOC5MRlIuRi5VU0Qu</t>
  </si>
  <si>
    <t>SAEAAAD0sKYQAgAAAActMzYuMzgyAQgAAAAFAAAAATEBAAAACjE4NzcyMjA3OTMDAAAAAzE2MAIAAAAENDA1MQQAAAABMAcAAAAJNy8zMS8yMDE4CAAAAAoxMi8zMS8yMDE2CQAAAAEw1owROAgJ1ggZ6aFvNAnWCDtDSVEuTkFTREFRR006SU1NVS5JUV9UT1RBTF9SRVYuQ1kyMDE3LjcvMzEvMjAxOC5MRlIuRi5VU0QuSAEAAAAgQwQAAgAAAAgzLjI1MzA0OAEIAAAABQAAAAExAQAAAAoxODczNDkzNTI4AwAAAAMxNjACAAAAAjI4BAAAAAEwBwAAAAk3LzMxLzIwMTgIAAAACjEyLzMxLzIwMTcJAAAAATCcC9U4CAnWCNRfmG80CdYIP0NJUS5OQVNEQVFHTTpYTkNSLklRX0VCSVREQV81WVJfQU5OX0NBR1IuLjcvMTYvMjAxOC5MRlIuRi5VU0QuSAEAAACmWgsAAwAAAAJOTQEIAAAABQAAAAExAQAAAAoxODg3MTI1ODU1AwAAAAMxNjACAAAABDQyMzUEAAAAATAHAAAACTcvMTYvMjAxOAgAAAAJMy8zMS8yMDE4CQAAAAEwxP8bETUJ1ggS/mQSNQnWCC5DSVEuTkFTREFRR1M6TUdOWC5JUV9NQVJLRVRDQVAuOS8xNS8yMDE3LlVTRC5IAQAAAE8rCQACAAAACjY0Mi4xMzMyMTQBBgAAAAUAAAABMQEAAAAKMTg1MTQzMjAyNwMAAAADMTYwAgAAAAYxMDAwNTQEAAAAATAHAAAACTkvMTUvMjAxN0adGRE1CdYIwptiEjUJ1gg3Q0lRLk5BU0RBUUdNOk5MTksuSVFfRUJJVF9NQVJHSU4uLjcvMTYvMjAxOC5MRlIuRi5V</t>
  </si>
  <si>
    <t>U0QuSAEAAACVe4wAAgAAAAktMTkxLjYwMTEBCAAAAAUAAAABMQEAAAAKMTg4ODM1NDIwNwMAAAADMTYwAgAAAAQ0MDUzBAAAAAEwBwAAAAk3LzE2LzIwMTgIAAAACTMvMzEvMjAxOAkAAAABMCkclBA1CdYI5HRbEjUJ1ggVQ0lRLi5JUV9UUl9QQ1RfU09VR0hUBQAAAAAAAAAIAAAAFChJbnZhbGlkIElkZW50aWZpZXIpnAvVOAgJ1gh3eYAONQnWCDVDSVEuTkFTREFRR1M6VFNSTy5JUV9DQVBFWC4yMDAwLjcvMzEvMjAxOC5MRlIuRi5VU0QuSAEAAABo1lgGAgAAAAYtNS44MDcBCAAAAAUAAAABMQEAAAAKMTg4NjMzNzQ2NgMAAAADMTYwAgAAAAQyMDIxBAAAAAEwBwAAAAk3LzMxLzIwMTgIAAAACTMvMzEvMjAxOAkAAAABMJwL1TgICdYIJMKabzQJ1gg3Q0lRLk5BU0RBUUdTOk1SU04uSVFfRUJJVF9NQVJHSU4uLjcvMTYvMjAxOC5MRlIuRi5VU0QuSAEAAADmxRgAAgAAAAktMjcxLjI2NjYBCAAAAAUAAAABMQEAAAAKMTg4OTA5NjY1MwMAAAADMTYwAgAAAAQ0MDUzBAAAAAEwBwAAAAk3LzE2LzIwMTgIAAAACTMvMzEvMjAxOAkAAAABMMT/GxE1CdYIczlgEjUJ1ggzQ0lRLkVOWFRQQTpJUEguSVFfRUFSTklOR19DTy4uNy8xNi8yMDE4LkxGUi5GLlVTRC5IAQAAAJmABgACAAAACi01OC4wOTkxODMBCAAAAAUAAAABMQEAAAAKMTg4OTU1MjE2NAMAAAADMTYwAgAAAAE3BAAAAAEwBwAAAAk3LzE2LzIwMTgI</t>
  </si>
  <si>
    <t>AAAACjEyLzMxLzIwMTcJAAAAATApHJQQNQnWCHM5YBI1CdYIIkNJUS5JUVRSNDI0MzQyMDQ2LklRX1RSX1RPVEFMX0NBU0gBAAAAHvJKGQIAAAABMwEGAAAABQAAAAI1NAEAAAAGMTAxMDU2AgAAAAk0MjQzNDIwNDYDAAAACTQyNDM0MjY1OAQAAAADMTYwBgAAAAVGYWxzZQxtEA41CdYIwNuCDjUJ1gg2Q0lRLk5BU0RBUUNNOkFWRU8uSVFfVE9UQUxfREVCVC4uNy8xNi8yMDE4LkxGUi5GLlVTRC5IAQAAAPQWHQACAAAABjE4LjU4OAEIAAAABQAAAAExAQAAAAoxODg3MjM0Mjk1AwAAAAMxNjACAAAABDQxNzMEAAAAATAHAAAACTcvMTYvMjAxOAgAAAAJMy8zMS8yMDE4CQAAAAEwxP8bETUJ1gjCm2ISNQnWCClDSVEuTkFTREFRR1M6R1RIWC5JUV9CVVNJTkVTU19ERVNDUklQVElPTgEAAABlNGkIAwAAAK0GRzEgVGhlcmFwZXV0aWNzLCBJbmMuLCBhIGNsaW5pY2FsLXN0YWdlIGJpb3BoYXJtYWNldXRpY2FsIGNvbXBhbnksIGZvY3VzZXMgb24gdGhlIGRpc2NvdmVyeSwgZGV2ZWxvcG1lbnQsIGFuZCBjb21tZXJjaWFsaXphdGlvbiBvZiBub3ZlbCBzbWFsbCBtb2xlY3VsZSB0aGVyYXBldXRpY3MgZm9yIHRoZSB0cmVhdG1lbnQgb2YgcGF0aWVudHMgd2l0aCBjYW5jZXIgaW4gdGhlIFVuaXRlZCBTdGF0ZXMuIEl0IGlzIGRldmVsb3BpbmcgdHJpbGFjaWNsaWIsIGFuIGludHJhdmVub3VzIGN5Y2xpbi1k</t>
  </si>
  <si>
    <t>ZXBlbmRlbnQga2luYXNlcyAoQ0RLKSA0LzYgaW5oaWJpdG9yIHRoYXQgaXMgaW4gUGhhc2UgMWIvMmEgY2xpbmljYWwgdHJpYWxzIGZvciBwYXRpZW50cyB3aXRoIHNtYWxsIGNlbGwgbHVuZyBjYW5jZXIsIGFzIHdlbGwgYXMgUGhhc2UgMiBjbGluaWNhbCB0cmlhbCBmb3IgcGF0aWVudHMgd2l0aCBmaXJzdC0vc2Vjb25kLS90aGlyZC1saW5lIG1ldGFzdGF0aWMgdHJpcGxlLW5lZ2F0aXZlIGJyZWFzdCBjYW5jZXI7IEcxVDM4LCBhbiBvcmFsIENESzQvNiBpbmhpYml0b3IgdGhhdCBpcyBQaGFzZSAxYi8yYSBjbGluaWNhbCB0cmlhbHMgZm9yIHRoZSB0cmVhdG1lbnQgb2YgYnJlYXN0IGNhbmNlcjsgYW5kIEcxVDQ4LCBhbiBvcmFsIHNlbGVjdGl2ZSBlc3Ryb2dlbiByZWNlcHRvciBkZWdyYWRlciwgd2hpY2ggaXMgaW4gcHJlY2xpbmljYWwgZGV2ZWxvcG1lbnQuIFRoZSBjb21wYW55IHdhcyBmb3VuZGVkIGluIDIwMDggYW5kIGlzIGhlYWRxdWFydGVyZWQgaW4gUmVzZWFyY2ggVHJpYW5nbGUgUGFyaywgTm9ydGggQ2Fyb2xpbmEuAJwL1TgICdYIJMKabzQJ1ggnQ0lRLk5BU0RBUUdTOkpOQ0UuSVFfQkVUQV8yWVIuNy8xNi8yMDE4AQAAAOJ5ng0CAAAAEDEuNDI4MTU2MTY1MTUwNjMAKRyUEDUJ1giYElkSNQnWCEJDSVEuTkFTREFRR006TFBUWC5JUV9UT1RBTF9SRVZfMllSX0FOTl9DQUdSLi43</t>
  </si>
  <si>
    <t>LzE2LzIwMTguTEZSLkYuVVNELkgBAAAADDYJBwMAAAAAACkclBA1CdYIMNddEjUJ1ggaQ0lRLkVOWFRQQTpJUEguSVFfRVhDSEFOR0UBAAAAmYAGAAMAAAAGRU5YVFBBACkclBA1CdYIczlgEjUJ1ggfQ0lRLk5BU0RBUUdTOk5LLklRX0NPTVBBTllfTkFNRQEAAAANfaEPAwAAAA9OYW50S3dlc3QsIEluYy4A1owROAgJ1ghFa/qBNAnWCCNDSVEuSVFUUjMyMTg2NTI5Ny5JUV9UUl9UT1RBTF9TVE9DSwEAAABRRi8TAgAAAAAAWM8SDjUJ1ggMPoUONQnWCDlDSVEuTkFTREFRR006RkFURS5JUV9OSV9NQVJHSU4uMjAwMC43LzMxLzIwMTguTEZSLkYuVVNELkgBAAAAaDFXAgMAAAACTk0BCAAAAAUAAAABMQEAAAAKMTg4ODUwMDUyNwMAAAADMTYwAgAAAAQ0MDk0BAAAAAEwBwAAAAk3LzMxLzIwMTgIAAAACTMvMzEvMjAxOAkAAAABMNaMETgICdYIw4afbzQJ1gg2Q0lRLk5BU0RBUUdNOkxQVFguSVFfVE9UQUxfREVCVC4uNy8xNi8yMDE4LkxGUi5GLlVTRC5IAQAAAAw2CQcCAAAAATABCAAAAAUAAAABMQEAAAAKMTg5MDE2MzkzNgMAAAADMTYwAgAAAAQ0MTczBAAAAAEwBwAAAAk3LzE2LzIwMTgIAAAACTMvMzEvMjAxOAkAAAABMCkclBA1CdYIMNddEjUJ1ggtQ0lRLk5BU0RBUUdTOkJHTkUuSVFfRElWSURFTkRfWUlFTEQuNy8zMS8yMDE4AQAAAODk3QYDAAAAAACcC9U4CAnWCIH9lW80CdYIOkNJUS5OQVNE</t>
  </si>
  <si>
    <t>QVFHTTpBUlFMLklRX1RPVEFMX0RFQlQuMjAwMC43LzMxLzIwMTguTEZSLkYuVVNELkgBAAAA9mEAAAIAAAAGMTQuNTE3AQgAAAAFAAAAATEBAAAACjE4ODg3ODg3NzADAAAAAzE2MAIAAAAENDE3MwQAAAABMAcAAAAJNy8zMS8yMDE4CAAAAAkzLzMxLzIwMTgJAAAAATDWjBE4CAnWCHMknW80CdYILENJUS5OQVNEQVFHUzpDQUxBLklRX0xBU1RTQUxFUFJJQ0UuOS8xNS8yMDE3AQAAAKUngQYCAAAABTE1LjA1ACkclBA1CdYI5HRbEjUJ1gguQ0lRLklRVFI0MDM3OTE3NjcuSVFfVFJfVEFSR0VUX1NUT0NLUFJFTUlVTV8xTQEAAACXXxEYAgAAAAAAWM8SDjUJ1gjA24IONQnWCDBDSVEuSVFUUjMyMTg2NTI5Ny5JUV9UUl9UQVJHRVRfRUJJVERBX0VTVC4uVVNELkgBAAAAUUYvEwIAAAAAAFjPEg41CdYIDD6FDjUJ1gg2Q0lRLk5BU0RBUUdTOk1SU04uSVFfRUJJVERBLjE5OTIuNy8zMS8yMDE4LkxGUi5GLlVTRC5IAQAAAObFGAADAAAAAADWjBE4CAnWCMOGn280CdYIJ0NJUS5OQVNEQVFHUzpQQllJLklRX0JFVEFfMVlSLjcvMTYvMjAxOAEAAAACaqwHAgAAABEwLjYxMzU5MzA5OTc3Nzc3NADE/xsRNQnWCBL+ZBI1CdYILENJUS5OQVNEQVFHUzpNUlNOLklRX0xBU1RTQUxFUFJJQ0UuOS8xNS8yMDE3AQAAAObFGAACAAAABDE2LjIAKRyUEDUJ1ghzOWASNQnWCC1DSVEuLklRX0VBUk5JTkdfQ08uMTk5Mi43</t>
  </si>
  <si>
    <t>LzMxLzIwMTguTEZSLkYuVVNELkgFAAAAAQAAAAgAAAAUKEludmFsaWQgSWRlbnRpZmllcin1hDJHNAnWCPWEMkc0CdYIMUNJUS5JUVRSNTQyODA2Njg2LklRX1RSX1RBUkdFVF9SRVZFTlVFX0VTVC4uVVNELkgBAAAAnpJaIAIAAAAAALKzSW80CdYIgf2VbzQJ1ggyQ0lRLk5BU0RBUUdTOk1HTlguSVFfRUJJVERBLi43LzE2LzIwMTguTEZSLkYuVVNELkgBAAAATysJAAIAAAAHLTI3LjU1NwEIAAAABQAAAAExAQAAAAoxODg3MTE0OTQ1AwAAAAMxNjACAAAABDQwNTEEAAAAATAHAAAACTcvMTYvMjAxOAgAAAAJMy8zMS8yMDE4CQAAAAEwxP8bETUJ1gjCm2ISNQnWCB9DSVEuLklRX0dQLjIwMDAuNy8zMS8yMDE4Li4uVVNEBQAAAAAAAAAIAAAAFChJbnZhbGlkIElkZW50aWZpZXIpnAvVOAgJ1giB/ZVvNAnWCDtDSVEuTkFTREFRR1M6QU5BQi5JUV9ORVRfV09SS0lOR19DQVAuLjcvMTYvMjAxOC5MRlIuRi5VU0QuSAEAAAAhTLIBAgAAAAYtMy4wNjMBCAAAAAUAAAABMQEAAAAKMTg4NzQwMDA0MwMAAAADMTYwAgAAAAQxMzExBAAAAAEwBwAAAAk3LzE2LzIwMTgIAAAACTMvMzEvMjAxOAkAAAABMMT/GxE1CdYIwptiEjUJ1gg5Q0lRLk5BU0RBUUNNOk1URU0uSVFfVE9UQUxfREVCVC4yMDAwLjUvNS8yMDE3LkxGUi5GLlVTRC5IAQAAAJmbqQEDAAAAAADIMLI3CAnWCBnpoW80CdYIOUNJUS5OQVNEQVFHUzpN</t>
  </si>
  <si>
    <t>UlNOLklRX1RPVEFMX0RFQlQuMjAwMC41LzUvMjAxNy5MRlIuRi5VU0QuSAEAAADmxRgAAwAAAAAA1owROAgJ1gjDhp9vNAnWCD9DSVEuTkFTREFRR1M6QU5BQi5JUV9FQklUREFfNVlSX0FOTl9DQUdSLi43LzE2LzIwMTguTEZSLkYuVVNELkgBAAAAIUyyAQMAAAAAAMT/GxE1CdYIwptiEjUJ1ghGQ0lRLk5BU0RBUUdTOktVUkEuSVFfVE9UQUxfUkVWXzNZUl9BTk5fQ0FHUi4yMDAwLjcvMzEvMjAxOC5MRlIuRi5VU0QuSAEAAAC4y9oQAwAAAAAA1owROAgJ1ghzJJ1vNAnWCC5DSVEuTkFTREFRR1M6QURYUy5JUV9NQVJLRVRDQVAuNy8xNi8yMDE4LlVTRC5IAQAAAJ7seAACAAAACTc1Ljc3NDk0NgEGAAAABQAAAAExAQAAAAoxODkyNzg4NDU0AwAAAAMxNjACAAAABjEwMDA1NAQAAAABMAcAAAAJNy8xNi8yMDE4KRyUEDUJ1gjkdFsSNQnWCCFDSVEuSVFUUjQyNDM0MjA0Ni5JUV9UUl9CVVlFUk5BTUUBAAAAHvJKGQMAAAAOQmlvTGluZVJ4IEx0ZC4ADG0QDjUJ1gjA24IONQnWCCRDSVEuTkFTREFRR1M6S1VSQS5JUV9FRkZFQ1RfVEFYX1JBVEUBAAAAuMvaEAMAAAAAANaMETgICdYIcySdbzQJ1gg8Q0lRLk5BU0RBUUdNOkFSUUwuSVFfVE9UQUxfRVFVSVRZLjIwMDAuNy8zMS8yMDE4LkxGUi5GLlVTRC5IAQAAAPZhAAACAAAABjIyLjMxNwEIAAAABQAAAAExAQAAAAoxODg4Nzg4NzcwAwAAAAMxNjACAAAA</t>
  </si>
  <si>
    <t>BDEyNzUEAAAAATAHAAAACTcvMzEvMjAxOAgAAAAJMy8zMS8yMDE4CQAAAAEw1owROAgJ1ghzJJ1vNAnWCCdDSVEuTkFTREFRR006SU1NVS5JUV9CRVRBXzJZUi43LzE2LzIwMTgBAAAAIEMEAAIAAAAQMS44OTg1NjIyMzA3MzEwNwDE/xsRNQnWCBL+ZBI1CdYIQkNJUS5OQVNEQVFHUzpNR05YLklRX1RPVEFMX1JFVl8zWVJfQU5OX0NBR1IuLjcvMTYvMjAxOC5MRlIuRi5VU0QuSAEAAABPKwkAAgAAAAcxNS40MDE1AQgAAAAFAAAAATEBAAAACjE4ODcxMTQ5NDUDAAAAAzE2MAIAAAAENDIyMAQAAAABMAcAAAAJNy8xNi8yMDE4CAAAAAkzLzMxLzIwMTgJAAAAATDE/xsRNQnWCMKbYhI1CdYIK0NJUS5JUVRSMzcxNzE1MTE5LklRX1RSX0lNUExJRURfRVZfRUJJVF9GV0QBAAAAL+wnFgIAAAAAAFjPEg41CdYIwNuCDjUJ1ggiQ0lRLklRVFI1NjE2MDYzNjUuSVFfVFJfUENUX1NPVUdIVAEAAADdbnkhAgAAAAMxMDABBgAAAAUAAAACNTQBAAAABjEwMTAyNAIAAAAJNTYxNjA2MzY1AwAAAAk1NjE2MDkxOTcEAAAAAzE2MAYAAAAEVHJ1ZbKzSW80CdYINZuTbzQJ1gg3Q0lRLkFTWDpJTVUuSVFfUkVWRU5VRV9FU1QuQ1kyMDE4LjcvMTYvMjAxOC5DT04uRi5VU0QuSAEAAACYk6kAAwAAAAAAKRyUEDUJ1ggw110SNQnWCCVDSVEuSVFUUjU1MzU0ODAyNS5JUV9UUl9JTVBMSUVEX0VRX0JWAQAAAPl4/iACAAAACTE1</t>
  </si>
  <si>
    <t>LjYzODU4NQEGAAAABQAAAAI1NAEAAAAGMTAyMDk3AgAAAAk1NTM1NDgwMjUDAAAACTU1MzU2NDk3MQQAAAADMTYwBgAAAAVGYWxzZbKzSW80CdYIgf2VbzQJ1gghQ0lRLk5BU0RBUUdTOkpOQ0UuSVFfQ09NUEFOWV9OQU1FAQAAAOJ5ng0DAAAAGUpvdW5jZSBUaGVyYXBldXRpY3MsIEluYy4AKRyUEDUJ1gjkdFsSNQnWCEJDSVEuTkFTREFRR1M6VFNSTy5JUV9UT1RBTF9SRVZfNVlSX0FOTl9DQUdSLi43LzE2LzIwMTguTEZSLkYuVVNELkgBAAAAaNZYBgMAAAAAAMT/GxE1CdYIEv5kEjUJ1ggpQ0lRLklRVFIyNzM1MDcxODUuSVFfQlVTSU5FU1NfREVTQ1JJUFRJT04BAAAAfQwUAAMAAADkCkFtYml0IEJpb3NjaWVuY2VzIENvcnBvcmF0aW9uLCBhIGJpb3BoYXJtYWNldXRpY2FsIGNvbXBhbnksIGZvY3VzZXMgb24gdGhlIGRpc2NvdmVyeSwgZGV2ZWxvcG1lbnQsIGFuZCBjb21tZXJjaWFsaXphdGlvbiBvZiBkcnVncyBmb3IgdGhlIHRyZWF0bWVudCBvZiBvbmNvbG9neSwgYXV0b2ltbXVuZSwgYW5kIGluZmxhbW1hdG9yeSBkaXNlYXNlcyBpbiB0aGUgVW5pdGVkIFN0YXRlcy4gVGhlIGNvbXBhbnnigJlzIHByb2R1Y3RzIGluY2x1ZGUgcXVpemFydGluaWIsIGFuIG9yYWxseSBhZG1pbmlzdGVyZWQgRk1TLWxpa2UgdHlyb3NpbmUga2luYXNlIDMgaW5oaWJpdG9yIHRoYXQgaGFzIGNvbXBsZXRlZCBQ</t>
  </si>
  <si>
    <t>aGFzZSBJSSBjbGluaWNhbCB0cmlhbHMgZm9yIHRoZSB0cmVhdG1lbnQgb2YgcGF0aWVudHMgd2l0aCByZWxhcHNlZC9yZWZyYWN0b3J5IGFjdXRlIG15ZWxvaWQgbGV1a2VtaWEuIEl0cyBkcnVnIGNhbmRpZGF0ZXMgYWxzbyBjb21wcmlzZSBBQzQxMCwgYSBzbWFsbCBtb2xlY3VsZSBpbmhpYml0b3Igb2YgSmFudXMga2luYXNlIDIsIHdoaWNoIGlzIGluIFBoYXNlIDEgY2xpbmljYWwgdHJpYWxzOyBhbmQgQUM3MDgsIGEgcmVjZXB0b3IgdHlyb3NpbmUga2luYXNlIGluaGliaXRvciB0aGF0IGlzIGluIHByZS1jbGluaWNhbCBzdHVkaWVzIGZvciB0aGUgdHJlYXRtZW50IG9mIG9uY29sb2d5LCBhdXRvaW1tdW5lLCBhbmQgaW5mbGFtbWF0b3J5IGRpc2Vhc2VzLiBUaGUgY29tcGFueSBoYXMgY29sbGFib3JhdGlvbiBhZ3JlZW1lbnRzIHdpdGggQXN0ZWxsYXMgUGhhcm1hIEluYy4gdG8gcmVzZWFyY2gsIGRldmVsb3AsIGFuZCBjb21tZXJjaWFsaXplIHZhcmlvdXMgRkxUMyBraW5hc2UgaW5oaWJpdG9yczsgQ2VwaGFsb24sIEluYy4gdG8gaWRlbnRpZnkgYW5kIGRldmVsb3AgY2xpbmljYWwgY2FuZGlkYXRlcyB0aGF0IHRhcmdldCB0aGUgQlJBRiBraW5hc2UgYW5kIGEgc2Vjb25kIGtpbmFzZTsgYW5kIEdlbm9wdGl4LCBJbmMuIHRvIGRldmVsb3AgYSBsYWJvcmF0b3J5IGRpYWdub3N0aWMgdGVz</t>
  </si>
  <si>
    <t>dCB0byBpZGVudGlmeSBwYXRpZW50cyB0aGF0IGhhcmJvciBJVEQgbXV0YXRpb25zIGluIHRoZWlyIEZMVDMgcmVjZXB0b3IgdHlyb3NpbmUga2luYXNlLiBBbWJpdCBCaW9zY2llbmNlcyBDb3Jwb3JhdGlvbiwgZm9ybWVybHkga25vd24gYXMgQXZlbnRhIEJpb3NjaWVuY2VzIENvcnBvcmF0aW9uLCB3YXMgZm91bmRlZCBpbiAyMDAwIGFuZCBpcyBoZWFkcXVhcnRlcmVkIGluIFNhbiBEaWVnbywgQ2FsaWZvcm5pYS4gQXMgb2YgTm92ZW1iZXIgMTAsIDIwMTQsIEFtYml0IEJpb3NjaWVuY2VzIENvcnBvcmF0aW9uIG9wZXJhdGVzIGFzIGEgc3Vic2lkaWFyeSBvZiBEYWlpY2hpIFNhbmt5byBDb21wYW55LCBMaW1pdGVkLgCys0lvNAnWCIH9lW80CdYINUNJUS5YVFJBOk1PUi5JUV9UT1RBTF9ERUJULjIwMDAuNy8zMS8yMDE4LkxGUi5GLlVTRC5IAQAAAN8RAgACAAAABzAuMTA4MTUBCAAAAAUAAAABMQEAAAAKMTg4NjE1MTY0OAMAAAADMTYwAgAAAAQ0MTczBAAAAAEwBwAAAAk3LzMxLzIwMTgIAAAACTMvMzEvMjAxOAkAAAABMJwL1TgICdYI1F+YbzQJ1gg4Q0lRLk5BU0RBUUdNOklNTVUuSVFfR1JPU1NfTUFSR0lOLi43LzE2LzIwMTguTEZSLkYuVVNELkgBAAAAIEMEAAMAAAACTk0BCAAAAAUAAAABMQEAAAAKMTg4ODUyMzM4NAMAAAADMTYwAgAAAAQ0MDc0BAAAAAEwBwAAAAk3LzE2LzIwMTgIAAAA</t>
  </si>
  <si>
    <t>CTMvMzEvMjAxOAkAAAABMMT/GxE1CdYIEv5kEjUJ1ggnQ0lRLk5BU0RBUUdTOkFUTlguSVFfQkVUQV81WVIuNy8zMS8yMDE4AQAAANyZawEDAAAAAADWjBE4CAnWCCTCmm80CdYIL0NJUS5JUVRSMzA3ODYzOTg0LklRX1RSX0lNUExJRURfRVZfRklOQUwuLlVTRC5IAQAAALChWRICAAAAAzYwNQEGAAAABQAAAAI1NAEAAAAGMTAyMDQ1AgAAAAkzMDc4NjM5ODQDAAAACTMwNzg2NDI4MAQAAAADMTYwBgAAAAVGYWxzZVjPEg41CdYIwNuCDjUJ1gg7Q0lRLk5BU0RBUUNNOk1URU0uSVFfUFJFRl9FUVVJVFkuMjAwMC43LzMxLzIwMTguTEZSLkYuVVNELkgBAAAAmZupAQMAAAAAAMgwsjcICdYIGemhbzQJ1gg7Q0lRLk5BU0RBUUdTOlNHRU4uSVFfVE9UQUxfUkVWLkNZMjAxNy43LzE2LzIwMTguTEZSLkYuVVNELkgBAAAAYYUAAAIAAAAGNDgyLjI1AQgAAAAFAAAAATEBAAAACjE4NzQ2OTYyMjADAAAAAzE2MAIAAAACMjgEAAAAATAHAAAACTcvMTYvMjAxOAgAAAAKMTIvMzEvMjAxNwkAAAABMMT/GxE1CdYIaGBnEjUJ1ggyQ0lRLk5BU0RBUUdTOkpOQ0UuSVFfRUJJVERBLi43LzE2LzIwMTguTEZSLkYuVVNELkgBAAAA4nmeDQIAAAAHLTI4LjMzNAEIAAAABQAAAAExAQAAAAoxODg4MTg2Mzc0AwAAAAMxNjACAAAABDQwNTEEAAAAATAHAAAACTcvMTYvMjAxOAgAAAAJMy8zMS8yMDE4CQAAAAEwKRyUEDUJ1giY</t>
  </si>
  <si>
    <t>ElkSNQnWCDxDSVEuTkFTREFRR006QUZNRC5JUV9FQklUREFfRVNULkNZMjAxOC43LzE2LzIwMTguQ09OLkYuVVNELkgBAAAA2/cMAAMAAAAAACkclBA1CdYIMNddEjUJ1gg+Q0lRLk5BU0RBUUdTOkFUTlguSVFfQ0FTSF9TVF9JTlZFU1QuMjAwMC43LzMxLzIwMTguTEZSLkYuVVNELkgBAAAA3JlrAQIAAAAHMTA2LjQ3NgEIAAAABQAAAAExAQAAAAoxODg4NzAyOTgyAwAAAAMxNjACAAAABDEwMDIEAAAAATAHAAAACTcvMzEvMjAxOAgAAAAJMy8zMS8yMDE4CQAAAAEw1owROAgJ1ggkwppvNAnWCDtDSVEuTkFTREFRR1M6RlBSWC5JUV9ORVRfV09SS0lOR19DQVAuLjcvMTYvMjAxOC5MRlIuRi5VU0QuSAEAAAA3XTMAAgAAAActMjcuNTQ5AQgAAAAFAAAAATEBAAAACjE4ODc0MDIyMjcDAAAAAzE2MAIAAAAEMTMxMQQAAAABMAcAAAAJNy8xNi8yMDE4CAAAAAkzLzMxLzIwMTgJAAAAATApHJQQNQnWCHM5YBI1CdYIK0NJUS5JUVRSNTUzNTQ4MDI1LklRX1RSX0lNUExJRURfRVZfRUJJVF9GV0QBAAAA+Xj+IAIAAAAJNDEuNzc1NDI4AQYAAAAFAAAAAjU0AQAAAAYxMTMzOTYCAAAACTU1MzU0ODAyNQMAAAAJNTUzNTQ4MDI1BAAAAAMxNjAGAAAABUZhbHNlsrNJbzQJ1giB/ZVvNAnWCDhDSVEuKElOVkFMSUQgSURFTlRJRklFUikuSVFfQ0FQRVguLjcvMTYvMjAxOC5MRlIuRi5VU0QuSAUAAAAAAAAACAAAABQo</t>
  </si>
  <si>
    <t>SW52YWxpZCBJZGVudGlmaWVyKd6nfhA1CdYImBJZEjUJ1gg2Q0lRLk5BU0RBUUdTOk1HTlguSVFfVE9UQUxfREVCVC4uOS8xNS8yMDE3LkxGUi5GLlVTRC5IAQAAAE8rCQACAAAAATABCAAAAAUAAAABMQEAAAAKMTg1MTQzMjQ3NAMAAAADMTYwAgAAAAQ0MTczBAAAAAEwBwAAAAk5LzE1LzIwMTcIAAAACTYvMzAvMjAxNwkAAAABMMT/GxE1CdYIwptiEjUJ1ggrQ0lRLk5BU0RBUUdNOkNSSVMuSVFfTEFTVFNBTEVQUklDRS41LzUvMjAxNwEAAAAXagAAAgAAAAQ5LjQ1AMgwsjcICdYI3UukbzQJ1gg8Q0lRLk5BU0RBUUdNOkFSUlkuSVFfRUJJVERBX0VTVC5DWTIwMjAuNy8zMS8yMDE4LkNPTi5GLlVTRC5IAQAAAPhhAAADAAAAAACcC9U4CAnWCNRfmG80CdYIM0NJUS5OQVNEQVFHUzpNR05YLklRX1BFUklPRERBVEVfSVMuLjcvMTYvMjAxOC5MRlIuRgEAAABPKwkABQAAAAkzLzMxLzIwMTgAxP8bETUJ1gjCm2ISNQnWCC9DSVEuSVFUUjU1MzU0ODAyNS5JUV9UUl9UQVJHRVRfVE9UQUxfUkVWLi5VU0QuSAEAAAD5eP4gAgAAAAg4Ljk5MzY2OAEHAAAABQAAAAIzNwEAAAAKMTg3NzAwNTI1NwIAAAACMjgDAAAAAzE2MAQAAAABMAcAAAAIMS8xLzE5MDAGAAAACTIvMjEvMjAxOLKzSW80CdYIgf2VbzQJ1ggnQ0lRLk5BU0RBUUdNOkFGTUQuSVFfQkVUQV8yWVIuNy8xNi8yMDE4AQAAANv3DAACAAAAEi0wLjcw</t>
  </si>
  <si>
    <t>MDU0MDk5MzYzOTk2MwApHJQQNQnWCDDXXRI1CdYINUNJUS5OQVNEQVFHUzpTR0VOLklRX1RPVEFMX0VRVUlUWS5DWTIwMTcuLkxGUi5GLlVTRC5IAQAAAGGFAAACAAAABzY3Ny41NjkBCAAAAAUAAAABMQEAAAAKMTg3NDY5NjIyMAMAAAADMTYwAgAAAAQxMjc1BAAAAAEwBwAAAAk4LzIzLzIwMTgIAAAACjEyLzMxLzIwMTcJAAAAATDE/xsRNQnWCMT/GxE1CdYIP0NJUS5OQVNEQVFHUzpBVE5YLklRX05FVF9XT1JLSU5HX0NBUC4xOTkyLjcvMzEvMjAxOC5MRlIuRi5VU0QuSAEAAADcmWsBAgAAAAYtNC44OTIBCAAAAAUAAAABMQEAAAAKMTg0MjQ5MDI3MwMAAAADMTYwAgAAAAQxMzExBAAAAAEwBwAAAAk3LzMxLzIwMTgIAAAACjEyLzMxLzIwMTQJAAAAATDWjBE4CAnWCCTCmm80CdYIPUNJUS5OQVNEQVFHUzpCR05FLklRX1JFVkVOVUVfRVNULkNZMjAxOS43LzE2LzIwMTguQ09OLkYuVVNELkgBAAAA4OTdBgIAAAAJMTIyLjcwNDE0AQ4AAAAFAAAAAjExAQAAAAEwAgAAAAoxMDAzMzI2MjcyAwAAAAYxMDAxODAEAAAAATIGAAAAATAHAAAAAzE2MAgAAAABMAkAAAABMQoAAAABMAsAAAALMTEwMzI3ODkxNTAMAAAAATcNAAAACTcvMTcvMjAxOBAAAAAJNy8xNi8yMDE4xP8bETUJ1ghoYGcSNQnWCC9DSVEuSVFUUjQxMzk1MzY2MS5JUV9UUl9JTVBMSUVEX0VWX0ZJTkFMLi5VU0QuSAEAAAB9bqwYAgAAAAM3</t>
  </si>
  <si>
    <t>ODABBgAAAAUAAAACNTQBAAAABjEwMjA0NQIAAAAJNDEzOTUzNjYxAwAAAAk0MTM5NTc2NDAEAAAAAzE2MAYAAAAFRmFsc2Wys0lvNAnWCIH9lW80CdYIN0NJUS5OQVNEQVFHUzpNUlNOLklRX1BSRUZfRVFVSVRZLi45LzE1LzIwMTcuTEZSLkYuVVNELkgBAAAA5sUYAAIAAAAFOTQuNDUBCAAAAAUAAAABMQEAAAAKMTg1MzM1NDA1NgMAAAADMTYwAgAAAAQxMDA1BAAAAAEwBwAAAAk5LzE1LzIwMTcIAAAACTYvMzAvMjAxNwkAAAABMCkclBA1CdYIczlgEjUJ1ghCQ0lRLk5BU0RBUUdTOk1SU04uSVFfVE9UQUxfUkVWXzNZUl9BTk5fQ0FHUi4uNy8xNi8yMDE4LkxGUi5GLlVTRC5IAQAAAObFGAADAAAAAAApHJQQNQnWCHM5YBI1CdYIPUNJUS5OQVNEQVFHTTpMUFRYLklRX1JFVkVOVUVfRVNULkNZMjAyMC43LzE2LzIwMTguQ09OLkYuVVNELkgBAAAADDYJBwIAAAABMAEOAAAABQAAAAIxMQEAAAABMAIAAAAKMTAwMzYzOTU1NwMAAAAGMTAwMTgwBAAAAAEyBgAAAAEwBwAAAAMxNjAIAAAAATAJAAAAATEKAAAAATALAAAACzEwODgyMDIwNTA3DAAAAAE3DQAAAAk3LzE3LzIwMTgQAAAACTcvMTYvMjAxOCkclBA1CdYIMNddEjUJ1gg3Q0lRLk5BU0RBUUdNOk5MTksuSVFfUFJFRl9FUVVJVFkuLjcvMTYvMjAxOC5MRlIuRi5VU0QuSAEAAACVe4wAAwAAAAAAKRyUEDUJ1gjkdFsSNQnWCCdDSVEuTkFTREFRR1M6</t>
  </si>
  <si>
    <t>R1RIWC5JUV9QRVJJT0REQVRFX0lTLjEwMDABAAAAZTRpCAUAAAAKMTIvMzEvMjAxNwCcC9U4CAnWCCTCmm80CdYII0NJUS5JUVRSNDA5OTUxODg2LklRX1RSX1RPVEFMX1NUT0NLAQAAAI5ebxgCAAAAATUBBgAAAAUAAAACNTQBAAAABjEwMTA1NwIAAAAJNDA5OTUxODg2AwAAAAk0MDk5NTE5MzYEAAAAAzE2MAYAAAAFRmFsc2UMbRAONQnWCMDbgg41CdYII0NJUS5JUVRSNDI0MzQyMDQ2LklRX1RSX1RPVEFMX1NUT0NLAQAAAB7yShkCAAAAATMBBgAAAAUAAAACNTQBAAAABjEwMTA1NwIAAAAJNDI0MzQyMDQ2AwAAAAk0MjQzNDI2NTgEAAAAAzE2MAYAAAAFRmFsc2UMbRAONQnWCMDbgg41CdYIOUNJUS5OQVNEQVFHTTpDUklTLklRX1RPVEFMX1JFVi4yMDAwLjcvMzEvMjAxOC5MRlIuRi5VU0QuSAEAAAAXagAAAgAAAAYxMC4yMzUBCAAAAAUAAAABMQEAAAAKMTg4NjI0NzQyMAMAAAADMTYwAgAAAAIyOAQAAAABMAcAAAAJNy8zMS8yMDE4CAAAAAkzLzMxLzIwMTgJAAAAATDIMLI3CAnWCN1LpG80CdYIPkNJUS5OQVNEQVFHUzpDVE1YLklRX1RPVEFMX0VRVUlUWS5DWTIwMTcuNy8xNi8yMDE4LkxGUi5GLlVTRC5IAQAAANw4mwMCAAAABjY5Ljg5NgEIAAAABQAAAAExAQAAAAoxODc3MzE2NzY5AwAAAAMxNjACAAAABDEyNzUEAAAAATAHAAAACTcvMTYvMjAxOAgAAAAKMTIvMzEvMjAxNwkAAAABMMT/GxE1</t>
  </si>
  <si>
    <t>CdYIwptiEjUJ1gg2Q0lRLk5BU0RBUUNNOkNLUFQuSVFfVE9UQUxfREVCVC4uNy8xNi8yMDE4LkxGUi5GLlVTRC5IAQAAALhRFhECAAAAATABCAAAAAUAAAABMQEAAAAKMTg4ODAwNzIyMwMAAAADMTYwAgAAAAQ0MTczBAAAAAEwBwAAAAk3LzE2LzIwMTgIAAAACTMvMzEvMjAxOAkAAAABMCkclBA1CdYIMNddEjUJ1gg5Q0lRLk5BU0RBUUdTOlBCWUkuSVFfRUJJVERBX01BUkdJTi4uNy8xNi8yMDE4LkxGUi5GLlVTRC5IAQAAAAJqrAcCAAAACS0yNTMuNDAxNwEIAAAABQAAAAExAQAAAAoxODg4NjY3NzQzAwAAAAMxNjACAAAABDQwNDcEAAAAATAHAAAACTcvMTYvMjAxOAgAAAAJMy8zMS8yMDE4CQAAAAEwxP8bETUJ1ggS/mQSNQnWCDxDSVEuTkFTREFRR1M6Q0FMQS5JUV9UT1RBTF9FUVVJVFkuMTk5Mi43LzMxLzIwMTguTEZSLkYuVVNELkgBAAAApSeBBgIAAAAGNjcuMjY4AQgAAAAFAAAAATEBAAAACjE4NDA5ODI2NDYDAAAAAzE2MAIAAAAEMTI3NQQAAAABMAcAAAAJNy8zMS8yMDE4CAAAAAkzLzMxLzIwMTYJAAAAATDIMLI3CAnWCN1LpG80CdYIMkNJUS5OQVNEQVFHUzpBRFhTLklRX0VCSVREQS4uNy8xNi8yMDE4LkxGUi5GLlVTRC5IAQAAAJ7seAACAAAACi05Mi42NzgzMzIBCAAAAAUAAAABMQEAAAAKMTg5Mjc4ODU0OAMAAAADMTYwAgAAAAQ0MDUxBAAAAAEwBwAAAAk3LzE2LzIwMTgIAAAACTQv</t>
  </si>
  <si>
    <t>MzAvMjAxOAkAAAABMCkclBA1CdYI5HRbEjUJ1gg9Q0lRLk5BU0RBUUdTOkVQWk0uSVFfRUJJVERBX01BUkdJTi4yMDAwLjcvMzEvMjAxOC5MRlIuRi5VU0QuSAEAAAADJj0DAwAAAAJOTQEIAAAABQAAAAExAQAAAAoxODg3MjQ2MDc3AwAAAAMxNjACAAAABDQwNDcEAAAAATAHAAAACTcvMzEvMjAxOAgAAAAJMy8zMS8yMDE4CQAAAAEw1owROAgJ1ghzJJ1vNAnWCCJDSVEuSVFUUjI0NTgzMTAwNy5JUV9UUl9QQ1RfU09VR0hUAQAAAF8Vpw4CAAAAAzEwMACys0lvNAnWCIH9lW80CdYIK0NJUS5JUVRSMzA3ODYzOTg0LklRX1RSX0lNUExJRURfRVZfRUJJVF9GV0QBAAAAsKFZEgIAAAAAAFjPEg41CdYIwNuCDjUJ1ggkQ0lRLjAuSVFfVFJfVEFSR0VUX0VCSVREQV9FU1QuLlVTRC5IBQAAAAAAAAAIAAAAGChJbnZhbGlkIFRyYW5zYWN0aW9uIElkKUlTR280CdYIB+LwgTQJ1gg1Q0lRLk5BU0RBUUdNOkFSUlkuSVFfQ0FQRVguMjAwMC43LzMxLzIwMTguTEZSLkYuVVNELkgBAAAA+GEAAAIAAAAGLTEuMzM1AQgAAAAFAAAAATEBAAAACjE4ODg0NzA2NzYDAAAAAzE2MAIAAAAEMjAyMQQAAAABMAcAAAAJNy8zMS8yMDE4CAAAAAkzLzMxLzIwMTgJAAAAATCcC9U4CAnWCNRfmG80CdYIOENJUS5OQVNEQVFDTTpaSU9QLklRX0VCSVREQS5DWTIwMTYuNy8zMS8yMDE4LkxGUi5GLlVTRC5IAQAAALNRsgACAAAACC0x</t>
  </si>
  <si>
    <t>NjUuMDE3AQgAAAAFAAAAATEBAAAACjE4NzcyMDQ0MTYDAAAAAzE2MAIAAAAENDA1MQQAAAABMAcAAAAJNy8zMS8yMDE4CAAAAAoxMi8zMS8yMDE2CQAAAAEw1owROAgJ1gjDhp9vNAnWCBpDSVEuLklRX0JFVEFfMVlSLjcvMzEvMjAxOAUAAAABAAAACAAAABQoSW52YWxpZCBJZGVudGlmaWVyKZYkMEc0CdYIliQwRzQJ1gg8Q0lRLk5BU0RBUUNNOk1URU0uSVFfRUJJVERBX0VTVC5DWTIwMTguNy8zMS8yMDE4LkNPTi5GLlVTRC5IAQAAAJmbqQEDAAAAAADIMLI3CAnWCBnpoW80CdYIL0NJUS5OQVNEQVFHUzpTR0VOLklRX0dST1NTX01BUkdJTi4uLkxGUi5GLlVTRC5IAQAAAGGFAAACAAAABjEuOTU3NQEIAAAABQAAAAExAQAAAAoxODk3MjMzNTE4AwAAAAMxNjACAAAABDQwNzQEAAAAATAHAAAACTgvMjMvMjAxOAgAAAAJNi8zMC8yMDE4CQAAAAEwRp0ZETUJ1ghGnRkRNQnWCC9DSVEuSVFUUjI2MzcxODY0Ny5JUV9UUl9JTVBMSUVEX0VWX0ZJTkFMLi5VU0QuSAEAAAD3BrgPAgAAAAAAsrNJbzQJ1gg1m5NvNAnWCCFDSVEuSVFUUjQwMzc5MTc2Ny5JUV9UUl9CVVlFUk5BTUUBAAAAl18RGAMAAAATQ2VsZ2VuZSBDb3Jwb3JhdGlvbgBYzxIONQnWCMDbgg41CdYIJ0NJUS5OQVNEQVFDTTpTUk5FLklRX0JFVEFfMllSLjcvMzEvMjAxOAEAAABJQ5QDAgAAABAzLjU2NzAzNjE4NjY1NTg0ANaMETgICdYIcySd</t>
  </si>
  <si>
    <t>bzQJ1ggfQ0lRLjAuSVFfVFJfVE9UQUxfR1JPU1NfVFYuLlVTRAUAAAAAAAAACAAAABgoSW52YWxpZCBUcmFuc2FjdGlvbiBJZClJU0dvNAnWCAfi8IE0CdYIHkNJUS5JUTQyNjEzNy5JUV9DT01QQU5ZX1RJQ0tFUgEAAACZgAYAAwAAAApFTlhUUEE6SVBIAAxtEA41CdYINu6VDjUJ1ggpQ0lRLklRMzYxODM4MTkuSVFfTEFTVFNBTEVQUklDRS43LzMxLzIwMTgBAAAACx8oAgIAAAAEMi4yMQBJU0dvNAnWCIH9lW80CdYIJ0NJUS5OQVNEQVFHTTpJTU1VLklRX0JFVEFfNVlSLjcvMTYvMjAxOAEAAAAgQwQAAgAAABAxLjc0MzU1MzA2NTc5MDUzAMT/GxE1CdYIEv5kEjUJ1ggxQ0lRLk5BU0RBUUdTOkJHTkUuSVFfRUFSTklOR19DTy4xOTk2Li5MRlIuRi5VU0QuSAEAAADg5N0GAgAAAAgtMTg0LjM5NQEIAAAABQAAAAExAQAAAAoxODk5OTAwNjE4AwAAAAMxNjACAAAAATcEAAAAATAHAAAACTgvMjMvMjAxOAgAAAAJNi8zMC8yMDE3CQAAAAEwnAvVOAgJ1gicC9U4CAnWCDtDSVEuTkFTREFRR1M6QURYUy5JUV9UT1RBTF9SRVYuQ1kyMDE2LjcvMTYvMjAxOC5MRlIuRi5VU0QuSAEAAACe7HgAAgAAAAg3LjUzNTY5OAEIAAAABQAAAAExAQAAAAoxODc4MDEyNDI5AwAAAAMxNjACAAAAAjI4BAAAAAEwBwAAAAk3LzE2LzIwMTgIAAAACTEvMzEvMjAxNwkAAAABMCkclBA1CdYI5HRbEjUJ1gg8Q0lRLk5BU0RBUUdT</t>
  </si>
  <si>
    <t>OkNBTEEuSVFfRUFSTklOR19DTy5DWTIwMTYuNy8zMS8yMDE4LkxGUi5GLlVTRC5IAQAAAKUngQYCAAAABy0zOC4wMDQBCAAAAAUAAAABMQEAAAAKMTg3Nzk1NTYwMQMAAAADMTYwAgAAAAE3BAAAAAEwBwAAAAk3LzMxLzIwMTgIAAAACjEyLzMxLzIwMTYJAAAAATDIMLI3CAnWCN1LpG80CdYIOUNJUS5OQVNEQVFDTTpaSU9QLklRX1RPVEFMX0RFQlQuMjAwMC41LzUvMjAxNy5MRlIuRi5VU0QuSAEAAACzUbIAAgAAAAEwAQgAAAAFAAAAATEBAAAACjE4MzkzNDExOTQDAAAAAzE2MAIAAAAENDE3MwQAAAABMAcAAAAINS81LzIwMTcIAAAACTMvMzEvMjAxNwkAAAABMNaMETgICdYIw4afbzQJ1ggdQ0lRLk5BU0RBUUdNOkZBVEUuSVFfRVhDSEFOR0UBAAAAaDFXAgMAAAAITmFzZGFxR00A1owROAgJ1ggiu+mBNAnWCCNDSVEuSVFUUjUzMzM4NTc0NC5JUV9UUl9UT1RBTF9TVE9DSwEAAAAQ0sofAgAAAAAADG0QDjUJ1gjA24IONQnWCC5DSVEuTkFTREFRR1M6U0dFTi5JUV9FQklUX01BUkdJTi4uLkxGUi5GLlVTRC5IAQAAAGGFAAACAAAACC0zMy40OTU4AQgAAAAFAAAAATEBAAAACjE4OTcyMzM1MTgDAAAAAzE2MAIAAAAENDA1MwQAAAABMAcAAAAJOC8yMy8yMDE4CAAAAAk2LzMwLzIwMTgJAAAAATBGnRkRNQnWCEadGRE1CdYINUNJUS5OQVNEQVFHTTpDUklTLklRX0NBUEVYLjE5OTIuNy8zMS8yMDE4LkxG</t>
  </si>
  <si>
    <t>Ui5GLlVTRC5IAQAAABdqAAACAAAACS0wLjA0MTA0MwEIAAAABQAAAAExAQAAAAoxODQwNTAxMDk5AwAAAAMxNjACAAAABDIwMjEEAAAAATAHAAAACTcvMzEvMjAxOAgAAAAJMy8zMS8yMDE2CQAAAAEwyDCyNwgJ1gjdS6RvNAnWCD5DSVEuTkFTREFRR1M6QkdORS5JUV9UT1RBTF9FUVVJVFkuQ1kyMDE2LjcvMzEvMjAxOC5MRlIuRi5VU0QuSAEAAADg5N0GAgAAAAczNTIuOTA3AQgAAAAFAAAAATEBAAAACjE4OTk4ODEyMDQDAAAAAzE2MAIAAAAEMTI3NQQAAAABMAcAAAAJNy8zMS8yMDE4CAAAAAoxMi8zMS8yMDE2CQAAAAEwnAvVOAgJ1giB/ZVvNAnWCCRDSVEuTkFTREFRR1M6VFNSTy5JUV9FRkZFQ1RfVEFYX1JBVEUBAAAAaNZYBgMAAAACTk0BCAAAAAUAAAABMQEAAAAKMTg5ODQ5MTM0NAMAAAADMTYwAgAAAAQ0Mzc2BAAAAAEwBwAAAAk4LzIzLzIwMTgIAAAACTYvMzAvMjAxOAkAAAABMJwL1TgICdYID2WMDjUJ1ggoQ0lRLk5BU0RBUUdNOk5MTksuSVFfVEVWLjcvMTYvMjAxOC5VU0QuSAEAAACVe4wAAgAAAAkzMC4yNDM2NTgBBgAAAAUAAAABMQEAAAAKMTg4ODM1MjQ2MwMAAAADMTYwAgAAAAYxMDAwNjAEAAAAATAHAAAACTcvMTYvMjAxOCkclBA1CdYI5HRbEjUJ1ggyQ0lRLk5BU0RBUUdTOkNUTVguSVFfRUJJVERBLi43LzE2LzIwMTguTEZSLkYuVVNELkgBAAAA3DibAwIAAAAHLTUxLjcxMwEI</t>
  </si>
  <si>
    <t>AAAABQAAAAExAQAAAAoxODg3Njc1MzE2AwAAAAMxNjACAAAABDQwNTEEAAAAATAHAAAACTcvMTYvMjAxOAgAAAAJMy8zMS8yMDE4CQAAAAEwxP8bETUJ1gjCm2ISNQnWCD9DSVEuTkFTREFRR1M6RlBSWC5JUV9FQklUREFfNVlSX0FOTl9DQUdSLi43LzE2LzIwMTguTEZSLkYuVVNELkgBAAAAN10zAAMAAAACTk0BCAAAAAUAAAABMQEAAAAKMTg4NzQwMjIyNwMAAAADMTYwAgAAAAQ0MjM1BAAAAAEwBwAAAAk3LzE2LzIwMTgIAAAACTMvMzEvMjAxOAkAAAABMCkclBA1CdYIczlgEjUJ1gg1Q0lRLk5BU0RBUUdNOlhOQ1IuSVFfVE9UQUxfUkVWLi43LzE2LzIwMTguTEZSLkYuVVNELkgBAAAAploLAAIAAAAGMzIuMjExAQgAAAAFAAAAATEBAAAACjE4ODcxMjU4NTUDAAAAAzE2MAIAAAACMjgEAAAAATAHAAAACTcvMTYvMjAxOAgAAAAJMy8zMS8yMDE4CQAAAAEwxP8bETUJ1ggS/mQSNQnWCCVDSVEuTkFTREFRR1M6Sk5DRS5JUV9GSVJTVFBSSUNJTkdEQVRFAQAAAOJ5ng0FAAAACTEvMjcvMjAxNwApHJQQNQnWCOR0WxI1CdYIKUNJUS5JUTM2MTgzODQzLklRX0xBU1RTQUxFUFJJQ0UuNy8zMS8yMDE4AQAAACMfKAICAAAABDMuMDgASVNHbzQJ1giB/ZVvNAnWCDhDSVEuTkFTREFRR1M6VFNSTy5JUV9FQklUREEuQ1kyMDE2LjcvMTYvMjAxOC5MRlIuRi5VU0QuSAEAAABo1lgGAgAAAAgtMzM1LjY0OQEIAAAA</t>
  </si>
  <si>
    <t>BQAAAAExAQAAAAoxODc3MjI2Mjg0AwAAAAMxNjACAAAABDQwNTEEAAAAATAHAAAACTcvMTYvMjAxOAgAAAAKMTIvMzEvMjAxNgkAAAABMMT/GxE1CdYIEv5kEjUJ1ggxQ0lRLk5BU0RBUUdNOklNTVUuSVFfQ0FQRVguLjcvMTYvMjAxOC5MRlIuRi5VU0QuSAEAAAAgQwQAAgAAAAktNS45Mzc2MDcBCAAAAAUAAAABMQEAAAAKMTg4ODUyMzM4NAMAAAADMTYwAgAAAAQyMDIxBAAAAAEwBwAAAAk3LzE2LzIwMTgIAAAACTMvMzEvMjAxOAkAAAABMMT/GxE1CdYIEv5kEjUJ1gg4Q0lRLk5BU0RBUUdTOlRTUk8uSVFfRUJJVERBLkNZMjAxNy43LzMxLzIwMTguTEZSLkYuVVNELkgBAAAAaNZYBgIAAAAILTQ1OS45ODkBCAAAAAUAAAABMQEAAAAKMTg3NzIyNjMwMQMAAAADMTYwAgAAAAQ0MDUxBAAAAAEwBwAAAAk3LzMxLzIwMTgIAAAACjEyLzMxLzIwMTcJAAAAATCcC9U4CAnWCCTCmm80CdYIKUNJUS4uSVFfRUJJVERBLjE5OTIuNy8zMS8yMDE4LkxGUi5GLlVTRC5IBQAAAAEAAAAIAAAAFChJbnZhbGlkIElkZW50aWZpZXIp9YQyRzQJ1gj1hDJHNAnWCD1DSVEuTkFTREFRR1M6QkdORS5JUV9SRVZFTlVFX0VTVC5DWTIwMTkuNy8zMS8yMDE4LkNPTi5GLlVTRC5IAQAAAODk3QYCAAAACTEzMi44MjM1NwEOAAAABQAAAAIxMQEAAAABMAIAAAAKMTAwMzMyNjI3MgMAAAAGMTAwMTgwBAAAAAEyBgAAAAEwBwAAAAMx</t>
  </si>
  <si>
    <t>NjAIAAAAATAJAAAAATEKAAAAATALAAAACzEwOTc3NzIzODk2DAAAAAE3DQAAAAg4LzEvMjAxOBAAAAAJNy8zMS8yMDE4nAvVOAgJ1giB/ZVvNAnWCCtDSVEuTllTRTpCSFZOLklRX1RPVEFMX0RFQlQuLjUvMy8yMDE3Li4uVVNEAQAAANxnIA8CAAAABTQuODExAQgAAAAFAAAAATEBAAAACjE4MzU3ODk3MTADAAAAAzE2MAIAAAAENDE3MwQAAAABMAcAAAAINS8zLzIwMTcIAAAACjEyLzMxLzIwMTYJAAAAATCys0lvNAnWCK+o1oE0CdYIIUNJUS5JUTExODA0NDE3Mi5JUV9DT01QQU5ZX1RJQ0tFUgEAAAAMNgkHAwAAAA1OYXNkYXFHTTpMUFRYAAxtEA41CdYINu6VDjUJ1gg6Q0lRLk5BU0RBUUdNOkFSUUwuSVFfUFJFRl9FUVVJVFkuMjAwMC41LzUvMjAxNy5MRlIuRi5VU0QuSAEAAAD2YQAAAwAAAAAA1owROAgJ1ghzJJ1vNAnWCEJDSVEuTkFTREFRR1M6QkdORS5JUV9UT1RBTF9SRVZfNVlSX0FOTl9DQUdSLi43LzE2LzIwMTguTEZSLkYuVVNELkgBAAAA4OTdBgMAAAAAAMT/GxE1CdYIaGBnEjUJ1gg5Q0lRLk5BU0RBUUNNOk1URU0uSVFfTklfTUFSR0lOLjIwMDAuNy8zMS8yMDE4LkxGUi5GLlVTRC5IAQAAAJmbqQEDAAAAAk5NAQgAAAAFAAAAATEBAAAACjE4ODg3MzMwMDQDAAAAAzE2MAIAAAAENDA5NAQAAAABMAcAAAAJNy8zMS8yMDE4CAAAAAkzLzMxLzIwMTgJAAAAATDIMLI3CAnWCBnpoW80CdYI</t>
  </si>
  <si>
    <t>MkNJUS5OQVNEQVFHUzpCR05FLklRX1RPVEFMX1JFVi5DWTIwMTYuLkxGUi5GLlVTRC5IAQAAAODk3QYCAAAABDEuMDcBCAAAAAUAAAABMQEAAAAKMTg5OTg4MTIwNAMAAAADMTYwAgAAAAIyOAQAAAABMAcAAAAJOC8yMy8yMDE4CAAAAAoxMi8zMS8yMDE2CQAAAAEwnAvVOAgJ1gicC9U4CAnWCClDSVEuSVFUUjI0NTgzMTAwNy5JUV9UUl9JTVBMSUVEX0VRX05JX0xUTQEAAABfFacOAwAAAAJOTQCys0lvNAnWCIH9lW80CdYIM0NJUS5OQVNEQVFHUzpCR05FLklRX0VCSVREQV9FU1QuQ1kyMDE5Li5DT04uRi5VU0QuSAEAAADg5N0GAgAAAAotNDk3LjA0MDc3AQ4AAAAFAAAAAjExAQAAAAEwAgAAAAoxMDAzMzI2MjcyAwAAAAYxMDAxODcEAAAAATIGAAAAATAHAAAAAzE2MAgAAAABMAkAAAABMQoAAAABMAsAAAALMTEwNTExMjAyODIMAAAAATcNAAAACTgvMjQvMjAxOBAAAAAJOC8yMy8yMDE4nAvVOAgJ1gicC9U4CAnWCD9DSVEuTkFTREFRR1M6UEJZSS5JUV9FQklUREFfMllSX0FOTl9DQUdSLi43LzE2LzIwMTguTEZSLkYuVVNELkgBAAAAAmqsBwMAAAACTk0BCAAAAAUAAAABMQEAAAAKMTg4ODY2Nzc0MwMAAAADMTYwAgAAAAQ0MjA5BAAAAAEwBwAAAAk3LzE2LzIwMTgIAAAACTMvMzEvMjAxOAkAAAABMMT/GxE1CdYIEv5kEjUJ1gghQ0lRLk5BU0RBUUdTOlBCWUkuSVFfQ09NUEFOWV9OQU1FAQAAAAJq</t>
  </si>
  <si>
    <t>rAcDAAAAGFB1bWEgQmlvdGVjaG5vbG9neSwgSW5jLgBGnRkRNQnWCBL+ZBI1CdYILENJUS4uSVFfVE9UQUxfUkVWLjE5OTIuNy8zMS8yMDE4LkxGUi5GLlVTRC5IBQAAAAEAAAAIAAAAFChJbnZhbGlkIElkZW50aWZpZXIpliQwRzQJ1giWJDBHNAnWCDhDSVEuTkFTREFRR1M6VFNSTy5JUV9FQklUREEuQ1kyMDE3LjcvMTYvMjAxOC5MRlIuRi5VU0QuSAEAAABo1lgGAgAAAAgtNDU5Ljk4OQEIAAAABQAAAAExAQAAAAoxODc3MjI2MzAxAwAAAAMxNjACAAAABDQwNTEEAAAAATAHAAAACTcvMTYvMjAxOAgAAAAKMTIvMzEvMjAxNwkAAAABMMT/GxE1CdYIEv5kEjUJ1ggeQ0lRLkFTWDpJTVUuSVFfRUZGRUNUX1RBWF9SQVRFAQAAAJiTqQADAAAAAAApHJQQNQnWCDDXXRI1CdYIJENJUS5YVFJBOk1PUi5JUV9CVVNJTkVTU19ERVNDUklQVElPTgEAAADfEQIAAwAAAOwLTW9ycGhvU3lzIEFHLCB0b2dldGhlciB3aXRoIGl0cyBzdWJzaWRpYXJpZXMsIGVuZ2FnZXMgaW4gdGhlIHJlc2VhcmNoLCBkZXZlbG9wbWVudCwgYW5kIG9wdGltaXphdGlvbiBvZiB0aGVyYXBldXRpYyBhbnRpYm9keSBkcnVnIGNhbmRpZGF0ZXMgaW4gcGFydG5lcnNoaXAgd2l0aCBwaGFybWFjZXV0aWNhbCBhbmQgYmlvdGVjaG5vbG9neSBjb21wYW5pZXMuIFRoZSBjb21wYW55LCB0b2dldGhlciB3aXRoIGl0cyBwaGFybWFjZXV0aWNh</t>
  </si>
  <si>
    <t>bCBwYXJ0bmVycywgZGV2ZWxvcHMgYSB0aGVyYXBldXRpYyBwaXBlbGluZSBvZiBhcHByb3hpbWF0ZWx5IDEwMCBkcnVncyBmb3IgdGhlIHRyZWF0bWVudCBvZiBjYW5jZXIsIEFsemhlaW1lcidzIGRpc2Vhc2UsIGluZmVjdGlvdXMgZGlzZWFzZXMsIGNhcmRpb3Zhc2N1bGFyIGR5c2Z1bmN0aW9uLCBhbmQgaW5mbGFtbWF0aW9uLiBJdHMgcHJvZHVjdCBwaXBlbGluZSBpbmNsdWRlcyBNT1IyMDgsIGEgaHVtYW5pemVkIG1vbm9jbG9uYWwgYW50aWJvZHkgdGhhdCB0YXJnZXRzIHRoZSBhbnRpZ2VuIENEMTksIHdoaWNoIGlzIGluIFBoYXNlIElJSSBjbGluaWNhbCB0cmlhbCBmb3IgdGhlIHRyZWF0bWVudCBvZiBCIGNlbGwgbWFsaWduYW5jaWVzOyBhbmQgTU9SMjAyLCBhIGh1bWFuIG1vbm9jbG9uYWwgSHVDQUwgYW50aWJvZHkgZGlyZWN0ZWQgYWdhaW5zdCBDRDM4LCB3aGljaCBpcyBpbiBQaGFzZSBJSSB0cmlhbCBmb3IgdGhlIHRyZWF0bWVudCBvZiBtdWx0aXBsZSBteWVsb21hIGFuZCBvdGhlciBjYW5jZXJzLiBUaGUgY29tcGFueeKAmXMgcHJvZHVjdCBwaXBlbGluZSBhbHNvIGNvbXByaXNlcyBNT1IxMDMvR1NLMzE5NjE2NSwgYSBodW1hbiBIdUNBTCBhbnRpYm9keSBkaXJlY3RlZCBhZ2FpbnN0IGdyYW51bG9jeXRlLW1hY3JvcGhhZ2UgY29sb255LXN0aW11bGF0aW5nIGZhY3RvciB0aGF0</t>
  </si>
  <si>
    <t>IGlzIGluIFBoYXNlIElJIGNsaW5pY2FsIHRyaWFsIGZvciB0cmVhdGluZyByaGV1bWF0b2lkIGFydGhyaXRpcyBhbmQgaW5mbGFtbWF0b3J5IGhhbmQgb3N0ZW9hcnRocml0aXMuIEluIGFkZGl0aW9uLCBpdHMgcHJvZHVjdCBwaXBlbGluZSBpbmNsdWRlcyBNT1IxMDYsIGEgaHVtYW4gbW9ub2Nsb25hbCBhbnRpYm9keSBkaXJlY3RlZCBhZ2FpbnN0IElMLTE3Qywgd2hpY2ggaXMgaW4gUGhhc2UgSSBjbGluaWNhbCB0cmlhbCBmb3IgdGhlIHRyZWF0bWVudCBvZiBhdG9waWMgZGVybWF0aXRpczsgYW5kIE1PUjEwNyB0aGF0IGlzIGluIHByZWNsaW5pY2FsIGludmVzdGlnYXRpb24gd2l0aCBhIGZvY3VzIG9uIG9uY29sb2d5IGluZGljYXRpb25zLiBNb3JwaG9TeXMgQUcgaGFzIGEgcmVnaW9uYWwgbGljZW5zaW5nIGFncmVlbWVudCB3aXRoIEktTWFiIEJpb3BoYXJtYSB0byBkZXZlbG9wIGFuZCBjb21tZXJjaWFsaXplIE1PUjIwMiBpbiBDaGluYSwgVGFpd2FuLCBIb25nIEtvbmcsIGFuZCBNYWNhby4gVGhlIGNvbXBhbnkgd2FzIGZvdW5kZWQgaW4gMTk5MiBhbmQgaXMgaGVhZHF1YXJ0ZXJlZCBpbiBQbGFuZWdnLCBHZXJtYW55LgCcC9U4CAnWCNRfmG80CdYIP0NJUS5OQVNEQVFHUzpDVE1YLklRX0VCSVREQV81WVJfQU5OX0NBR1IuLjcvMTYvMjAxOC5MRlIuRi5VU0QuSAEAAADcOJsDAwAAAAAA</t>
  </si>
  <si>
    <t>xP8bETUJ1gjCm2ISNQnWCDZDSVEuTkFTREFRR006TkxOSy5JUV9FQVJOSU5HX0NPLi43LzE2LzIwMTguTEZSLkYuVVNELkgBAAAAlXuMAAIAAAAHLTY5LjM0OAEIAAAABQAAAAExAQAAAAoxODg4MzU0MjA3AwAAAAMxNjACAAAAATcEAAAAATAHAAAACTcvMTYvMjAxOAgAAAAJMy8zMS8yMDE4CQAAAAEwKRyUEDUJ1gjkdFsSNQnWCCdDSVEuTkFTREFRR006TkxOSy5JUV9CRVRBXzFZUi43LzE2LzIwMTgBAAAAlXuMAAIAAAARMC45MDIyMzUxNzg1MDY5ODEAKRyUEDUJ1gjkdFsSNQnWCDxDSVEuTkFTREFRR006Q1JWUy5JUV9HUk9TU19NQVJHSU4uMjAwMC43LzMxLzIwMTguTEZSLkYuVVNELkgBAAAA9LCmEAMAAAAAANaMETgICdYIGemhbzQJ1ghBQ0lRLlhUUkE6TU9SLklRX01JTk9SSVRZX0lOVEVSRVNUX1RPVEFMLjIwMDAuNS81LzIwMTcuTEZSLkYuVVNELkgBAAAA3xECAAMAAAAAAJwL1TgICdYI1F+YbzQJ1gg5Q0lRLk5BU0RBUUdNOkZBVEUuSVFfVE9UQUxfUkVWLjIwMDAuNy8zMS8yMDE4LkxGUi5GLlVTRC5IAQAAAGgxVwICAAAABTQuMTA1AQgAAAAFAAAAATEBAAAACjE4ODg1MDA1MjcDAAAAAzE2MAIAAAACMjgEAAAAATAHAAAACTcvMzEvMjAxOAgAAAAJMy8zMS8yMDE4CQAAAAEw1owROAgJ1gjDhp9vNAnWCDxDSVEuTkFTREFRQ006WklPUC5JUV9HUk9TU19NQVJHSU4uMjAwMC43LzMxLzIw</t>
  </si>
  <si>
    <t>MTguTEZSLkYuVVNELkgBAAAAs1GyAAMAAAACTk0BCAAAAAUAAAABMQEAAAAKMTg4Nzk3MjM1OQMAAAADMTYwAgAAAAQ0MDc0BAAAAAEwBwAAAAk3LzMxLzIwMTgIAAAACTMvMzEvMjAxOAkAAAABMNaMETgICdYIw4afbzQJ1ggrQ0lRLklRVFI1NTAyNTkzOTcuSVFfVFJfSU1QTElFRF9FVl9FQklUX0ZXRAEAAADFSswgAwAAAAJOTQAMbRAONQnWCHd5gA41CdYII0NJUS5JUVRSNTYxNjA2MzY1LklRX1RSX0NMT1NFRF9EQVRFAQAAAN1ueSEFAAAACTYvMTEvMjAxOACys0lvNAnWCDWbk280CdYIIENJUS5JUVRSNTQ3NDIzNjgwLklRX1RSX0VBUk5PVVRTAQAAAMAFoSACAAAAAAAMbRAONQnWCMDbgg41CdYIPENJUS5OQVNEQVFHUzpUU1JPLklRX0VCSVREQV9FU1QuQ1kyMDE4LjcvMzEvMjAxOC5DT04uRi5VU0QuSAEAAABo1lgGAgAAAAotNTE1LjcwMjIyAQ4AAAAFAAAAAjExAQAAAAEwAgAAAAoxMDAxNTgwMzQwAwAAAAYxMDAxODcEAAAAATIGAAAAATAHAAAAAzE2MAgAAAABMAkAAAABMQoAAAABMAsAAAALMTA5NDA1MDY5NjMMAAAAATcNAAAACDgvMS8yMDE4EAAAAAk3LzMxLzIwMTicC9U4CAnWCCTCmm80CdYIRkNJUS5OQVNEQVFHUzpCR05FLklRX1RPVEFMX1JFVl8zWVJfQU5OX0NBR1IuMjAwMC43LzMxLzIwMTguTEZSLkYuVVNELkgBAAAA4OTdBgIAAAAIMTgzLjk0MjMBCAAAAAUAAAABMQEAAAAK</t>
  </si>
  <si>
    <t>MTg4NzY4ODU4OAMAAAADMTYwAgAAAAQ0MjIwBAAAAAEwBwAAAAk3LzMxLzIwMTgIAAAACTMvMzEvMjAxOAkAAAABMJwL1TgICdYI1F+YbzQJ1gg8Q0lRLk5BU0RBUUdTOk5LLklRX0NBU0hfU1RfSU5WRVNULjIwMDAuNy8zMS8yMDE4LkxGUi5GLlVTRC5IAQAAAA19oQ8CAAAABzEyMS43ODkBCAAAAAUAAAABMQEAAAAKMTg4NzExODc5MQMAAAADMTYwAgAAAAQxMDAyBAAAAAEwBwAAAAk3LzMxLzIwMTgIAAAACTMvMzEvMjAxOAkAAAABMNaMETgICdYIw4afbzQJ1ggjQ0lRLklRVFIzMDI4NjY2MjcuSVFfVFJfQ0xPU0VEX0RBVEUBAAAAw2ANEgUAAAAINi8xLzIwMTUAWM8SDjUJ1ggMPoUONQnWCENDSVEuKElOVkFMSUQgSURFTlRJRklFUikuSVFfVE9UQUxfRVFVSVRZLjE5OTYuNy8zMS8yMDE4LkxGUi5GLlVTRC5IBQAAAAAAAAAIAAAAFChJbnZhbGlkIElkZW50aWZpZXIpyDCyNwgJ1gjtNrBvNAnWCDpDSVEuT1RDUEs6TUJWWC5JUV9SRVZFTlVFX0VTVC5DWTIwMTguNy8xNi8yMDE4LkNPTi5GLlVTRC5IAQAAANhEiwIDAAAAAADep34QNQnWCJgSWRI1CdYIPkNJUS5OQVNEQVFHUzpNR05YLklRX1RPVEFMX0VRVUlUWS5DWTIwMTYuNy8xNi8yMDE4LkxGUi5GLlVTRC5IAQAAAE8rCQACAAAABzI2OC43NTEBCAAAAAUAAAABMQEAAAAKMTg3NjEzNTE1NwMAAAADMTYwAgAAAAQxMjc1BAAAAAEwBwAAAAk3</t>
  </si>
  <si>
    <t>LzE2LzIwMTgIAAAACjEyLzMxLzIwMTYJAAAAATDE/xsRNQnWCMKbYhI1CdYIO0NJUS5OQVNEQVFDTTpaSU9QLklRX1RPVEFMX1JFVi5DWTIwMTcuNy8zMS8yMDE4LkxGUi5GLlVTRC5IAQAAALNRsgACAAAABTYuMzg5AQgAAAAFAAAAATEBAAAACjE4NzcyMDQ0NjYDAAAAAzE2MAIAAAACMjgEAAAAATAHAAAACTcvMzEvMjAxOAgAAAAKMTIvMzEvMjAxNwkAAAABMNaMETgICdYIw4afbzQJ1gg9Q0lRLk5BU0RBUUdNOklNTVUuSVFfRUJJVERBX01BUkdJTi4yMDAwLjcvMzEvMjAxOC5MRlIuRi5VU0QuSAEAAAAgQwQAAwAAAAJOTQEIAAAABQAAAAExAQAAAAoxODg4NTIzMzg0AwAAAAMxNjACAAAABDQwNDcEAAAAATAHAAAACTcvMzEvMjAxOAgAAAAJMy8zMS8yMDE4CQAAAAEwnAvVOAgJ1gjUX5hvNAnWCCtDSVEuSVFUUjUzMzYzOTUwMS5JUV9UUl9UT1RBTF9HUk9TU19UVi4uVVNEAQAAAE2xzh8CAAAAAAAMbRAONQnWCMDbgg41CdYIKUNJUS5OQVNEQVFHTTpDUlZTLklRX0JVU0lORVNTX0RFU0NSSVBUSU9OAQAAAPSwphADAAAAwQVDb3J2dXMgUGhhcm1hY2V1dGljYWxzLCBJbmMuLCBhIGNsaW5pY2FsIHN0YWdlIGJpb3BoYXJtYWNldXRpY2FsIGNvbXBhbnksIGZvY3VzZXMgb24gdGhlIGRldmVsb3BtZW50IGFuZCBjb21tZXJjaWFsaXphdGlvbiBvZiBpbW11bm8tb25jb2xvZ3kgdGhlcmFwaWVzIHRo</t>
  </si>
  <si>
    <t>YXQgYXJlIGRlc2lnbmVkIHRvIGhhcm5lc3MgdGhlIGltbXVuZSBzeXN0ZW0gdG8gYXR0YWNrIGNhbmNlciBjZWxscy4gSXRzIGxlYWQgcHJvZHVjdCBjYW5kaWRhdGUgaXMgQ1BJLTQ0NCwgYW4gb3JhbCwgc21hbGwgbW9sZWN1bGUgYW50YWdvbmlzdCBvZiB0aGUgQTJBIHJlY2VwdG9yIHRoYXQgaXMgaW4gUGhhc2UgSS9JYiBjbGluaWNhbCB0cmlhbCBmb3IgYWRlbm9zaW5lLCBhbiBpbW11bmUgY2hlY2twb2ludC4gVGhlIGNvbXBhbnkgaXMgYWxzbyBkZXZlbG9waW5nIGFuIGFudGktQ0Q3MyBtb25vY2xvbmFsIGFudGlib2R5IHRoYXQgaW5oaWJpdHMgdGhlIHByb2R1Y3Rpb24gb2YgYWRlbm9zaW5lOyBhbiBhbnRhZ29uaXN0IG9mIHRoZSBhZGVub3NpbmUgQTJCIHJlY2VwdG9yOyBhbmQgc21hbGwgbW9sZWN1bGUgY292YWxlbnQgaW5oaWJpdG9ycyBvZiBpbnRlcmxldWtpbi0yIGluZHVjaWJsZSBraW5hc2UuIENvcnZ1cyBQaGFybWFjZXV0aWNhbHMsIEluYy4gd2FzIGZvdW5kZWQgaW4gMjAxNCBhbmQgaXMgYmFzZWQgaW4gQnVybGluZ2FtZSwgQ2FsaWZvcm5pYS4A1owROAgJ1ggZ6aFvNAnWCCVDSVEuSVFUUjQwNzc2MDY5Mi5JUV9UUl9NQUpfTUlOX1NUQUtFAQAAADTvTRgDAAAACE1ham9yaXR5AAxtEA41CdYIDD6FDjUJ1ggxQ0lRLk5BU0RBUUdTOkpOQ0UuSVFfQ0FQRVguLjcvMTYvMjAx</t>
  </si>
  <si>
    <t>OC5MRlIuRi5VU0QuSAEAAADieZ4NAgAAAAUtOC4yNgEIAAAABQAAAAExAQAAAAoxODg4MTg2Mzc0AwAAAAMxNjACAAAABDIwMjEEAAAAATAHAAAACTcvMTYvMjAxOAgAAAAJMy8zMS8yMDE4CQAAAAEwKRyUEDUJ1giYElkSNQnWCENDSVEuTkFTREFRR1M6QU5BQi5JUV9NSU5PUklUWV9JTlRFUkVTVF9UT1RBTC4uNy8xNi8yMDE4LkxGUi5GLlVTRC5IAQAAACFMsgEDAAAAAADE/xsRNQnWCMKbYhI1CdYILkNJUS4oSU5WQUxJRCBJREVOVElGSUVSKS5JUV9QRVJJT0REQVRFX0lTLjEwMDAFAAAAAAAAAAgAAAAUKEludmFsaWQgSWRlbnRpZmllcinIMLI3CAnWCO02sG80CdYIQENJUS4oSU5WQUxJRCBJREVOVElGSUVSKS5JUV9OSV9NQVJHSU4uMjAwMC43LzMxLzIwMTguTEZSLkYuVVNELkgFAAAAAAAAAAgAAAAUKEludmFsaWQgSWRlbnRpZmllcinIMLI3CAnWCO02sG80CdYIP0NJUS5OQVNEQVFHUzpTR0VOLklRX0VCSVREQV81WVJfQU5OX0NBR1IuLjcvMTYvMjAxOC5MRlIuRi5VU0QuSAEAAABhhQAAAwAAAAJOTQEIAAAABQAAAAExAQAAAAoxODg0ODkyODUyAwAAAAMxNjACAAAABDQyMzUEAAAAATAHAAAACTcvMTYvMjAxOAgAAAAJMy8zMS8yMDE4CQAAAAEwxP8bETUJ1ghoYGcSNQnWCDxDSVEuTkFTREFRR006SU1NVS5JUV9HUk9TU19NQVJHSU4uMjAwMC43LzMxLzIwMTguTEZSLkYuVVNELkgBAAAA</t>
  </si>
  <si>
    <t>IEMEAAMAAAACTk0BCAAAAAUAAAABMQEAAAAKMTg4ODUyMzM4NAMAAAADMTYwAgAAAAQ0MDc0BAAAAAEwBwAAAAk3LzMxLzIwMTgIAAAACTMvMzEvMjAxOAkAAAABMJwL1TgICdYI1F+YbzQJ1ggjQ0lRLklRVFI0MzE4NDE1ODEuSVFfVFJfQ0xPU0VEX0RBVEUBAAAALWG9GQUAAAAJNi8yOC8yMDE3AAxtEA41CdYIDD6FDjUJ1ggnQ0lRLk5BU0RBUUdTOkJHTkUuSVFfQkVUQV8xWVIuNy8xNi8yMDE4AQAAAODk3QYCAAAAETAuOTY3MDY4NDg5NDY2NTY1AMT/GxE1CdYIaGBnEjUJ1ghCQ0lRLk5BU0RBUUNNOkNLUFQuSVFfVE9UQUxfUkVWXzNZUl9BTk5fQ0FHUi4uNy8xNi8yMDE4LkxGUi5GLlVTRC5IAQAAALhRFhEDAAAAAAApHJQQNQnWCOR0WxI1CdYIPUNJUS4oSU5WQUxJRCBJREVOVElGSUVSKS5JUV9UT1RBTF9ERUJULi45LzE1LzIwMTcuTEZSLkYuVVNELkgFAAAAAAAAAAgAAAAUKEludmFsaWQgSWRlbnRpZmllcinep34QNQnWCJgSWRI1CdYIJENJUS5OQVNEQVFHUzpNUlNOLklRX0VGRkVDVF9UQVhfUkFURQEAAADmxRgAAwAAAAAA1owROAgJ1gjji5MONQnWCDNDSVEuTkFTREFRR006QUZNRC5JUV9QRVJJT0REQVRFX0lTLi43LzE2LzIwMTguTEZSLkYBAAAA2/cMAAUAAAAJMy8zMS8yMDE4ACkclBA1CdYIMNddEjUJ1ggvQ0lRLklRVFI1NTExNjYyOTIuSVFfVFJfVEFSR0VUX1RPVEFMX1JFVi4u</t>
  </si>
  <si>
    <t>VVNELkgBAAAAVCHaIAIAAAAAAAxtEA41CdYIwNuCDjUJ1gg+Q0lRLihJTlZBTElEIElERU5USUZJRVIpLklRX0VCSVRfTUFSR0lOLi43LzE2LzIwMTguTEZSLkYuVVNELkgFAAAAAAAAAAgAAAAUKEludmFsaWQgSWRlbnRpZmllcinep34QNQnWCJgSWRI1CdYIOUNJUS5OQVNEQVFDTTpTUk5FLklRX1RPVEFMX1JFVi4xOTk2LjcvMzEvMjAxOC5MRlIuRi5VU0QuSAEAAABJQ5QDAgAAAAYxMi4wMzgBCAAAAAUAAAABMQEAAAAKMTg4Nzk4OTgyOAMAAAADMTYwAgAAAAIyOAQAAAABMAcAAAAJNy8zMS8yMDE4CAAAAAkzLzMxLzIwMTcJAAAAATDWjBE4CAnWCHMknW80CdYIH0NJUS5BU1g6SU1VLklRX0ZJUlNUUFJJQ0lOR0RBVEUBAAAAmJOpAAUAAAAIOS8yLzIwMDIAKRyUEDUJ1ggw110SNQnWCD1DSVEuTkFTREFRR006QVJRTC5JUV9SRVZFTlVFX0VTVC5DWTIwMTkuNy8zMS8yMDE4LkNPTi5GLlVTRC5IAQAAAPZhAAACAAAABDUuMjQBDgAAAAUAAAACMTEBAAAAATACAAAACjEwMDIzODE3NTUDAAAABjEwMDE4MAQAAAABMgYAAAABMAcAAAADMTYwCAAAAAEwCQAAAAExCgAAAAEwCwAAAAsxMDk0NjYyMzYyNAwAAAABNw0AAAAIOC8xLzIwMTgQAAAACTcvMzEvMjAxONaMETgICdYIcySdbzQJ1ggkQ0lRLk9UQ1BLOk1CVlguSVFfQkVUQV81WVIuNy8xNi8yMDE4AQAAANhEiwICAAAAEDEuNjY5Mzg5ODIzOTg3</t>
  </si>
  <si>
    <t>MjIAIAqBEDUJ1giYElkSNQnWCDZDSVEuTkFTREFRQ006WklPUC5JUV9FQklUREEuMTk5Ni43LzMxLzIwMTguTEZSLkYuVVNELkgBAAAAs1GyAAIAAAAILTE2Ni45MzUBCAAAAAUAAAABMQEAAAAKMTg4Nzk3MjM0OAMAAAADMTYwAgAAAAQ0MDUxBAAAAAEwBwAAAAk3LzMxLzIwMTgIAAAACTMvMzEvMjAxNwkAAAABMNaMETgICdYIw4afbzQJ1ggkQ0lRLk5BU0RBUUNNOkNLUFQuSVFfRUZGRUNUX1RBWF9SQVRFAQAAALhRFhEDAAAAAAApHJQQNQnWCOR0WxI1CdYINUNJUS5PVENQSzpOV0JPLklRX1RPVEFMX0VRVUlUWS4uNy8xNi8yMDE4LkxGUi5GLlVTRC5IAQAAAKN6FAACAAAABy02My4wMjUBCAAAAAUAAAABMQEAAAAKMTg4OTMwMjgyNAMAAAADMTYwAgAAAAQxMjc1BAAAAAEwBwAAAAk3LzE2LzIwMTgIAAAACTMvMzEvMjAxOAkAAAABMCkclBA1CdYIMNddEjUJ1gg5Q0lRLk5BU0RBUUdNOkNSSVMuSVFfVE9UQUxfUkVWLjE5OTYuNy8zMS8yMDE4LkxGUi5GLlVTRC5IAQAAABdqAAACAAAABTcuOTMyAQgAAAAFAAAAATEBAAAACjE4ODYyNDczOTUDAAAAAzE2MAIAAAACMjgEAAAAATAHAAAACTcvMzEvMjAxOAgAAAAJMy8zMS8yMDE3CQAAAAEwyDCyNwgJ1gjdS6RvNAnWCDVDSVEuTkFTREFRR006Q1JJUy5JUV9EQV9DRi4yMDAwLjcvMzEvMjAxOC5MRlIuRi5VU0QuSAEAAAAXagAAAgAAAAUwLjIzMwEI</t>
  </si>
  <si>
    <t>AAAABQAAAAExAQAAAAoxODg2MjQ3NDIwAwAAAAMxNjACAAAABDIxNjAEAAAAATAHAAAACTcvMzEvMjAxOAgAAAAJMy8zMS8yMDE4CQAAAAEwyDCyNwgJ1gjdS6RvNAnWCDdDSVEuTkFTREFRR1M6U0dFTi5JUV9FQklUX01BUkdJTi4uNy8xNi8yMDE4LkxGUi5GLlVTRC5IAQAAAGGFAAACAAAACC00My4xNzg1AQgAAAAFAAAAATEBAAAACjE4ODQ4OTI4NTIDAAAAAzE2MAIAAAAENDA1MwQAAAABMAcAAAAJNy8xNi8yMDE4CAAAAAkzLzMxLzIwMTgJAAAAATDE/xsRNQnWCGhgZxI1CdYIPUNJUS5OQVNEQVFDTTpDS1BULklRX1JFVkVOVUVfRVNULkNZMjAxOS43LzE2LzIwMTguQ09OLkYuVVNELkgBAAAAuFEWEQIAAAAFMS42MzYBDgAAAAUAAAACMTEBAAAAATACAAAACjEwMDM2NjU2MDIDAAAABjEwMDE4MAQAAAABMgYAAAABMAcAAAADMTYwCAAAAAEwCQAAAAExCgAAAAEwCwAAAAsxMDg3ODcwNzc2NgwAAAABNw0AAAAJNy8xNy8yMDE4EAAAAAk3LzE2LzIwMTgpHJQQNQnWCDDXXRI1CdYIM0NJUS5OQVNEQVFHUzpBRFhTLklRX1BFUklPRERBVEVfSVMuLjcvMTYvMjAxOC5MRlIuRgEAAACe7HgABQAAAAk0LzMwLzIwMTgAKRyUEDUJ1gjkdFsSNQnWCCBDSVEuSVFUUjU0ODMzODAyMC5JUV9UUl9FQVJOT1VUUwEAAABk+a4gAgAAAAMxMTcBBgAAAAUAAAACNTQBAAAABjEwMTQwMwIAAAAJNTQ4MzM4MDIwAwAA</t>
  </si>
  <si>
    <t>AAk1NDgzNDA5ODUEAAAAAzE2MAYAAAAFRmFsc2UMbRAONQnWCMDbgg41CdYIPENJUS5OQVNEQVFHTTpYTkNSLklRX0VCSVREQV9FU1QuQ1kyMDE5LjcvMTYvMjAxOC5DT04uRi5VU0QuSAEAAACmWgsAAgAAAAQtMTEyAQ4AAAAFAAAAAjExAQAAAAEwAgAAAAoxMDAyMDI1MjUyAwAAAAYxMDAxODcEAAAAATIGAAAAATAHAAAAAzE2MAgAAAABMAkAAAABMQoAAAABMAsAAAALMTA5MTU4MzI1NzkMAAAAATcNAAAACTcvMTcvMjAxOBAAAAAJNy8xNi8yMDE4xP8bETUJ1ggS/mQSNQnWCCFDSVEuSVExMDY0ODUzNTIuSVFfQ09NUEFOWV9USUNLRVIBAAAAaNZYBgMAAAANTmFzZGFxR1M6VFNSTwAMbRAONQnWCA9ljA41CdYIM0NJUS5PVENQSzpOV0JPLklRX1RPVEFMX0RFQlQuLjcvMTYvMjAxOC5MRlIuRi5VU0QuSAEAAACjehQAAgAAAAYzMS43MjkBCAAAAAUAAAABMQEAAAAKMTg4OTMwMjgyNAMAAAADMTYwAgAAAAQ0MTczBAAAAAEwBwAAAAk3LzE2LzIwMTgIAAAACTMvMzEvMjAxOAkAAAABMCkclBA1CdYIczlgEjUJ1gguQ0lRLk5BU0RBUUNNOlNSTkUuSVFfTUFSS0VUQ0FQLjcvMzEvMjAxOC5VU0QuSAEAAABJQ5QDAgAAAAo2MDguNTY3NTc0AQYAAAAFAAAAATEBAAAACjE4ODc5ODk3NjYDAAAAAzE2MAIAAAAGMTAwMDU0BAAAAAEwBwAAAAk3LzMxLzIwMTjWjBE4CAnWCHMknW80CdYIIUNJUS5OQVNEQVFH</t>
  </si>
  <si>
    <t>TTpYTkNSLklRX0NPTVBBTllfTkFNRQEAAACmWgsAAwAAAAxYZW5jb3IsIEluYy4ARp0ZETUJ1ggS/mQSNQnWCCFDSVEuTkFTREFRR1M6QVROWC5JUV9DT01QQU5ZX05BTUUBAAAA3JlrAQMAAAANQXRoZW5leCwgSW5jLgDWjBE4CAnWCCTCmm80CdYIJUNJUS5OQVNEQVFHUzpDVE1YLklRX0ZJUlNUUFJJQ0lOR0RBVEUBAAAA3DibAwUAAAAJMTAvOC8yMDE1AEadGRE1CdYIwptiEjUJ1gg2Q0lRLk5BU0RBUUdTOkZQUlguSVFfRUJJVERBLjIwMDAuNy8zMS8yMDE4LkxGUi5GLlVTRC5IAQAAADddMwACAAAACC0xMzUuNjg2AQgAAAAFAAAAATEBAAAACjE4ODc0MDIyMjcDAAAAAzE2MAIAAAAENDA1MQQAAAABMAcAAAAJNy8zMS8yMDE4CAAAAAkzLzMxLzIwMTgJAAAAATDWjBE4CAnWCBnpoW80CdYIJ0NJUS5OQVNEQVFHUzpDQUxBLklRX0JFVEFfMllSLjcvMzEvMjAxOAEAAAClJ4EGAgAAABAxLjc3NzQyMzc3ODUzMTIxAMgwsjcICdYI3UukbzQJ1gg9Q0lRLk5BU0RBUUdTOkZQUlguSVFfUkVWRU5VRV9FU1QuQ1kyMDE4LjcvMzEvMjAxOC5DT04uRi5VU0QuSAEAAAA3XTMAAgAAAAg3NS4yNDQ3NQEOAAAABQAAAAIxMQEAAAABMAIAAAAKMTAwMTk1NjM0NAMAAAAGMTAwMTgwBAAAAAEyBgAAAAEwBwAAAAMxNjAIAAAAATAJAAAAATEKAAAAATALAAAACzEwOTQ1NTc1MjcwDAAAAAE3DQAAAAg4LzEvMjAxOBAA</t>
  </si>
  <si>
    <t>AAAJNy8zMS8yMDE41owROAgJ1ggZ6aFvNAnWCCdDSVEuTkFTREFRR1M6QU5BQi5JUV9CRVRBXzFZUi43LzE2LzIwMTgBAAAAIUyyAQIAAAARMC42NjIwNDgwMTcyNzk5NTQAxP8bETUJ1gjCm2ISNQnWCDlDSVEuTkFTREFRR1M6VFNSTy5JUV9OSV9NQVJHSU4uMjAwMC43LzMxLzIwMTguTEZSLkYuVVNELkgBAAAAaNZYBgIAAAAJLTE5My40MTcyAQgAAAAFAAAAATEBAAAACjE4ODYzMzc0NjYDAAAAAzE2MAIAAAAENDA5NAQAAAABMAcAAAAJNy8zMS8yMDE4CAAAAAkzLzMxLzIwMTgJAAAAATCcC9U4CAnWCCTCmm80CdYIIUNJUS5JUVRSMzEyMTIyNTA0LklRX1RSX0JVWUVSTkFNRQEAAACInJoSAwAAACNBZHVybyBOZXRoZXJsYW5kcyBDb8O2cGVyYXRpZWYgVS5BLgBYzxIONQnWCMDbgg41CdYIPENJUS5OQVNEQVFDTTpBVkVPLklRX0VBUk5JTkdfQ08uQ1kyMDE2LjcvMTYvMjAxOC5MRlIuRi5VU0QuSAEAAAD0Fh0AAgAAAActMjYuODg3AQgAAAAFAAAAATEBAAAACjE4NzgwODI2NTADAAAAAzE2MAIAAAABNwQAAAABMAcAAAAJNy8xNi8yMDE4CAAAAAoxMi8zMS8yMDE2CQAAAAEwxP8bETUJ1gjCm2ISNQnWCCxDSVEuSVFUUjU1MTE2NjI5Mi5JUV9UUl9UT1RBTF9HUk9TU19UVi5VU0QuSAUAAAAAAAAACAAAABooSW52YWxpZCBDdXJyZW5jeSBSZXF1ZXN0KQxtEA41CdYIwNuCDjUJ1gglQ0lRLk5BU0RB</t>
  </si>
  <si>
    <t>UUdTOkZQUlguSVFfRklSU1RQUklDSU5HREFURQEAAAA3XTMABQAAAAk5LzE4LzIwMTMA1owROAgJ1gjji5MONQnWCDVDSVEuTkFTREFRR1M6QkdORS5JUV9DQVBFWC4xOTk2LjcvMzEvMjAxOC5MRlIuRi5VU0QuSAEAAADg5N0GAgAAAActMjUuMjY3AQgAAAAFAAAAATEBAAAACjE4ODc2ODg1ODMDAAAAAzE2MAIAAAAEMjAyMQQAAAABMAcAAAAJNy8zMS8yMDE4CAAAAAkzLzMxLzIwMTcJAAAAATCcC9U4CAnWCIH9lW80CdYINkNJUS5OQVNEQVFHUzpUU1JPLklRX0VCSVREQS4xOTk2LjcvMzEvMjAxOC5MRlIuRi5VU0QuSAEAAABo1lgGAgAAAAgtMzg1LjU3MgEIAAAABQAAAAExAQAAAAoxODg2MzM3NDUxAwAAAAMxNjACAAAABDQwNTEEAAAAATAHAAAACTcvMzEvMjAxOAgAAAAJMy8zMS8yMDE3CQAAAAEwnAvVOAgJ1ggkwppvNAnWCDZDSVEuTkFTREFRQ006TVRFTS5JUV9FQklUREEuMTk5Mi43LzMxLzIwMTguTEZSLkYuVVNELkgBAAAAmZupAQMAAAAAAMgwsjcICdYIGemhbzQJ1ggnQ0lRLk5BU0RBUUdNOkNSVlMuSVFfQkVUQV8yWVIuNy8zMS8yMDE4AQAAAPSwphACAAAAEDEuMTU5NjcxNDQ4OTE1MjUA1owROAgJ1ggZ6aFvNAnWCCVDSVEuTkFTREFRR1M6RVBaTS5JUV9GSVJTVFBSSUNJTkdEQVRFAQAAAAMmPQMFAAAACTUvMzEvMjAxMwDWjBE4CAnWCCTCmm80CdYIIUNJUS5JUVRSNTYxNjA2MzY1</t>
  </si>
  <si>
    <t>LklRX1RSX0JVWUVSTkFNRQEAAADdbnkhAwAAABVKYW5zc2VuIEJpb3RlY2gsIEluYy4AsrNJbzQJ1gg1m5NvNAnWCDhDSVEuTkFTREFRR1M6TksuSVFfRUFSTklOR19DTy4yMDAwLjcvMzEvMjAxOC5MRlIuRi5VU0QuSAEAAAANfaEPAgAAAActOTkuNDI3AQgAAAAFAAAAATEBAAAACjE4ODcxMTg3OTEDAAAAAzE2MAIAAAABNwQAAAABMAcAAAAJNy8zMS8yMDE4CAAAAAkzLzMxLzIwMTgJAAAAATDWjBE4CAnWCBnpoW80CdYIPkNJUS5OQVNEQVFDTTpaSU9QLklRX0NBU0hfU1RfSU5WRVNULjIwMDAuNy8zMS8yMDE4LkxGUi5GLlVTRC5IAQAAALNRsgACAAAABjUxLjEwOAEIAAAABQAAAAExAQAAAAoxODg3OTcyMzU5AwAAAAMxNjACAAAABDEwMDIEAAAAATAHAAAACTcvMzEvMjAxOAgAAAAJMy8zMS8yMDE4CQAAAAEw1owROAgJ1gjDhp9vNAnWCDxDSVEuTkFTREFRQ006WklPUC5JUV9FQklUREFfRVNULkNZMjAxOC43LzMxLzIwMTguQ09OLkYuVVNELkgBAAAAs1GyAAIAAAADLTYyAQ4AAAAFAAAAAjExAQAAAAEwAgAAAAoxMDAwNzY4ODI0AwAAAAYxMDAxODcEAAAAATIGAAAAATAHAAAAAzE2MAgAAAABMAkAAAABMQoAAAABMAsAAAALMTA5MzE1MzM5MzIMAAAAATcNAAAACDgvMS8yMDE4EAAAAAk3LzMxLzIwMTjWjBE4CAnWCMOGn280CdYIPUNJUS5OQVNEQVFHUzpHVEhYLklRX1JFVkVOVUVfRVNULkNZ</t>
  </si>
  <si>
    <t>MjAyMS43LzMxLzIwMTguQ09OLkYuVVNELkgBAAAAZTRpCAIAAAAIMzMuNzg2MjUBDgAAAAUAAAACMTEBAAAAATACAAAACjEwMDM3NTI4MzADAAAABjEwMDE4MAQAAAABMgYAAAABMAcAAAADMTYwCAAAAAEwCQAAAAExCgAAAAEwCwAAAAsxMDkxMTA5NzU0NwwAAAABNw0AAAAIOC8xLzIwMTgQAAAACTcvMzEvMjAxOJwL1TgICdYIJMKabzQJ1ggjQ0lRLklRVFI1NjM5MTkwNDkuSVFfVFJfVE9UQUxfU1RPQ0sBAAAAybicIQIAAAAAAAxtEA41CdYIwNuCDjUJ1gguQ0lRLklRVFI1NTAyNTkzOTcuSVFfVFJfVEFSR0VUX1NUT0NLUFJFTUlVTV8xVwEAAADFSswgAgAAAAc3OC40NjE1AQYAAAAFAAAAAjU0AQAAAAYxMDEwNTQCAAAACTU1MDI1OTM5NwMAAAAJNTUwMjY0NTY0BAAAAAMxNjAGAAAABUZhbHNlDG0QDjUJ1gh3eYAONQnWCDpDSVEuTkFTREFRQ006U1JORS5JUV9FQVJOSU5HX0NPLjE5OTYuNy8zMS8yMDE4LkxGUi5GLlVTRC5IAQAAAElDlAMCAAAABy03MC40NTMBCAAAAAUAAAABMQEAAAAKMTg4Nzk4OTgyOAMAAAADMTYwAgAAAAE3BAAAAAEwBwAAAAk3LzMxLzIwMTgIAAAACTMvMzEvMjAxNwkAAAABMNaMETgICdYIcySdbzQJ1gggQ0lRLklRVFI1NTExNjYyOTIuSVFfVFJfRUFSTk9VVFMBAAAAVCHaIAIAAAAAAAxtEA41CdYIwNuCDjUJ1gg2Q0lRLi5JUV9FQklUREFfM1lSX0FOTl9DQUdSLjIw</t>
  </si>
  <si>
    <t>MDAuNy8zMS8yMDE4LkxGUi5GLlVTRC5IBQAAAAEAAAAIAAAAFChJbnZhbGlkIElkZW50aWZpZXIp9YQyRzQJ1gj1hDJHNAnWCDxDSVEuTkFTREFRR1M6QkdORS5JUV9FQVJOSU5HX0NPLkNZMjAxNy43LzE2LzIwMTguTEZSLkYuVVNELkgBAAAA4OTdBgIAAAAHLTkzLjI5OQEIAAAABQAAAAExAQAAAAoxODc2MzU3NDQ5AwAAAAMxNjACAAAAATcEAAAAATAHAAAACTcvMTYvMjAxOAgAAAAKMTIvMzEvMjAxNwkAAAABMMT/GxE1CdYIaGBnEjUJ1gg7Q0lRLk5BU0RBUUNNOlNSTkUuSVFfVE9UQUxfUkVWLkNZMjAxNi43LzMxLzIwMTguTEZSLkYuVVNELkgBAAAASUOUAwIAAAAFOC4xNTIBCAAAAAUAAAABMQEAAAAKMTg3ODY3NzQ1MwMAAAADMTYwAgAAAAIyOAQAAAABMAcAAAAJNy8zMS8yMDE4CAAAAAoxMi8zMS8yMDE2CQAAAAEw1owROAgJ1ghzJJ1vNAnWCDxDSVEuTkFTREFRR1M6UEJZSS5JUV9FQVJOSU5HX0NPLkNZMjAxNy43LzE2LzIwMTguTEZSLkYuVVNELkgBAAAAAmqsBwIAAAAILTI5MS45NTUBCAAAAAUAAAABMQEAAAAKMTg3ODA2MzM0NAMAAAADMTYwAgAAAAE3BAAAAAEwBwAAAAk3LzE2LzIwMTgIAAAACjEyLzMxLzIwMTcJAAAAATDE/xsRNQnWCBL+ZBI1CdYINUNJUS5OQVNEQVFDTTpNVEVNLklRX0RBX0NGLjIwMDAuNy8zMS8yMDE4LkxGUi5GLlVTRC5IAQAAAJmbqQECAAAABTAuMjE3AQgA</t>
  </si>
  <si>
    <t>AAAFAAAAATEBAAAACjE4ODg3MzMwMDQDAAAAAzE2MAIAAAAEMjE2MAQAAAABMAcAAAAJNy8zMS8yMDE4CAAAAAkzLzMxLzIwMTgJAAAAATDIMLI3CAnWCN1LpG80CdYIK0NJUS5JUVRSMzAyODY2NjI3LklRX1RSX0lNUExJRURfRVZfRUJJVF9GV0QBAAAAw2ANEgIAAAAAAFjPEg41CdYIDD6FDjUJ1gg8Q0lRLk5BU0RBUUdNOklNTVUuSVFfRUJJVERBX0VTVC5DWTIwMTkuNy8zMS8yMDE4LkNPTi5GLlVTRC5IAQAAACBDBAADAAAAAACcC9U4CAnWCNRfmG80CdYIPkNJUS5OQVNEQVFHTTpJTU1VLklRX1RPVEFMX0VRVUlUWS5DWTIwMTYuNy8zMS8yMDE4LkxGUi5GLlVTRC5IAQAAACBDBAACAAAACi03NS4xODIyMzYBCAAAAAUAAAABMQEAAAAKMTg3MzQ5MzQ5MQMAAAADMTYwAgAAAAQxMjc1BAAAAAEwBwAAAAk3LzMxLzIwMTgIAAAACjEyLzMxLzIwMTYJAAAAATCcC9U4CAnWCNRfmG80CdYILUNJUS5OQVNEQVFHTTpBUlJZLklRX0RJVklERU5EX1lJRUxELjcvMzEvMjAxOAEAAAD4YQAAAwAAAAAAnAvVOAgJ1ggkwppvNAnWCDhDSVEuTkFTREFRR006QUZNRC5JUV9UT1RBTF9FUVVJVFkuLjcvMTYvMjAxOC5MRlIuRi5VU0QuSAEAAADb9wwAAgAAAAk2Ni44NDk4MjEBCAAAAAUAAAABMQEAAAAKMTg4OTg2NjA0OQMAAAADMTYwAgAAAAQxMjc1BAAAAAEwBwAAAAk3LzE2LzIwMTgIAAAACTMvMzEvMjAxOAkA</t>
  </si>
  <si>
    <t>AAABMCkclBA1CdYIMNddEjUJ1gg+Q0lRLk5BU0RBUUdTOkVQWk0uSVFfQ0FTSF9TVF9JTlZFU1QuMjAwMC43LzMxLzIwMTguTEZSLkYuVVNELkgBAAAAAyY9AwIAAAAHMjQ3LjkyMwEIAAAABQAAAAExAQAAAAoxODg3MjQ2MDc3AwAAAAMxNjACAAAABDEwMDIEAAAAATAHAAAACTcvMzEvMjAxOAgAAAAJMy8zMS8yMDE4CQAAAAEw1owROAgJ1ggkwppvNAnWCD5DSVEuTkFTREFRR1M6TVJTTi5JUV9UT1RBTF9FUVVJVFkuQ1kyMDE3LjcvMzEvMjAxOC5MRlIuRi5VU0QuSAEAAADmxRgAAgAAAAY2OS45OTQBCAAAAAUAAAABMQEAAAAKMTg4MDU0NzM5NQMAAAADMTYwAgAAAAQxMjc1BAAAAAEwBwAAAAk3LzMxLzIwMTgIAAAACjEyLzMxLzIwMTcJAAAAATDWjBE4CAnWCMOGn280CdYIO0NJUS5OQVNEQVFDTTpDS1BULklRX05FVF9XT1JLSU5HX0NBUC4uNy8xNi8yMDE4LkxGUi5GLlVTRC5IAQAAALhRFhECAAAABi01Ljk2NAEIAAAABQAAAAExAQAAAAoxODg4MDA3MjIzAwAAAAMxNjACAAAABDEzMTEEAAAAATAHAAAACTcvMTYvMjAxOAgAAAAJMy8zMS8yMDE4CQAAAAEwKRyUEDUJ1gjkdFsSNQnWCChDSVEuSVEyNjY4NjQyLklRX0xBU1RTQUxFUFJJQ0UuNy8xNi8yMDE4AQAAAGK4KAACAAAABDQuNzYADG0QDjUJ1ggMPoUONQnWCC1DSVEuTkFTREFRQ006QVZFTy5JUV9ESVZJREVORF9ZSUVMRC43LzE2LzIw</t>
  </si>
  <si>
    <t>MTgBAAAA9BYdAAMAAAAAAEadGRE1CdYIwptiEjUJ1gg1Q0lRLk5BU0RBUUdTOkNUTVguSVFfVE9UQUxfUkVWLi43LzE2LzIwMTguTEZSLkYuVVNELkgBAAAA3DibAwIAAAAGNzQuMTU0AQgAAAAFAAAAATEBAAAACjE4ODc2NzUzMTYDAAAAAzE2MAIAAAACMjgEAAAAATAHAAAACTcvMTYvMjAxOAgAAAAJMy8zMS8yMDE4CQAAAAEwxP8bETUJ1gjCm2ISNQnWCEZDSVEuTkFTREFRR1M6S1VSQS5JUV9UT1RBTF9SRVZfNVlSX0FOTl9DQUdSLjIwMDAuNy8zMS8yMDE4LkxGUi5GLlVTRC5IAQAAALjL2hADAAAAAADWjBE4CAnWCHMknW80CdYIJENJUS5OQVNEQVFHTTpJTU1VLklRX0VGRkVDVF9UQVhfUkFURQEAAAAgQwQAAwAAAAJOTQEIAAAABQAAAAExAQAAAAoxODg4NTIzMzg0AwAAAAMxNjACAAAABDQzNzYEAAAAATAHAAAACTgvMjMvMjAxOAgAAAAJMy8zMS8yMDE4CQAAAAEwnAvVOAgJ1ggPZYwONQnWCDxDSVEuTkFTREFRR006Q1JJUy5JUV9FQklUREFfRVNULkNZMjAyMC43LzMxLzIwMTguQ09OLkYuVVNELkgBAAAAF2oAAAMAAAAAAMgwsjcICdYI3UukbzQJ1ggsQ0lRLklRVFI1NDI4MDY2ODYuSVFfVFJfVE9UQUxfR1JPU1NfVFYuVVNELkgFAAAAAAAAAAgAAAAaKEludmFsaWQgQ3VycmVuY3kgUmVxdWVzdClJU0dvNAnWCIH9lW80CdYIPENJUS5OQVNEQVFHUzpFUFpNLklRX0VBUk5JTkdfQ08uQ1ky</t>
  </si>
  <si>
    <t>MDE2LjcvMzEvMjAxOC5MRlIuRi5VU0QuSAEAAAADJj0DAgAAAAgtMTEwLjIxMgEIAAAABQAAAAExAQAAAAoxODc4MDgxMDYxAwAAAAMxNjACAAAAATcEAAAAATAHAAAACTcvMzEvMjAxOAgAAAAKMTIvMzEvMjAxNgkAAAABMNaMETgICdYIcySdbzQJ1ggvQ0lRLi5JUV9UT1RBTF9FUVVJVFkuMjAwMC43LzMxLzIwMTguTEZSLkYuVVNELkgFAAAAAQAAAAgAAAAUKEludmFsaWQgSWRlbnRpZmllcin1hDJHNAnWCPWEMkc0CdYIPENJUS5OQVNEQVFHUzpCR05FLklRX0VBUk5JTkdfQ08uQ1kyMDE3LjcvMzEvMjAxOC5MRlIuRi5VU0QuSAEAAADg5N0GAgAAAActOTUuODY3AQgAAAAFAAAAATEBAAAACjE4OTk4ODExOTQDAAAAAzE2MAIAAAABNwQAAAABMAcAAAAJNy8zMS8yMDE4CAAAAAoxMi8zMS8yMDE3CQAAAAEwnAvVOAgJ1giB/ZVvNAnWCC5DSVEuTkFTREFRR1M6Q0FMQS5JUV9NQVJLRVRDQVAuNy8zMS8yMDE4LlVTRC5IAQAAAKUngQYCAAAACjE1OS41MDg4NTMBBgAAAAUAAAABMQEAAAAKMTg4Nzk3OTcwNwMAAAADMTYwAgAAAAYxMDAwNTQEAAAAATAHAAAACTcvMzEvMjAxOMgwsjcICdYI3UukbzQJ1gg2Q0lRLk5BU0RBUUdNOklNTVUuSVFfVE9UQUxfREVCVC4uNy8xNi8yMDE4LkxGUi5GLlVTRC5IAQAAACBDBAACAAAACjIwMS45NDIzMTcBCAAAAAUAAAABMQEAAAAKMTg4ODUyMzM4NAMAAAADMTYw</t>
  </si>
  <si>
    <t>AgAAAAQ0MTczBAAAAAEwBwAAAAk3LzE2LzIwMTgIAAAACTMvMzEvMjAxOAkAAAABMMT/GxE1CdYIaGBnEjUJ1ggiQ0lRLklRVFIyNjM3MTg2NDcuSVFfVFJfUENUX1NPVUdIVAEAAAD3BrgPAgAAAAMxMDAAsrNJbzQJ1gg1m5NvNAnWCCFDSVEuTkFTREFRR1M6QkdORS5JUV9DT01QQU5ZX05BTUUBAAAA4OTdBgMAAAANQmVpR2VuZSwgTHRkLgCcC9U4CAnWCKgCig41CdYIQ0NJUS5OQVNEQVFHUzpNUlNOLklRX01JTk9SSVRZX0lOVEVSRVNUX1RPVEFMLi45LzE1LzIwMTcuTEZSLkYuVVNELkgBAAAA5sUYAAMAAAAAACkclBA1CdYIczlgEjUJ1gg6Q0lRLk5BU0RBUUdTOkZQUlguSVFfRUFSTklOR19DTy4xOTkyLjcvMzEvMjAxOC5MRlIuRi5VU0QuSAEAAAA3XTMAAgAAAAcyNDcuNjQzAQgAAAAFAAAAATEBAAAACjE4NDA1NjU3OTQDAAAAAzE2MAIAAAABNwQAAAABMAcAAAAJNy8zMS8yMDE4CAAAAAkzLzMxLzIwMTYJAAAAATDIMLI3CAnWCBnpoW80CdYIIUNJUS5OQVNEQVFHTTpDUlZTLklRX0NPTVBBTllfTkFNRQEAAAD0sKYQAwAAABxDb3J2dXMgUGhhcm1hY2V1dGljYWxzLCBJbmMuANaMETgICdYIGemhbzQJ1ghDQ0lRLk5BU0RBUUdTOkJHTkUuSVFfTUlOT1JJVFlfSU5URVJFU1RfVE9UQUwuLjcvMTYvMjAxOC5MRlIuRi5VU0QuSAEAAADg5N0GAgAAAAYxNC4zNDEBCAAAAAUAAAABMQEAAAAKMTg4</t>
  </si>
  <si>
    <t>NzY4ODU4OAMAAAADMTYwAgAAAAQxMzEyBAAAAAEwBwAAAAk3LzE2LzIwMTgIAAAACTMvMzEvMjAxOAkAAAABMMT/GxE1CdYIaGBnEjUJ1gg5Q0lRLk5BU0RBUUdTOkJHTkUuSVFfVE9UQUxfREVCVC4yMDAwLjUvNS8yMDE3LkxGUi5GLlVTRC5IAQAAAODk3QYCAAAABjE3LjI4NAEIAAAABQAAAAExAQAAAAoxODMyOTUwNTIzAwAAAAMxNjACAAAABDQxNzMEAAAAATAHAAAACDUvNS8yMDE3CAAAAAoxMi8zMS8yMDE2CQAAAAEwnAvVOAgJ1giB/ZVvNAnWCDpDSVEuTkFTREFRR006QUZNRC5JUV9DQVNIX1NUX0lOVkVTVC4uOS8xNS8yMDE3LkxGUi5GLlVTRC5IAQAAANv3DAACAAAACTU1Ljc1MjQyNAEIAAAABQAAAAExAQAAAAoxODUxMTcwNDYyAwAAAAMxNjACAAAABDEwMDIEAAAAATAHAAAACTkvMTUvMjAxNwgAAAAJNi8zMC8yMDE3CQAAAAEwKRyUEDUJ1ggw110SNQnWCDhDSVEuT1RDUEs6TldCTy5JUV9UT1RBTF9SRVYuQ1kyMDE3LjcvMTYvMjAxOC5MRlIuRi5VU0QuSAEAAACjehQAAgAAAAUwLjMzNgEIAAAABQAAAAExAQAAAAoxODgzMjQ5MDg2AwAAAAMxNjACAAAAAjI4BAAAAAEwBwAAAAk3LzE2LzIwMTgIAAAACjEyLzMxLzIwMTcJAAAAATApHJQQNQnWCHM5YBI1CdYIMENJUS5OQVNEQVFHUzpBVE5YLklRX0xBU1RTQUxFUFJJQ0UuNy8zMS8yMDE4LlVTRAEAAADcmWsBAgAAAAUxOS4yNwDWjBE4</t>
  </si>
  <si>
    <t>CAnWCCTCmm80CdYILUNJUS5OQVNEQVFHTTpDUlZTLklRX01BUktFVENBUC41LzUvMjAxNy5VU0QuSAEAAAD0sKYQAgAAAAoyMDkuMTM1Nzk1AQYAAAAFAAAAATEBAAAACjE4NDAxMTU5MDQDAAAAAzE2MAIAAAAGMTAwMDU0BAAAAAEwBwAAAAg1LzUvMjAxN9aMETgICdYIGemhbzQJ1gglQ0lRLklRVFI1NTM1NDgwMjUuSVFfUFJJTUFSWV9JTkRVU1RSWQEAAAA9LS4AAwAAAA1CaW90ZWNobm9sb2d5AElTR280CdYIgf2VbzQJ1ggsQ0lRLk5BU0RBUUdTOkZQUlguSVFfTEFTVFNBTEVQUklDRS45LzE1LzIwMTcBAAAAN10zAAIAAAAFMzUuODEAKRyUEDUJ1ghzOWASNQnWCDhDSVEuTkFTREFRR006QVJRTC5JUV9FQklUREEuQ1kyMDE2LjcvMzEvMjAxOC5MRlIuRi5VU0QuSAEAAAD2YQAAAgAAAActMjIuNzk1AQgAAAAFAAAAATEBAAAACjE4Nzg1MDg2OTUDAAAAAzE2MAIAAAAENDA1MQQAAAABMAcAAAAJNy8zMS8yMDE4CAAAAAoxMi8zMS8yMDE2CQAAAAEw1owROAgJ1ghzJJ1vNAnWCEZDSVEuTkFTREFRR006QVJSWS5JUV9UT1RBTF9SRVZfMllSX0FOTl9DQUdSLjIwMDAuNy8zMS8yMDE4LkxGUi5GLlVTRC5IAQAAAPhhAAACAAAABzc2LjA0OTMBCAAAAAUAAAABMQEAAAAKMTg4ODQ3MDY3NgMAAAADMTYwAgAAAAQ0MjA3BAAAAAEwBwAAAAk3LzMxLzIwMTgIAAAACTMvMzEvMjAxOAkAAAABMJwL1TgICdYI</t>
  </si>
  <si>
    <t>JMKabzQJ1ghCQ0lRLk5BU0RBUUdTOkFEWFMuSVFfVE9UQUxfUkVWXzJZUl9BTk5fQ0FHUi4uNy8xNi8yMDE4LkxGUi5GLlVTRC5IAQAAAJ7seAACAAAACDQ4Ny4xMjY0AQgAAAAFAAAAATEBAAAACjE4OTI3ODg1NDgDAAAAAzE2MAIAAAAENDIwNwQAAAABMAcAAAAJNy8xNi8yMDE4CAAAAAk0LzMwLzIwMTgJAAAAATApHJQQNQnWCOR0WxI1CdYIPENJUS4oSU5WQUxJRCBJREVOVElGSUVSKS5JUV9DQVBFWC4xOTk2LjcvMzEvMjAxOC5MRlIuRi5VU0QuSAUAAAAAAAAACAAAABQoSW52YWxpZCBJZGVudGlmaWVyKcgwsjcICdYI7TawbzQJ1gg4Q0lRLk5BU0RBUUdTOkFOQUIuSVFfRUJJVERBLkNZMjAxNi43LzE2LzIwMTguTEZSLkYuVVNELkgBAAAAIUyyAQIAAAAGLTIuNzkyAQgAAAAFAAAAATEBAAAACjE4NzcwNjUxOTYDAAAAAzE2MAIAAAAENDA1MQQAAAABMAcAAAAJNy8xNi8yMDE4CAAAAAoxMi8zMS8yMDE2CQAAAAEwxP8bETUJ1gjCm2ISNQnWCD5DSVEuTkFTREFRR1M6Q1RNWC5JUV9UT1RBTF9FUVVJVFkuQ1kyMDE2LjcvMTYvMjAxOC5MRlIuRi5VU0QuSAEAAADcOJsDAgAAAAY3OC40NzkBCAAAAAUAAAABMQEAAAAKMTg3NzMxNjczNAMAAAADMTYwAgAAAAQxMjc1BAAAAAEwBwAAAAk3LzE2LzIwMTgIAAAACjEyLzMxLzIwMTYJAAAAATDE/xsRNQnWCMKbYhI1CdYIPENJUS5OQVNEQVFHUzpDQUxB</t>
  </si>
  <si>
    <t>LklRX0VCSVREQV9FU1QuQ1kyMDIwLjcvMzEvMjAxOC5DT04uRi5VU0QuSAEAAAClJ4EGAwAAAAAAyDCyNwgJ1gjdS6RvNAnWCD1DSVEuTkFTREFRR1M6QkdORS5JUV9SRVZFTlVFX0VTVC5DWTIwMjEuNy8zMS8yMDE4LkNPTi5GLlVTRC5IAQAAAODk3QYCAAAACTgwMC4yODM2NwEOAAAABQAAAAIxMQEAAAABMAIAAAAKMTAwMzMyNjI4MgMAAAAGMTAwMTgwBAAAAAEyBgAAAAEwBwAAAAMxNjAIAAAAATAJAAAAATEKAAAAATALAAAACzEwOTUxMjQwNTQxDAAAAAE3DQAAAAg4LzEvMjAxOBAAAAAJNy8zMS8yMDE4nAvVOAgJ1giB/ZVvNAnWCDlDSVEuTkFTREFRR1M6R1RIWC5JUV9UT1RBTF9SRVYuMTk5Ni43LzMxLzIwMTguTEZSLkYuVVNELkgBAAAAZTRpCAMAAAAAAJwL1TgICdYIJMKabzQJ1ggyQ0lRLk5BU0RBUUdTOkZQUlguSVFfRUJJVERBLi43LzE2LzIwMTguTEZSLkYuVVNELkgBAAAAN10zAAIAAAAILTEzNS42ODYBCAAAAAUAAAABMQEAAAAKMTg4NzQwMjIyNwMAAAADMTYwAgAAAAQ0MDUxBAAAAAEwBwAAAAk3LzE2LzIwMTgIAAAACTMvMzEvMjAxOAkAAAABMCkclBA1CdYIczlgEjUJ1gglQ0lRLk9UQ1BLOk5XQk8uSVFfVEVWLjcvMTYvMjAxOC5VU0QuSAEAAACjehQAAgAAAAoxNDcuMjM4MDg4AQYAAAAFAAAAATEBAAAACjE4ODkyOTk1NDEDAAAAAzE2MAIAAAAGMTAwMDYwBAAAAAEwBwAAAAk3</t>
  </si>
  <si>
    <t>LzE2LzIwMTgpHJQQNQnWCHM5YBI1CdYINkNJUS5OQVNEQVFHUzpCR05FLklRX0VCSVREQS4xOTk2LjcvMzEvMjAxOC5MRlIuRi5VU0QuSAEAAADg5N0GAgAAAAgtMTQ1LjkzNAEIAAAABQAAAAExAQAAAAoxODg3Njg4NTgzAwAAAAMxNjACAAAABDQwNTEEAAAAATAHAAAACTcvMzEvMjAxOAgAAAAJMy8zMS8yMDE3CQAAAAEwnAvVOAgJ1giB/ZVvNAnWCENDSVEuTkFTREFRQ006QVZFTy5JUV9NSU5PUklUWV9JTlRFUkVTVF9UT1RBTC4uOS8xNS8yMDE3LkxGUi5GLlVTRC5IAQAAAPQWHQADAAAAAADE/xsRNQnWCHM5YBI1CdYILkNJUS5OQVNEQVFHTTpBRk1ELklRX01BUktFVENBUC45LzE1LzIwMTcuVVNELkgBAAAA2/cMAAIAAAAJOTguODYxMzQ4AQYAAAAFAAAAATEBAAAACjE4NTExNjk0NzgDAAAAAzE2MAIAAAAGMTAwMDU0BAAAAAEwBwAAAAk5LzE1LzIwMTcpHJQQNQnWCDDXXRI1CdYIRkNJUS5OQVNEQVFHUzpGUFJYLklRX01JTk9SSVRZX0lOVEVSRVNUX1RPVEFMLjIwMDAuNS81LzIwMTcuTEZSLkYuVVNELkgBAAAAN10zAAMAAAAAAMgwsjcICdYIGemhbzQJ1ggrQ0lRLklRVFI1MzM2Mzk1MDEuSVFfVFJfSU1QTElFRF9FVl9FQklUX0ZXRAEAAABNsc4fAgAAAAAADG0QDjUJ1gjA24IONQnWCDpDSVEuWFRSQTpNT1IuSVFfTkVUX1dPUktJTkdfQ0FQLjE5OTYuNy8zMS8yMDE4LkxGUi5GLlVTRC5I</t>
  </si>
  <si>
    <t>AQAAAN8RAgACAAAACi0xNC43NTAyNDkBCAAAAAUAAAABMQEAAAAKMTg4NjE1MTY0NwMAAAADMTYwAgAAAAQxMzExBAAAAAEwBwAAAAk3LzMxLzIwMTgIAAAACTMvMzEvMjAxNwkAAAABMJwL1TgICdYI1F+YbzQJ1gg7Q0lRLk5BU0RBUUdTOlRTUk8uSVFfVE9UQUxfUkVWLkNZMjAxNy43LzMxLzIwMTguTEZSLkYuVVNELkgBAAAAaNZYBgIAAAAHMjIzLjMyNgEIAAAABQAAAAExAQAAAAoxODc3MjI2MzAxAwAAAAMxNjACAAAAAjI4BAAAAAEwBwAAAAk3LzMxLzIwMTgIAAAACjEyLzMxLzIwMTcJAAAAATCcC9U4CAnWCCTCmm80CdYIMENJUS5YVFJBOk1PUi5JUV9DQVBFWC4xOTk2LjcvMzEvMjAxOC5MRlIuRi5VU0QuSAEAAADfEQIAAgAAAAktMi44MTc2NzIBCAAAAAUAAAABMQEAAAAKMTg4NjE1MTY0NwMAAAADMTYwAgAAAAQyMDIxBAAAAAEwBwAAAAk3LzMxLzIwMTgIAAAACTMvMzEvMjAxNwkAAAABMJwL1TgICdYI1F+YbzQJ1gg7Q0lRLkVOWFRQQTpJUEguSVFfVE9UQUxfRVFVSVRZLkNZMjAxNy43LzE2LzIwMTguTEZSLkYuVVNELkgBAAAAmYAGAAIAAAAKMTAzLjIxMzI1NgEIAAAABQAAAAExAQAAAAoxODg5NTUyMTY0AwAAAAMxNjACAAAABDEyNzUEAAAAATAHAAAACTcvMTYvMjAxOAgAAAAKMTIvMzEvMjAxNwkAAAABMCkclBA1CdYIczlgEjUJ1gg3Q0lRLk5BU0RBUUdTOk1HTlguSVFfUFJFRl9F</t>
  </si>
  <si>
    <t>UVVJVFkuLjcvMTYvMjAxOC5MRlIuRi5VU0QuSAEAAABPKwkAAwAAAAAAxP8bETUJ1gjCm2ISNQnWCDJDSVEuTkFTREFRQ006Q0tQVC5JUV9FQklUREEuLjcvMTYvMjAxOC5MRlIuRi5VU0QuSAEAAAC4URYRAwAAAAAAKRyUEDUJ1ggw110SNQnWCDVDSVEuTkFTREFRR006Q1JJUy5JUV9DQVBFWC4xOTk2LjcvMzEvMjAxOC5MRlIuRi5VU0QuSAEAAAAXagAAAgAAAAYtMC4zNzMBCAAAAAUAAAABMQEAAAAKMTg4NjI0NzM5NQMAAAADMTYwAgAAAAQyMDIxBAAAAAEwBwAAAAk3LzMxLzIwMTgIAAAACTMvMzEvMjAxNwkAAAABMMgwsjcICdYI3UukbzQJ1gghQ0lRLk5BU0RBUUdNOkxQVFguSVFfQ09NUEFOWV9OQU1FAQAAAAw2CQcDAAAAF0xlYXAgVGhlcmFwZXV0aWNzLCBJbmMuACkclBA1CdYIMNddEjUJ1ggsQ0lRLklRVFIyNjM3MTg2NDcuSVFfVFJfVEFSR0VUX0VCSVREQS4uVVNELkgBAAAA9wa4DwIAAAAAALKzSW80CdYIgf2VbzQJ1ggpQ0lRLk5BU0RBUUdTOkNUTVguSVFfQlVTSU5FU1NfREVTQ1JJUFRJT04BAAAA3DibAwMAAAChCEN5dG9tWCBUaGVyYXBldXRpY3MsIEluYy4gb3BlcmF0ZXMgYXMgYW4gb25jb2xvZ3ktZm9jdXNlZCBiaW9waGFybWFjZXV0aWNhbCBjb21wYW55IGluIHRoZSBVbml0ZWQgU3RhdGVzLiBUaGUgY29tcGFueSBkZXZlbG9wcyBhIG5vdmVsIGNsYXNzIG9mIGludmVzdGln</t>
  </si>
  <si>
    <t>YXRpb25hbCBhbnRpYm9keSB0aGVyYXBldXRpY3MgYmFzZWQgb24gaXRzIFByb2JvZHkgdGVjaG5vbG9neSBwbGF0Zm9ybSBmb3IgdGhlIHRyZWF0bWVudCBvZiBjYW5jZXIuIEl0cyBwcm9kdWN0IGNhbmRpZGF0ZXMgaW4gY2xpbmljYWwgc3RhZ2UgaW5jbHVkZSBDWC0wNzIsIGEgUHJvYm9keSB0aGVyYXBldXRpYyB0YXJnZXRpbmcgcHJvZ3JhbW1lZCBjZWxsIGRlYXRoIGxpZ2FuZCAxIGFudGktY2FuY2VyIHRhcmdldDsgQ1gtMjAwOSwgYSBQcm9ib2R5IGRydWcgY29uanVnYXRlIChQREMpIGFnYWluc3QgQ0QxNjYgbm92ZWwgdHVtb3IgYW50aWdlbjsgQk1TLTk4NjI0OSwgYSBDVExBLTQgUHJvYm9keSB0aGVyYXBldXRpYyBkcnVnOyBDWC0yMDI5LCBhIFBEQyB0YXJnZXRpbmcgQ0Q3MTsgYW5kIENYLTE4OCwgYSBQcm9ib2R5IHRoZXJhcGV1dGljIHRhcmdldGluZyBQRC0xIGFudGktY2FuY2VyIHRhcmdldC4gVGhlIGNvbXBhbnkgaGFzIHN0cmF0ZWdpYyBjb2xsYWJvcmF0aW9ucyB3aXRoIEFiYlZpZSBJcmVsYW5kIFVubGltaXRlZCBDb21wYW55LCBCcmlzdG9sLU15ZXJzIFNxdWliYiBDb21wYW55LCBJbW11bm9HZW4sIEluYy4sIE1EIEFuZGVyc29uLCBhbmQgUGZpemVyIEluYy4gdG8gZGV2ZWxvcCBQcm9ib2R5IHRoZXJhcGV1dGljcy4gSXQgYWxzbyBoYXMgYSBzdHJhdGVnaWMgY29sbGFi</t>
  </si>
  <si>
    <t>b3JhdGlvbiB3aXRoIEFtZ2VuLCBJbmMuIHRvIGRldmVsb3AgVCBjZWxsLWJpc3BlY2lmaWMgcHJvYm9keSB0aGVyYXBldXRpYyB0YXJnZXRpbmcgZXBpZGVybWFsIGdyb3d0aCBmYWN0b3IgcmVjZXB0b3ItQ0QzLiBDeXRvbVggVGhlcmFwZXV0aWNzLCBJbmMuIHdhcyBmb3VuZGVkIGluIDIwMDggYW5kIGlzIGhlYWRxdWFydGVyZWQgaW4gU291dGggU2FuIEZyYW5jaXNjbywgQ2FsaWZvcm5pYS4ARp0ZETUJ1gjCm2ISNQnWCD5DSVEuTkFTREFRR1M6VFNSTy5JUV9UT1RBTF9FUVVJVFkuQ1kyMDE2LjcvMTYvMjAxOC5MRlIuRi5VU0QuSAEAAABo1lgGAgAAAAc2MjguMTE4AQgAAAAFAAAAATEBAAAACjE4NzcyMjYyODQDAAAAAzE2MAIAAAAEMTI3NQQAAAABMAcAAAAJNy8xNi8yMDE4CAAAAAoxMi8zMS8yMDE2CQAAAAEwxP8bETUJ1ggS/mQSNQnWCD9DSVEuTkFTREFRR1M6QkdORS5JUV9FQklUREFfMllSX0FOTl9DQUdSLi43LzE2LzIwMTguTEZSLkYuVVNELkgBAAAA4OTdBgMAAAACTk0BCAAAAAUAAAABMQEAAAAKMTg4NzY4ODU4OAMAAAADMTYwAgAAAAQ0MjA5BAAAAAEwBwAAAAk3LzE2LzIwMTgIAAAACTMvMzEvMjAxOAkAAAABMMT/GxE1CdYIaGBnEjUJ1gg2Q0lRLk5BU0RBUUdTOk1SU04uSVFfRUJJVERBLjIwMDAuNy8zMS8yMDE4LkxGUi5GLlVTRC5IAQAAAObFGAACAAAABy00My4yOTEBCAAA</t>
  </si>
  <si>
    <t>AAUAAAABMQEAAAAKMTg4OTA5NjY1MwMAAAADMTYwAgAAAAQ0MDUxBAAAAAEwBwAAAAk3LzMxLzIwMTgIAAAACTMvMzEvMjAxOAkAAAABMNaMETgICdYIw4afbzQJ1ghCQ0lRLihJTlZBTElEIElERU5USUZJRVIpLklRX0VCSVRfTUFSR0lOLjIwMDAuNy8zMS8yMDE4LkxGUi5GLlVTRC5IBQAAAAAAAAAIAAAAFChJbnZhbGlkIElkZW50aWZpZXIpyDCyNwgJ1gjtNrBvNAnWCEJDSVEuTkFTREFRR006QUZNRC5JUV9UT1RBTF9SRVZfNVlSX0FOTl9DQUdSLi43LzE2LzIwMTguTEZSLkYuVVNELkgBAAAA2/cMAAMAAAAAACkclBA1CdYIMNddEjUJ1gg8Q0lRLk5BU0RBUUdTOkVQWk0uSVFfRUJJVERBX0VTVC5DWTIwMTguNy8zMS8yMDE4LkNPTi5GLlVTRC5IAQAAAAMmPQMDAAAAAADWjBE4CAnWCHMknW80CdYIGENJUS4uSVFfUFJJTUFSWV9JTkRVU1RSWQUAAAAAAAAACAAAABQoSW52YWxpZCBJZGVudGlmaWVyKZwL1TgICdYId3mADjUJ1ggwQ0lRLklRVFI1NjM5MTkwNDkuSVFfVFJfVEFSR0VUX0VCSVREQV9FU1QuLlVTRC5IAQAAAMm4nCECAAAAAAAMbRAONQnWCMDbgg41CdYIOUNJUS5OQVNEQVFHUzpCR05FLklRX1RPVEFMX1JFVi4xOTk2LjcvMzEvMjAxOC5MRlIuRi5VU0QuSAEAAADg5N0GAgAAAAUwLjM5MwEIAAAABQAAAAExAQAAAAoxODg3Njg4NTgzAwAAAAMxNjACAAAAAjI4BAAAAAEwBwAAAAk3</t>
  </si>
  <si>
    <t>LzMxLzIwMTgIAAAACTMvMzEvMjAxNwkAAAABMJwL1TgICdYIgf2VbzQJ1ggtQ0lRLkFTWDpJTVUuSVFfUEVSSU9EREFURV9JUy4uNy8xNi8yMDE4LkxGUi5GAQAAAJiTqQAFAAAACjEyLzMxLzIwMTcAKRyUEDUJ1ggw110SNQnWCDhDSVEuTkFTREFRR1M6TVJTTi5JUV9FQklUREEuQ1kyMDE3LjcvMTYvMjAxOC5MRlIuRi5VU0QuSAEAAADmxRgAAgAAAActMzguNjg5AQgAAAAFAAAAATEBAAAACjE4ODA1NDczOTUDAAAAAzE2MAIAAAAENDA1MQQAAAABMAcAAAAJNy8xNi8yMDE4CAAAAAoxMi8zMS8yMDE3CQAAAAEwxP8bETUJ1ghzOWASNQnWCCFDSVEuSVFUUjMwMjg2NjYyNy5JUV9UUl9CVVlFUk5BTUUBAAAAw2ANEgMAAAAXSnVubyBUaGVyYXBldXRpY3MsIEluYy4AWM8SDjUJ1ggMPoUONQnWCDpDSVEuWFRSQTpNT1IuSVFfTkVUX1dPUktJTkdfQ0FQLjIwMDAuNy8zMS8yMDE4LkxGUi5GLlVTRC5IAQAAAN8RAgACAAAACi0xMi43ODE0NDUBCAAAAAUAAAABMQEAAAAKMTg4NjE1MTY0OAMAAAADMTYwAgAAAAQxMzExBAAAAAEwBwAAAAk3LzMxLzIwMTgIAAAACTMvMzEvMjAxOAkAAAABMJwL1TgICdYI1F+YbzQJ1ggjQ0lRLk5BU0RBUUdNOkFGTUQuSVFfUEVSSU9EREFURV9JUy4BAAAA2/cMAAUAAAAJNi8zMC8yMDE4ACkclBA1CdYIMNddEjUJ1gg4Q0lRLk5BU0RBUUdTOlRTUk8uSVFfR1JPU1NfTUFS</t>
  </si>
  <si>
    <t>R0lOLi43LzE2LzIwMTguTEZSLkYuVVNELkgBAAAAaNZYBgIAAAAHODEuMjI1NQEIAAAABQAAAAExAQAAAAoxODg2MzM3NDY2AwAAAAMxNjACAAAABDQwNzQEAAAAATAHAAAACTcvMTYvMjAxOAgAAAAJMy8zMS8yMDE4CQAAAAEwxP8bETUJ1ggS/mQSNQnWCD9DSVEuTkFTREFRR1M6TVJTTi5JUV9ORVRfV09SS0lOR19DQVAuMTk5Ni43LzMxLzIwMTguTEZSLkYuVVNELkgBAAAA5sUYAAIAAAAHLTMwLjg1MwEIAAAABQAAAAExAQAAAAoxODg5MDk2NTk3AwAAAAMxNjACAAAABDEzMTEEAAAAATAHAAAACTcvMzEvMjAxOAgAAAAJMy8zMS8yMDE3CQAAAAEw1owROAgJ1gjDhp9vNAnWCDhDSVEuTkFTREFRR1M6Sk5DRS5JUV9HUk9TU19NQVJHSU4uLjcvMTYvMjAxOC5MRlIuRi5VU0QuSAEAAADieZ4NAgAAAAc0NC42NTU0AQgAAAAFAAAAATEBAAAACjE4ODgxODYzNzQDAAAAAzE2MAIAAAAENDA3NAQAAAABMAcAAAAJNy8xNi8yMDE4CAAAAAkzLzMxLzIwMTgJAAAAATApHJQQNQnWCJgSWRI1CdYIKENJUS5OQVNEQVFHUzpTR0VOLklRX0NBUEVYLi4uTEZSLkYuVVNELkgBAAAAYYUAAAIAAAAGLTAuNjU2AQgAAAAFAAAAATEBAAAACjE4OTcyMzM1MTgDAAAAAzE2MAIAAAAEMjAyMQQAAAABMAcAAAAJOC8yMy8yMDE4CAAAAAk2LzMwLzIwMTgJAAAAATBGnRkRNQnWCEadGRE1CdYIQkNJUS5OQVNEQVFHUzpNUlNO</t>
  </si>
  <si>
    <t>LklRX1RPVEFMX1JFVl8yWVJfQU5OX0NBR1IuLjcvMTYvMjAxOC5MRlIuRi5VU0QuSAEAAADmxRgAAwAAAAAAKRyUEDUJ1ghzOWASNQnWCD9DSVEuTkFTREFRR006Q1JJUy5JUV9ORVRfV09SS0lOR19DQVAuMTk5Mi43LzMxLzIwMTguTEZSLkYuVVNELkgBAAAAF2oAAAIAAAAJLTMuNzEzNzA1AQgAAAAFAAAAATEBAAAACjE4NDA1MDEwOTkDAAAAAzE2MAIAAAAEMTMxMQQAAAABMAcAAAAJNy8zMS8yMDE4CAAAAAkzLzMxLzIwMTYJAAAAATDIMLI3CAnWCN1LpG80CdYIOkNJUS5OQVNEQVFHUzpFUFpNLklRX0VBUk5JTkdfQ08uMTk5Mi43LzMxLzIwMTguTEZSLkYuVVNELkgBAAAAAyY9AwIAAAAHLTkzLjkyOQEIAAAABQAAAAExAQAAAAoxODQwNjMwMzk0AwAAAAMxNjACAAAAATcEAAAAATAHAAAACTcvMzEvMjAxOAgAAAAJMy8zMS8yMDE2CQAAAAEw1owROAgJ1ghzJJ1vNAnWCDtDSVEuTkFTREFRR006RkFURS5JUV9FQklUX01BUkdJTi4yMDAwLjcvMzEvMjAxOC5MRlIuRi5VU0QuSAEAAABoMVcCAwAAAAJOTQEIAAAABQAAAAExAQAAAAoxODg4NTAwNTI3AwAAAAMxNjACAAAABDQwNTMEAAAAATAHAAAACTcvMzEvMjAxOAgAAAAJMy8zMS8yMDE4CQAAAAEw1owROAgJ1gjDhp9vNAnWCCdDSVEuTkFTREFRR1M6TVJTTi5JUV9CRVRBXzVZUi43LzMxLzIwMTgBAAAA5sUYAAMAAAAAANaMETgICdYIw4afbzQJ</t>
  </si>
  <si>
    <t>1ghGQ0lRLk5BU0RBUUdTOk1SU04uSVFfVE9UQUxfUkVWXzNZUl9BTk5fQ0FHUi4yMDAwLjcvMzEvMjAxOC5MRlIuRi5VU0QuSAEAAADmxRgAAwAAAAAA1owROAgJ1gjDhp9vNAnWCD5DSVEuTkFTREFRR1M6QURYUy5JUV9UT1RBTF9FUVVJVFkuQ1kyMDE3LjcvMTYvMjAxOC5MRlIuRi5VU0QuSAEAAACe7HgAAgAAAAkzOS4yNzA4MDUBCAAAAAUAAAABMQEAAAAKMTg3ODAxMjQ3MwMAAAADMTYwAgAAAAQxMjc1BAAAAAEwBwAAAAk3LzE2LzIwMTgIAAAACTEvMzEvMjAxOAkAAAABMCkclBA1CdYI5HRbEjUJ1ggnQ0lRLk5BU0RBUUNNOk1URU0uSVFfQkVUQV81WVIuNy8zMS8yMDE4AQAAAJmbqQEDAAAAAADIMLI3CAnWCBnpoW80CdYIPENJUS5OQVNEQVFHUzpHVEhYLklRX0VCSVREQV9FU1QuQ1kyMDE4LjcvMzEvMjAxOC5DT04uRi5VU0QuSAEAAABlNGkIAgAAAAktODYuODM4NTUBDgAAAAUAAAACMTEBAAAAATACAAAACjEwMDM3NTE1ODIDAAAABjEwMDE4NwQAAAABMgYAAAABMAcAAAADMTYwCAAAAAEwCQAAAAExCgAAAAEwCwAAAAsxMDkwOTU0MzExNQwAAAABNw0AAAAIOC8xLzIwMTgQAAAACTcvMzEvMjAxOJwL1TgICdYIJMKabzQJ1gg7Q0lRLk5BU0RBUUdTOk1SU04uSVFfVE9UQUxfUkVWLkNZMjAxNy43LzE2LzIwMTguTEZSLkYuVVNELkgBAAAA5sUYAAIAAAAGMTcuNTQ1AQgAAAAFAAAAATEBAAAA</t>
  </si>
  <si>
    <t>CjE4ODA1NDczOTUDAAAAAzE2MAIAAAACMjgEAAAAATAHAAAACTcvMTYvMjAxOAgAAAAKMTIvMzEvMjAxNwkAAAABMMT/GxE1CdYIczlgEjUJ1gg6Q0lRLk9UQ1BLOk5XQk8uSVFfUkVWRU5VRV9FU1QuQ1kyMDIwLjcvMTYvMjAxOC5DT04uRi5VU0QuSAEAAACjehQAAwAAAAAAKRyUEDUJ1ghzOWASNQnWCEZDSVEuTkFTREFRR1M6QVROWC5JUV9UT1RBTF9SRVZfNVlSX0FOTl9DQUdSLjIwMDAuNy8zMS8yMDE4LkxGUi5GLlVTRC5IAQAAANyZawEDAAAAAADWjBE4CAnWCCTCmm80CdYINUNJUS5PVENQSzpOV0JPLklRX0VCSVREQS5DWTIwMTYuNy8xNi8yMDE4LkxGUi5GLlVTRC5IAQAAAKN6FAACAAAABy03OS4wNzcBCAAAAAUAAAABMQEAAAAKMTg4MzI0OTA2NQMAAAADMTYwAgAAAAQ0MDUxBAAAAAEwBwAAAAk3LzE2LzIwMTgIAAAACjEyLzMxLzIwMTYJAAAAATApHJQQNQnWCHM5YBI1CdYIOkNJUS5OQVNEQVFHTTpBUlJZLklRX0VBUk5JTkdfQ08uMTk5Ni43LzMxLzIwMTguTEZSLkYuVVNELkgBAAAA+GEAAAIAAAAHLTExMi4yNAEIAAAABQAAAAExAQAAAAoxODg4NDcwNjU2AwAAAAMxNjACAAAAATcEAAAAATAHAAAACTcvMzEvMjAxOAgAAAAJMy8zMS8yMDE3CQAAAAEwnAvVOAgJ1ggkwppvNAnWCClDSVEuSVFUUjQwOTk1MTg4Ni5JUV9CVVNJTkVTU19ERVNDUklQVElPTgEAAACYs1wNAwAAAL8FVmly</t>
  </si>
  <si>
    <t>dHR1IEJpb2xvZ2ljcyBMaW1pdGVkIGlzIGEgYmlvdGVjaG5vbG9neSBjb21wYW55IHRoYXQgZW5nYWdlcyBpbiB0aGUgZGV2ZWxvcG1lbnQgb2Ygb25jb2x5dGljIHZpcnVzZXMgZm9yIHRyZWF0aW5nIGNhbmNlci4gSXQgZGV2ZWxvcHMgU0VQUkVIVklSLCBhbiBvbmNvbHl0aWMgaW1tdW5vdGhlcmFweSBkZXJpdmVkIGZyb20gYSBtb2RpZmllZCB2ZXJzaW9uIG9mIHRoZSBjb21tb24gaHVtYW4gaGVycGVzIHNpbXBsZXggdmlydXMgdG8gdHJlYXQgcGF0aWVudHMgd2l0aCB2YXJpb3VzIHR5cGVzIG9mIGNhbmNlciwgaW5jbHVkaW5nIGJyYWluLCBtZWxhbm9tYSwgaGVhZCBhbmQgbmVjayBjYW5jZXIsIHNhcmNvbWFzLCBuZXVyb2JsYXN0b21hLCBhbmQgbWVzb3RoZWxpb21hLiBUaGUgY29tcGFueSB3YXMgZm9ybWVybHkga25vd24gYXMgQ3J1c2FkZSBMYWJvcmF0b3JpZXMgTGltaXRlZCBhbmQgY2hhbmdlZCBpdHMgbmFtZSB0byBWaXJ0dHUgQmlvbG9naWNzIExpbWl0ZWQgaW4gQXVndXN0IDIwMTEuIFZpcnR0dSBCaW9sb2dpY3MgTGltaXRlZCB3YXMgaW5jb3Jwb3JhdGVkIGluIDE5OTkgYW5kIGlzIGJhc2VkIGluIExlZWRzLCBVbml0ZWQgS2luZ2RvbS4gQXMgb2YgQXByaWwgMjgsIDIwMTcsIFZpcnR0dSBCaW9sb2dpY3MgTGltaXRlZCBvcGVyYXRlcyBhcyBhIHN1YnNpZGlhcnkgb2YgVE5L</t>
  </si>
  <si>
    <t>IFRoZXJhcGV1dGljcywgSW5jLgAMbRAONQnWCMDbgg41CdYIPUNJUS5OQVNEQVFDTTpNVEVNLklRX1JFVkVOVUVfRVNULkNZMjAyMC43LzMxLzIwMTguQ09OLkYuVVNELkgBAAAAmZupAQMAAAAAAMgwsjcICdYIGemhbzQJ1ggkQ0lRLk5BU0RBUUdTOkNUTVguSVFfRUZGRUNUX1RBWF9SQVRFAQAAANw4mwMDAAAAAk5NAQgAAAAFAAAAATEBAAAACjE4OTkyNzQyMjMDAAAAAzE2MAIAAAAENDM3NgQAAAABMAcAAAAJOC8yMy8yMDE4CAAAAAk2LzMwLzIwMTgJAAAAATDE/xsRNQnWCMKbYhI1CdYIM0NJUS5OQVNEQVFHUzpTR0VOLklRX0VBUk5JTkdfQ08uQ1kyMDE3Li5MRlIuRi5VU0QuSAEAAABhhQAAAgAAAActMTI1LjUzAQgAAAAFAAAAATEBAAAACjE4NzQ2OTYyMjADAAAAAzE2MAIAAAABNwQAAAABMAcAAAAJOC8yMy8yMDE4CAAAAAoxMi8zMS8yMDE3CQAAAAEwRp0ZETUJ1ghGnRkRNQnWCDRDSVEuKElOVkFMSUQgSURFTlRJRklFUikuSVFfRElWSURFTkRfWUlFTEQuNy8xNi8yMDE4BQAAAAAAAAAIAAAAFChJbnZhbGlkIElkZW50aWZpZXIp3qd+EDUJ1giYElkSNQnWCDZDSVEuTkFTREFRR1M6Q0FMQS5JUV9FQklUREEuMjAwMC43LzMxLzIwMTguTEZSLkYuVVNELkgBAAAApSeBBgIAAAAHLTM3LjMzMwEIAAAABQAAAAExAQAAAAoxODg3OTgwMzA1AwAAAAMxNjACAAAABDQwNTEEAAAAATAHAAAACTcv</t>
  </si>
  <si>
    <t>MzEvMjAxOAgAAAAJMy8zMS8yMDE4CQAAAAEwyDCyNwgJ1gjdS6RvNAnWCDZDSVEuWFRSQTpNT1IuSVFfUFJFRl9FUVVJVFkuMjAwMC43LzMxLzIwMTguTEZSLkYuVVNELkgBAAAA3xECAAMAAAAAAJwL1TgICdYI1F+YbzQJ1ggvQ0lRLklRVFI1MzM2Mzk1MDEuSVFfVFJfSU1QTElFRF9FVl9GSU5BTC4uVVNELkgBAAAATbHOHwIAAAAAAAxtEA41CdYIwNuCDjUJ1gg8Q0lRLk5BU0RBUUNNOlpJT1AuSVFfRUJJVERBX0VTVC5DWTIwMjAuNy8zMS8yMDE4LkNPTi5GLlVTRC5IAQAAALNRsgACAAAAAy02NAEOAAAABQAAAAIxMQEAAAABMAIAAAAKMTAwMDg5ODA3NgMAAAAGMTAwMTg3BAAAAAEyBgAAAAEwBwAAAAMxNjAIAAAAATAJAAAAATEKAAAAATALAAAACzEwOTMxNTMzNTY5DAAAAAE3DQAAAAg4LzEvMjAxOBAAAAAJNy8zMS8yMDE41owROAgJ1gjDhp9vNAnWCDdDSVEuQVNYOklNVS5JUV9SRVZFTlVFX0VTVC5DWTIwMTkuNy8xNi8yMDE4LkNPTi5GLlVTRC5IAQAAAJiTqQADAAAAAAApHJQQNQnWCDDXXRI1CdYIPENJUS5OQVNEQVFHUzpBVE5YLklRX0VCSVREQV9FU1QuQ1kyMDE5LjcvMzEvMjAxOC5DT04uRi5VU0QuSAEAAADcmWsBAgAAAAktNDguNTI3NTQBDgAAAAUAAAACMTEBAAAAATACAAAACjEwMDM3NzgzNjkDAAAABjEwMDE4NwQAAAABMgYAAAABMAcAAAADMTYwCAAAAAEwCQAAAAExCgAAAAEw</t>
  </si>
  <si>
    <t>CwAAAAsxMTA0MTYyNjk1MgwAAAABNw0AAAAIOC8xLzIwMTgQAAAACTcvMzEvMjAxONaMETgICdYIJMKabzQJ1gg9Q0lRLk5BU0RBUUdTOktVUkEuSVFfUkVWRU5VRV9FU1QuQ1kyMDE5LjcvMzEvMjAxOC5DT04uRi5VU0QuSAEAAAC4y9oQAgAAAAUyMC40NgEOAAAABQAAAAIxMQEAAAABMAIAAAAKMTAwMzE4NDk5MAMAAAAGMTAwMTgwBAAAAAEyBgAAAAEwBwAAAAMxNjAIAAAAATAJAAAAATEKAAAAATALAAAACzExMDIzMTA0NjExDAAAAAE3DQAAAAg4LzEvMjAxOBAAAAAJNy8zMS8yMDE41owROAgJ1ghzJJ1vNAnWCEZDSVEuTkFTREFRQ006U1JORS5JUV9UT1RBTF9SRVZfNVlSX0FOTl9DQUdSLjIwMDAuNy8zMS8yMDE4LkxGUi5GLlVTRC5IAQAAAElDlAMCAAAABzIwMi4yMzIBCAAAAAUAAAABMQEAAAAKMTg4Nzk4OTgzMQMAAAADMTYwAgAAAAQ0MjMzBAAAAAEwBwAAAAk3LzMxLzIwMTgIAAAACTMvMzEvMjAxOAkAAAABMNaMETgICdYIcySdbzQJ1ggjQ0lRLlhUUkE6TU9SLklRX1RFVi43LzMxLzIwMTguVVNELkgBAAAA3xECAAIAAAALMzg0OS41NDc3NzcBBgAAAAUAAAABMQEAAAAKMTg4NjE1MTU5OAMAAAADMTYwAgAAAAYxMDAwNjAEAAAAATAHAAAACTcvMzEvMjAxOJwL1TgICdYI1F+YbzQJ1ggxQ0lRLklRVFIzMDc4NjM5ODQuSVFfVFJfVEFSR0VUX1JFVkVOVUVfRVNULi5VU0QuSAEAAACwoVkS</t>
  </si>
  <si>
    <t>AgAAAAAAWM8SDjUJ1gjA24IONQnWCCdDSVEuTkFTREFRR006TkxOSy5JUV9CRVRBXzVZUi43LzE2LzIwMTgBAAAAlXuMAAIAAAAQMS41MDg5MTk0MTAwODQzMwApHJQQNQnWCOR0WxI1CdYII0NJUS5JUVRSMjczNTA3MTg1LklRX1RSX1RPVEFMX1NUT0NLAQAAAHFjTRACAAAAAACys0lvNAnWCIH9lW80CdYILENJUS5OQVNEQVFHUzpCR05FLklRX0NBUEVYLjE5OTYuLkxGUi5GLlVTRC5IAQAAAODk3QYCAAAABy0yMy42MjUBCAAAAAUAAAABMQEAAAAKMTg5OTkwMDYxOAMAAAADMTYwAgAAAAQyMDIxBAAAAAEwBwAAAAk4LzIzLzIwMTgIAAAACTYvMzAvMjAxNwkAAAABMJwL1TgICdYInAvVOAgJ1ggrQ0lRLk5BU0RBUUdTOkVQWk0uSVFfTEFTVFNBTEVQUklDRS41LzUvMjAxNwEAAAADJj0DAgAAAAQxNi4zANaMETgICdYIcySdbzQJ1gglQ0lRLklRVFI1NTExNjYyOTIuSVFfUFJJTUFSWV9JTkRVU1RSWQEAAAALZAAAAwAAAA1CaW90ZWNobm9sb2d5AAxtEA41CdYIwNuCDjUJ1gg6Q0lRLk5BU0RBUUdNOklNTVUuSVFfRUFSTklOR19DTy4xOTk2LjcvMzEvMjAxOC5MRlIuRi5VU0QuSAEAAAAgQwQAAgAAAAstMTE1LjkyMjc5MwEIAAAABQAAAAExAQAAAAoxODg4NTIzMzkyAwAAAAMxNjACAAAAATcEAAAAATAHAAAACTcvMzEvMjAxOAgAAAAJMy8zMS8yMDE3CQAAAAEwnAvVOAgJ1gjUX5hvNAnWCDxDSVEu</t>
  </si>
  <si>
    <t>TkFTREFRR1M6Q1RNWC5JUV9FQVJOSU5HX0NPLkNZMjAxNy43LzE2LzIwMTguTEZSLkYuVVNELkgBAAAA3DibAwIAAAAHLTQzLjA5OQEIAAAABQAAAAExAQAAAAoxODc3MzE2NzY5AwAAAAMxNjACAAAAATcEAAAAATAHAAAACTcvMTYvMjAxOAgAAAAKMTIvMzEvMjAxNwkAAAABMMT/GxE1CdYIwptiEjUJ1ggpQ0lRLklRVFI0MDM3OTE3NjcuSVFfVFJfSU1QTElFRF9FUV9OSV9MVE0BAAAAl18RGAIAAAAAAFjPEg41CdYIwNuCDjUJ1gg8Q0lRLk5BU0RBUUdNOkFGTUQuSVFfRUJJVERBX0VTVC5DWTIwMTkuNy8xNi8yMDE4LkNPTi5GLlVTRC5IAQAAANv3DAADAAAAAAApHJQQNQnWCDDXXRI1CdYIIkNJUS5PVENQSzpOV0JPLklRX0ZJUlNUUFJJQ0lOR0RBVEUBAAAAo3oUAAUAAAAKMTIvMTQvMjAwMQApHJQQNQnWCHM5YBI1CdYIO0NJUS5OQVNEQVFHTTpBUlFMLklRX1RPVEFMX1JFVi5DWTIwMTcuNy8zMS8yMDE4LkxGUi5GLlVTRC5IAQAAAPZhAAADAAAAAADWjBE4CAnWCHMknW80CdYIOENJUS5OQVNEQVFDTTpTUk5FLklRX0VCSVREQS5DWTIwMTYuNy8zMS8yMDE4LkxGUi5GLlVTRC5IAQAAAElDlAMCAAAABy01Ny4wMTMBCAAAAAUAAAABMQEAAAAKMTg3ODY3NzQ1MwMAAAADMTYwAgAAAAQ0MDUxBAAAAAEwBwAAAAk3LzMxLzIwMTgIAAAACjEyLzMxLzIwMTYJAAAAATDWjBE4CAnWCHMknW80CdYIPENJ</t>
  </si>
  <si>
    <t>US5OQVNEQVFDTTpTUk5FLklRX1RPVEFMX0VRVUlUWS4xOTkyLjcvMzEvMjAxOC5MRlIuRi5VU0QuSAEAAABJQ5QDAgAAAAY4OC45NjMBCAAAAAUAAAABMQEAAAAKMTg0MjI1MTEyMwMAAAADMTYwAgAAAAQxMjc1BAAAAAEwBwAAAAk3LzMxLzIwMTgIAAAACTMvMzEvMjAxNgkAAAABMNaMETgICdYIcySdbzQJ1ggsQ0lRLklRVFIyNTM5NTQ0NzMuSVFfVFJfVEFSR0VUX0VCSVREQS4uVVNELkgBAAAAqQkjDwIAAAAAALKzSW80CdYINZuTbzQJ1gguQ0lRLk5BU0RBUUdTOkVQWk0uSVFfTUFSS0VUQ0FQLjcvMzEvMjAxOC5VU0QuSAEAAAADJj0DAgAAAAo4OTYuMzkyNzIzAQYAAAAFAAAAATEBAAAACjE4ODcyNDU0NDgDAAAAAzE2MAIAAAAGMTAwMDU0BAAAAAEwBwAAAAk3LzMxLzIwMTjWjBE4CAnWCCTCmm80CdYIKkNJUS5FTlhUUEE6SVBILklRX0RJVklERU5EX1lJRUxELjcvMTYvMjAxOAEAAACZgAYAAwAAAAAAKRyUEDUJ1ghzOWASNQnWCD1DSVEuTkFTREFRR1M6U0dFTi5JUV9SRVZFTlVFX0VTVC5DWTIwMjEuNy8xNi8yMDE4LkNPTi5GLlVTRC5IAQAAAGGFAAACAAAACTE0OTYuNjk2NgEOAAAABQAAAAIxMQEAAAABMAIAAAAKMTAwMTAxMDQ1NQMAAAAGMTAwMTgwBAAAAAEyBgAAAAEwBwAAAAMxNjAIAAAAATAJAAAAATEKAAAAATALAAAACzEwOTY1ODQ1MTg2DAAAAAE3DQAAAAk3LzE3LzIwMTgQAAAA</t>
  </si>
  <si>
    <t>CTcvMTYvMjAxOMT/GxE1CdYIaGBnEjUJ1gg8Q0lRLk5BU0RBUUdTOkFEWFMuSVFfRUJJVERBX0VTVC5DWTIwMTguNy8xNi8yMDE4LkNPTi5GLlVTRC5IAQAAAJ7seAADAAAAAAApHJQQNQnWCOR0WxI1CdYILUNJUS5OQVNEQVFHTTpBUlJZLklRX01BUktFVENBUC41LzUvMjAxNy5VU0QuSAEAAAD4YQAAAgAAAAsxMjEzLjQ3MjAxOQEGAAAABQAAAAExAQAAAAoxODI2ODM3OTE4AwAAAAMxNjACAAAABjEwMDA1NAQAAAABMAcAAAAINS81LzIwMTecC9U4CAnWCCTCmm80CdYIPUNJUS5OQVNEQVFHUzpHVEhYLklRX1JFVkVOVUVfRVNULkNZMjAxOS43LzMxLzIwMTguQ09OLkYuVVNELkgBAAAAZTRpCAIAAAABMAEOAAAABQAAAAIxMQEAAAABMAIAAAAKMTAwMzc1MTU4NwMAAAAGMTAwMTgwBAAAAAEyBgAAAAEwBwAAAAMxNjAIAAAAATAJAAAAATEKAAAAATALAAAACzExMDI5ODQ0Nzk5DAAAAAE3DQAAAAg4LzEvMjAxOBAAAAAJNy8zMS8yMDE4nAvVOAgJ1ggkwppvNAnWCD1DSVEuTkFTREFRR1M6QURYUy5JUV9SRVZFTlVFX0VTVC5DWTIwMTkuNy8xNi8yMDE4LkNPTi5GLlVTRC5IAQAAAJ7seAACAAAABjguODYxNQEOAAAABQAAAAIxMQEAAAABMAIAAAAJNjUwNjU1MDU2AwAAAAYxMDAxODAEAAAAATIGAAAAATAHAAAAAzE2MAgAAAABMAkAAAABMQoAAAABMAsAAAALMTA5MjQwNjUyMjgMAAAAATcNAAAACTcv</t>
  </si>
  <si>
    <t>MTcvMjAxOBAAAAAJNy8xNi8yMDE4KRyUEDUJ1gjkdFsSNQnWCD1DSVEuTkFTREFRR006SU1NVS5JUV9SRVZFTlVFX0VTVC5DWTIwMTkuNy8xNi8yMDE4LkNPTi5GLlVTRC5IAQAAACBDBAACAAAABzg4LjA2NjcBDgAAAAUAAAACMTEBAAAAATACAAAACTI4NDQzNDAyNQMAAAAGMTAwMTgwBAAAAAEyBgAAAAEwBwAAAAMxNjAIAAAAATAJAAAAATEKAAAAATALAAAACzEwOTU4Njc2MDQ3DAAAAAE3DQAAAAk3LzE3LzIwMTgQAAAACTcvMTYvMjAxOMT/GxE1CdYIaGBnEjUJ1ghNQ0lRLihJTlZBTElEIElERU5USUZJRVIpLklRX1RPVEFMX1JFVl8zWVJfQU5OX0NBR1IuMjAwMC43LzMxLzIwMTguTEZSLkYuVVNELkgFAAAAAAAAAAgAAAAUKEludmFsaWQgSWRlbnRpZmllcinIMLI3CAnWCO02sG80CdYIOENJUS5OQVNEQVFHUzpGUFJYLklRX1RPVEFMX0VRVUlUWS4uNy8xNi8yMDE4LkxGUi5GLlVTRC5IAQAAADddMwACAAAABzM2Mi4yMTYBCAAAAAUAAAABMQEAAAAKMTg4NzQwMjIyNwMAAAADMTYwAgAAAAQxMjc1BAAAAAEwBwAAAAk3LzE2LzIwMTgIAAAACTMvMzEvMjAxOAkAAAABMCkclBA1CdYIczlgEjUJ1ggpQ0lRLklRMzYxODM4MjguSVFfTEFTVFNBTEVQUklDRS43LzMxLzIwMTgBAAAAFB8oAgIAAAAEMi43NwBJU0dvNAnWCIH9lW80CdYILkNJUS5OQVNEQVFHTTpBRk1ELklRX01BUktFVENBUC43LzE2</t>
  </si>
  <si>
    <t>LzIwMTguVVNELkgBAAAA2/cMAAIAAAAKMTA5LjE4MjYxOQEGAAAABQAAAAExAQAAAAoxODg5ODY1NTk1AwAAAAMxNjACAAAABjEwMDA1NAQAAAABMAcAAAAJNy8xNi8yMDE4KRyUEDUJ1ggw110SNQnWCD1DSVEuTkFTREFRR1M6QkdORS5JUV9SRVZFTlVFX0VTVC5DWTIwMTguNy8xNi8yMDE4LkNPTi5GLlVTRC5IAQAAAODk3QYCAAAACTEwNS42MzY2NwEOAAAABQAAAAIxMQEAAAABMAIAAAAKMTAwMzMyNjI2MwMAAAAGMTAwMTgwBAAAAAEyBgAAAAEwBwAAAAMxNjAIAAAAATAJAAAAATEKAAAAATALAAAACzExMDMyMzY1OTQ2DAAAAAE3DQAAAAk3LzE3LzIwMTgQAAAACTcvMTYvMjAxOMT/GxE1CdYIaGBnEjUJ1gg7Q0lRLk5BU0RBUUdNOkFSUlkuSVFfUFJFRl9FUVVJVFkuMjAwMC43LzMxLzIwMTguTEZSLkYuVVNELkgBAAAA+GEAAAMAAAAAAJwL1TgICdYI1F+YbzQJ1gg5Q0lRLk5BU0RBUUdTOk1SU04uSVFfRUJJVERBX01BUkdJTi4uNy8xNi8yMDE4LkxGUi5GLlVTRC5IAQAAAObFGAACAAAACS0yNjUuMjc5NwEIAAAABQAAAAExAQAAAAoxODg5MDk2NjUzAwAAAAMxNjACAAAABDQwNDcEAAAAATAHAAAACTcvMTYvMjAxOAgAAAAJMy8zMS8yMDE4CQAAAAEwxP8bETUJ1ghzOWASNQnWCDBDSVEuTkFTREFRR1M6VFNSTy5JUV9MQVNUU0FMRVBSSUNFLjcvMTYvMjAxOC5VU0QBAAAAaNZYBgIAAAAFNDAu</t>
  </si>
  <si>
    <t>NTUARp0ZETUJ1ggS/mQSNQnWCCxDSVEuSVFUUjU0NzQyMzY4MC5JUV9UUl9UQVJHRVRfRUJJVERBLi5VU0QuSAEAAADABaEgAgAAAAgtMTIwLjA1MgEGAAAABQAAAAIzNwEAAAAKMTg2NDQ2NDE4NAIAAAAFMjE2NzcDAAAAAzE2MAQAAAABMAcAAAAIMS8xLzE5MDAMbRAONQnWCMDbgg41CdYIKkNJUS5JUVRSNTYzOTE5MDQ5LklRX1RSX1RBUkdFVF9FQklULi5VU0QuSAEAAADJuJwhAgAAAActNTUuMzcyAQYAAAAFAAAAAjM3AQAAAAoxODg4OTc5MDk1AgAAAAUyMTY3NQMAAAADMTYwBAAAAAEwBwAAAAgxLzEvMTkwMAxtEA41CdYIwNuCDjUJ1ghCQ0lRLk5BU0RBUUdTOkJHTkUuSVFfVE9UQUxfUkVWXzNZUl9BTk5fQ0FHUi4uNy8xNi8yMDE4LkxGUi5GLlVTRC5IAQAAAODk3QYCAAAACDE4My45NDIzAQgAAAAFAAAAATEBAAAACjE4ODc2ODg1ODgDAAAAAzE2MAIAAAAENDIyMAQAAAABMAcAAAAJNy8xNi8yMDE4CAAAAAkzLzMxLzIwMTgJAAAAATDE/xsRNQnWCGhgZxI1CdYIRENJUS4oSU5WQUxJRCBJREVOVElGSUVSKS5JUV9SRVZFTlVFX0VTVC5DWTIwMTguNy8xNi8yMDE4LkNPTi5GLlVTRC5IBQAAAAAAAAAIAAAAFChJbnZhbGlkIElkZW50aWZpZXIpIAqBEDUJ1giYElkSNQnWCDZDSVEuTkFTREFRQ006U1JORS5JUV9FQklUREEuMTk5Mi43LzMxLzIwMTguTEZSLkYuVVNELkgBAAAASUOUAwIAAAAH</t>
  </si>
  <si>
    <t>LTQ5LjQ3NwEIAAAABQAAAAExAQAAAAoxODQyMjUxMTIzAwAAAAMxNjACAAAABDQwNTEEAAAAATAHAAAACTcvMzEvMjAxOAgAAAAJMy8zMS8yMDE2CQAAAAEw1owROAgJ1ghzJJ1vNAnWCD5DSVEuTkFTREFRQ006U1JORS5JUV9DQVNIX1NUX0lOVkVTVC4yMDAwLjcvMzEvMjAxOC5MRlIuRi5VU0QuSAEAAABJQ5QDAgAAAAYyNC42OTYBCAAAAAUAAAABMQEAAAAKMTg4Nzk4OTgzMQMAAAADMTYwAgAAAAQxMDAyBAAAAAEwBwAAAAk3LzMxLzIwMTgIAAAACTMvMzEvMjAxOAkAAAABMNaMETgICdYIcySdbzQJ1gg2Q0lRLk5BU0RBUUdNOkNSVlMuSVFfRUJJVERBLjE5OTYuNy8zMS8yMDE4LkxGUi5GLlVTRC5IAQAAAPSwphACAAAABy00Ni4wNzUBCAAAAAUAAAABMQEAAAAKMTg4NjM2NzU3OQMAAAADMTYwAgAAAAQ0MDUxBAAAAAEwBwAAAAk3LzMxLzIwMTgIAAAACTMvMzEvMjAxNwkAAAABMNaMETgICdYIGemhbzQJ1ggzQ0lRLk5BU0RBUUdTOlNHRU4uSVFfRUFSTklOR19DTy5DWTIwMTYuLkxGUi5GLlVTRC5IAQAAAGGFAAACAAAACC0xNDAuMTExAQgAAAAFAAAAATEBAAAACjE4NzQ2OTYxOTYDAAAAAzE2MAIAAAABNwQAAAABMAcAAAAJOC8yMy8yMDE4CAAAAAoxMi8zMS8yMDE2CQAAAAEwRp0ZETUJ1ghGnRkRNQnWCCxDSVEuSVFUUjQxMzk1MzY2MS5JUV9UUl9UQVJHRVRfRUJJVERBLi5VU0QuSAEAAAB9</t>
  </si>
  <si>
    <t>bqwYAgAAAAAAsrNJbzQJ1giB/ZVvNAnWCDFDSVEuTkFTREFRR006TFBUWC5JUV9EQV9DRi4uNy8xNi8yMDE4LkxGUi5GLlVTRC5IAQAAAAw2CQcCAAAABTAuMDM1AQgAAAAFAAAAATEBAAAACjE4OTAxNjM5MzYDAAAAAzE2MAIAAAAEMjE2MAQAAAABMAcAAAAJNy8xNi8yMDE4CAAAAAkzLzMxLzIwMTgJAAAAATApHJQQNQnWCGhgZxI1CdYIOENJUS5OQVNEQVFHUzpDQUxBLklRX0VCSVREQS5DWTIwMTcuNy8zMS8yMDE4LkxGUi5GLlVTRC5IAQAAAKUngQYCAAAABy0yOS4zMjEBCAAAAAUAAAABMQEAAAAKMTg3Nzk1NTcwNwMAAAADMTYwAgAAAAQ0MDUxBAAAAAEwBwAAAAk3LzMxLzIwMTgIAAAACjEyLzMxLzIwMTcJAAAAATDIMLI3CAnWCN1LpG80CdYIIUNJUS5JUVRSMzE0ODI5MjM2LklRX1RSX0JVWUVSTkFNRQEAAAC06cMSAwAAABlOb3ZhcnRpcyBJbnRlcm5hdGlvbmFsIEFHAFjPEg41CdYIwNuCDjUJ1gg8Q0lRLk5BU0RBUUdTOkNBTEEuSVFfRUJJVERBX0VTVC5DWTIwMTkuNy8xNi8yMDE4LkNPTi5GLlVTRC5IAQAAAKUngQYDAAAAAAApHJQQNQnWCOR0WxI1CdYIOUNJUS5OQVNEQVFHUzpNR05YLklRX0VCSVREQV9NQVJHSU4uLjcvMTYvMjAxOC5MRlIuRi5VU0QuSAEAAABPKwkAAgAAAAgtMTcuMTgyMQEIAAAABQAAAAExAQAAAAoxODg3MTE0OTQ1AwAAAAMxNjACAAAABDQwNDcEAAAAATAHAAAA</t>
  </si>
  <si>
    <t>CTcvMTYvMjAxOAgAAAAJMy8zMS8yMDE4CQAAAAEwxP8bETUJ1gjCm2ISNQnWCDhDSVEuTkFTREFRR1M6VFNSTy5JUV9UT1RBTF9FUVVJVFkuLjcvMTYvMjAxOC5MRlIuRi5VU0QuSAEAAABo1lgGAgAAAAcxMTcuNzI4AQgAAAAFAAAAATEBAAAACjE4ODYzMzc0NjYDAAAAAzE2MAIAAAAEMTI3NQQAAAABMAcAAAAJNy8xNi8yMDE4CAAAAAkzLzMxLzIwMTgJAAAAATDE/xsRNQnWCBL+ZBI1CdYIL0NJUS5JUVRSNTMzNjM5NTAxLklRX1RSX1RBUkdFVF9UT1RBTF9SRVYuLlVTRC5IAQAAAE2xzh8CAAAAAAAMbRAONQnWCMDbgg41CdYINkNJUS5OQVNEQVFDTTpTUk5FLklRX0VCSVREQS4xOTk2LjcvMzEvMjAxOC5MRlIuRi5VU0QuSAEAAABJQ5QDAgAAAActNjcuOTM3AQgAAAAFAAAAATEBAAAACjE4ODc5ODk4MjgDAAAAAzE2MAIAAAAENDA1MQQAAAABMAcAAAAJNy8zMS8yMDE4CAAAAAkzLzMxLzIwMTcJAAAAATDWjBE4CAnWCHMknW80CdYIPENJUS5OQVNEQVFHTTpBUlJZLklRX0VBUk5JTkdfQ08uQ1kyMDE2LjcvMzEvMjAxOC5MRlIuRi5VU0QuSAEAAAD4YQAAAgAAAActOTkuNTk4AQgAAAAFAAAAATEBAAAACjE4NzMyMDM3OTUDAAAAAzE2MAIAAAABNwQAAAABMAcAAAAJNy8zMS8yMDE4CAAAAAoxMi8zMS8yMDE2CQAAAAEwnAvVOAgJ1ggkwppvNAnWCC1DSVEuTkFTREFRQ006TVRFTS5JUV9ESVZJREVO</t>
  </si>
  <si>
    <t>RF9ZSUVMRC43LzMxLzIwMTgBAAAAmZupAQMAAAAAAMgwsjcICdYIGemhbzQJ1ggrQ0lRLklRVFI1NDc0MjM2ODAuSVFfVFJfSU1QTElFRF9FVl9FQklUX0ZXRAEAAADABaEgAwAAAAJOTQAMbRAONQnWCAw+hQ41CdYITUNJUS4oSU5WQUxJRCBJREVOVElGSUVSKS5JUV9UT1RBTF9SRVZfMllSX0FOTl9DQUdSLjIwMDAuNy8zMS8yMDE4LkxGUi5GLlVTRC5IBQAAAAAAAAAIAAAAFChJbnZhbGlkIElkZW50aWZpZXIpyDCyNwgJ1gjtNrBvNAnWCDxDSVEuT1RDUEs6TldCTy5JUV9FQklUREFfMllSX0FOTl9DQUdSLi43LzE2LzIwMTguTEZSLkYuVVNELkgBAAAAo3oUAAMAAAACTk0BCAAAAAUAAAABMQEAAAAKMTg4OTMwMjgyNAMAAAADMTYwAgAAAAQ0MjA5BAAAAAEwBwAAAAk3LzE2LzIwMTgIAAAACTMvMzEvMjAxOAkAAAABMCkclBA1CdYIMNddEjUJ1gg2Q0lRLk5BU0RBUUdTOkpOQ0UuSVFfRUFSTklOR19DTy4uNy8xNi8yMDE4LkxGUi5GLlVTRC5IAQAAAOJ5ng0CAAAABy0yOS44NTYBCAAAAAUAAAABMQEAAAAKMTg4ODE4NjM3NAMAAAADMTYwAgAAAAE3BAAAAAEwBwAAAAk3LzE2LzIwMTgIAAAACTMvMzEvMjAxOAkAAAABMN6nfhA1CdYImBJZEjUJ1gg5Q0lRLk5BU0RBUUdTOkFOQUIuSVFfRUJJVERBX01BUkdJTi4uNy8xNi8yMDE4LkxGUi5GLlVTRC5IAQAAACFMsgEDAAAAAk5NAQgAAAAFAAAAATEB</t>
  </si>
  <si>
    <t>AAAACjE4ODc0MDAwNDMDAAAAAzE2MAIAAAAENDA0NwQAAAABMAcAAAAJNy8xNi8yMDE4CAAAAAkzLzMxLzIwMTgJAAAAATDE/xsRNQnWCMKbYhI1CdYII0NJUS5OQVNEQVFHUzpNR05YLklRX1BFUklPRERBVEVfSVMuAQAAAE8rCQAFAAAACTYvMzAvMjAxOADE/xsRNQnWCMKbYhI1CdYIOkNJUS5OQVNEQVFHTTpMUFRYLklRX0NBU0hfU1RfSU5WRVNULi45LzE1LzIwMTcuTEZSLkYuVVNELkgBAAAADDYJBwIAAAAGMTcuMTcxAQgAAAAFAAAAATEBAAAACjE4NTMxNzIxODUDAAAAAzE2MAIAAAAEMTAwMgQAAAABMAcAAAAJOS8xNS8yMDE3CAAAAAk2LzMwLzIwMTcJAAAAATApHJQQNQnWCDDXXRI1CdYIPkNJUS5OQVNEQVFHUzpHVEhYLklRX1RPVEFMX0VRVUlUWS5DWTIwMTYuNy8zMS8yMDE4LkxGUi5GLlVTRC5IAQAAAGU0aQgCAAAABjQyLjU4NwEIAAAABQAAAAExAQAAAAoxODc1MzI3MzAxAwAAAAMxNjACAAAABDEyNzUEAAAAATAHAAAACTcvMzEvMjAxOAgAAAAKMTIvMzEvMjAxNgkAAAABMNaMETgICdYIJMKabzQJ1gg/Q0lRLk5BU0RBUUdTOkFOQUIuSVFfRUJJVERBXzNZUl9BTk5fQ0FHUi4uNy8xNi8yMDE4LkxGUi5GLlVTRC5IAQAAACFMsgEDAAAAAk5NAQgAAAAFAAAAATEBAAAACjE4ODc0MDAwNDMDAAAAAzE2MAIAAAAENDIyMgQAAAABMAcAAAAJNy8xNi8yMDE4CAAAAAkzLzMxLzIwMTgJAAAA</t>
  </si>
  <si>
    <t>ATDE/xsRNQnWCMKbYhI1CdYIPENJUS5OQVNEQVFHTTpMUFRYLklRX0VCSVREQV9FU1QuQ1kyMDIwLjcvMTYvMjAxOC5DT04uRi5VU0QuSAEAAAAMNgkHAwAAAAAAKRyUEDUJ1ggw110SNQnWCCtDSVEuRU5YVFBBOklQSC5JUV9NQVJLRVRDQVAuNy8xNi8yMDE4LlVTRC5IAQAAAJmABgACAAAACjMwOS44MTcxODcBBgAAAAUAAAABMQEAAAAKMTg4OTU1MjE2MgMAAAADMTYwAgAAAAYxMDAwNTQEAAAAATAHAAAACTcvMTYvMjAxOCkclBA1CdYIczlgEjUJ1ggnQ0lRLk5BU0RBUUdTOkNBTEEuSVFfQkVUQV81WVIuNy8xNi8yMDE4AQAAAKUngQYCAAAAEDIuNTMxODE3MzM0OTI2OTQAKRyUEDUJ1gjkdFsSNQnWCB1DSVEuTkFTREFRR1M6Q1RNWC5JUV9FWENIQU5HRQEAAADcOJsDAwAAAAhOYXNkYXFHUwBGnRkRNQnWCMKbYhI1CdYIPENJUS5FTlhUUEE6SVBILklRX0VCSVREQV81WVJfQU5OX0NBR1IuLjcvMTYvMjAxOC5MRlIuRi5VU0QuSAEAAACZgAYAAwAAAAJOTQEIAAAABQAAAAExAQAAAAoxODg5NTUyMTY0AwAAAAI1MAIAAAAENDIzNQQAAAABMAcAAAAJNy8xNi8yMDE4CAAAAAoxMi8zMS8yMDE3CQAAAAEwKRyUEDUJ1ghzOWASNQnWCD9DSVEuTkFTREFRR1M6VFNSTy5JUV9FQklUREFfM1lSX0FOTl9DQUdSLi43LzE2LzIwMTguTEZSLkYuVVNELkgBAAAAaNZYBgMAAAACTk0BCAAAAAUAAAABMQEAAAAK</t>
  </si>
  <si>
    <t>MTg4NjMzNzQ2NgMAAAADMTYwAgAAAAQ0MjIyBAAAAAEwBwAAAAk3LzE2LzIwMTgIAAAACTMvMzEvMjAxOAkAAAABMMT/GxE1CdYIEv5kEjUJ1gg7Q0lRLk5BU0RBUUdNOklNTVUuSVFfVE9UQUxfUkVWLkNZMjAxNy43LzE2LzIwMTguTEZSLkYuVVNELkgBAAAAIEMEAAIAAAAIMy4yNTMwNDgBCAAAAAUAAAABMQEAAAAKMTg3MzQ5MzUyOAMAAAADMTYwAgAAAAIyOAQAAAABMAcAAAAJNy8xNi8yMDE4CAAAAAoxMi8zMS8yMDE3CQAAAAEwxP8bETUJ1ghoYGcSNQnWCCdDSVEuTkFTREFRR1M6Sk5DRS5JUV9CRVRBXzVZUi43LzE2LzIwMTgBAAAA4nmeDQMAAAAAACAKgRA1CdYImBJZEjUJ1gggQ0lRLklRMzYxODM4MzEuSVFfTEFTVFNBTEVQUklDRS4BAAAAFx8oAgIAAAADMi43AJwL1TgICdYId3mADjUJ1gg3Q0lRLk5BU0RBUUdTOkFEWFMuSVFfUFJFRl9FUVVJVFkuLjkvMTUvMjAxNy5MRlIuRi5VU0QuSAEAAACe7HgAAwAAAAAAKRyUEDUJ1gjkdFsSNQnWCC9DSVEuSVFUUjQwOTk1MTg4Ni5JUV9UUl9UQVJHRVRfVE9UQUxfUkVWLi5VU0QuSAEAAACOXm8YAgAAAAAADG0QDjUJ1gjA24IONQnWCD5DSVEuTkFTREFRQ006U1JORS5JUV9UT1RBTF9FUVVJVFkuQ1kyMDE2LjcvMzEvMjAxOC5MRlIuRi5VU0QuSAEAAABJQ5QDAgAAAAY4Ni41MDIBCAAAAAUAAAABMQEAAAAKMTg3ODY3NzQ1MwMAAAADMTYwAgAA</t>
  </si>
  <si>
    <t>AAQxMjc1BAAAAAEwBwAAAAk3LzMxLzIwMTgIAAAACjEyLzMxLzIwMTYJAAAAATDWjBE4CAnWCHMknW80CdYIOkNJUS5OQVNEQVFHTTpJTU1VLklRX1BSRUZfRVFVSVRZLjIwMDAuNS81LzIwMTcuTEZSLkYuVVNELkgBAAAAIEMEAAMAAAAAAJwL1TgICdYI1F+YbzQJ1ggdQ0lRLi5JUV9UUl9UQVJHRVRfRUJJVC4uVVNELkgFAAAAAAAAAAgAAAAUKEludmFsaWQgSWRlbnRpZmllcimcC9U4CAnWCHd5gA41CdYIPENJUS5OQVNEQVFHUzpCR05FLklRX0VBUk5JTkdfQ08uQ1kyMDE2LjcvMTYvMjAxOC5MRlIuRi5VU0QuSAEAAADg5N0GAgAAAAgtMTE5LjIxNwEIAAAABQAAAAExAQAAAAoxODc2MzU3NDM2AwAAAAMxNjACAAAAATcEAAAAATAHAAAACTcvMTYvMjAxOAgAAAAKMTIvMzEvMjAxNgkAAAABMMT/GxE1CdYIaGBnEjUJ1gg0Q0lRLihJTlZBTElEIElERU5USUZJRVIpLklRX0RJVklERU5EX1lJRUxELjcvMzEvMjAxOAUAAAAAAAAACAAAABQoSW52YWxpZCBJZGVudGlmaWVyKcgwsjcICdYITnKrbzQJ1gg3Q0lRLk5BU0RBUUdTOkZQUlguSVFfUFJFRl9FUVVJVFkuLjkvMTUvMjAxNy5MRlIuRi5VU0QuSAEAAAA3XTMAAwAAAAAAKRyUEDUJ1ghzOWASNQnWCDlDSVEuTkFTREFRR1M6VFNSTy5JUV9UT1RBTF9ERUJULjIwMDAuNS81LzIwMTcuTEZSLkYuVVNELkgBAAAAaNZYBgIAAAAHMTMxLjc3NQEIAAAA</t>
  </si>
  <si>
    <t>BQAAAAExAQAAAAoxODI5OTg4NTQzAwAAAAMxNjACAAAABDQxNzMEAAAAATAHAAAACDUvNS8yMDE3CAAAAAoxMi8zMS8yMDE2CQAAAAEwnAvVOAgJ1ggkwppvNAnWCC9DSVEuT1RDUEs6TldCTy5JUV9FQklUREEuLjcvMTYvMjAxOC5MRlIuRi5VU0QuSAEAAACjehQAAgAAAActNTAuODQyAQgAAAAFAAAAATEBAAAACjE4ODkzMDI4MjQDAAAAAzE2MAIAAAAENDA1MQQAAAABMAcAAAAJNy8xNi8yMDE4CAAAAAkzLzMxLzIwMTgJAAAAATApHJQQNQnWCHM5YBI1CdYILENJUS5OQVNEQVFHUzpQQllJLklRX0xBU1RTQUxFUFJJQ0UuOS8xNS8yMDE3AQAAAAJqrAcCAAAABjEwMi4yNQBGnRkRNQnWCBL+ZBI1CdYILENJUS5JUVRSNDExODcxMDgyLklRX1RSX1RPVEFMX0dST1NTX1RWLlVTRC5IBQAAAAAAAAAIAAAAGihJbnZhbGlkIEN1cnJlbmN5IFJlcXVlc3QpSVNHbzQJ1gg1m5NvNAnWCDlDSVEuTkFTREFRR1M6S1VSQS5JUV9UT1RBTF9SRVYuMjAwMC43LzMxLzIwMTguTEZSLkYuVVNELkgBAAAAuMvaEAMAAAAAANaMETgICdYIcySdbzQJ1ggiQ0lRLklRVFIzMDI4NjY2MjcuSVFfVFJfVE9UQUxfQ0FTSAEAAADDYA0SAgAAAAkxOS40OTk5OTkBBgAAAAUAAAACNTQBAAAABjEwMTA1NgIAAAAJMzAyODY2NjI3AwAAAAkzMDI4NjcxNTEEAAAAAzE2MAYAAAAFRmFsc2VYzxIONQnWCAw+hQ41CdYINUNJUS5OQVNE</t>
  </si>
  <si>
    <t>QVFHUzpDQUxBLklRX1RPVEFMX1JFVi4uNy8xNi8yMDE4LkxGUi5GLlVTRC5IAQAAAKUngQYCAAAABjI2Ljk1MgEIAAAABQAAAAExAQAAAAoxODg3OTgwMzA1AwAAAAMxNjACAAAAAjI4BAAAAAEwBwAAAAk3LzE2LzIwMTgIAAAACTMvMzEvMjAxOAkAAAABMCkclBA1CdYI5HRbEjUJ1ghCQ0lRLk5BU0RBUUdTOkFOQUIuSVFfVE9UQUxfUkVWXzNZUl9BTk5fQ0FHUi4uNy8xNi8yMDE4LkxGUi5GLlVTRC5IAQAAACFMsgECAAAACC0xOC4wMjYxAQgAAAAFAAAAATEBAAAACjE4ODc0MDAwNDMDAAAAAzE2MAIAAAAENDIyMAQAAAABMAcAAAAJNy8xNi8yMDE4CAAAAAkzLzMxLzIwMTgJAAAAATDE/xsRNQnWCMKbYhI1CdYIP0NJUS5OQVNEQVFHUzpGUFJYLklRX05FVF9XT1JLSU5HX0NBUC4xOTkyLjcvMzEvMjAxOC5MRlIuRi5VU0QuSAEAAAA3XTMAAgAAAActNDEuMTk2AQgAAAAFAAAAATEBAAAACjE4NDA1NjU3OTQDAAAAAzE2MAIAAAAEMTMxMQQAAAABMAcAAAAJNy8zMS8yMDE4CAAAAAkzLzMxLzIwMTYJAAAAATDWjBE4CAnWCBnpoW80CdYIIENJUS5JUTIzODI4OTU2LklRX0NPTVBBTllfVElDS0VSAQAAANyZawEDAAAADU5hc2RhcUdTOkFUTlgAsrNJbzQJ1ggkwppvNAnWCDBDSVEuTkFTREFRR1M6Q1RNWC5JUV9MQVNUU0FMRVBSSUNFLjcvMTYvMjAxOC5VU0QBAAAA3DibAwIAAAAFMjMuMjUARp0ZETUJ</t>
  </si>
  <si>
    <t>1gjCm2ISNQnWCDpDSVEuTkFTREFRR006QUZNRC5JUV9DQVNIX1NUX0lOVkVTVC4uNy8xNi8yMDE4LkxGUi5GLlVTRC5IAQAAANv3DAACAAAACTY4LjE3NjY2NgEIAAAABQAAAAExAQAAAAoxODg5ODY2MDQ5AwAAAAMxNjACAAAABDEwMDIEAAAAATAHAAAACTcvMTYvMjAxOAgAAAAJMy8zMS8yMDE4CQAAAAEwKRyUEDUJ1ggw110SNQnWCCdDSVEuTkFTREFRR006SU1NVS5JUV9CRVRBXzVZUi43LzMxLzIwMTgBAAAAIEMEAAIAAAAQMS42OTEzMDE4MzQ5NTA2NACcC9U4CAnWCNRfmG80CdYIL0NJUS5JUVRSNTYxNjA2MzY1LklRX1RSX0lNUExJRURfRVZfRklOQUwuLlVTRC5IAQAAAN1ueSECAAAABDEwNDABBgAAAAUAAAACNTQBAAAABjEwMjA0NQIAAAAJNTYxNjA2MzY1AwAAAAk1NjE2MDkxOTcEAAAAAzE2MAYAAAAFRmFsc2Wys0lvNAnWCDWbk280CdYIJ0NJUS5OQVNEQVFHTTpJTU1VLklRX0JFVEFfMVlSLjcvMTYvMjAxOAEAAAAgQwQAAgAAABAxLjQ3NjcwMDM2ODE5NDE0AMT/GxE1CdYIEv5kEjUJ1gg9Q0lRLk5BU0RBUUdTOkdUSFguSVFfQ0FTSF9TVF9JTlZFU1QuMjAwMC41LzUvMjAxNy5MRlIuRi5VU0QuSAEAAABlNGkIAgAAAAgzNy43MjY1MgEIAAAABQAAAAExAQAAAAoxODM4MTc3NDAwAwAAAAMxNjACAAAABDEwMDIEAAAAATAHAAAACDUvNS8yMDE3CAAAAAkzLzMxLzIwMTcJAAAAATDWjBE4</t>
  </si>
  <si>
    <t>CAnWCCTCmm80CdYIPkNJUS5OQVNEQVFDTTpBVkVPLklRX1RPVEFMX0VRVUlUWS5DWTIwMTYuNy8xNi8yMDE4LkxGUi5GLlVTRC5IAQAAAPQWHQACAAAABi0xLjkyMwEIAAAABQAAAAExAQAAAAoxODc4MDgyNjUwAwAAAAMxNjACAAAABDEyNzUEAAAAATAHAAAACTcvMTYvMjAxOAgAAAAKMTIvMzEvMjAxNgkAAAABMMT/GxE1CdYIczlgEjUJ1ggiQ0lRLklRVFI0MzE4NDE1ODEuSVFfVFJfUENUX1NPVUdIVAEAAAAtYb0ZAgAAAAMxMDAADG0QDjUJ1ggMPoUONQnWCCdDSVEuTkFTREFRR1M6RVBaTS5JUV9CRVRBXzJZUi43LzMxLzIwMTgBAAAAAyY9AwIAAAAQMS41NjM4NDI2NTE0MTk4MQDWjBE4CAnWCHMknW80CdYIOkNJUS5OQVNEQVFHUzpUU1JPLklRX0VBUk5JTkdfQ08uMjAwMC43LzMxLzIwMTguTEZSLkYuVVNELkgBAAAAaNZYBgIAAAAILTUyMi4yMTcBCAAAAAUAAAABMQEAAAAKMTg4NjMzNzQ2NgMAAAADMTYwAgAAAAE3BAAAAAEwBwAAAAk3LzMxLzIwMTgIAAAACTMvMzEvMjAxOAkAAAABMJwL1TgICdYIJMKabzQJ1ggvQ0lRLi5JUV9FQklUREFfRVNULkNZMjAyMC43LzMxLzIwMTguQ09OLkYuVVNELkgFAAAAAQAAAAgAAAAUKEludmFsaWQgSWRlbnRpZmllcimWJDBHNAnWCJYkMEc0CdYILENJUS5OQVNEQVFHUzpTR0VOLklRX1RPVEFMX1JFVi4uLkxGUi5GLlVTRC5IAQAAAGGFAAACAAAABzU3</t>
  </si>
  <si>
    <t>NS42NTkBCAAAAAUAAAABMQEAAAAKMTg5NzIzMzUxOAMAAAADMTYwAgAAAAIyOAQAAAABMAcAAAAJOC8yMy8yMDE4CAAAAAk2LzMwLzIwMTgJAAAAATBGnRkRNQnWCEadGRE1CdYILkNJUS4oSU5WQUxJRCBJREVOVElGSUVSKS5JUV9CRVRBXzFZUi43LzMxLzIwMTgFAAAAAAAAAAgAAAAUKEludmFsaWQgSWRlbnRpZmllcinIMLI3CAnWCO02sG80CdYIP0NJUS5PVENQSzpNQlZYLklRX1RPVEFMX1JFVl81WVJfQU5OX0NBR1IuLjcvMTYvMjAxOC5MRlIuRi5VU0QuSAEAAADYRIsCAwAAAAAA3qd+EDUJ1giYElkSNQnWCB5DSVEuSVE3NDQxMDIuSVFfQ09NUEFOWV9USUNLRVIBAAAAploLAAMAAAANTmFzZGFxR006WE5DUgAMbRAONQnWCFvHjg41CdYIIkNJUS5JUVRSMzIxODY1Mjk3LklRX1RSX1BDVF9TT1VHSFQBAAAAUUYvEwIAAAADMTAwAFjPEg41CdYIDD6FDjUJ1ggrQ0lRLk5BU0RBUUdNOkFSUUwuSVFfTEFTVFNBTEVQUklDRS41LzUvMjAxNwEAAAD2YQAAAgAAAAQxLjAyANaMETgICdYIcySdbzQJ1gg5Q0lRLk5BU0RBUUdNOkFSUlkuSVFfVE9UQUxfUkVWLjE5OTYuNy8zMS8yMDE4LkxGUi5GLlVTRC5IAQAAAPhhAAACAAAABjQxLjUwNwEIAAAABQAAAAExAQAAAAoxODg4NDcwNjU2AwAAAAMxNjACAAAAAjI4BAAAAAEwBwAAAAk3LzMxLzIwMTgIAAAACTMvMzEvMjAxNwkAAAABMJwL1TgICdYI1F+Y</t>
  </si>
  <si>
    <t>bzQJ1gg5Q0lRLk5BU0RBUUdNOkxQVFguSVFfRUJJVERBX01BUkdJTi4uNy8xNi8yMDE4LkxGUi5GLlVTRC5IAQAAAAw2CQcDAAAAAAApHJQQNQnWCDDXXRI1CdYIOUNJUS5OQVNEQVFHUzpHVEhYLklRX05JX01BUkdJTi4yMDAwLjcvMzEvMjAxOC5MRlIuRi5VU0QuSAEAAABlNGkIAwAAAAAAnAvVOAgJ1ggkwppvNAnWCDhDSVEuTkFTREFRR1M6QVROWC5JUV9FQklUREEuQ1kyMDE3LjcvMzEvMjAxOC5MRlIuRi5VU0QuSAEAAADcmWsBAgAAAAgtMTA2LjIzNQEIAAAABQAAAAExAQAAAAoxODc5OTA3NjM1AwAAAAMxNjACAAAABDQwNTEEAAAAATAHAAAACTcvMzEvMjAxOAgAAAAKMTIvMzEvMjAxNwkAAAABMNaMETgICdYIJMKabzQJ1ghNQ0lRLihJTlZBTElEIElERU5USUZJRVIpLklRX1RPVEFMX1JFVl81WVJfQU5OX0NBR1IuMjAwMC43LzMxLzIwMTguTEZSLkYuVVNELkgFAAAAAAAAAAgAAAAUKEludmFsaWQgSWRlbnRpZmllcinIMLI3CAnWCO02sG80CdYIRkNJUS5OQVNEQVFHUzpNUlNOLklRX01JTk9SSVRZX0lOVEVSRVNUX1RPVEFMLjIwMDAuNS81LzIwMTcuTEZSLkYuVVNELkgBAAAA5sUYAAMAAAAAANaMETgICdYIw4afbzQJ1gg6Q0lRLk5BU0RBUUdNOkZBVEUuSVFfUFJFRl9FUVVJVFkuMjAwMC41LzUvMjAxNy5MRlIuRi5VU0QuSAEAAABoMVcCAgAAAAUwLjAwMwEIAAAABQAAAAExAQAAAAox</t>
  </si>
  <si>
    <t>ODMyMTY3ODk2AwAAAAMxNjACAAAABDEwMDUEAAAAATAHAAAACDUvNS8yMDE3CAAAAAoxMi8zMS8yMDE2CQAAAAEw1owROAgJ1gjDhp9vNAnWCDlDSVEuTkFTREFRR006QVJSWS5JUV9UT1RBTF9SRVYuMjAwMC43LzMxLzIwMTguTEZSLkYuVVNELkgBAAAA+GEAAAIAAAAGODQuOTI4AQgAAAAFAAAAATEBAAAACjE4ODg0NzA2NzYDAAAAAzE2MAIAAAACMjgEAAAAATAHAAAACTcvMzEvMjAxOAgAAAAJMy8zMS8yMDE4CQAAAAEwnAvVOAgJ1gjUX5hvNAnWCDBDSVEuTkFTREFRR1M6U0dFTi5JUV9FQklUREFfTUFSR0lOLi4uTEZSLkYuVVNELkgBAAAAYYUAAAIAAAAILTI4LjY1MTUBCAAAAAUAAAABMQEAAAAKMTg5NzIzMzUxOAMAAAADMTYwAgAAAAQ0MDQ3BAAAAAEwBwAAAAk4LzIzLzIwMTgIAAAACTYvMzAvMjAxOAkAAAABMEadGRE1CdYIRp0ZETUJ1gguQ0lRLk5BU0RBUUdNOkNSSVMuSVFfTUFSS0VUQ0FQLjcvMzEvMjAxOC5VU0QuSAEAAAAXagAAAgAAAAk1Mi4wMDcyMzkBBgAAAAUAAAABMQEAAAAKMTg4NjI0Njc0OQMAAAADMTYwAgAAAAYxMDAwNTQEAAAAATAHAAAACTcvMzEvMjAxOMgwsjcICdYI3UukbzQJ1gglQ0lRLk5BU0RBUUdNOklNTVUuSVFfRklSU1RQUklDSU5HREFURQEAAAAgQwQABQAAAAk0LzExLzE5ODQAnAvVOAgJ1gioAooONQnWCENDSVEuTkFTREFRR1M6VFNSTy5JUV9FQklUREFf</t>
  </si>
  <si>
    <t>MllSX0FOTl9DQUdSLjIwMDAuNy8zMS8yMDE4LkxGUi5GLlVTRC5IAQAAAGjWWAYDAAAAAk5NAQgAAAAFAAAAATEBAAAACjE4ODYzMzc0NjYDAAAAAzE2MAIAAAAENDIwOQQAAAABMAcAAAAJNy8zMS8yMDE4CAAAAAkzLzMxLzIwMTgJAAAAATCcC9U4CAnWCCTCmm80CdYIPUNJUS5OQVNEQVFHUzpBTkFCLklRX1JFVkVOVUVfRVNULkNZMjAyMC43LzE2LzIwMTguQ09OLkYuVVNELkgBAAAAIUyyAQIAAAAGMy45MjE0AQ4AAAAFAAAAAjExAQAAAAEwAgAAAAoxMDAzNjI5Mzg0AwAAAAYxMDAxODAEAAAAATIGAAAAATAHAAAAAzE2MAgAAAABMAkAAAABMQoAAAABMAsAAAALMTA4ODc1MTM0MDcMAAAAATcNAAAACTcvMTcvMjAxOBAAAAAJNy8xNi8yMDE4xP8bETUJ1gjCm2ISNQnWCD1DSVEuTkFTREFRR006SU1NVS5JUV9SRVZFTlVFX0VTVC5DWTIwMjAuNy8zMS8yMDE4LkNPTi5GLlVTRC5IAQAAACBDBAACAAAACDI1NC40MzMzAQ4AAAAFAAAAAjExAQAAAAEwAgAAAAkzNzAwODEzOTYDAAAABjEwMDE4MAQAAAABMgYAAAABMAcAAAADMTYwCAAAAAEwCQAAAAExCgAAAAEwCwAAAAsxMDk4MDI2MzY5MQwAAAABNw0AAAAIOC8xLzIwMTgQAAAACTcvMzEvMjAxOJwL1TgICdYI1F+YbzQJ1ggrQ0lRLklRVFIyNzM1MDcxODUuSVFfVFJfSU1QTElFRF9FVl9FQklUX0ZXRAEAAABxY00QAwAAAAJOTQCys0lvNAnWCIH9</t>
  </si>
  <si>
    <t>lW80CdYINUNJUS5OQVNEQVFHUzpBTkFCLklRX05JX01BUkdJTi4uNy8xNi8yMDE4LkxGUi5GLlVTRC5IAQAAACFMsgEDAAAAAk5NAQgAAAAFAAAAATEBAAAACjE4ODc0MDAwNDMDAAAAAzE2MAIAAAAENDA5NAQAAAABMAcAAAAJNy8xNi8yMDE4CAAAAAkzLzMxLzIwMTgJAAAAATDE/xsRNQnWCMKbYhI1CdYIMENJUS5OQVNEQVFHTTpMUFRYLklRX0xBU1RTQUxFUFJJQ0UuNy8xNi8yMDE4LlVTRAEAAAAMNgkHAgAAAAQ4LjQxACkclBA1CdYIMNddEjUJ1ggwQ0lRLklRVFI0MTE4NzEwODIuSVFfVFJfVEFSR0VUX0VCSVREQV9FU1QuLlVTRC5IAQAAAGqnjBgCAAAAAACys0lvNAnWCDWbk280CdYIP0NJUS5OQVNEQVFHUzpFUFpNLklRX05FVF9XT1JLSU5HX0NBUC4xOTk2LjcvMzEvMjAxOC5MRlIuRi5VU0QuSAEAAAADJj0DAgAAAActMTEuMDY3AQgAAAAFAAAAATEBAAAACjE4ODcyNDYwNDkDAAAAAzE2MAIAAAAEMTMxMQQAAAABMAcAAAAJNy8zMS8yMDE4CAAAAAkzLzMxLzIwMTcJAAAAATDWjBE4CAnWCHMknW80CdYIPENJUS5OQVNEQVFHUzpNUlNOLklRX0VBUk5JTkdfQ08uQ1kyMDE2LjcvMzEvMjAxOC5MRlIuRi5VU0QuSAEAAADmxRgAAgAAAAUtMTMuNwEIAAAABQAAAAExAQAAAAoxODgwNTQ3MzgzAwAAAAMxNjACAAAAATcEAAAAATAHAAAACTcvMzEvMjAxOAgAAAAKMTIvMzEvMjAxNgkAAAABMNaM</t>
  </si>
  <si>
    <t>ETgICdYIw4afbzQJ1gg+Q0lRLk5BU0RBUUdTOkNBTEEuSVFfVE9UQUxfRVFVSVRZLkNZMjAxNy43LzMxLzIwMTguTEZSLkYuVVNELkgBAAAApSeBBgIAAAAHMTUwLjMwNwEIAAAABQAAAAExAQAAAAoxODc3OTU1NzA3AwAAAAMxNjACAAAABDEyNzUEAAAAATAHAAAACTcvMzEvMjAxOAgAAAAKMTIvMzEvMjAxNwkAAAABMMgwsjcICdYI3UukbzQJ1gghQ0lRLk5BU0RBUUdTOkVQWk0uSVFfQ09NUEFOWV9OQU1FAQAAAAMmPQMDAAAADUVwaXp5bWUsIEluYy4A1owROAgJ1ggkwppvNAnWCDxDSVEuTkFTREFRQ006TVRFTS5JUV9FQVJOSU5HX0NPLkNZMjAxNy43LzMxLzIwMTguTEZSLkYuVVNELkgBAAAAmZupAQIAAAAGLTIzLjE0AQgAAAAFAAAAATEBAAAACjE4ODExMTg4MTADAAAAAzE2MAIAAAABNwQAAAABMAcAAAAJNy8zMS8yMDE4CAAAAAoxMi8zMS8yMDE3CQAAAAEwyDCyNwgJ1ggZ6aFvNAnWCDpDSVEuTkFTREFRQ006WklPUC5JUV9FQVJOSU5HX0NPLjE5OTYuNy8zMS8yMDE4LkxGUi5GLlVTRC5IAQAAALNRsgACAAAACC0xNjguNzY1AQgAAAAFAAAAATEBAAAACjE4ODc5NzIzNDgDAAAAAzE2MAIAAAABNwQAAAABMAcAAAAJNy8zMS8yMDE4CAAAAAkzLzMxLzIwMTcJAAAAATDWjBE4CAnWCMOGn280CdYILENJUS5JUVRSNDI0MzQyMDQ2LklRX1RSX1RBUkdFVF9FQklUREEuLlVTRC5IAQAAAB7yShkC</t>
  </si>
  <si>
    <t>AAAAAAAMbRAONQnWCMDbgg41CdYIJ0NJUS5OQVNEQVFHUzpDQUxBLklRX0JFVEFfMVlSLjcvMzEvMjAxOAEAAAClJ4EGAgAAABEwLjkyODA2MTgwNjIzMjQ5MwDIMLI3CAnWCN1LpG80CdYINkNJUS5OQVNEQVFHUzpCR05FLklRX05FVF9XT1JLSU5HX0NBUC4xOTkyLi5MRlIuRi5VU0QuSAEAAADg5N0GAgAAAAYtMTQuMzMBCAAAAAUAAAABMQEAAAAKMTg1MjcwMDUyMQMAAAADMTYwAgAAAAQxMzExBAAAAAEwBwAAAAk4LzIzLzIwMTgIAAAACTYvMzAvMjAxNgkAAAABMJwL1TgICdYInAvVOAgJ1gg9Q0lRLk5BU0RBUUdTOkpOQ0UuSVFfUkVWRU5VRV9FU1QuQ1kyMDIxLjcvMTYvMjAxOC5DT04uRi5VU0QuSAEAAADieZ4NAgAAAAc3MC41MDM1AQ4AAAAFAAAAAjExAQAAAAEwAgAAAAoxMDAzNjMwMDE1AwAAAAYxMDAxODAEAAAAATIGAAAAATAHAAAAAzE2MAgAAAABMAkAAAABMQoAAAABMAsAAAALMTA5NDU1NzAyMDgMAAAAATcNAAAACTcvMTcvMjAxOBAAAAAJNy8xNi8yMDE4KRyUEDUJ1giYElkSNQnWCEZDSVEuTkFTREFRQ006WklPUC5JUV9UT1RBTF9SRVZfM1lSX0FOTl9DQUdSLjIwMDAuNy8zMS8yMDE4LkxGUi5GLlVTRC5IAQAAALNRsgACAAAABzUwLjYyNDEBCAAAAAUAAAABMQEAAAAKMTg4Nzk3MjM1OQMAAAADMTYwAgAAAAQ0MjIwBAAAAAEwBwAAAAk3LzMxLzIwMTgIAAAACTMvMzEvMjAxOAkA</t>
  </si>
  <si>
    <t>AAABMNaMETgICdYIw4afbzQJ1gg8Q0lRLk5BU0RBUUNNOlpJT1AuSVFfVE9UQUxfRVFVSVRZLjIwMDAuNy8zMS8yMDE4LkxGUi5GLlVTRC5IAQAAALNRsgACAAAABTI1Ljg5AQgAAAAFAAAAATEBAAAACjE4ODc5NzIzNTkDAAAAAzE2MAIAAAAEMTI3NQQAAAABMAcAAAAJNy8zMS8yMDE4CAAAAAkzLzMxLzIwMTgJAAAAATDWjBE4CAnWCMOGn280CdYILENJUS4uSVFfVE9UQUxfUkVWLjE5OTYuNy8zMS8yMDE4LkxGUi5GLlVTRC5IBQAAAAEAAAAIAAAAFChJbnZhbGlkIElkZW50aWZpZXIp9YQyRzQJ1gj1hDJHNAnWCClDSVEuSVEzNjE4MzgyOC5JUV9MQVNUU0FMRVBSSUNFLjcvMTYvMjAxOAEAAAAUHygCAgAAAAQyLjY3AAxtEA41CdYIDD6FDjUJ1gg9Q0lRLk5BU0RBUUdNOklNTVUuSVFfUkVWRU5VRV9FU1QuQ1kyMDIxLjcvMTYvMjAxOC5DT04uRi5VU0QuSAEAAAAgQwQAAgAAAAg1MjEuNzE2NwEOAAAABQAAAAIxMQEAAAABMAIAAAAJNzI4Mzc1NTk1AwAAAAYxMDAxODAEAAAAATIGAAAAATAHAAAAAzE2MAgAAAABMAkAAAABMQoAAAABMAsAAAALMTA5NTg2NzYxNjcMAAAAATcNAAAACTcvMTcvMjAxOBAAAAAJNy8xNi8yMDE4xP8bETUJ1ggS/mQSNQnWCA==</t>
  </si>
  <si>
    <t>Updated the logo</t>
  </si>
  <si>
    <t>Title and Separators</t>
  </si>
  <si>
    <t>Per Share Present Value By Class</t>
  </si>
  <si>
    <t>&lt;&lt;Change this to 1 to apply uniform discount rate (WACC)</t>
  </si>
  <si>
    <t>DR</t>
  </si>
  <si>
    <t>Per Share Value</t>
  </si>
  <si>
    <t>Share Count</t>
  </si>
  <si>
    <t>Total Value &gt;&gt;</t>
  </si>
  <si>
    <t>Concluded Equity Value &gt;&gt;</t>
  </si>
  <si>
    <t>Difference &gt;&gt;</t>
  </si>
  <si>
    <t xml:space="preserve">Manan </t>
  </si>
  <si>
    <t>Updated the reconciliation calculations for the Implied Equity Value in the off-print section below</t>
  </si>
  <si>
    <t>Added a corresponding check to the above</t>
  </si>
  <si>
    <t>Cell R11</t>
  </si>
  <si>
    <t>Total Future Financing</t>
  </si>
  <si>
    <t>Updated Total Labels in cells B46, B70, B101 and B133</t>
  </si>
  <si>
    <t>Set the Outlier Above to 150.0% as default</t>
  </si>
  <si>
    <t>Checks for Volatilities MVIC</t>
  </si>
  <si>
    <t>Updated the formula for MVIC calculation in the DLOM row for all the asset volatilities tabs</t>
  </si>
  <si>
    <t>Added EV checks for all the asset volatilities tabs</t>
  </si>
  <si>
    <t>Percentage Change in Market</t>
  </si>
  <si>
    <t>Market Trends Since Previous Valuation</t>
  </si>
  <si>
    <t xml:space="preserve">Dhawaj </t>
  </si>
  <si>
    <t xml:space="preserve">Template </t>
  </si>
  <si>
    <t>Changed font to Georgia and font size 11</t>
  </si>
  <si>
    <r>
      <t xml:space="preserve">Probability of Technical Success </t>
    </r>
    <r>
      <rPr>
        <sz val="10"/>
        <color rgb="FFFFFFFF"/>
        <rFont val="Georgia"/>
        <family val="1"/>
      </rPr>
      <t>(1)</t>
    </r>
  </si>
  <si>
    <r>
      <t xml:space="preserve">Success Probability of Lead Candidate </t>
    </r>
    <r>
      <rPr>
        <sz val="10"/>
        <color rgb="FFFFFFFF"/>
        <rFont val="Georgia"/>
        <family val="1"/>
      </rPr>
      <t>(1)</t>
    </r>
  </si>
  <si>
    <r>
      <t xml:space="preserve">Success Probability of Indication #2 </t>
    </r>
    <r>
      <rPr>
        <sz val="10"/>
        <color rgb="FFFFFFFF"/>
        <rFont val="Georgia"/>
        <family val="1"/>
      </rPr>
      <t>(1)</t>
    </r>
  </si>
  <si>
    <r>
      <t xml:space="preserve">Probability of Technical Success - Lead Indications </t>
    </r>
    <r>
      <rPr>
        <i/>
        <sz val="10"/>
        <color theme="1"/>
        <rFont val="Georgia"/>
        <family val="1"/>
      </rPr>
      <t>(1)</t>
    </r>
  </si>
  <si>
    <r>
      <t xml:space="preserve">Overall Success Rates </t>
    </r>
    <r>
      <rPr>
        <i/>
        <sz val="10"/>
        <color theme="1"/>
        <rFont val="Georgia"/>
        <family val="1"/>
      </rPr>
      <t>(1)</t>
    </r>
  </si>
  <si>
    <r>
      <t xml:space="preserve">Lead Optimization and Preclinical Success Rates </t>
    </r>
    <r>
      <rPr>
        <i/>
        <sz val="10"/>
        <color theme="1"/>
        <rFont val="Georgia"/>
        <family val="1"/>
      </rPr>
      <t>(2)</t>
    </r>
  </si>
  <si>
    <r>
      <t xml:space="preserve">Overall Success rate - Oncology </t>
    </r>
    <r>
      <rPr>
        <i/>
        <sz val="10"/>
        <color theme="1"/>
        <rFont val="Georgia"/>
        <family val="1"/>
      </rPr>
      <t>(1)</t>
    </r>
  </si>
  <si>
    <r>
      <t xml:space="preserve">Probability of Technical Success - Oncology </t>
    </r>
    <r>
      <rPr>
        <i/>
        <sz val="10"/>
        <color theme="1"/>
        <rFont val="Georgia"/>
        <family val="1"/>
      </rPr>
      <t>(2)</t>
    </r>
  </si>
  <si>
    <r>
      <t xml:space="preserve">Probability of Technical Success - Oncology </t>
    </r>
    <r>
      <rPr>
        <i/>
        <sz val="10"/>
        <color theme="1"/>
        <rFont val="Georgia"/>
        <family val="1"/>
      </rPr>
      <t>(3)</t>
    </r>
  </si>
  <si>
    <r>
      <t xml:space="preserve">Probability of Technical Success - Oncology </t>
    </r>
    <r>
      <rPr>
        <i/>
        <sz val="10"/>
        <color theme="1"/>
        <rFont val="Georgia"/>
        <family val="1"/>
      </rPr>
      <t>(4)</t>
    </r>
  </si>
  <si>
    <r>
      <t xml:space="preserve">Probability of Technical Success - Oncology </t>
    </r>
    <r>
      <rPr>
        <i/>
        <sz val="10"/>
        <color theme="1"/>
        <rFont val="Georgia"/>
        <family val="1"/>
      </rPr>
      <t>(5)</t>
    </r>
  </si>
  <si>
    <r>
      <t xml:space="preserve">Probability of Technical Success in Oncology - </t>
    </r>
    <r>
      <rPr>
        <i/>
        <sz val="10"/>
        <color theme="1"/>
        <rFont val="Georgia"/>
        <family val="1"/>
      </rPr>
      <t>(6)</t>
    </r>
  </si>
  <si>
    <r>
      <t xml:space="preserve">Probability of Technical Success in Oncology - </t>
    </r>
    <r>
      <rPr>
        <i/>
        <sz val="10"/>
        <color theme="1"/>
        <rFont val="Georgia"/>
        <family val="1"/>
      </rPr>
      <t>(7)</t>
    </r>
  </si>
  <si>
    <r>
      <t xml:space="preserve">Probability of Technical Success (All Indications) - Oncology </t>
    </r>
    <r>
      <rPr>
        <i/>
        <sz val="10"/>
        <color theme="1"/>
        <rFont val="Georgia"/>
        <family val="1"/>
      </rPr>
      <t>(8)</t>
    </r>
  </si>
  <si>
    <r>
      <t xml:space="preserve">Probability of Technical Success (Lead Indications) - Oncology </t>
    </r>
    <r>
      <rPr>
        <i/>
        <sz val="10"/>
        <color theme="1"/>
        <rFont val="Georgia"/>
        <family val="1"/>
      </rPr>
      <t>(8)</t>
    </r>
  </si>
  <si>
    <r>
      <t xml:space="preserve">Probability of Technical Success (Small Molecule) - Oncology </t>
    </r>
    <r>
      <rPr>
        <i/>
        <sz val="10"/>
        <color theme="1"/>
        <rFont val="Georgia"/>
        <family val="1"/>
      </rPr>
      <t>(9)</t>
    </r>
  </si>
  <si>
    <r>
      <t xml:space="preserve">Probability of Technical Success (Large Molecule) - Oncology </t>
    </r>
    <r>
      <rPr>
        <i/>
        <sz val="10"/>
        <color theme="1"/>
        <rFont val="Georgia"/>
        <family val="1"/>
      </rPr>
      <t>(9)</t>
    </r>
  </si>
  <si>
    <r>
      <t xml:space="preserve">Probability of Technical Success - Oncology </t>
    </r>
    <r>
      <rPr>
        <i/>
        <sz val="10"/>
        <color theme="1"/>
        <rFont val="Georgia"/>
        <family val="1"/>
      </rPr>
      <t>(10)</t>
    </r>
  </si>
  <si>
    <r>
      <t xml:space="preserve">Probability of Technical Success - HIV/AIDS All Indications </t>
    </r>
    <r>
      <rPr>
        <i/>
        <sz val="10"/>
        <color theme="1"/>
        <rFont val="Georgia"/>
        <family val="1"/>
      </rPr>
      <t>(3)</t>
    </r>
  </si>
  <si>
    <r>
      <t xml:space="preserve">Probability of Technical Success - HIV/AIDS Primary Indication </t>
    </r>
    <r>
      <rPr>
        <i/>
        <sz val="10"/>
        <color theme="1"/>
        <rFont val="Georgia"/>
        <family val="1"/>
      </rPr>
      <t>(3)</t>
    </r>
  </si>
  <si>
    <r>
      <t xml:space="preserve">Probability of Technical Success - HIV/AIDS </t>
    </r>
    <r>
      <rPr>
        <i/>
        <sz val="10"/>
        <color theme="1"/>
        <rFont val="Georgia"/>
        <family val="1"/>
      </rPr>
      <t>(5)</t>
    </r>
  </si>
  <si>
    <r>
      <t xml:space="preserve">Overall Success Rate - Infectious Diseases </t>
    </r>
    <r>
      <rPr>
        <i/>
        <sz val="10"/>
        <color theme="1"/>
        <rFont val="Georgia"/>
        <family val="1"/>
      </rPr>
      <t>(1)</t>
    </r>
  </si>
  <si>
    <r>
      <t xml:space="preserve">Probability of Technical Success - Infections </t>
    </r>
    <r>
      <rPr>
        <i/>
        <sz val="10"/>
        <color theme="1"/>
        <rFont val="Georgia"/>
        <family val="1"/>
      </rPr>
      <t>(2)</t>
    </r>
  </si>
  <si>
    <r>
      <t xml:space="preserve">Probability of Technical Success - Infectious Diseases </t>
    </r>
    <r>
      <rPr>
        <i/>
        <sz val="10"/>
        <color theme="1"/>
        <rFont val="Georgia"/>
        <family val="1"/>
      </rPr>
      <t>(4)</t>
    </r>
  </si>
  <si>
    <r>
      <t xml:space="preserve">Probability of Technical Success (All Indications) - Infectious Diseases </t>
    </r>
    <r>
      <rPr>
        <i/>
        <sz val="10"/>
        <color theme="1"/>
        <rFont val="Georgia"/>
        <family val="1"/>
      </rPr>
      <t>(8)</t>
    </r>
  </si>
  <si>
    <r>
      <t xml:space="preserve">Probability of Technical Success (Lead Indications) - Infectious Diseases </t>
    </r>
    <r>
      <rPr>
        <i/>
        <sz val="10"/>
        <color theme="1"/>
        <rFont val="Georgia"/>
        <family val="1"/>
      </rPr>
      <t>(8)</t>
    </r>
  </si>
  <si>
    <r>
      <t xml:space="preserve">Plummer </t>
    </r>
    <r>
      <rPr>
        <sz val="10"/>
        <color rgb="FFFFFFFF"/>
        <rFont val="Georgia"/>
        <family val="1"/>
      </rPr>
      <t>(2)</t>
    </r>
  </si>
  <si>
    <r>
      <t>Scherlis &amp; Sahlman</t>
    </r>
    <r>
      <rPr>
        <sz val="10"/>
        <color rgb="FFFFFFFF"/>
        <rFont val="Georgia"/>
        <family val="1"/>
      </rPr>
      <t xml:space="preserve"> (3)</t>
    </r>
  </si>
  <si>
    <r>
      <t>Sahlman &amp; Others</t>
    </r>
    <r>
      <rPr>
        <sz val="10"/>
        <color rgb="FFFFFFFF"/>
        <rFont val="Georgia"/>
        <family val="1"/>
      </rPr>
      <t xml:space="preserve"> (4)</t>
    </r>
  </si>
  <si>
    <r>
      <t xml:space="preserve">Applied Multiples </t>
    </r>
    <r>
      <rPr>
        <sz val="10"/>
        <color rgb="FFFFFFFF"/>
        <rFont val="Georgia"/>
        <family val="1"/>
      </rPr>
      <t>(1)</t>
    </r>
  </si>
  <si>
    <r>
      <t xml:space="preserve">Weightings </t>
    </r>
    <r>
      <rPr>
        <sz val="10"/>
        <color rgb="FFFFFFFF"/>
        <rFont val="Georgia"/>
        <family val="1"/>
      </rPr>
      <t>(3)</t>
    </r>
  </si>
  <si>
    <r>
      <t xml:space="preserve">Control Premium Summary </t>
    </r>
    <r>
      <rPr>
        <sz val="10"/>
        <color rgb="FFFFFFFF"/>
        <rFont val="Georgia"/>
        <family val="1"/>
      </rPr>
      <t>(1)</t>
    </r>
  </si>
  <si>
    <r>
      <t>Applied Multiples</t>
    </r>
    <r>
      <rPr>
        <sz val="10"/>
        <color rgb="FFFFFFFF"/>
        <rFont val="Georgia"/>
        <family val="1"/>
      </rPr>
      <t xml:space="preserve"> (2)</t>
    </r>
  </si>
  <si>
    <r>
      <t xml:space="preserve">Weights </t>
    </r>
    <r>
      <rPr>
        <sz val="10"/>
        <color rgb="FFFFFFFF"/>
        <rFont val="Georgia"/>
        <family val="1"/>
      </rPr>
      <t>(4)</t>
    </r>
  </si>
  <si>
    <r>
      <t>Shareholders</t>
    </r>
    <r>
      <rPr>
        <sz val="10"/>
        <color rgb="FFFFFFFF"/>
        <rFont val="Georgia"/>
        <family val="1"/>
      </rPr>
      <t xml:space="preserve"> (1)</t>
    </r>
  </si>
  <si>
    <r>
      <t xml:space="preserve">Features </t>
    </r>
    <r>
      <rPr>
        <sz val="10"/>
        <color theme="1"/>
        <rFont val="Georgia"/>
        <family val="1"/>
      </rPr>
      <t>(1)</t>
    </r>
  </si>
  <si>
    <r>
      <t xml:space="preserve">Asset Vol. </t>
    </r>
    <r>
      <rPr>
        <sz val="10"/>
        <rFont val="Georgia"/>
        <family val="1"/>
      </rPr>
      <t>(1)</t>
    </r>
  </si>
  <si>
    <r>
      <t xml:space="preserve">The derivation of asset volatilities was estimated based on the methodologies outlined in Crosbie's paper entitled </t>
    </r>
    <r>
      <rPr>
        <i/>
        <sz val="10"/>
        <color theme="1"/>
        <rFont val="Georgia"/>
        <family val="1"/>
      </rPr>
      <t>Modeling Default Risk</t>
    </r>
    <r>
      <rPr>
        <sz val="10"/>
        <color theme="1"/>
        <rFont val="Georgia"/>
        <family val="1"/>
      </rPr>
      <t>.</t>
    </r>
  </si>
  <si>
    <r>
      <t xml:space="preserve">Mergerstat (Overall &amp; Business Services) </t>
    </r>
    <r>
      <rPr>
        <sz val="10"/>
        <color theme="1"/>
        <rFont val="Georgia"/>
        <family val="1"/>
      </rPr>
      <t>(1)</t>
    </r>
  </si>
  <si>
    <r>
      <t xml:space="preserve">Capital IQ (Healthcare Technology) </t>
    </r>
    <r>
      <rPr>
        <sz val="10"/>
        <color theme="1"/>
        <rFont val="Georgia"/>
        <family val="1"/>
      </rPr>
      <t>(2)</t>
    </r>
  </si>
  <si>
    <t>Nishant</t>
  </si>
  <si>
    <t>Changed font size to 10</t>
  </si>
  <si>
    <t>Updated formula to capture NM for outliers</t>
  </si>
  <si>
    <t>Anchal</t>
  </si>
  <si>
    <t>Decibel Therapeutics, Inc.</t>
  </si>
  <si>
    <t>Sum Check</t>
  </si>
  <si>
    <t>Balance Sheet</t>
  </si>
  <si>
    <t>For the year ending December 31,</t>
  </si>
  <si>
    <t>2016</t>
  </si>
  <si>
    <t>2017</t>
  </si>
  <si>
    <t>Current assets:</t>
  </si>
  <si>
    <t>Cash and cash equivalents</t>
  </si>
  <si>
    <t>Prepaid expenses and other current assets</t>
  </si>
  <si>
    <t>Total current assets</t>
  </si>
  <si>
    <t>Property and equipment, net</t>
  </si>
  <si>
    <t>Restricted cash</t>
  </si>
  <si>
    <t>Total assets</t>
  </si>
  <si>
    <t>Liabilities and stockholders’ equity</t>
  </si>
  <si>
    <t>Current liabilities:</t>
  </si>
  <si>
    <t>Accounts payable</t>
  </si>
  <si>
    <t>Accrued expenses and other current liabilities</t>
  </si>
  <si>
    <t>Deferred collaboration liability, current</t>
  </si>
  <si>
    <t>Deferred rent and lease incentive obligation, current</t>
  </si>
  <si>
    <t>Total current liabilities</t>
  </si>
  <si>
    <t>Deferred collaboration liability, long term</t>
  </si>
  <si>
    <t>Deferred rent and lease incentive obligation</t>
  </si>
  <si>
    <t>Commitments and contingencies (Note 5)</t>
  </si>
  <si>
    <t>Stockholders’ equity:</t>
  </si>
  <si>
    <t>Series A convertible preferred stock, $0.001 par value; 57,758,734 shares authorized, 57,758,734 and 22,286,027 shares issued and outstanding at December 31, 2017 and 2016, respectively; aggregate liquidation preference of $63,247,920 at December 31, 2017.</t>
  </si>
  <si>
    <t>Series B convertible preferred stock, $0.001 par value; 12,500,000 shares authorized, 12,500,000 and no shares issued and outstanding at December 31, 2017 and 2016, respectively; aggregate liquidation preference of $25,246,575 at December 31, 2017.</t>
  </si>
  <si>
    <t>Common stock, $0.001 par value; 105,000,000 shares authorized, 20,702,941 shares issued and 9,872,764 and 4,681,455 outstanding at December 31, 2017 and 2016, respectively.</t>
  </si>
  <si>
    <t>Additional paid-in capital</t>
  </si>
  <si>
    <t>Accumulated deficit</t>
  </si>
  <si>
    <t>Total stockholders’ equity</t>
  </si>
  <si>
    <t>Total liabilities and stockholders’ equity</t>
  </si>
  <si>
    <t>Statements of Operations and Comprehensive Loss</t>
  </si>
  <si>
    <t>For the year ended December 31,</t>
  </si>
  <si>
    <t>Operating expenses:</t>
  </si>
  <si>
    <t>Research and development</t>
  </si>
  <si>
    <t>General and administrative</t>
  </si>
  <si>
    <t>Total operating expenses</t>
  </si>
  <si>
    <t>Loss from operations</t>
  </si>
  <si>
    <t>Interest income</t>
  </si>
  <si>
    <t>Loss before income taxes</t>
  </si>
  <si>
    <t>Net loss</t>
  </si>
  <si>
    <t>Comprehensive loss</t>
  </si>
  <si>
    <t>Statements of Cash Flows</t>
  </si>
  <si>
    <t>Operating activities</t>
  </si>
  <si>
    <t>Adjustments to reconcile net loss to net cash provided by (used in) operating activities:</t>
  </si>
  <si>
    <t>Depreciation and amortization</t>
  </si>
  <si>
    <t>Changes in operating assets and liabilities:</t>
  </si>
  <si>
    <t>Deferred rent and lease incentive</t>
  </si>
  <si>
    <t>Deferred collaboration liability</t>
  </si>
  <si>
    <t>Net cash provided by (used in) operating activities</t>
  </si>
  <si>
    <t>Investing activities</t>
  </si>
  <si>
    <t>Purchases of property and equipment</t>
  </si>
  <si>
    <t>Net cash used in investing activities</t>
  </si>
  <si>
    <t>Financing activities</t>
  </si>
  <si>
    <t>Proceeds from issuance of restricted stock, net of repurchases</t>
  </si>
  <si>
    <t>Proceeds from issuance of Series B Preferred Stock, net of issuance costs</t>
  </si>
  <si>
    <t>Proceeds from issuance of Series A Preferred Stock, net of issuance costs</t>
  </si>
  <si>
    <t>Net cash provided by financing activities</t>
  </si>
  <si>
    <t>Net increase (decrease) in cash and cash equivalents</t>
  </si>
  <si>
    <t>Cash and cash equivalents at beginning of year</t>
  </si>
  <si>
    <t>Cash and cash equivalents at end of year</t>
  </si>
  <si>
    <t>Supplemental disclosure of noncash activities</t>
  </si>
  <si>
    <t>Equipment purchases included in accounts payable and accrued expenses</t>
  </si>
  <si>
    <t>Lease incentive obligation proceeds recorded as a receivable</t>
  </si>
  <si>
    <t>Vesting of restricted common stock</t>
  </si>
  <si>
    <t>Decibel Therapeutics, Inc</t>
  </si>
  <si>
    <t>Total $'s Raised</t>
  </si>
  <si>
    <t>To calculated to calculate access amounts</t>
  </si>
  <si>
    <t>Total Series C Shares</t>
  </si>
  <si>
    <t>Issued and Outstanding</t>
  </si>
  <si>
    <t>Fully Diluted</t>
  </si>
  <si>
    <t>Price per Shares</t>
  </si>
  <si>
    <t>Equity holder</t>
  </si>
  <si>
    <t>Preferred, Series A @$1.00</t>
  </si>
  <si>
    <t>Preferred, Series B @$2.00</t>
  </si>
  <si>
    <t>Total Issued and Outstanding</t>
  </si>
  <si>
    <t>Issued and Outstanding % Ownership</t>
  </si>
  <si>
    <t>Preferred, Series C @$2.00</t>
  </si>
  <si>
    <t>Preferred, $'s</t>
  </si>
  <si>
    <t>Incentive Plan Pool</t>
  </si>
  <si>
    <t>Total Fully Diluted</t>
  </si>
  <si>
    <t>Fully Diluted %</t>
  </si>
  <si>
    <t>Total TRV Access of Round</t>
  </si>
  <si>
    <t>Third Rock Ventures III, LP</t>
  </si>
  <si>
    <t>S. R. One</t>
  </si>
  <si>
    <t>GV 2016, L.P.</t>
  </si>
  <si>
    <t>GV 2017, L.P.</t>
  </si>
  <si>
    <t>REGN $'s</t>
  </si>
  <si>
    <t>Longevity Fund 2 LLC</t>
  </si>
  <si>
    <t>Foresite Capital Fund IV, L.P.</t>
  </si>
  <si>
    <t>Pro-rata for Access</t>
  </si>
  <si>
    <t>Agreed to</t>
  </si>
  <si>
    <t>Amount above PR access</t>
  </si>
  <si>
    <t>TRV Access Program (see below for breakout)</t>
  </si>
  <si>
    <t>Fifth Avenue Private Equity 14 LLC (Bessemer)</t>
  </si>
  <si>
    <t>Bessemer</t>
  </si>
  <si>
    <t>Harvard Management Private Equity Corporation</t>
  </si>
  <si>
    <t>Harvard</t>
  </si>
  <si>
    <t>Scubed Capital, LLC</t>
  </si>
  <si>
    <t>S-Cubed</t>
  </si>
  <si>
    <t>PH Investments, LLC</t>
  </si>
  <si>
    <t>Pilot House</t>
  </si>
  <si>
    <t>Sobrato Capital</t>
  </si>
  <si>
    <t>Sobrato Group</t>
  </si>
  <si>
    <t>Portland Decibel EP, LLC</t>
  </si>
  <si>
    <t>Partners HC</t>
  </si>
  <si>
    <t>Portland Decibel PIA, LLC</t>
  </si>
  <si>
    <t>Fifth Avenue Private Equity 14 LLC (Bessemer) (above TRV Access pro-rata)</t>
  </si>
  <si>
    <t>Fifth Avenue Private Equity 11 LLC (Bessemer)</t>
  </si>
  <si>
    <t>Schroder Adveq Technology IX S.C.S</t>
  </si>
  <si>
    <t>Schroder Adveq CPI Global 2017-2019, C.V.</t>
  </si>
  <si>
    <t>Anthony B. Evnin</t>
  </si>
  <si>
    <t>Note:  All remaining Series C goes in this investor to get to total for round</t>
  </si>
  <si>
    <t>Additional Investors TBD (within 180 days of Initial Closing)</t>
  </si>
  <si>
    <t>RSA's granted to:</t>
  </si>
  <si>
    <t>Founders</t>
  </si>
  <si>
    <t>Science and clinical advisors</t>
  </si>
  <si>
    <t>Board of Directors</t>
  </si>
  <si>
    <t>Employees</t>
  </si>
  <si>
    <t>Options/RSA's available (pool)</t>
  </si>
  <si>
    <t>TOTALS</t>
  </si>
  <si>
    <t>TRV Access Program details</t>
  </si>
  <si>
    <t>TRV Access %</t>
  </si>
  <si>
    <t>Total Bessemer Investment</t>
  </si>
  <si>
    <t>Funding Activity: Notes/Stock</t>
  </si>
  <si>
    <t>Cash Receipt Date</t>
  </si>
  <si>
    <t>Days outstanding</t>
  </si>
  <si>
    <t>Dividends</t>
  </si>
  <si>
    <t>Third Rock Ventures III, LTD</t>
  </si>
  <si>
    <t>SR One, LTD</t>
  </si>
  <si>
    <t>Cost</t>
  </si>
  <si>
    <t>Google Ventures</t>
  </si>
  <si>
    <t>Regeneron</t>
  </si>
  <si>
    <t>Total to be paid to Preferred Shareholders</t>
  </si>
  <si>
    <t>Initial Closing - First Tranche</t>
  </si>
  <si>
    <t>Initial Closing - Second Tranche</t>
  </si>
  <si>
    <t>Second Closing - First Tranche</t>
  </si>
  <si>
    <t>Second Closing - Second Tranche</t>
  </si>
  <si>
    <t>Second Closing - Third Tranche</t>
  </si>
  <si>
    <t xml:space="preserve"> </t>
  </si>
  <si>
    <t>Strike</t>
  </si>
  <si>
    <t xml:space="preserve">Date of </t>
  </si>
  <si>
    <t xml:space="preserve">FMV on </t>
  </si>
  <si>
    <t>Vesting</t>
  </si>
  <si>
    <t>% FD</t>
  </si>
  <si>
    <t>Holder</t>
  </si>
  <si>
    <t>Class</t>
  </si>
  <si>
    <t>Granted</t>
  </si>
  <si>
    <t>Date of Grant</t>
  </si>
  <si>
    <t>Vesting Start</t>
  </si>
  <si>
    <t>Cancelled</t>
  </si>
  <si>
    <t>Cancellation</t>
  </si>
  <si>
    <t>Exercised</t>
  </si>
  <si>
    <t>Exercise</t>
  </si>
  <si>
    <t>Exercise Date</t>
  </si>
  <si>
    <t>Oustanding</t>
  </si>
  <si>
    <t>Restricted</t>
  </si>
  <si>
    <t>Paid</t>
  </si>
  <si>
    <t>Current</t>
  </si>
  <si>
    <t>Edge, Albert</t>
  </si>
  <si>
    <t>RSA</t>
  </si>
  <si>
    <t>1/16 quarterly, no cliff</t>
  </si>
  <si>
    <t>Corfas, Gabriel</t>
  </si>
  <si>
    <t>Liberman, M. Charles</t>
  </si>
  <si>
    <t>Mueller, Ulrich</t>
  </si>
  <si>
    <t>Solomon, Michael</t>
  </si>
  <si>
    <t>X</t>
  </si>
  <si>
    <t>1/48 monthly, 1 year cliff</t>
  </si>
  <si>
    <t>Shinobu, Leslie</t>
  </si>
  <si>
    <t>E</t>
  </si>
  <si>
    <t>Silos-Santiago, Inmaculada</t>
  </si>
  <si>
    <t>Nguyen, Trang</t>
  </si>
  <si>
    <t>Marchwicz-Vezina, Nicole</t>
  </si>
  <si>
    <t>Shi, Fuxin</t>
  </si>
  <si>
    <t>Monnell, Travis</t>
  </si>
  <si>
    <t>Vitorovic, Stefan</t>
  </si>
  <si>
    <t>C</t>
  </si>
  <si>
    <t>50% vest upon grant, 50% over 12 months ratably</t>
  </si>
  <si>
    <t>Thomajan, Chris</t>
  </si>
  <si>
    <t xml:space="preserve">                        </t>
  </si>
  <si>
    <t>1/48 monthly, no cliff</t>
  </si>
  <si>
    <t>Moon, Chang Suk</t>
  </si>
  <si>
    <t xml:space="preserve">Burns, Joseph </t>
  </si>
  <si>
    <t xml:space="preserve">Palermo, Adam </t>
  </si>
  <si>
    <t>Jonas, Jeff</t>
  </si>
  <si>
    <t>1/16th quarterly</t>
  </si>
  <si>
    <t>Seehra, Jasbir</t>
  </si>
  <si>
    <t>1/12th monthly, no cliff</t>
  </si>
  <si>
    <t>O'Connor, Susan</t>
  </si>
  <si>
    <t>Larsen, Erik</t>
  </si>
  <si>
    <t>Zhang, Xichun</t>
  </si>
  <si>
    <t>Dube, Matthew</t>
  </si>
  <si>
    <t>Hu, Qi-Ying</t>
  </si>
  <si>
    <t>Hickox, Ann</t>
  </si>
  <si>
    <t>Pan, Ning</t>
  </si>
  <si>
    <t xml:space="preserve">Czechowicz, Agnieszka </t>
  </si>
  <si>
    <t>N/A</t>
  </si>
  <si>
    <t>Immediate vesting</t>
  </si>
  <si>
    <t xml:space="preserve">Venkiteshwaran, Adith </t>
  </si>
  <si>
    <t>So, Kathy</t>
  </si>
  <si>
    <t>Holtzman, Steven H.</t>
  </si>
  <si>
    <t>Johnson, Catharine</t>
  </si>
  <si>
    <t>Su, Michael</t>
  </si>
  <si>
    <t>Castrichini, Peter</t>
  </si>
  <si>
    <t>Whitton, Jonathon</t>
  </si>
  <si>
    <t>Lee, John</t>
  </si>
  <si>
    <t>Cobb, Paula</t>
  </si>
  <si>
    <t>Chubet, Paula</t>
  </si>
  <si>
    <t>Getchell, Melanie</t>
  </si>
  <si>
    <t>Duhamel, Alison</t>
  </si>
  <si>
    <t>Popovici-Muller, Janeta</t>
  </si>
  <si>
    <t>Holmes, Benjamin</t>
  </si>
  <si>
    <t>Constan, Alex</t>
  </si>
  <si>
    <t>Frazier, Lindsay</t>
  </si>
  <si>
    <t>1 year, monthly</t>
  </si>
  <si>
    <t>Shoulson, Ira</t>
  </si>
  <si>
    <t>Kujawa, Sharon</t>
  </si>
  <si>
    <t>Packer, Mark</t>
  </si>
  <si>
    <t>Brennan, Troy</t>
  </si>
  <si>
    <t>Brown, Roger</t>
  </si>
  <si>
    <t>Scangos, George</t>
  </si>
  <si>
    <t>Palermo, Adam</t>
  </si>
  <si>
    <t>Burns, Joseph</t>
  </si>
  <si>
    <t>Vigliotta, Ronald</t>
  </si>
  <si>
    <t>Arsenault, Brendan</t>
  </si>
  <si>
    <t>Keilty, John</t>
  </si>
  <si>
    <t>Liebesny, Paul</t>
  </si>
  <si>
    <t>Ren, Yong</t>
  </si>
  <si>
    <t>Nguyen, Matthew</t>
  </si>
  <si>
    <t>Schwander, Martin</t>
  </si>
  <si>
    <t>Soglia, John</t>
  </si>
  <si>
    <t>Johnson, Karen</t>
  </si>
  <si>
    <t>Senapati, Arun</t>
  </si>
  <si>
    <t>Hren, Chris</t>
  </si>
  <si>
    <t>1/48 monthly</t>
  </si>
  <si>
    <t>x</t>
  </si>
  <si>
    <t>Cheng, Alan</t>
  </si>
  <si>
    <t>Quarterly over 4 years</t>
  </si>
  <si>
    <t>Fritzsch, Bernd</t>
  </si>
  <si>
    <t>Clevers, Hans</t>
  </si>
  <si>
    <t>Barr-Gillespie, Peter</t>
  </si>
  <si>
    <t>Ginty, David</t>
  </si>
  <si>
    <t>Fully Vested</t>
  </si>
  <si>
    <t>Greenberg, Michael</t>
  </si>
  <si>
    <t>Schreiber, Stuart</t>
  </si>
  <si>
    <t>Mehraei, Golbarg</t>
  </si>
  <si>
    <t>Ellis, Kathryn</t>
  </si>
  <si>
    <t>Paz, Nancy</t>
  </si>
  <si>
    <t>Sullivan, Deirdre</t>
  </si>
  <si>
    <t>Horwitz, Geoffrey</t>
  </si>
  <si>
    <t>Cope Eatough, Elaine</t>
  </si>
  <si>
    <t>Pregernig, Gabriela</t>
  </si>
  <si>
    <t>Henao, Jhon</t>
  </si>
  <si>
    <t>Wu, Xudong (Sunny)</t>
  </si>
  <si>
    <t>Need to add refresher to this</t>
  </si>
  <si>
    <t>Tarng, Rosa</t>
  </si>
  <si>
    <t>Shmerling, Lisa</t>
  </si>
  <si>
    <t>Sellon, Jonathan</t>
  </si>
  <si>
    <t>Trask, Anna</t>
  </si>
  <si>
    <t>Gibson, Tyler</t>
  </si>
  <si>
    <t>Zoglio, Jillian</t>
  </si>
  <si>
    <t>Druckenbrod, Noah</t>
  </si>
  <si>
    <t>Yang, Tian</t>
  </si>
  <si>
    <t>Wolff, Heather</t>
  </si>
  <si>
    <t>Su, Shin-San (Michael)</t>
  </si>
  <si>
    <t>Constan, Alexander</t>
  </si>
  <si>
    <t>Cope, Elaine</t>
  </si>
  <si>
    <t>Hren, Christopher</t>
  </si>
  <si>
    <t>Johnston, Karen</t>
  </si>
  <si>
    <t xml:space="preserve">Mehraei, Golbarg </t>
  </si>
  <si>
    <t>Johns, Alexis</t>
  </si>
  <si>
    <t>Manna, Joseph</t>
  </si>
  <si>
    <t>McCarthy, Ryan</t>
  </si>
  <si>
    <t>Quigley, Tera</t>
  </si>
  <si>
    <t>Farrell, Theresa</t>
  </si>
  <si>
    <t>Ruth, Mikhaila</t>
  </si>
  <si>
    <t>Kropp, Jason</t>
  </si>
  <si>
    <t>Holmes, Ben</t>
  </si>
  <si>
    <t>Pregernig, Gabi</t>
  </si>
  <si>
    <t>Burns, Joe</t>
  </si>
  <si>
    <t>Nguyen, Matt</t>
  </si>
  <si>
    <t>Totals</t>
  </si>
  <si>
    <t>F = Founders</t>
  </si>
  <si>
    <t>E = Employee</t>
  </si>
  <si>
    <t>C = Consultant</t>
  </si>
  <si>
    <t>X = former employee</t>
  </si>
  <si>
    <t>Total Pool</t>
  </si>
  <si>
    <t>Pool increase 5/3/16</t>
  </si>
  <si>
    <t xml:space="preserve">Total Pool </t>
  </si>
  <si>
    <t>Grants in the pool</t>
  </si>
  <si>
    <t>Pool increase 8/11/16</t>
  </si>
  <si>
    <t>Pool increase 6/2017</t>
  </si>
  <si>
    <t>Pool increase 11/2017</t>
  </si>
  <si>
    <t>Available pool</t>
  </si>
  <si>
    <t>Grants outside the pool</t>
  </si>
  <si>
    <t>83b filed</t>
  </si>
  <si>
    <t>Third Closing</t>
  </si>
  <si>
    <t>Series A - Third Closing includes Second Closing - Third Tranche.</t>
  </si>
  <si>
    <t>Series A per share value wt. avg.</t>
  </si>
  <si>
    <t>Series B per share value effective</t>
  </si>
  <si>
    <t>Series C per share value effective</t>
  </si>
  <si>
    <t>#1</t>
  </si>
  <si>
    <t>#2</t>
  </si>
  <si>
    <t>#3</t>
  </si>
  <si>
    <t>#4</t>
  </si>
  <si>
    <t>#5</t>
  </si>
  <si>
    <t>#6</t>
  </si>
  <si>
    <t>Preferred Series B and Series C Receives Liquidation Preference</t>
  </si>
  <si>
    <t>Preferred Series A Receives Liquidation Preference</t>
  </si>
  <si>
    <t>Common Starts Receiving Value</t>
  </si>
  <si>
    <t>Breakpoints</t>
  </si>
  <si>
    <t>Preferred Series A Converts to Common</t>
  </si>
  <si>
    <t>Preferred Series C Converts to Common</t>
  </si>
  <si>
    <t>Preferred Series B Converts to Common</t>
  </si>
  <si>
    <t>Common Options</t>
  </si>
  <si>
    <t>Consolidated</t>
  </si>
  <si>
    <t>CY2020</t>
  </si>
  <si>
    <t>CY2021</t>
  </si>
  <si>
    <t>REV_CY2020</t>
  </si>
  <si>
    <t>REV_CY2021</t>
  </si>
  <si>
    <t>EBITDA_2019</t>
  </si>
  <si>
    <t>EBITDA_2020</t>
  </si>
  <si>
    <t>NasdaqCM:FENC</t>
  </si>
  <si>
    <t>IQ1455350</t>
  </si>
  <si>
    <t>Fennec Pharmaceuticals Inc.</t>
  </si>
  <si>
    <t>Fennec Pharmaceuticals Inc., a biopharmaceutical company, develops product candidates for use in the treatment of cancer in the United States. Its lead product candidate is the Sodium Thiosulfate, which has completed the Phase III clinical trial for the prevention of cisplatin induced hearing loss or ototoxicity in children. The company was formerly known as Adherex Technologies Inc. and changed its name to Fennec Pharmaceuticals Inc. in September 2014. Fennec Pharmaceuticals Inc. was founded in 1996 and is based in Research Triangle Park, North Carolina.</t>
  </si>
  <si>
    <t>ENXTPA:GKTX</t>
  </si>
  <si>
    <t>IQ25750031</t>
  </si>
  <si>
    <t>Genkyotex SA</t>
  </si>
  <si>
    <t>Genkyotex S.A., a biopharmaceutical company, develops oral small molecule NOX therapeutics. Its platform enables the identification of orally available small-molecules that selectively inhibit NOX enzymes amplifying various disease processes, such as fibrosis, inflammation, pain processing, cancer development, and neurodegeneration. The company’s lead product candidate is GKT831, a NOX1 and NOX4 inhibitor, which is evaluated in a Phase II clinical trial in primary biliary cholangitis a fibrotic orphan disease and in an investigator-initiated Phase II clinical trial in type 1 diabetes and kidney disease. Its preclinical stage product candidate is GKT771, a NOX1 inhibitor targeting various pathways in angiogenesis, pain processing, and inflammation. The company’s research programs include brain penetrant NOX inhibitors to address CNS disorders; NOX inhibitors to address hearing loss; and NOX inhibitors in oncology. Genkyotex S.A. has a partnership with Serum Institute of India Ltd for the development of prophylactic vaccines. The company was founded in 2006 and is based in Saint Julien En Genevois, France.</t>
  </si>
  <si>
    <t>NasdaqCM:NVUS</t>
  </si>
  <si>
    <t>IQ62494905</t>
  </si>
  <si>
    <t>Novus Therapeutics, Inc.</t>
  </si>
  <si>
    <t>Novus Therapeutics, Inc., a pharmaceutical company, focuses on developing products for patients with disorders of ear, nose, and throat. Its lead product is (OP-02), a surfactant-based combination drug product for patients at risk for, or with, otitis media (OM) (middle ear inflammation with or without infection). The company also has a foam-based drug delivery technology (OP-01) that could be used to deliver drugs into the ear, nose, and sinus cavities. Novus Therapeutics, Inc. is headquartered in Irvine, California.</t>
  </si>
  <si>
    <t>ENXTPA:ALSEN</t>
  </si>
  <si>
    <t>IQ201049094</t>
  </si>
  <si>
    <t>Sensorion SA</t>
  </si>
  <si>
    <t>Sensorion SA, a biopharmaceutical company, develops therapies for the treatment of inner ear disorders. The company develops SENS-111, which is in phase II clinical trials to treat acute unilateral vestibulopathy; and SENS-401 that is in phase I clinical trials to treat sudden sensorineural hearing loss. It also develops SENS-300, which is under the pre-clinical stage for use in inner ear toxicity treatment. The company has a strategic collaboration with Cochlear Limited to study combination therapies for cochlear implant patients. Sensorion SA was founded in 2009 and is headquartered in Montpellier, France.</t>
  </si>
  <si>
    <t>NasdaqGS:OTIC</t>
  </si>
  <si>
    <t>IQ60978778</t>
  </si>
  <si>
    <t>Otonomy, Inc.</t>
  </si>
  <si>
    <t>Otonomy, Inc., a biopharmaceutical company, engages in the development and commercialization of therapeutics for otology in the United States. It offers OTIPRIO, a ciprofloxacin otic suspension for use during tympanostomy tube placement surgery in pediatric patients. The company also develops OTIVIDEX, a sustained-exposure formulation of the steroid dexamethasone in Phase III clinical trial for the treatment of Ménière’s disease; and OTO- 313, a sustained-exposure formulation of N-methyl-D-aspartate receptor antagonist gacyclidine, which has completed a Phase 1 clinical safety trial for the treatment of tinnitus. In addition, it develops OTO-413, a sustained exposure formulation of brain-derived neurotrophic factor for the repair of cochlear synaptopathy and the treatment of speech-in-noise hearing difficulties; OTO-5XX, an otoprotectant for the prevention of cisplatin-induced hearing loss; and OTO-6XX induces hair cell regeneration for the treatment of severe hearing loss. The company has license agreements with University of California and DURECT Corporation. Otonomy, Inc. was founded in 2008 and is headquartered in San Diego, California.</t>
  </si>
  <si>
    <t>NasdaqCM:EARS</t>
  </si>
  <si>
    <t>IQ42726152</t>
  </si>
  <si>
    <t>Auris Medical Holding AG</t>
  </si>
  <si>
    <t>Auris Medical Holding AG, a clinical-stage biopharmaceutical company, focuses on the development of novel products for the treatment of inner ear disorders. Its product candidates include AM-101, which is in phase III clinical development for the treatment of acute inner ear tinnitus; and AM-111 that is in phase III clinical development for the treatment of acute inner ear hearing loss. The company is also developing AM-125 for the treatment of vestibular disorders; and other pre-clinical stage products comprising AM-102 and AM-123. It has a collaboration and license agreement with Xigen S.A. to develop, manufacture, and commercialize pharmaceutical products, as well as drug delivery devices and formulations for local administration of therapeutic substances to the inner ear for the treatment of ear disorders. The company was formerly known as Auris Medical AG and changed its name to Auris Medical Holding AG in April 2014. Auris Medical Holding AG was founded in 1998 and is headquartered in Zug, Switzerland.</t>
  </si>
  <si>
    <t>(Parameter Length Limit Exceeded)</t>
  </si>
  <si>
    <t>CPSE:WDH</t>
  </si>
  <si>
    <t>IQ426471</t>
  </si>
  <si>
    <t>William Demant Holding A/S</t>
  </si>
  <si>
    <t>CPSE</t>
  </si>
  <si>
    <t>William Demant Holding A/S, a hearing healthcare company, develops, manufactures, and sells products and equipment designed to aid the people with hearing loss connect and communication primarily in Denmark, rest of Europe, North America, Oceania, Asia, and other countries. Its products include hearing devices and implants; diagnostic instruments; and personal communication systems, such as headsets and solutions for the professional call center and office market, as well as consumer headsets for the gaming and mobile segments. The company was founded in 1904 and is headquartered in Smørum, Denmark.</t>
  </si>
  <si>
    <t>ASX:COH</t>
  </si>
  <si>
    <t>IQ419113</t>
  </si>
  <si>
    <t>Cochlear Limited</t>
  </si>
  <si>
    <t>Cochlear Limited provides implantable hearing solutions in the Americas, Europe, the Middle East, Africa, and the Asia Pacific. The company offers cochlear implants, including Nucleus 7 and Kanso sound processors; Carina middle-ear implants and accessories; and Baha bone conduction implants, such as Baha attract system, Baha connect system, Baha softband, Baha 5 sound processor, Baha 5 power, Baha 5 superpower, other sound processors, and wireless accessories. It also provides Cochlear true wireless devices comprising mini microphones, phone clips, and TV streamers; and Cochlear Vistafix bone-anchored facial prosthetic solutions to enhance the attachment and cosmetic outcome of facial prostheses. The company has strategic collaborations with Sensorion and GN Hearing A/S to focus on improving hearing outcomes in patients with cochlear implants. Cochlear Limited was incorporated in 1983 and is headquartered in Sydney, Australia.</t>
  </si>
  <si>
    <t>BIT:AMP</t>
  </si>
  <si>
    <t>IQ1002655</t>
  </si>
  <si>
    <t>Amplifon SpA</t>
  </si>
  <si>
    <t>BIT</t>
  </si>
  <si>
    <t>Amplifon SpA operates in the hearing care retail market that empowers people to rediscover various emotions of sound. The company operates through a network of approximately 10,000 points of sale in 21 countries and 5 continents. It also sells its products through 1,424 franchisees and 1,911 affiliates. The company was founded in 1950 and is headquartered in Milan, Italy. Amplifon SpA is a subsidiary of Ampliter N.V.</t>
  </si>
  <si>
    <t>OM:ELOS B</t>
  </si>
  <si>
    <t>IQ5631624</t>
  </si>
  <si>
    <t>Elos Medtech AB (publ)</t>
  </si>
  <si>
    <t>OM</t>
  </si>
  <si>
    <t>Elos Medtech AB (publ) develops and manufactures medical devices and components for the medtech industry. The company operates in five segments: Dental Implants, Orthopedics, Diagnostics, Hearing Devices and Vibration, and Other Medical Areas. Its products include implants, screws, plates, instruments, drills, pins and wires, prosthetics, digital dentistry workflow products, disposable plastics, HPLC fittings, other medical plastic parts, and multi-use delivery systems, as well as other products for diagnostics and disposable products in high-tech plastics. The company also provides design and development, regulatory, prototyping, testing, process validation, and supply and inventory management, as well as design for manufacturing and engineering services. It has operations in Sweden, Denmark, China, and the United States. The company was formerly known as Elos AB (publ) and changed its name to Elos Medtech AB (publ) in April 2015. Elos Medtech AB (publ) is based in Gothenburg, Sweden.</t>
  </si>
  <si>
    <t>IQTR417894725</t>
  </si>
  <si>
    <t>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 As of June 16, 2017, GenVec, Inc. operates as a subsidiary of Intrexon Corporation.</t>
  </si>
  <si>
    <t xml:space="preserve">Intrexon Corporation (NYSE:XON) entered into a definitive agreement to acquire GenVec, Inc. (NasdaqCM:GNVC) for $14.9 million on January 24, 2017. Under the terms, upon the closing of the transaction, GenVec stockholders will receive 0.297 of a share of Intrexon common stock in exchange for each share of GenVec common stock. GenVec stockholders will also receive a right to contingent consideration equal to 50% of any milestone or royalty payments received within 36 months after the closing of the transaction under GenVec's research collaboration and license agreement with Novartis AG (SWX:NOVN). In case of termination, a termination fee of $550,000 will be paid by GenVec, Inc. to Intrexon Corporation. The transaction is subject to the approval of GenVec stockholders, registration statement effectiveness and listing of new shares on stock exchange. The transaction is expected to close in the second quarter of 2017. Roth Capital Partners acted as financial advisor to the Board of Directors of GenVec in connection with the transaction and Peter W. Smith of Thompson Hine LLP acted as the legal advisor to Intrexon and Asher Rubin, William Intner, Robert Hayes, Alison Lehner, Nick Hoover, Samantha Stephenson, Meg McIntyre, Martha Steinman, Phil Katz, Michael DeLarco, William Ferreira, Scott Reisch, Scott McClure, Howard Rosenstock of Hogan Lovells acted as a legal advisor to GenVec in this transaction. _x000D_
</t>
  </si>
  <si>
    <t>DID NOT USE</t>
  </si>
  <si>
    <t>Tier 2</t>
  </si>
  <si>
    <t>Guideline Comparables Analysis</t>
  </si>
  <si>
    <t>Guideline Transaction Analysis</t>
  </si>
  <si>
    <t>Post Money</t>
  </si>
  <si>
    <t>&lt;&lt; Check</t>
  </si>
  <si>
    <t>Financials</t>
  </si>
  <si>
    <t>#7</t>
  </si>
  <si>
    <t>Hybrid Option Pricing Method</t>
  </si>
  <si>
    <t>Restricted Cash</t>
  </si>
  <si>
    <t>After 7</t>
  </si>
  <si>
    <t>Invested Capital</t>
  </si>
  <si>
    <t>Series C Post Money</t>
  </si>
  <si>
    <t>% Step up at IPO</t>
  </si>
  <si>
    <t>$100 million as per call notes, however based on IPO market data median IPO exit value is more than $250 million.</t>
  </si>
  <si>
    <t>Accrued Dividends</t>
  </si>
  <si>
    <t>Check Common Value</t>
  </si>
  <si>
    <t>In March 2018, the company concluded its offering of common stock under its “at-the-market” offering facility. The company raised approximately $8.5 million in gross proceeds under the facility.</t>
  </si>
  <si>
    <t>http://ir.novustherapeutics.com/news-releases/news-release-details/novus-therapeutics-reports-fourth-quarter-and-full-year-2017</t>
  </si>
  <si>
    <t xml:space="preserve">1. Sensorion successfully raises € 8.65 million from institutional investors on 05/18/2018.
2. Received the International Non-Proprietary Name (INN) grant from the WHO, seliforant, to its lead clinical candidate, SENS-111 for the treatment of vertigo of vestibular
origin.
3.
</t>
  </si>
  <si>
    <t>1. http://www.sensorion-pharma.com/images/press-release/20180518-PR-Sensorion_fundraise_EN.pdf</t>
  </si>
  <si>
    <t>2. http://www.sensorion-pharma.com/images/press-release/20180502-PR-SENS111-Seliforant-INN-vf.pdf</t>
  </si>
  <si>
    <t>1. Voluntary early repayment of part ($5 million) of its loan facility with Hercules Capital, Inc. 
2. On March 12, 2018, the extraordinary general meeting of shareholders of Auris Medical Holding AG approved, among other items, the merger of the company with one of its subsidiaries. The merger has become effective on March 13, 2018, and results in a reverse split of 1 new share for 10 old shares. The post-merger common shares (CUSIP number H0381L104) of Auris Medical Holding AG are expected to begin trading on the Nasdaq Capital Market on March 14, 2018.</t>
  </si>
  <si>
    <t xml:space="preserve">1. https://ir.aurismedical.com/news-releases/news-release-details/auris-medical-announces-early-repayment-part-its-loan-facility
</t>
  </si>
  <si>
    <t>2. https://ir.aurismedical.com/news-releases/news-release-details/auris-medical-provides-business-update</t>
  </si>
  <si>
    <t>Sources</t>
  </si>
  <si>
    <t>Key Events Since Previous Valuation Date</t>
  </si>
  <si>
    <t>Weighted Average Cost of Capital - IPO</t>
  </si>
  <si>
    <t>IPO Waterfall</t>
  </si>
  <si>
    <t>Asset Volatility - Hybrid OPM</t>
  </si>
  <si>
    <t>Interpolation - Hybrid OPM and DLOM</t>
  </si>
  <si>
    <t>Discount for Lack of Marketability - Hybrid OPM</t>
  </si>
  <si>
    <t>Implied Latest Preferred Round - Series C</t>
  </si>
  <si>
    <t>Implied Latest Preferred Round - Series B</t>
  </si>
  <si>
    <t>DLOM % (4)</t>
  </si>
  <si>
    <t>Adjusted Present Value Per Common Stock Share</t>
  </si>
  <si>
    <t>Series C - Value Per Share Calculation</t>
  </si>
  <si>
    <t>No. of Series C Shares</t>
  </si>
  <si>
    <t>Present Value Per Series C Share</t>
  </si>
  <si>
    <t>&lt;- Input VC % over here, this flows to Future Financing in IPO</t>
  </si>
  <si>
    <t>Series C OIP</t>
  </si>
  <si>
    <t>Probability weightings for the IPO scenarios was based on the based on discussions with the Management.</t>
  </si>
  <si>
    <t>Prev. Val. Conc.</t>
  </si>
  <si>
    <t>Current VD</t>
  </si>
  <si>
    <t>As % of Series B OIP</t>
  </si>
  <si>
    <t>As % of Series C OIP</t>
  </si>
  <si>
    <t>Valuation Summary - OPM</t>
  </si>
  <si>
    <t>OPM Asset Vol</t>
  </si>
  <si>
    <t>Check Breakpoint Values</t>
  </si>
  <si>
    <t>Homology Medicines, Inc.</t>
  </si>
  <si>
    <t>NasdaqGS:FIXX</t>
  </si>
  <si>
    <t>IQTR554696496</t>
  </si>
  <si>
    <t>IQ321461593</t>
  </si>
  <si>
    <t>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t>
  </si>
  <si>
    <t>Cue Biopharma, Inc.</t>
  </si>
  <si>
    <t>NasdaqCM:CUE</t>
  </si>
  <si>
    <t>IQTR538222664</t>
  </si>
  <si>
    <t>IQ417883814</t>
  </si>
  <si>
    <t>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a collaboration agreement with Merck &amp; Co. for the research and development of its proprietary biologics that target autoimmune disease indications; and Albert Einstein College of Medicine to develop Immuno-STAT biologics for chronic infectious diseases. The company was formerly known as Imagen Biopharma, Inc. and changed its name to Cue Biopharma, Inc. in October 2016. Cue Biopharma, Inc. was incorporated in 2014 and is based in Cambridge, Massachusetts.</t>
  </si>
  <si>
    <t>Scholar Rock Holding Corporation</t>
  </si>
  <si>
    <t>NasdaqGS:SRRK</t>
  </si>
  <si>
    <t>IQTR560753952</t>
  </si>
  <si>
    <t>IQ548810128</t>
  </si>
  <si>
    <t>Scholar Rock Holding Corporation, a biopharmaceutical company, focuses on the discovery and development of various medicines for the treatment of serious diseases in which signaling by protein growth factors plays a fundamental role. The company is developing its lead antibody product candidate, SRK-015, a first-in-class inhibitor of the activation of myostatin that is in clinical development stage for the treatment of spinal muscular atrophy. It is also developing various product candidates for a range of serious diseases, including other neuromuscular disorders, cancer, fibrosis, and anemia. The company was founded in 2012 and is based in Cambridge, Massachusetts.</t>
  </si>
  <si>
    <t>Evelo Biosciences, Inc.</t>
  </si>
  <si>
    <t>NasdaqGS:EVLO</t>
  </si>
  <si>
    <t>IQTR559179993</t>
  </si>
  <si>
    <t>IQ331329033</t>
  </si>
  <si>
    <t>Evelo Biosciences, Inc., a biotechnology company, focuses on the development of monocolonal microbials for the treatment of inflammatory diseases and cancer. It is involved in developing EDP1066 and EDP1815 for patients with psoriasis and atopic dermatitis, rheumatoid arthritis, and ulcerative colitis/crohn’s colitis; and EDP1503 for the treatment of colorectal cancer, renal cell carcinoma, and melanoma, as well as patients who have relapsed on prior PD-1/L1 inhibitor treatment across multiple tumor types. The company was founded in 2014 and is headquartered in Cambridge, Massachusetts.</t>
  </si>
  <si>
    <t>Unity Biotechnology, Inc.</t>
  </si>
  <si>
    <t>NasdaqGS:UBX</t>
  </si>
  <si>
    <t>IQTR558272470</t>
  </si>
  <si>
    <t>IQ324565060</t>
  </si>
  <si>
    <t>Unity Biotechnology, Inc., a preclinical biotechnology company, engages in the research and development of therapeutics to extend human health span. The company’s lead drug candidates include UBX0101 for musculoskeletal disease with an initial focus on osteoarthritis; and UBX1967 for ophthalmologic diseases. It is also developing programs in pulmonary disorders. The company was formerly known as Forge, Inc. and changed its name to Unity Biotechnology, Inc. in January 2015. Unity Biotechnology, Inc. was founded in 2009 and is headquartered in Brisbane, California.</t>
  </si>
  <si>
    <t>Surface Oncology, Inc.</t>
  </si>
  <si>
    <t>NasdaqGM:SURF</t>
  </si>
  <si>
    <t>IQTR557089595</t>
  </si>
  <si>
    <t>IQ281487796</t>
  </si>
  <si>
    <t>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t>
  </si>
  <si>
    <t>Unum Therapeutics Inc.</t>
  </si>
  <si>
    <t>NasdaqGS:UMRX</t>
  </si>
  <si>
    <t>IQTR554696707</t>
  </si>
  <si>
    <t>IQ274894404</t>
  </si>
  <si>
    <t>Unum Therapeutics Inc., a clinical stage biopharmaceutical company, develops and commercializes immunotherapy products designed to harness the power of a patient’s immune system to cure cancer. Its lead product candidate is the ACTR087 used in combination with rituximab, which is in Phase I clinical trials to treat adult patients with relapsed or refractory non-Hodgkin lymphoma. The company’s product portfolio also includes ACTR707 used in combination with rituximab that is in Phase I clinical trials to treat adult patients with r/r B cell non-Hodgkin lymphoma; ACTR087 used in combination with SEA-BCMA, which is in Phase I clinical trials for treating patients with r/r multiple myeloma; and ACTR707 used in combination with trastuzumab, which is in late preclinical development phase for treating HER2+ solid tumor cancers. It has strategic collaboration with Seattle Genetics, Inc. to identify, research, develop, and commercialize antibody-coupled T cell receptor therapies. The company was founded in 2014 and is headquartered in Cambridge, Massachusetts.</t>
  </si>
  <si>
    <t>Arcus Biosciences, Inc.</t>
  </si>
  <si>
    <t>NYSE:RCUS</t>
  </si>
  <si>
    <t>IQTR553167792</t>
  </si>
  <si>
    <t>IQ325435188</t>
  </si>
  <si>
    <t>Arcus Biosciences, Inc., a clinical-stage biopharmaceutical company, engages in developing and commercializing cancer immunotherapies in the United States. It is developing various products for treating solid tumors, including AB928, an adenosine receptor antagonist that is in Phase I clinical trial; AB680, a CD73 inhibitor; AB122, an anti-PD-1 antibody that is Phase I clinical trial; and AB154, an anti-TIGIT antibody. The company was founded in 2015 and is headquartered in Hayward, California.</t>
  </si>
  <si>
    <t>BioXcel Therapeutics, Inc.</t>
  </si>
  <si>
    <t>NasdaqCM:BTAI</t>
  </si>
  <si>
    <t>IQTR552679153</t>
  </si>
  <si>
    <t>IQ543567629</t>
  </si>
  <si>
    <t>BioXcel Therapeutics, Inc., a clinical stage biopharmaceutical company, focuses on novel artificial intelligence-based drug development in the fields of neuroscience and immuno-oncology in the United States. The company is involved in developing BXCL501, a sublingual thin film formulation of dexmedetomidine designed for acute treatment of agitation resulting from neurological and psychiatric disorders; and BXCL701, an immuno-oncology agent designed for the treatment of prostate and pancreatic cancers. It is also developing BXCL502, a novel approach to the treatment of symptoms resulting from neurological disorders; and BXCL702, an immuno-oncology agent for hematological malignancies. The company was founded in 2017 and is headquartered in Branford, Connecticut. BioXcel Therapeutics, Inc. is a subsidiary of BioXcel Corporation.</t>
  </si>
  <si>
    <t>Solid Biosciences Inc.</t>
  </si>
  <si>
    <t>NasdaqGS:SLDB</t>
  </si>
  <si>
    <t>IQTR548047650</t>
  </si>
  <si>
    <t>IQ315986912</t>
  </si>
  <si>
    <t>Solid Biosciences Inc. engages in identifying and developing therapies for duchenne muscular dystrophy in the United States. Its lead product candidate includes SGT-001, a gene therapy that is in Phase I/II clinical trials to restore functional dystrophin protein expression in patients’ muscles. The company’s product candidates also comprise SB-001, a monoclonal antibody to reduce fibrosis and inflammation. In addition, it is developing soft wearable assistive devices that have functional and therapeutic benefits to DMD patients. The company was founded in 2013 and is headquartered in Cambridge, Massachusetts.</t>
  </si>
  <si>
    <t>Kiniksa Pharmaceuticals, Ltd.</t>
  </si>
  <si>
    <t>NasdaqGS:KNSA</t>
  </si>
  <si>
    <t>IQTR560752737</t>
  </si>
  <si>
    <t>IQ558211765</t>
  </si>
  <si>
    <t>Kiniksa Pharmaceuticals, Ltd., a clinical-stage biopharmaceutical company, focuses on the discovering, acquiring, developing, and commercializing therapeutic medicines for patients suffering from debilitating diseases with significant unmet medical need worldwide. Its clinical-stage product candidates include Rilonacept, which is in Phase II clinical trials for the treatment of recurrent pericarditis, a debilitating inflammatory cardiovascular disease; Mavrilimumab, a monoclonal antibody for the treatment of giant cell arteritis; and KPL-716, a monoclonal antibody, which is in Phase 1a/1b clinical trial for the treatment of prurigo nodularis and atopic dermatitis. Kiniksa Pharmaceuticals, Ltd. was founded in 2015 and is based in Hamilton, Bermuda.</t>
  </si>
  <si>
    <t>Genprex, Inc.</t>
  </si>
  <si>
    <t>NasdaqCM:GNPX</t>
  </si>
  <si>
    <t>IQTR531599159</t>
  </si>
  <si>
    <t>IQ225557674</t>
  </si>
  <si>
    <t>Genprex, Inc., a clinical stage gene therapy company, develops drugs to treat cancer. Its lead product candidate is Oncoprex, an active anti-cancer agent that is in Phase II clinical trials for the treatment of non-small cell lung cancer (NSCLC). It also conducts preclinical research for developing Oncoprex to be administered with immunotherapies in NSCLC; and research into other tumor suppressor genes associated with chromosome. Genprex, Inc. was founded in 2009 and is based in Austin, Texas.</t>
  </si>
  <si>
    <t>Sol-Gel Technologies Ltd.</t>
  </si>
  <si>
    <t>NasdaqGM:SLGL</t>
  </si>
  <si>
    <t>IQTR535864295</t>
  </si>
  <si>
    <t>IQ621569</t>
  </si>
  <si>
    <t>Sol-Gel Technologies Ltd., a clinical-stage specialty pharmaceutical company, focuses on developing and commercializing topical dermatological drug products based on its proprietary microencapsulation delivery system in Israel. The company’s lead product candidates include TWIN and SIRS-T, which has completed Phase II clinical trials for the treatment of acne vulgaris; and VERED that has completed Phase II clinical trials for the treatment of papulopustular rosacea. It is also involved in the development of generic dermatological drug products. Sol-Gel Technologies Ltd. has collaboration with Perrigo; and Douglas Pharmaceuticals for the development and commercialization of a generic product candidate. The company was founded in 1997 and is headquartered in Ness Ziona, Israel.</t>
  </si>
  <si>
    <t>resTORbio, Inc.</t>
  </si>
  <si>
    <t>NasdaqGS:TORC</t>
  </si>
  <si>
    <t>IQTR548091684</t>
  </si>
  <si>
    <t>IQ427650761</t>
  </si>
  <si>
    <t>resTORbio, Inc., a clinical-stage biopharmaceutical company, focuses on the development and commercialization of novel therapeutics for the treatment of aging-related diseases. Its lead program is targeting the selective inhibition of TORC1, an evolutionary conserved pathway that contributes to the decline in function of multiple organ systems, including the immune, cardiac, and neurologic systems. The company’s lead drug candidate RTB101 is a selective, orally administered, TORC1 inhibitor, which is being tested in a Phase 2b clinical trial as a first in-class immunotherapy for reducing the incidence of respiratory tract infections in the elderly by enhancing the function of the immune system. It also intends to develop RTB101 for additional aging-related indications, such as heart failure or neurodegenerative diseases. The company was founded in 2016 and is based in Boston, Massachusetts.</t>
  </si>
  <si>
    <t>Menlo Therapeutics Inc.</t>
  </si>
  <si>
    <t>NasdaqGS:MNLO</t>
  </si>
  <si>
    <t>IQTR547921857</t>
  </si>
  <si>
    <t>IQ225807943</t>
  </si>
  <si>
    <t>Menlo Therapeutics Inc., a late-stage biopharmaceutical company, focuses on the development and commercialization of serlopitant for the treatment of pruritus associated with dermatologic conditions in the United States. The company has completed Phase II clinical trials in pruritus associated with prurigo nodularis. It is also developing products that are in Phase II clinical trials to treat pruritus associated with psoriasis, atopic dermatitis, and refractory chronic cough. The company was formerly known as Tigercat Pharma, Inc. and changed its name to Menlo Therapeutics Inc. in May 2016. Menlo Therapeutics Inc. was founded in 2011 and is headquartered in Redwood City, California.</t>
  </si>
  <si>
    <t>Eyenovia, Inc.</t>
  </si>
  <si>
    <t>NasdaqCM:EYEN</t>
  </si>
  <si>
    <t>IQTR547072256</t>
  </si>
  <si>
    <t>IQ291491698</t>
  </si>
  <si>
    <t>Eyenovia, Inc., a clinical stage biopharmaceutical company, engages in developing a pipeline of ophthalmology products in the United States. It is developing MicroProst, which is in Phase III clinical trials for the treatment of chronic angle closure glaucoma; MicroStat, which is in Phase III clinical trials for the treatment of mydriasis; MicroTears for the treatment of dry eye; and MicroPine for the treatment of myopia. The company was formerly known as PGP Holdings V, Inc. and changed its name to Eyenovia, Inc. in May 2014. Eyenovia, Inc. was founded in 2014 and is based in New York, New York.</t>
  </si>
  <si>
    <t>Iterum Therapeutics plc</t>
  </si>
  <si>
    <t>NasdaqGM:ITRM</t>
  </si>
  <si>
    <t>IQTR561403199</t>
  </si>
  <si>
    <t>IQ318354064</t>
  </si>
  <si>
    <t>Iterum Therapeutics plc, a clinical-stage pharmaceutical company, engages in developing anti-infectives for multi-drug resistant pathogens in Ireland and the United States. The company is developing sulopenem, a penem anti-infective compound with oral and IV formulations that is in Phase III clinical trials for the treatment of adults in uncomplicated urinary tract infections, complicated urinary tract infections, and complicated intra-abdominal infections. Iterum Therapeutics plc was founded in 2015 and is headquartered in Dublin, Ireland.</t>
  </si>
  <si>
    <t>Acacia Pharma Group Plc</t>
  </si>
  <si>
    <t>ENXTBR:ACPH</t>
  </si>
  <si>
    <t>NDA filed</t>
  </si>
  <si>
    <t>IQTR553740237</t>
  </si>
  <si>
    <t>IQ65044643</t>
  </si>
  <si>
    <t>Acacia Pharma Group Limited, a pharmaceutical company, focuses on the development and commercialization of hospital products for surgical and cancer patients in the United States and internationally. The company’s lead product includes BAREMSIS, an intravenous formulation of amisulpride that has completed Phase III clinical trials for the treatment and prophylaxis of post-operative nausea and vomiting. Its products also comprise APD403 that has completed Phase II clinical trials for the chemotherapy-induced nausea and vomiting treatment. The company was founded in 2007 and is based in Cambridge, the United Kingdom.</t>
  </si>
  <si>
    <t>ARMO BioSciences, Inc.</t>
  </si>
  <si>
    <t>NasdaqGS:ARMO</t>
  </si>
  <si>
    <t>IQTR548062212</t>
  </si>
  <si>
    <t>IQ225199094</t>
  </si>
  <si>
    <t>ARMO BioSciences, Inc., an immuno-oncology company, develops a pipeline of novel product candidates that activate the immune system of cancer patients to recognize and eradicate tumors in the United States. Its lead product candidate is AM0010, a long acting form of human interleukin-10 that is in Phase III randomized pivotal clinical trial for the treatment of pancreatic ductal adenocarcinoma. The company is also developing AM0010 that has completed Phase I/Ib clinical trial for the treatment of non-small cell lung cancer, renal cell carcinoma, colorectal cancer, and melanoma and breast cancer. In addition, it is developing AM0001, a monoclonal antibody against programmed cell death protein-1 checkpoint inhibitor; AM0015, a recombinant human interleukin-15; AM0012, a recombinant human Interleukin-12; and AM0003, a monoclonal antibody against leukocyte activating gene-3 protein program. The company was formerly known as Targenics, Inc. and changed its name to ARMO BioSciences, Inc. in December 2012. ARMO BioSciences, Inc. was incorporated in 2010 and is headquartered in Redwood City, California.</t>
  </si>
  <si>
    <t>scPharmaceuticals Inc., a clinical-stage pharmaceutical company, engages in the development and commercialization of various pharmaceutical products. The company’s lead product candidate is Furoscix, a drug-device combination product that is under development for treatment of worsening or decompensated heart failure outside of the inpatient setting. Its product pipeline also includes scFurosemide, a loop diuretic for the management of edema in patients with decompensated heart failure; scCeftriaxone, an antibiotic to treat infections caused by gram-positive and gram-negative organisms; and scCarbapenem program, an antibiotic for treating infections caused by gram-negative organisms. The company was founded in 2013 and is headquartered in Burlington, Massachusetts.</t>
  </si>
  <si>
    <t>IQ83652421</t>
  </si>
  <si>
    <t>IQTR372025443</t>
  </si>
  <si>
    <t>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photoactivatable channelrhodopsin for the treatment of reinitis pigmentosa and geographic atrophy in dry age-related macular degeneration. The company also develops products that are preclinical stage targeting ophthalmic and neurodegenerative diseases. GenSight Biologics S.A. was founded in 2012 and is headquartered in Paris, France.</t>
  </si>
  <si>
    <t>IQ145617165</t>
  </si>
  <si>
    <t>Option Pricing Model</t>
  </si>
  <si>
    <t>Previous VD</t>
  </si>
  <si>
    <t>IPO Late</t>
  </si>
  <si>
    <t>Term as of Prev VD</t>
  </si>
  <si>
    <t>IPO Biopharma - Preclinical</t>
  </si>
  <si>
    <t>IPO Biopharma - Phase I</t>
  </si>
  <si>
    <t>Interpolation - IPO Late</t>
  </si>
  <si>
    <t>Interpolation - OPM DLOM</t>
  </si>
  <si>
    <t>Hearing Loss</t>
  </si>
  <si>
    <t>Discovery (Non-Lead)</t>
  </si>
  <si>
    <t>OP-02 - Acute Otitis Media</t>
  </si>
  <si>
    <t>SENS-401 - Sensorineural Hearing Loss</t>
  </si>
  <si>
    <t>Phase I (Non-Lead)</t>
  </si>
  <si>
    <t>Otiprio - Acute Otitis Media</t>
  </si>
  <si>
    <t>Phase III Ready</t>
  </si>
  <si>
    <t>AM-101 - Acute Ear Tinnitus</t>
  </si>
  <si>
    <t>Duration as of IPO Late Exit</t>
  </si>
  <si>
    <t>Accrued Dividend at IPO Late Exit</t>
  </si>
  <si>
    <t>Duration as of IPO Early Exit</t>
  </si>
  <si>
    <t>Accrued Dividend at IPO Early Exit</t>
  </si>
  <si>
    <t>Conversion Value Per Share - Calculated</t>
  </si>
  <si>
    <t>Conversion Value Per Share - Applied</t>
  </si>
  <si>
    <t>Considered weighted average of the conversion value per share for Series A tranches.</t>
  </si>
  <si>
    <t>Liquidation Preference - IPO Early</t>
  </si>
  <si>
    <t>Liquidation Preference - IPO Late</t>
  </si>
  <si>
    <t>Liquidation Preference - IPO Early %</t>
  </si>
  <si>
    <t>Liquidation Preference - IPO Late %</t>
  </si>
  <si>
    <t>Value per Share</t>
  </si>
  <si>
    <t>Combined IPO Prob</t>
  </si>
  <si>
    <t>as a % of Preferred</t>
  </si>
  <si>
    <t>Weighted Average Term</t>
  </si>
  <si>
    <t>Dividend</t>
  </si>
  <si>
    <t>Calculated Dividend</t>
  </si>
  <si>
    <t>Equity Raise #1</t>
  </si>
  <si>
    <t>Equity Raise #2</t>
  </si>
  <si>
    <t>Series C Implied Value</t>
  </si>
  <si>
    <t>Series B Implied Value</t>
  </si>
  <si>
    <t>Asset Volatility - Hybrid OPM DLOM</t>
  </si>
  <si>
    <t>Editas Medicine, Inc. operates as a genome editing company. It focuses on treating patients with genetically defined diseases by correcting their disease causing genes. The company develops a proprietary genome editing platform based on CRISPR technology to target genetically defined diseases with an initial focus on debilitating illnesses where there are no approved treatments. It develops EDIT-101 for Leber Congenital Amaurosis type 10, a genetic form of vision loss that leads to blindness in childhood. The company also develops other therapies for eye diseases, such as Herpes Simplex Virus 1 that causes lifelong infections primarily leading to ocular and oral disease; and Usher Syndrome 2A, which is a form of retinitis pigmentosa that also includes hearing loss. In addition, it develops hematopoietic stem cells for treating sickle cell disease and beta thalassemia. Editas Medicine, Inc. has a collaboration and license agreement with Juno Therapeutics, Inc. for the research and development of engineered T cells with chimeric antigen receptors and T cell receptors; and strategic alliance and option agreement with Allergan Pharmaceuticals International Limited for the research and development of medicines for ocular diseases. The company was formerly known as Gengine, Inc. and changed its name to Editas Medicine Inc. in November 2013. Editas Medicine, Inc. was founded in 2013 and is based in Cambridge, Massachusetts.</t>
  </si>
  <si>
    <t>LSE:OXB</t>
  </si>
  <si>
    <t>IQ613227</t>
  </si>
  <si>
    <t>Oxford BioMedica plc</t>
  </si>
  <si>
    <t>LSE</t>
  </si>
  <si>
    <t>Oxford BioMedica plc, a biopharmaceutical company, engages in the research, development, and bioprocessing of lentiviral vector and cell therapy products for the treatment of various cancers, Parkinson’s, central nervous system disorders, and ocular conditions in Europe and internationally. The company operates through Platform and Product segments. Its LentiVector platform technology integrates genes into non-dividing cells in the brain and retinal cells in the eye, as well as accommodates multiple therapeutic genes. The company’s products under development include OXB-102 that is in Phase I/IIa study preparation for the treatment of Parkinson's disease; OXB-202, which is in a Phase I/IIa trial preparation for the prevention of corneal graft rejection; and OXB-302, a gene-based cancer immunotherapy product that has completed pre-clinical development for use in the treatment of a range of cancers, as well as OXB-201 that has completed Phase I trial for the treatment of wet age-related macular degeneration and diabetic retinopathy. It is also developing gene-based therapies, such as SAR 422459 that is in a Phase II trial for the treatment of Stargardt disease; and SAR 421869, which is in Phase I/II trial for the treatment of Usher syndrome 1B. The company has partnerships with Novartis, Sanofi, GlaxoSmithKline, Bioverativ, Orchard Therapeutics, GC LabCell, the UK Cystic Fibrosis Gene Therapy Consortium, Imperial Innovations, and Immune Design. Oxford BioMedica plc was founded in 1995 and is headquartered in Oxford, the United Kingdom.</t>
  </si>
  <si>
    <t>NasdaqGM:PRQR</t>
  </si>
  <si>
    <t>IQ224193775</t>
  </si>
  <si>
    <t>ProQR Therapeutics N.V.</t>
  </si>
  <si>
    <t>NasdaqGM</t>
  </si>
  <si>
    <t>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t>
  </si>
  <si>
    <t>NeuroSystec Corporation, Assets and Patent Rights for Tinnitus Program</t>
  </si>
  <si>
    <t>Pharmaceuticals</t>
  </si>
  <si>
    <t>IQTR249319015</t>
  </si>
  <si>
    <t>As of October 31, 2013, Assets and Patent Rights for Tinnitus Program of NeuroSystec Corporation were acquired by Otonomy, Inc. Assets and Patent Rights for Tinnitus Program of NeuroSystec Corporation includes the assets and patents right related to the use of gacyclidine for the treatment of tinnitus.</t>
  </si>
  <si>
    <t>Otonomy, Inc. acquired certain assets and patent rights for Tinnitus program from NeuroSystec Corporation on October 31, 2013.</t>
  </si>
  <si>
    <t>Usher Syndrome Type 2a</t>
  </si>
  <si>
    <t>SAR421869 - Gene Therapy for Usher Syndrome 1B</t>
  </si>
  <si>
    <t>Phase I/IIa (Non-Lead)</t>
  </si>
  <si>
    <t>Cisplatin-induced Hearing Loss</t>
  </si>
  <si>
    <t>QR-421a - Usher Syndrome Type 2</t>
  </si>
  <si>
    <t>Total Operating Expenses</t>
  </si>
  <si>
    <t>Projections</t>
  </si>
  <si>
    <t>For the Period Ending,</t>
  </si>
  <si>
    <t>Debt reflects senior debt based on the balance sheet as of the Valuation Date plus the value of liquidation preferences under the Hybrid OPM for preferred stock.</t>
  </si>
  <si>
    <t>Debt reflects senior debt based on the balance sheet as of the Valuation Date plus the value of liquidation preferences under the IPO Early for preferred stock.</t>
  </si>
  <si>
    <t>Debt reflects senior debt based on the balance sheet as of the Valuation Date plus the value of liquidation preferences under the IPO Late for preferred stock.</t>
  </si>
  <si>
    <r>
      <t xml:space="preserve">Volatility </t>
    </r>
    <r>
      <rPr>
        <sz val="10"/>
        <color theme="1"/>
        <rFont val="Georgia"/>
        <family val="1"/>
      </rPr>
      <t>(1), (2)</t>
    </r>
  </si>
  <si>
    <t>RNA developed a WACC taking into consideration the Company's capital structure.  RNA considered the associated rates (or costs of capital) for the purpose of determining valuation indications of the various securities comprising the Company's capital structure as part of the IPO-Scenario analysis</t>
  </si>
  <si>
    <t>Rate reflects consideration of an implied return to common stock (based on the probability of successful exits under the IPO Scenarios) higher than the implied return to preferred investors due to the higher risk profile of common stock relative to preferred stock.</t>
  </si>
  <si>
    <t>Future value for IPO Late is higher than IPO Early; unlike PV</t>
  </si>
  <si>
    <t>Decibel Therapeutics IRC 409a VD 01.01.18 Draft Exhibits_2019.01.30</t>
  </si>
  <si>
    <t>Decibel Therapeutics IRC 409a VD 05.25.18 Draft Exhibits_2019.01.30</t>
  </si>
  <si>
    <t>Hybrid OPM Details</t>
  </si>
  <si>
    <t>IPO Scenario Values</t>
  </si>
  <si>
    <t>Hybrid OPM Weighting</t>
  </si>
  <si>
    <t>Finnerty and Asian Put</t>
  </si>
  <si>
    <t>Per Share Value Summary - OPM</t>
  </si>
  <si>
    <t>Per Share Value Summary - Hybrid OPM</t>
  </si>
  <si>
    <t>IPO Scenarios</t>
  </si>
  <si>
    <t>OPM Details (Primary and Confirming Method)</t>
  </si>
  <si>
    <t>Valuation Summary - Hybrid OPM</t>
  </si>
  <si>
    <t>Risk-Free Rates - Hybrid</t>
  </si>
  <si>
    <t>DLOM (Primary and Confirming)</t>
  </si>
  <si>
    <t>Options</t>
  </si>
  <si>
    <t>Based on discussions with Management and reflects cash required for operations.</t>
  </si>
  <si>
    <t xml:space="preserve">(2) </t>
  </si>
  <si>
    <t>Assumes that all remaining options expected to be granted prior to exits contemplated under the OPM.</t>
  </si>
  <si>
    <t>Assumes that all remaining options expected to be granted prior to exit term contemplated under the Hybrid OPM</t>
  </si>
  <si>
    <t>http://ir.proqr.com/news-releases/news-release-details/proqr-announces-results-fourth-quarter-and-full-year-2017-and</t>
  </si>
  <si>
    <t>1. $7.5 million in funding from a partnership with Foundation Fighting Blindness (FFB) where ProQR will receive up to for the pre-clinical and clinical development of QR-421a for Usher Syndrome type 2A targeting mutations in exon 13.  QR-421a expected to advance towards the clinic in 2018 with clinical data anticipated in 2019.  QR-421a was granted ODD in the U.S. and Europe.
2. ProQR and Galapagos N.V. entered into a research collaboration to apply Axiomer® to fibrosis targets selected by Galapagos.
3. Positive results from the Phase 1b safety and tolerability clinical trial of eluforsen, formerly known as QR-010, in cystic fibrosis (CF) patients with F508del mutation were presented at the North American CF conference. A Phase 2 study is currently being designed and planned to start in 2018 subject to a potential partnership. Eluforsen has FDA Fast Track designation and ODD in the U.S. and Europe.
4. Runway into the second half of 2019: cash of €48.0 million at year-end expected to fund operations through anticipated clinical data readouts in three different programs.
5. First patient dosed in the Phase 1/2 safety &amp; efficacy trial for QR-110 in children and adults with Leber’s congenital amaurosis 10 (LCA 10). Six-month treatment data is expected in 2018 and 12-month treatment data in 2019.  QR-110 was granted FDA Fast Track designation and positive pre-clinical data were presented at the ARVO 2017 meeting.  QR-110 has orphan drug designation (ODD) in the U.S. and Europe.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</si>
</sst>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4">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0.0%"/>
    <numFmt numFmtId="166" formatCode="_(&quot;$&quot;* #,##0.0_);_(&quot;$&quot;* \(#,##0.0\);_(&quot;$&quot;* &quot;-&quot;??_);_(@_)"/>
    <numFmt numFmtId="167" formatCode="_(* #,##0.0_);_(* \(#,##0.0\);_(* &quot;-&quot;??_);_(@_)"/>
    <numFmt numFmtId="168" formatCode="_(* #,##0.00_);_(* \(#,##0.00\);_(* &quot;-&quot;_);_(@_)"/>
    <numFmt numFmtId="169" formatCode="_(* #,##0.0_);_(* \(#,##0.0\);_(* &quot;-&quot;_);_(@_)"/>
    <numFmt numFmtId="170" formatCode="_(* #,##0.00000_);_(* \(#,##0.00000\);_(* &quot;-&quot;??_);_(@_)"/>
    <numFmt numFmtId="171" formatCode="_-* #,##0\ &quot;F&quot;_-;\-* #,##0\ &quot;F&quot;_-;_-* &quot;-&quot;\ &quot;F&quot;_-;_-@_-"/>
    <numFmt numFmtId="172" formatCode="_-&quot;$&quot;* #,##0.00_-;\-&quot;$&quot;* #,##0.00_-;_-&quot;$&quot;* &quot;-&quot;??_-;_-@_-"/>
    <numFmt numFmtId="173" formatCode="[$€-2]\ #,##0_);\([$€-2]\ #,##0\)"/>
    <numFmt numFmtId="174" formatCode="#,##0.0_);\(#,##0.0\);@_)"/>
    <numFmt numFmtId="175" formatCode="#,##0.0_);\(#,##0.0\);&quot;-&quot;?_);@_)"/>
    <numFmt numFmtId="176" formatCode="&quot;$&quot;#,##0.0_);\(&quot;$&quot;#,##0.0\);&quot;-&quot;?_);@_)"/>
    <numFmt numFmtId="177" formatCode="&quot;$&quot;#,##0.0_);\(&quot;$&quot;#,##0.0\)"/>
    <numFmt numFmtId="178" formatCode="0.0000000000000\x"/>
    <numFmt numFmtId="179" formatCode="0.00000000000000\x"/>
    <numFmt numFmtId="180" formatCode="0.000000000000000\x"/>
    <numFmt numFmtId="181" formatCode="0.0%;\-0.0%;&quot;-&quot;?_);@_)"/>
    <numFmt numFmtId="182" formatCode="0.00%;\(0.00\)%"/>
    <numFmt numFmtId="183" formatCode="0%;[Red]\(0%\)"/>
    <numFmt numFmtId="184" formatCode=";;;"/>
    <numFmt numFmtId="185" formatCode="_-&quot;$&quot;* #,##0_-;\-&quot;$&quot;* #,##0_-;_-&quot;$&quot;* &quot;-&quot;_-;_-@_-"/>
    <numFmt numFmtId="186" formatCode="_-* #,##0_-;\-* #,##0_-;_-* &quot;-&quot;_-;_-@_-"/>
    <numFmt numFmtId="187" formatCode="_(* &quot;$&quot;\ #,##0\ \ ;_(* &quot;$&quot;\ \(#,##0\)\ ;_(* &quot;-&quot;\ \ ;_(@\ "/>
    <numFmt numFmtId="188" formatCode="0.0_)\%;\(0.0\)\%;0.0_)\%;@_)_%"/>
    <numFmt numFmtId="189" formatCode="#,##0.0_)_%;\(#,##0.0\)_%;0.0_)_%;@_)_%"/>
    <numFmt numFmtId="190" formatCode="_(* #,##0\ \ ;_(* \(#,##0\)\ \ ;_(* &quot;-&quot;\ \ ;_(* @_)"/>
    <numFmt numFmtId="191" formatCode="0.0"/>
    <numFmt numFmtId="192" formatCode="#,##0.0_);\(#,##0.0\)"/>
    <numFmt numFmtId="193" formatCode="&quot;$&quot;_(#,##0.00_);&quot;$&quot;\(#,##0.00\);&quot;$&quot;_(0.00_);@_)"/>
    <numFmt numFmtId="194" formatCode="&quot;$&quot;_(#,##0.00_);&quot;$&quot;\(#,##0.00\)"/>
    <numFmt numFmtId="195" formatCode="&quot;£&quot;_(#,##0.00_);&quot;£&quot;\(#,##0.00\)"/>
    <numFmt numFmtId="196" formatCode="&quot;€&quot;_(#,##0.00_);&quot;€&quot;\(#,##0.00\)"/>
    <numFmt numFmtId="197" formatCode="&quot;£&quot;_(#,##0.00_);&quot;£&quot;\(#,##0.00\);&quot;£&quot;_(0.00_);@_)"/>
    <numFmt numFmtId="198" formatCode="&quot;€&quot;_(#,##0.00_);&quot;€&quot;\(#,##0.00\);&quot;€&quot;_(0.00_);@_)"/>
    <numFmt numFmtId="199" formatCode="&quot;DM&quot;_(#,##0.00_);&quot;DM&quot;\(#,##0.00\)"/>
    <numFmt numFmtId="200" formatCode="#,##0.00_);\(#,##0.00\);0.00_);@_)"/>
    <numFmt numFmtId="201" formatCode="_-* #,##0.00_-;\-* #,##0.00_-;_-* &quot;-&quot;??_-;_-@_-"/>
    <numFmt numFmtId="202" formatCode="\€_(#,##0.00_);\€\(#,##0.00\);\€_(0.00_);@_)"/>
    <numFmt numFmtId="203" formatCode="\£_(#,##0_);\£\(#,##0\)"/>
    <numFmt numFmtId="204" formatCode="* \L\+0.00%;* \L\-0.00%;* @\ \ "/>
    <numFmt numFmtId="205" formatCode="* \L\+0.00%;* \L\-0.00%;* &quot;-&quot;\ \ ;* @\ \ "/>
    <numFmt numFmtId="206" formatCode="#,##0_)\x;\(#,##0\)\x;0_)\x;@_)_x"/>
    <numFmt numFmtId="207" formatCode="#,##0.0_)\x;\(#,##0.0\)\x"/>
    <numFmt numFmtId="208" formatCode="#,##0.0\ \x;\(#,##0.0\)\x;@\ \ "/>
    <numFmt numFmtId="209" formatCode="#,##0.0_)\x;\(#,##0.0\)\x;0.0_)\x;@_)_x"/>
    <numFmt numFmtId="210" formatCode="#,##0.0\ \x;\(#,##0.0\)\x;@\ "/>
    <numFmt numFmtId="211" formatCode="#,##0.0\ \x;\(#,##0.0\)\x;@\ \ \x"/>
    <numFmt numFmtId="212" formatCode="#,##0_)_x;\(#,##0\)_x;0_)_x;@_)_x"/>
    <numFmt numFmtId="213" formatCode="#,##0.0_)_x;\(#,##0.0\)_x"/>
    <numFmt numFmtId="214" formatCode="#,##0.0_)_x;\(#,##0.0\)_x;0.0_)_x;@_)_x"/>
    <numFmt numFmtId="215" formatCode="0.0_)\%;\(0.0\)\%"/>
    <numFmt numFmtId="216" formatCode="* 0.0%;* \(0.0\)%;* &quot;-&quot;\ \ ;* @\ \ "/>
    <numFmt numFmtId="217" formatCode="0.0%;\(0.0\)%;@\ \ "/>
    <numFmt numFmtId="218" formatCode="#,##0.0_)_%;\(#,##0.0\)_%"/>
    <numFmt numFmtId="219" formatCode="&quot;$&quot;#,##0"/>
    <numFmt numFmtId="220" formatCode="0.000000"/>
    <numFmt numFmtId="221" formatCode="\£\ #,##0_);[Red]\(\£\ #,##0\)"/>
    <numFmt numFmtId="222" formatCode="_(\£* #,##0_);_(\£* \(#,##0\);_(\£* &quot;-&quot;_);_(@_)"/>
    <numFmt numFmtId="223" formatCode="_(\£* #,##0.0_);_(\£* \(#,##0.0\);_(\£* &quot;-&quot;_);_(@_)"/>
    <numFmt numFmtId="224" formatCode="_(\£* #,##0.00_);_(\£* \(#,##0.00\);_(\£* &quot;-&quot;_);_(@_)"/>
    <numFmt numFmtId="225" formatCode="_(* #,##0\p_);_(* \(#,##0\p\);_(* &quot;-&quot;\ \p_);_(@_)"/>
    <numFmt numFmtId="226" formatCode="_(* #,##0.00\p_);_(* \(#,##0.00\p\);_(* &quot;-&quot;\ \p_);_(@_)"/>
    <numFmt numFmtId="227" formatCode="\£#,##0.00"/>
    <numFmt numFmtId="228" formatCode="\¥\ #,##0_);[Red]\(\¥\ #,##0\)"/>
    <numFmt numFmtId="229" formatCode="0_)"/>
    <numFmt numFmtId="230" formatCode="#,##0.0;\(#,##0.0\);\-"/>
    <numFmt numFmtId="231" formatCode="#,##0.0&quot; F&quot;;\(#,##0.0&quot; F&quot;\);\-"/>
    <numFmt numFmtId="232" formatCode="0.0%;\(0.0%\);\-"/>
    <numFmt numFmtId="233" formatCode="\ "/>
    <numFmt numFmtId="234" formatCode="0.00\x"/>
    <numFmt numFmtId="235" formatCode="0.0\x"/>
    <numFmt numFmtId="236" formatCode="0.0\ \x"/>
    <numFmt numFmtId="237" formatCode="#,##0;\(#,##0\);\-"/>
    <numFmt numFmtId="238" formatCode="#,##0&quot; MF&quot;;\(#,##0&quot; MF&quot;\);\-"/>
    <numFmt numFmtId="239" formatCode="mmmm\-yy"/>
    <numFmt numFmtId="240" formatCode="0.00;[Red]0.00"/>
    <numFmt numFmtId="241" formatCode="00000000"/>
    <numFmt numFmtId="242" formatCode="0.0000000000000000\x"/>
    <numFmt numFmtId="243" formatCode="&quot;$&quot;#,##0.00"/>
    <numFmt numFmtId="244" formatCode="#,##0.0\ ;\(#,##0.0\)"/>
    <numFmt numFmtId="245" formatCode="0.00%;[Red]\(0.00%\)"/>
    <numFmt numFmtId="246" formatCode="#,##0.00\ ;\(#,##0.00\)"/>
    <numFmt numFmtId="247" formatCode="[$-409]d\-mmm\-yy;@"/>
    <numFmt numFmtId="248" formatCode="_(* #,##0_);_(* \(#,##0\);_(* &quot;-&quot;??_);_(@_)"/>
    <numFmt numFmtId="249" formatCode="#,##0.0_x;&quot;NM&quot;_x"/>
    <numFmt numFmtId="250" formatCode="#,##0\x_);&quot;NM&quot;_)"/>
    <numFmt numFmtId="251" formatCode="#,##0&quot; kr&quot;;[Red]\-#,##0&quot; kr&quot;"/>
    <numFmt numFmtId="252" formatCode="0\ \ \ \ \ \ "/>
    <numFmt numFmtId="253" formatCode="&quot;$&quot;0.00\ \ \ _);\(&quot;$&quot;0.00\)\ \ \ "/>
    <numFmt numFmtId="254" formatCode="0.0\ \ \ \ \ _);\(0.0\)\ \ \ \ \ "/>
    <numFmt numFmtId="255" formatCode="0.00\ \x\ \ _);\(0.00\)\ \x\ \ "/>
    <numFmt numFmtId="256" formatCode="0.00\ \ \ \ \ _);\(0.00\)\ \ \ \ \ "/>
    <numFmt numFmtId="257" formatCode="0.0\ \ \ _);\(0.0\)\ \ \ "/>
    <numFmt numFmtId="258" formatCode="[Blue]#,##0.000_);[Blue]\(#,##0.000\)"/>
    <numFmt numFmtId="259" formatCode="[Blue]&quot;$&quot;#,##0.000_);[Blue]\(&quot;$&quot;#,##0.000\)"/>
    <numFmt numFmtId="260" formatCode="&quot;$&quot;#,##0.0_);[Red]\(&quot;$&quot;#,##0.0\);&quot;$&quot;0.0_);@_)"/>
    <numFmt numFmtId="261" formatCode="#,##0;\(#,##0\);&quot; - &quot;"/>
    <numFmt numFmtId="262" formatCode="#,##0\ ;\(#,##0\);\-\ \ \ \ \ "/>
    <numFmt numFmtId="263" formatCode="#,##0\ ;\(#,##0\);\–\ \ \ \ \ "/>
    <numFmt numFmtId="264" formatCode="#,##0.00&quot;w&quot;_);[Red]\(#,##0.00&quot;w&quot;\)"/>
    <numFmt numFmtId="265" formatCode="_(* #,##0.000000_);_(* \(#,##0.000000\);_(* &quot;-&quot;??_);_(@_)"/>
    <numFmt numFmtId="266" formatCode="_(* #,##0.0000_);_(* \(#,##0.0000\);_(* &quot;-&quot;??_);_(@_)"/>
    <numFmt numFmtId="267" formatCode="_-* #,##0\ _F_-;\-* #,##0\ _F_-;_-* &quot;-&quot;\ _F_-;_-@_-"/>
    <numFmt numFmtId="268" formatCode="#,##0.0000000000;[Red]\-#,##0.0000000000"/>
    <numFmt numFmtId="269" formatCode="0.00_)"/>
    <numFmt numFmtId="270" formatCode="#,##0.0_);[Red]\(#,##0.0\)"/>
    <numFmt numFmtId="271" formatCode="#,##0_)_%;\(#,##0\)_%;"/>
    <numFmt numFmtId="272" formatCode="_(* #,##0.0_);_(* \(#,##0.0\);_(* &quot;-&quot;?_);_(@_)"/>
    <numFmt numFmtId="273" formatCode="0.000%"/>
    <numFmt numFmtId="274" formatCode="#,##0.000_);[Red]\(#,##0.000\)"/>
    <numFmt numFmtId="275" formatCode="#,##0_%_);\(#,##0\)_%;**;@_%_)"/>
    <numFmt numFmtId="276" formatCode="&quot;$&quot;* \(#,##0\);&quot;$&quot;* #,##0_);&quot;$&quot;* &quot;-&quot;??_);@_)"/>
    <numFmt numFmtId="277" formatCode="#,##0.0000,"/>
    <numFmt numFmtId="278" formatCode="_-* #,##0.00_ _k_r_-;\-* #,##0.00_ _k_r_-;_-* &quot;-&quot;??_ _k_r_-;_-@_-"/>
    <numFmt numFmtId="279" formatCode="_(&quot;$&quot;* #,##0,_);_(&quot;$&quot;* \(#,##0,\);_(&quot;$&quot;* &quot;-&quot;_);_(@_)"/>
    <numFmt numFmtId="280" formatCode="&quot;$&quot;* \(#,##0\)_%;&quot;$&quot;* #,##0_)_%;&quot;$&quot;* &quot;-&quot;??_)_%;@_)_%"/>
    <numFmt numFmtId="281" formatCode="_(* #,##0.0000,_);_(* \(#,##0.0000,\);_(* &quot;-&quot;_);_(@_)"/>
    <numFmt numFmtId="282" formatCode="&quot;$&quot;* \(#,##0.0\);&quot;$&quot;* #,##0.0_);&quot;$&quot;* &quot;-&quot;??_);@_)"/>
    <numFmt numFmtId="283" formatCode="#,##0.00_%_);\(#,##0.00\)_%;**;@_%_)"/>
    <numFmt numFmtId="284" formatCode="General_)"/>
    <numFmt numFmtId="285" formatCode="#,##0.00000000_);[Red]\(#,##0.00000000\)"/>
    <numFmt numFmtId="286" formatCode="#,##0.000000_);[Red]\(#,##0.000000\)"/>
    <numFmt numFmtId="287" formatCode="0.00_);\(0.00\);0.00"/>
    <numFmt numFmtId="288" formatCode="#,##0.0000000_);[Red]\(#,##0.0000000\)"/>
    <numFmt numFmtId="289" formatCode="&quot;$&quot;#,##0.0_);[Red]\(&quot;$&quot;#,##0.0\)"/>
    <numFmt numFmtId="290" formatCode="&quot;$&quot;#,##0_%_);\(&quot;$&quot;#,##0\)_%;&quot;$&quot;#,##0_%_);@_%_)"/>
    <numFmt numFmtId="291" formatCode="\(#,##0\)_%;#,##0_)_%;"/>
    <numFmt numFmtId="292" formatCode="&quot;$&quot;\ #,##0.00;[Red]&quot;$&quot;\ \-#,##0.00"/>
    <numFmt numFmtId="293" formatCode="\(#,##0.0\);#,##0.0_);"/>
    <numFmt numFmtId="294" formatCode="_ * #,##0_ ;_ * \-#,##0_ ;_ * &quot;-&quot;_ ;_ @_ "/>
    <numFmt numFmtId="295" formatCode="\(#,##0.0\)_%;#,##0.0_)_%;"/>
    <numFmt numFmtId="296" formatCode="_ * #,##0.00_ ;_ * \-#,##0.00_ ;_ * &quot;-&quot;??_ ;_ @_ "/>
    <numFmt numFmtId="297" formatCode="mmm\-d\-yy"/>
    <numFmt numFmtId="298" formatCode="mmm\-d\-yyyy"/>
    <numFmt numFmtId="299" formatCode="#,##0.00&quot; kr&quot;;\-#,##0.00&quot; kr&quot;"/>
    <numFmt numFmtId="300" formatCode="#,##0.000,_);[Red]\(#,##0.000,\)"/>
    <numFmt numFmtId="301" formatCode="yyyy"/>
    <numFmt numFmtId="302" formatCode="yyyy&quot;E&quot;"/>
    <numFmt numFmtId="303" formatCode="###0_);\(###0\)"/>
    <numFmt numFmtId="304" formatCode="#,##0&quot; kr&quot;;\-#,##0&quot; kr&quot;"/>
    <numFmt numFmtId="305" formatCode="&quot;$&quot;#,##0.000"/>
    <numFmt numFmtId="306" formatCode="\ #,##0\ \ \ ;\(#,##0\)\ \ ;\—\ \ \ \ "/>
    <numFmt numFmtId="307" formatCode="0.0%;[Red]\(0.0%\)"/>
    <numFmt numFmtId="308" formatCode="#,##0.00&quot; kr&quot;;[Red]\-#,##0.00&quot; kr&quot;"/>
    <numFmt numFmtId="309" formatCode="0.00_);\(0.00\)"/>
    <numFmt numFmtId="310" formatCode="#,##0.0"/>
    <numFmt numFmtId="311" formatCode="_-* #,##0&quot; kr&quot;_-;\-* #,##0&quot; kr&quot;_-;_-* &quot;-&quot;&quot; kr&quot;_-;_-@_-"/>
    <numFmt numFmtId="312" formatCode="_-* #,##0_ _k_r_-;\-* #,##0_ _k_r_-;_-* &quot;-&quot;_ _k_r_-;_-@_-"/>
    <numFmt numFmtId="313" formatCode="_-* #,##0.00&quot; kr&quot;_-;\-* #,##0.00&quot; kr&quot;_-;_-* &quot;-&quot;??&quot; kr&quot;_-;_-@_-"/>
    <numFmt numFmtId="314" formatCode="_(* #,##0.0000_);_(* \(#,##0.0000\);_(* &quot;-&quot;_);_(@_)"/>
    <numFmt numFmtId="315" formatCode="0.0\ \ "/>
    <numFmt numFmtId="316" formatCode="&quot;$&quot;#,##0.0_);&quot;$&quot;\(#,##0.0\)"/>
    <numFmt numFmtId="317" formatCode="_(* #,##0.00\ ___);_(* \(#,##0.00\ __\);_(* &quot;-&quot;??_);_(@_)"/>
    <numFmt numFmtId="318" formatCode="_(* #,##0\ \x_);_(* \(#,##0\ \x\);_(* &quot;-&quot;??_);_(@_)"/>
    <numFmt numFmtId="319" formatCode="_(* #,##0\ ___);_(* \(#,##0\ __\);_(* &quot;-&quot;??_);_(@_)"/>
    <numFmt numFmtId="320" formatCode="_(* #,##0.0\ ___);_(* \(#,##0.0\ __\);_(* &quot;-&quot;??_);_(@_)"/>
    <numFmt numFmtId="321" formatCode="* #,##0_);* \(\ #,##0_);* \-"/>
    <numFmt numFmtId="322" formatCode="0.0_)_x;\(0.0\)_x"/>
    <numFmt numFmtId="323" formatCode="&quot;$&quot;#,##0.0;[Red]\-&quot;$&quot;#,##0.0"/>
    <numFmt numFmtId="324" formatCode="#,##0.0_)\ \ ;[Red]\(#,##0.0\)\ \ "/>
    <numFmt numFmtId="325" formatCode="&quot;$&quot;#,##0.0000"/>
    <numFmt numFmtId="326" formatCode="0.0%;\(0.0%\)"/>
    <numFmt numFmtId="327" formatCode="\(#,##0.00\);#,##0.00_);"/>
    <numFmt numFmtId="328" formatCode="\(#,##0.00\)_%;#,##0.00_)_%;"/>
    <numFmt numFmtId="329" formatCode="0.0_%"/>
    <numFmt numFmtId="330" formatCode="\(#,##0.000\);#,##0.000_);"/>
    <numFmt numFmtId="331" formatCode="\(#,##0.000\)_%;#,##0.000_)_%;"/>
    <numFmt numFmtId="332" formatCode="mm/dd/yy"/>
    <numFmt numFmtId="333" formatCode="0.00\%;\-0.00\%;0.00\%"/>
    <numFmt numFmtId="334" formatCode="_(* #,##0%_);_(* \(#,##0%\);_(* &quot;-&quot;_);_(@_)"/>
    <numFmt numFmtId="335" formatCode="0.0%&quot;Sales&quot;"/>
    <numFmt numFmtId="336" formatCode="#,##0_)&quot; %&quot;;[Red]\(#,##0\)&quot; %&quot;"/>
    <numFmt numFmtId="337" formatCode="_(* &quot;$&quot;#,##0.0_);_(* &quot;$&quot;\(#,##0.0\);_(* &quot;$&quot;\ &quot;-&quot;_);_(@_)"/>
    <numFmt numFmtId="338" formatCode="0.00\x;\-0.00\x;0.00\x"/>
    <numFmt numFmtId="339" formatCode="#,##0.00;[Red]\(#,##0.00\)"/>
    <numFmt numFmtId="340" formatCode="_(&quot;SGD&quot;\ * #,##0.00_);_(&quot;SGD&quot;\ * \(#,##0.00\);_(* &quot;-&quot;_);_(@_)"/>
    <numFmt numFmtId="341" formatCode="0_%_);\(0\)_%;0_%_);@_%_)"/>
    <numFmt numFmtId="342" formatCode="&quot;$&quot;#,##0.0"/>
    <numFmt numFmtId="343" formatCode="[$-409]mmmm\ d\,\ yyyy;@"/>
    <numFmt numFmtId="344" formatCode="0.00_);[Red]\(0.00\)"/>
    <numFmt numFmtId="345" formatCode="#0.0%_);\(#0.0%\)"/>
    <numFmt numFmtId="346" formatCode="#,##0\ &quot;DM&quot;;[Red]\-#,##0\ &quot;DM&quot;"/>
    <numFmt numFmtId="347" formatCode="_(\ #,##0_);_(\ \(#,##0\);_(\ &quot;-&quot;_);_(@_)"/>
    <numFmt numFmtId="348" formatCode="#0.0\x"/>
    <numFmt numFmtId="349" formatCode="#0.00\x"/>
    <numFmt numFmtId="350" formatCode="0.0\ \x\ "/>
    <numFmt numFmtId="351" formatCode="_-#,##0&quot; £/GJ&quot;"/>
    <numFmt numFmtId="352" formatCode="_-#,##0&quot; £/t&quot;"/>
    <numFmt numFmtId="353" formatCode="_-#,##0&quot;°&quot;"/>
    <numFmt numFmtId="354" formatCode="_-#\,##0&quot;°&quot;"/>
    <numFmt numFmtId="355" formatCode="0_);\(0\)"/>
    <numFmt numFmtId="356" formatCode="0.00\ ;\(0.00\)"/>
    <numFmt numFmtId="357" formatCode="_(&quot;$&quot;* #,##0.0_);_(* \(#,##0.0\);_(&quot;$&quot;* &quot;0.0&quot;_);_(@_)"/>
    <numFmt numFmtId="358" formatCode="_(&quot;$&quot;* #,##0.0_);_(&quot;$&quot;* \(#,##0.0\);_(&quot;$&quot;* &quot;-&quot;?_);_(@_)"/>
    <numFmt numFmtId="359" formatCode="&quot;$&quot;#,##0_);[Red]\(&quot;$&quot;#,##0\);0_);@_)"/>
    <numFmt numFmtId="360" formatCode="0.0_x_);\(0.0\)_x"/>
    <numFmt numFmtId="361" formatCode="#,##0;\(#,##0\)"/>
    <numFmt numFmtId="362" formatCode="#,##0_}&quot;bar&quot;;\(#,##0\)&quot;bar&quot;"/>
    <numFmt numFmtId="363" formatCode="0.00000"/>
    <numFmt numFmtId="364" formatCode="\«#,##0;_(* #,##0;_(* &quot;-&quot;??_);_(@_)"/>
    <numFmt numFmtId="365" formatCode="#,##0\ \ \ ;[Red]\(#,##0\)\ \ ;\—\ \ \ \ "/>
    <numFmt numFmtId="366" formatCode="#,##0.0\%_);\(#,##0.0\%\);#,##0.0\%_);@_%_)"/>
    <numFmt numFmtId="367" formatCode="#,##0.00_);\(#,##0.00\);_(* &quot;-&quot;_)"/>
    <numFmt numFmtId="368" formatCode="#,##0.0\x"/>
    <numFmt numFmtId="369" formatCode="_(* #,##0.000_);_(* \(#,##0.000\);_(* &quot;-&quot;??_);_(@_)"/>
  </numFmts>
  <fonts count="284">
    <font>
      <sz val="10"/>
      <color theme="1"/>
      <name val="Garamond"/>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8"/>
      <color indexed="12"/>
      <name val="Arial"/>
      <family val="2"/>
    </font>
    <font>
      <sz val="8"/>
      <name val="Helv"/>
    </font>
    <font>
      <sz val="10"/>
      <name val="Arial"/>
      <family val="2"/>
    </font>
    <font>
      <sz val="10"/>
      <name val="Times New Roman"/>
      <family val="1"/>
      <charset val="204"/>
    </font>
    <font>
      <sz val="10"/>
      <name val="Arial"/>
      <family val="2"/>
      <charset val="204"/>
    </font>
    <font>
      <sz val="12"/>
      <name val="Arial"/>
      <family val="2"/>
    </font>
    <font>
      <sz val="10"/>
      <name val="Times New Roman"/>
      <family val="1"/>
    </font>
    <font>
      <sz val="10"/>
      <name val="Arial Narrow"/>
      <family val="2"/>
    </font>
    <font>
      <sz val="10"/>
      <name val="Geneva"/>
      <family val="2"/>
    </font>
    <font>
      <sz val="10"/>
      <name val="Geneva"/>
    </font>
    <font>
      <sz val="8"/>
      <name val="MS Serif"/>
      <family val="1"/>
    </font>
    <font>
      <sz val="8"/>
      <name val="Times New Roman"/>
      <family val="1"/>
    </font>
    <font>
      <sz val="10"/>
      <name val="David"/>
      <family val="2"/>
      <charset val="177"/>
    </font>
    <font>
      <sz val="10"/>
      <color indexed="8"/>
      <name val="MS Sans Serif"/>
      <family val="2"/>
    </font>
    <font>
      <sz val="9"/>
      <name val="Arial"/>
      <family val="2"/>
    </font>
    <font>
      <sz val="9"/>
      <name val="Times New Roman"/>
      <family val="1"/>
    </font>
    <font>
      <sz val="10"/>
      <name val="Courier"/>
      <family val="3"/>
    </font>
    <font>
      <sz val="10"/>
      <name val="MS Sans Serif"/>
      <family val="2"/>
    </font>
    <font>
      <sz val="11"/>
      <name val="Arial"/>
      <family val="2"/>
    </font>
    <font>
      <sz val="8"/>
      <name val="Arial Narrow"/>
      <family val="2"/>
    </font>
    <font>
      <sz val="12"/>
      <name val="宋体"/>
      <charset val="134"/>
    </font>
    <font>
      <b/>
      <sz val="9"/>
      <name val="Arial"/>
      <family val="2"/>
    </font>
    <font>
      <b/>
      <sz val="10"/>
      <color indexed="9"/>
      <name val="Arial"/>
      <family val="2"/>
    </font>
    <font>
      <b/>
      <sz val="22"/>
      <color indexed="18"/>
      <name val="Arial"/>
      <family val="2"/>
    </font>
    <font>
      <sz val="8"/>
      <color indexed="12"/>
      <name val="Arial Narrow"/>
      <family val="2"/>
    </font>
    <font>
      <b/>
      <sz val="11"/>
      <color indexed="9"/>
      <name val="Arial"/>
      <family val="2"/>
    </font>
    <font>
      <b/>
      <sz val="10"/>
      <name val="Arial"/>
      <family val="2"/>
    </font>
    <font>
      <sz val="9"/>
      <color indexed="8"/>
      <name val="Arial"/>
      <family val="2"/>
    </font>
    <font>
      <sz val="12"/>
      <name val="Times New Roman"/>
      <family val="1"/>
    </font>
    <font>
      <b/>
      <sz val="10"/>
      <name val="Verdana"/>
      <family val="2"/>
    </font>
    <font>
      <b/>
      <sz val="8"/>
      <color indexed="9"/>
      <name val="Arial"/>
      <family val="2"/>
    </font>
    <font>
      <b/>
      <sz val="14"/>
      <name val="Arial"/>
      <family val="2"/>
    </font>
    <font>
      <sz val="8"/>
      <name val="Arial"/>
      <family val="2"/>
    </font>
    <font>
      <i/>
      <sz val="8"/>
      <name val="Arial"/>
      <family val="2"/>
    </font>
    <font>
      <b/>
      <i/>
      <sz val="8"/>
      <color indexed="18"/>
      <name val="Arial"/>
      <family val="2"/>
    </font>
    <font>
      <i/>
      <sz val="10"/>
      <name val="Arial"/>
      <family val="2"/>
    </font>
    <font>
      <b/>
      <sz val="14"/>
      <color indexed="18"/>
      <name val="Arial"/>
      <family val="2"/>
    </font>
    <font>
      <b/>
      <sz val="10"/>
      <color indexed="18"/>
      <name val="Arial"/>
      <family val="2"/>
    </font>
    <font>
      <b/>
      <sz val="9"/>
      <color indexed="8"/>
      <name val="Arial"/>
      <family val="2"/>
    </font>
    <font>
      <b/>
      <sz val="8"/>
      <color indexed="8"/>
      <name val="Arial Narrow"/>
      <family val="2"/>
    </font>
    <font>
      <b/>
      <u val="singleAccounting"/>
      <sz val="10"/>
      <color indexed="18"/>
      <name val="Arial"/>
      <family val="2"/>
    </font>
    <font>
      <b/>
      <u val="singleAccounting"/>
      <sz val="8"/>
      <name val="Arial Narrow"/>
      <family val="2"/>
    </font>
    <font>
      <b/>
      <sz val="10"/>
      <name val="MS Sans Serif"/>
      <family val="2"/>
    </font>
    <font>
      <sz val="11"/>
      <name val="Miriam"/>
      <family val="2"/>
      <charset val="177"/>
    </font>
    <font>
      <sz val="12"/>
      <name val="Times New Roman"/>
      <family val="1"/>
      <charset val="177"/>
    </font>
    <font>
      <sz val="8"/>
      <color indexed="8"/>
      <name val="Times New Roman"/>
      <family val="1"/>
    </font>
    <font>
      <sz val="8"/>
      <color indexed="14"/>
      <name val="Times New Roman"/>
      <family val="1"/>
    </font>
    <font>
      <sz val="11"/>
      <name val="Times New Roman"/>
      <family val="1"/>
    </font>
    <font>
      <sz val="8"/>
      <name val="Helvetica"/>
      <family val="2"/>
    </font>
    <font>
      <u/>
      <sz val="10"/>
      <color indexed="36"/>
      <name val="Arial"/>
      <family val="2"/>
    </font>
    <font>
      <sz val="10"/>
      <name val="Palatino"/>
      <family val="1"/>
    </font>
    <font>
      <sz val="10"/>
      <color indexed="8"/>
      <name val="Palatino"/>
      <family val="1"/>
    </font>
    <font>
      <u/>
      <sz val="10"/>
      <name val="Arial"/>
      <family val="2"/>
    </font>
    <font>
      <sz val="8"/>
      <name val="Antique Olive"/>
      <family val="2"/>
    </font>
    <font>
      <sz val="8"/>
      <name val="Geneva"/>
      <family val="2"/>
    </font>
    <font>
      <sz val="11"/>
      <color indexed="8"/>
      <name val="Calibri"/>
      <family val="2"/>
    </font>
    <font>
      <sz val="11"/>
      <color indexed="13"/>
      <name val="Calibri"/>
      <family val="2"/>
    </font>
    <font>
      <sz val="11"/>
      <color indexed="8"/>
      <name val="맑은 고딕"/>
      <family val="3"/>
      <charset val="129"/>
    </font>
    <font>
      <sz val="11"/>
      <color theme="0"/>
      <name val="Calibri"/>
      <family val="2"/>
      <scheme val="minor"/>
    </font>
    <font>
      <sz val="11"/>
      <color indexed="9"/>
      <name val="Calibri"/>
      <family val="2"/>
    </font>
    <font>
      <sz val="11"/>
      <color indexed="9"/>
      <name val="맑은 고딕"/>
      <family val="3"/>
      <charset val="129"/>
    </font>
    <font>
      <b/>
      <sz val="12"/>
      <color indexed="8"/>
      <name val="Times New Roman"/>
      <family val="1"/>
    </font>
    <font>
      <sz val="8"/>
      <name val="Times"/>
      <family val="1"/>
    </font>
    <font>
      <sz val="8"/>
      <name val="Tahoma"/>
      <family val="2"/>
    </font>
    <font>
      <sz val="14"/>
      <name val="Arial"/>
      <family val="2"/>
    </font>
    <font>
      <b/>
      <sz val="6"/>
      <name val="Arial"/>
      <family val="2"/>
    </font>
    <font>
      <b/>
      <sz val="8"/>
      <name val="Arial"/>
      <family val="2"/>
    </font>
    <font>
      <sz val="11"/>
      <color rgb="FF9C0006"/>
      <name val="Calibri"/>
      <family val="2"/>
      <scheme val="minor"/>
    </font>
    <font>
      <sz val="11"/>
      <color indexed="20"/>
      <name val="Calibri"/>
      <family val="2"/>
    </font>
    <font>
      <b/>
      <sz val="10"/>
      <color theme="0"/>
      <name val="Arial"/>
      <family val="2"/>
    </font>
    <font>
      <sz val="8"/>
      <name val="Tms Rmn"/>
    </font>
    <font>
      <sz val="8"/>
      <color indexed="12"/>
      <name val="Times New Roman"/>
      <family val="1"/>
    </font>
    <font>
      <b/>
      <sz val="8"/>
      <name val="Times New Roman"/>
      <family val="1"/>
    </font>
    <font>
      <b/>
      <i/>
      <sz val="8"/>
      <name val="Frutiger 55"/>
    </font>
    <font>
      <sz val="7"/>
      <name val="Swis721 BlkCn BT"/>
      <family val="2"/>
    </font>
    <font>
      <b/>
      <sz val="8"/>
      <name val="Frutiger 55"/>
      <family val="2"/>
    </font>
    <font>
      <b/>
      <sz val="12"/>
      <name val="Times New Roman"/>
      <family val="1"/>
    </font>
    <font>
      <sz val="10"/>
      <name val="Helv"/>
    </font>
    <font>
      <b/>
      <sz val="11"/>
      <color indexed="52"/>
      <name val="Calibri"/>
      <family val="2"/>
    </font>
    <font>
      <b/>
      <sz val="10"/>
      <name val="MS Serif"/>
      <family val="1"/>
    </font>
    <font>
      <b/>
      <sz val="8"/>
      <color indexed="8"/>
      <name val="Verdana"/>
      <family val="2"/>
    </font>
    <font>
      <sz val="8"/>
      <color indexed="17"/>
      <name val="Times New Roman"/>
      <family val="1"/>
    </font>
    <font>
      <b/>
      <sz val="9.75"/>
      <name val="Abadi MT Condensed"/>
      <family val="2"/>
    </font>
    <font>
      <b/>
      <u val="singleAccounting"/>
      <sz val="8"/>
      <name val="Arial"/>
      <family val="2"/>
    </font>
    <font>
      <sz val="11"/>
      <name val="돋움"/>
      <family val="3"/>
      <charset val="129"/>
    </font>
    <font>
      <sz val="10"/>
      <color theme="1"/>
      <name val="Arial"/>
      <family val="2"/>
    </font>
    <font>
      <sz val="12"/>
      <color theme="1"/>
      <name val="Calibri"/>
      <family val="2"/>
      <scheme val="minor"/>
    </font>
    <font>
      <sz val="10"/>
      <name val="BERNHARD"/>
    </font>
    <font>
      <b/>
      <sz val="8"/>
      <name val="Helv"/>
    </font>
    <font>
      <sz val="24"/>
      <name val="Arial"/>
      <family val="2"/>
    </font>
    <font>
      <sz val="12"/>
      <name val="Helv"/>
    </font>
    <font>
      <sz val="10"/>
      <color indexed="8"/>
      <name val="Arial"/>
      <family val="2"/>
    </font>
    <font>
      <b/>
      <sz val="14"/>
      <color indexed="10"/>
      <name val="Times New Roman"/>
      <family val="1"/>
    </font>
    <font>
      <b/>
      <sz val="7"/>
      <color indexed="12"/>
      <name val="Helvetica"/>
      <family val="2"/>
    </font>
    <font>
      <sz val="9"/>
      <name val="Century Schoolbook"/>
      <family val="1"/>
    </font>
    <font>
      <sz val="9"/>
      <color indexed="9"/>
      <name val="Geneva"/>
    </font>
    <font>
      <sz val="12"/>
      <color indexed="9"/>
      <name val="Helv"/>
    </font>
    <font>
      <sz val="10"/>
      <color indexed="8"/>
      <name val="Trade Gothic LT Com"/>
      <family val="2"/>
    </font>
    <font>
      <i/>
      <sz val="12"/>
      <color indexed="9"/>
      <name val="Helv"/>
    </font>
    <font>
      <b/>
      <sz val="14"/>
      <color indexed="9"/>
      <name val="Helv"/>
    </font>
    <font>
      <b/>
      <sz val="12"/>
      <name val="Arial"/>
      <family val="2"/>
    </font>
    <font>
      <b/>
      <u/>
      <sz val="8"/>
      <color indexed="8"/>
      <name val="Tahoma"/>
      <family val="2"/>
    </font>
    <font>
      <sz val="14"/>
      <color indexed="8"/>
      <name val="Times New Roman"/>
      <family val="1"/>
    </font>
    <font>
      <b/>
      <sz val="11"/>
      <name val="Arial"/>
      <family val="2"/>
    </font>
    <font>
      <b/>
      <sz val="12"/>
      <color indexed="8"/>
      <name val="Arial"/>
      <family val="2"/>
    </font>
    <font>
      <u/>
      <sz val="10"/>
      <color indexed="12"/>
      <name val="Arial"/>
      <family val="2"/>
    </font>
    <font>
      <sz val="10"/>
      <name val="R Frutiger Roman"/>
    </font>
    <font>
      <sz val="8"/>
      <color indexed="39"/>
      <name val="Arial"/>
      <family val="2"/>
    </font>
    <font>
      <sz val="10"/>
      <color indexed="12"/>
      <name val="Times New Roman"/>
      <family val="1"/>
    </font>
    <font>
      <sz val="10"/>
      <color indexed="12"/>
      <name val="Arial"/>
      <family val="2"/>
    </font>
    <font>
      <sz val="10"/>
      <color indexed="17"/>
      <name val="Arial"/>
      <family val="2"/>
    </font>
    <font>
      <u/>
      <sz val="8"/>
      <color indexed="12"/>
      <name val="MS Sans Serif"/>
      <family val="2"/>
    </font>
    <font>
      <b/>
      <sz val="36"/>
      <name val="Times New Roman"/>
      <family val="1"/>
    </font>
    <font>
      <u val="doubleAccounting"/>
      <sz val="10"/>
      <name val="Arial"/>
      <family val="2"/>
    </font>
    <font>
      <sz val="8"/>
      <color indexed="8"/>
      <name val="Helv"/>
      <family val="2"/>
    </font>
    <font>
      <b/>
      <sz val="8"/>
      <color indexed="72"/>
      <name val="Arial"/>
      <family val="2"/>
    </font>
    <font>
      <sz val="10"/>
      <color indexed="39"/>
      <name val="Arial"/>
      <family val="2"/>
    </font>
    <font>
      <i/>
      <sz val="8"/>
      <name val="Times New Roman"/>
      <family val="1"/>
    </font>
    <font>
      <sz val="9"/>
      <color indexed="12"/>
      <name val="Arial"/>
      <family val="2"/>
    </font>
    <font>
      <b/>
      <sz val="8"/>
      <color indexed="18"/>
      <name val="Times New Roman"/>
      <family val="1"/>
    </font>
    <font>
      <b/>
      <sz val="14"/>
      <name val="Times New Roman"/>
      <family val="1"/>
    </font>
    <font>
      <b/>
      <sz val="10"/>
      <name val="Helvetica"/>
      <family val="2"/>
    </font>
    <font>
      <sz val="8"/>
      <color indexed="10"/>
      <name val="Arial"/>
      <family val="2"/>
    </font>
    <font>
      <sz val="11"/>
      <name val="Abadi MT Condensed Extra Bold"/>
      <family val="2"/>
    </font>
    <font>
      <sz val="10"/>
      <name val="Abadi MT Condensed"/>
      <family val="2"/>
    </font>
    <font>
      <b/>
      <i/>
      <sz val="8"/>
      <name val="Arial"/>
      <family val="2"/>
    </font>
    <font>
      <sz val="8"/>
      <name val="Wingdings"/>
      <charset val="2"/>
    </font>
    <font>
      <b/>
      <sz val="8"/>
      <color indexed="16"/>
      <name val="Times New Roman"/>
      <family val="1"/>
    </font>
    <font>
      <i/>
      <sz val="12"/>
      <color indexed="12"/>
      <name val="Times New Roman"/>
      <family val="1"/>
    </font>
    <font>
      <b/>
      <sz val="9"/>
      <name val="Palatino"/>
      <family val="1"/>
    </font>
    <font>
      <sz val="9"/>
      <color indexed="21"/>
      <name val="Helvetica-Black"/>
    </font>
    <font>
      <b/>
      <i/>
      <sz val="10"/>
      <name val="Times New Roman"/>
      <family val="1"/>
    </font>
    <font>
      <b/>
      <sz val="11"/>
      <color theme="1"/>
      <name val="Calibri"/>
      <family val="2"/>
      <scheme val="minor"/>
    </font>
    <font>
      <sz val="11"/>
      <color rgb="FFFF0000"/>
      <name val="Calibri"/>
      <family val="2"/>
      <scheme val="minor"/>
    </font>
    <font>
      <sz val="10"/>
      <color theme="1"/>
      <name val="Times New Roman"/>
      <family val="1"/>
    </font>
    <font>
      <b/>
      <sz val="10"/>
      <color theme="1"/>
      <name val="Times New Roman"/>
      <family val="1"/>
    </font>
    <font>
      <b/>
      <sz val="10"/>
      <name val="Times New Roman"/>
      <family val="1"/>
    </font>
    <font>
      <i/>
      <sz val="10"/>
      <color theme="1"/>
      <name val="Times New Roman"/>
      <family val="1"/>
    </font>
    <font>
      <b/>
      <sz val="12"/>
      <color rgb="FF1F4E78"/>
      <name val="Times New Roman"/>
      <family val="1"/>
    </font>
    <font>
      <sz val="11"/>
      <color theme="1"/>
      <name val="Times New Roman"/>
      <family val="2"/>
    </font>
    <font>
      <b/>
      <sz val="10"/>
      <color rgb="FFFFFFFF"/>
      <name val="Times New Roman"/>
      <family val="1"/>
    </font>
    <font>
      <sz val="10"/>
      <color theme="1"/>
      <name val="Garamond"/>
      <family val="2"/>
    </font>
    <font>
      <sz val="10"/>
      <color rgb="FF0000FF"/>
      <name val="Times New Roman"/>
      <family val="1"/>
    </font>
    <font>
      <sz val="10"/>
      <name val="Garamond"/>
      <family val="1"/>
    </font>
    <font>
      <sz val="12"/>
      <color theme="1"/>
      <name val="Times New Roman"/>
      <family val="2"/>
    </font>
    <font>
      <sz val="10"/>
      <color indexed="16"/>
      <name val="Credit Suisse Type Roman"/>
      <family val="2"/>
    </font>
    <font>
      <sz val="10"/>
      <name val="GillSans"/>
      <family val="2"/>
    </font>
    <font>
      <sz val="10"/>
      <name val="Century Schoolbook"/>
      <family val="1"/>
    </font>
    <font>
      <sz val="10"/>
      <name val="Helv"/>
      <family val="2"/>
    </font>
    <font>
      <sz val="10"/>
      <color indexed="0"/>
      <name val="Helv"/>
    </font>
    <font>
      <sz val="10"/>
      <color indexed="9"/>
      <name val="Arial"/>
      <family val="2"/>
    </font>
    <font>
      <i/>
      <sz val="10"/>
      <color indexed="13"/>
      <name val="Arial"/>
      <family val="2"/>
    </font>
    <font>
      <sz val="10"/>
      <color indexed="13"/>
      <name val="Arial"/>
      <family val="2"/>
    </font>
    <font>
      <b/>
      <i/>
      <sz val="9"/>
      <name val="Arial"/>
      <family val="2"/>
    </font>
    <font>
      <sz val="12"/>
      <name val="¹ÙÅÁÃ¼"/>
      <family val="1"/>
      <charset val="129"/>
    </font>
    <font>
      <b/>
      <u/>
      <sz val="9"/>
      <color indexed="10"/>
      <name val="Times New Roman"/>
      <family val="1"/>
    </font>
    <font>
      <b/>
      <sz val="9"/>
      <color indexed="18"/>
      <name val="Times New Roman"/>
      <family val="1"/>
    </font>
    <font>
      <b/>
      <i/>
      <sz val="12"/>
      <name val="Footlight MT Light"/>
      <family val="1"/>
    </font>
    <font>
      <sz val="14"/>
      <name val="Tms Rmn"/>
    </font>
    <font>
      <b/>
      <sz val="10"/>
      <name val="Footlight MT Light"/>
      <family val="1"/>
    </font>
    <font>
      <i/>
      <sz val="11"/>
      <color indexed="23"/>
      <name val="Calibri"/>
      <family val="2"/>
    </font>
    <font>
      <sz val="10"/>
      <name val="Book Antiqua"/>
      <family val="1"/>
    </font>
    <font>
      <sz val="10"/>
      <name val="CG Times"/>
      <family val="1"/>
    </font>
    <font>
      <b/>
      <sz val="18"/>
      <color indexed="56"/>
      <name val="Cambria"/>
      <family val="2"/>
    </font>
    <font>
      <b/>
      <sz val="12"/>
      <name val="Tms Rmn"/>
    </font>
    <font>
      <sz val="7"/>
      <name val="Ariel"/>
    </font>
    <font>
      <sz val="8"/>
      <name val="MS Sans Serif"/>
      <family val="2"/>
    </font>
    <font>
      <sz val="11"/>
      <color indexed="52"/>
      <name val="Calibri"/>
      <family val="2"/>
    </font>
    <font>
      <b/>
      <sz val="10"/>
      <color indexed="9"/>
      <name val="Trebuchet MS"/>
      <family val="2"/>
    </font>
    <font>
      <b/>
      <sz val="15"/>
      <color indexed="56"/>
      <name val="Calibri"/>
      <family val="2"/>
    </font>
    <font>
      <b/>
      <sz val="13"/>
      <color indexed="56"/>
      <name val="Calibri"/>
      <family val="2"/>
    </font>
    <font>
      <b/>
      <sz val="11"/>
      <color indexed="56"/>
      <name val="Calibri"/>
      <family val="2"/>
    </font>
    <font>
      <b/>
      <sz val="9"/>
      <color indexed="0"/>
      <name val="Arial"/>
      <family val="2"/>
    </font>
    <font>
      <sz val="9"/>
      <color indexed="0"/>
      <name val="Arial"/>
      <family val="2"/>
    </font>
    <font>
      <sz val="10"/>
      <name val="Arial"/>
      <family val="2"/>
      <charset val="1"/>
    </font>
    <font>
      <sz val="12"/>
      <color theme="1"/>
      <name val="Calibri"/>
      <family val="2"/>
      <charset val="204"/>
      <scheme val="minor"/>
    </font>
    <font>
      <sz val="8"/>
      <color indexed="8"/>
      <name val="Arial"/>
      <family val="2"/>
    </font>
    <font>
      <sz val="10"/>
      <color rgb="FFFF0000"/>
      <name val="Times New Roman"/>
      <family val="1"/>
    </font>
    <font>
      <sz val="8"/>
      <color rgb="FFFF0000"/>
      <name val="Times New Roman"/>
      <family val="1"/>
    </font>
    <font>
      <b/>
      <u/>
      <sz val="8"/>
      <name val="Times New Roman"/>
      <family val="1"/>
    </font>
    <font>
      <b/>
      <sz val="8"/>
      <color indexed="9"/>
      <name val="Tahoma"/>
      <family val="2"/>
    </font>
    <font>
      <sz val="8"/>
      <color theme="3" tint="-0.499984740745262"/>
      <name val="Times New Roman"/>
      <family val="1"/>
    </font>
    <font>
      <u/>
      <sz val="10"/>
      <color theme="10"/>
      <name val="Garamond"/>
      <family val="2"/>
    </font>
    <font>
      <sz val="9"/>
      <name val="Verdana"/>
      <family val="2"/>
    </font>
    <font>
      <sz val="11"/>
      <color theme="1"/>
      <name val="Georgia"/>
      <family val="1"/>
    </font>
    <font>
      <b/>
      <sz val="11"/>
      <color theme="4" tint="-0.499984740745262"/>
      <name val="Georgia"/>
      <family val="1"/>
    </font>
    <font>
      <sz val="11"/>
      <color theme="4" tint="-0.499984740745262"/>
      <name val="Georgia"/>
      <family val="1"/>
    </font>
    <font>
      <b/>
      <sz val="32"/>
      <color theme="4" tint="-0.499984740745262"/>
      <name val="Georgia"/>
      <family val="1"/>
    </font>
    <font>
      <b/>
      <i/>
      <sz val="24"/>
      <color rgb="FF1F4E78"/>
      <name val="Georgia"/>
      <family val="1"/>
    </font>
    <font>
      <sz val="32"/>
      <color theme="1"/>
      <name val="Georgia"/>
      <family val="1"/>
    </font>
    <font>
      <b/>
      <sz val="32"/>
      <color rgb="FFFF0000"/>
      <name val="Georgia"/>
      <family val="1"/>
    </font>
    <font>
      <b/>
      <i/>
      <sz val="11"/>
      <color theme="4" tint="-0.499984740745262"/>
      <name val="Georgia"/>
      <family val="1"/>
    </font>
    <font>
      <i/>
      <sz val="18"/>
      <color rgb="FF1F4E78"/>
      <name val="Georgia"/>
      <family val="1"/>
    </font>
    <font>
      <i/>
      <sz val="15"/>
      <color rgb="FF1F4E78"/>
      <name val="Georgia"/>
      <family val="1"/>
    </font>
    <font>
      <i/>
      <sz val="14"/>
      <color rgb="FF1F4E78"/>
      <name val="Georgia"/>
      <family val="1"/>
    </font>
    <font>
      <i/>
      <sz val="14"/>
      <color theme="1"/>
      <name val="Georgia"/>
      <family val="1"/>
    </font>
    <font>
      <sz val="18"/>
      <color theme="4" tint="-0.249977111117893"/>
      <name val="Georgia"/>
      <family val="1"/>
    </font>
    <font>
      <i/>
      <sz val="14"/>
      <color theme="0" tint="-0.499984740745262"/>
      <name val="Georgia"/>
      <family val="1"/>
    </font>
    <font>
      <sz val="14"/>
      <color theme="0" tint="-0.499984740745262"/>
      <name val="Georgia"/>
      <family val="1"/>
    </font>
    <font>
      <sz val="10"/>
      <color theme="1"/>
      <name val="Georgia"/>
      <family val="1"/>
    </font>
    <font>
      <b/>
      <sz val="10"/>
      <color theme="1"/>
      <name val="Georgia"/>
      <family val="1"/>
    </font>
    <font>
      <sz val="10"/>
      <color rgb="FFFF0000"/>
      <name val="Georgia"/>
      <family val="1"/>
    </font>
    <font>
      <b/>
      <sz val="11"/>
      <color rgb="FF1F4E78"/>
      <name val="Georgia"/>
      <family val="1"/>
    </font>
    <font>
      <b/>
      <sz val="24"/>
      <color rgb="FF1F4E78"/>
      <name val="Georgia"/>
      <family val="1"/>
    </font>
    <font>
      <sz val="11"/>
      <color rgb="FF1F4E78"/>
      <name val="Georgia"/>
      <family val="1"/>
    </font>
    <font>
      <b/>
      <u/>
      <sz val="10"/>
      <color theme="1"/>
      <name val="Georgia"/>
      <family val="1"/>
    </font>
    <font>
      <sz val="10"/>
      <color rgb="FF0000FF"/>
      <name val="Georgia"/>
      <family val="1"/>
    </font>
    <font>
      <sz val="10"/>
      <color indexed="39"/>
      <name val="Georgia"/>
      <family val="1"/>
    </font>
    <font>
      <sz val="10"/>
      <color indexed="12"/>
      <name val="Georgia"/>
      <family val="1"/>
    </font>
    <font>
      <b/>
      <sz val="10"/>
      <color rgb="FF1F4E78"/>
      <name val="Georgia"/>
      <family val="1"/>
    </font>
    <font>
      <sz val="10"/>
      <color rgb="FFC00000"/>
      <name val="Georgia"/>
      <family val="1"/>
    </font>
    <font>
      <b/>
      <sz val="10"/>
      <color rgb="FFFFFFFF"/>
      <name val="Georgia"/>
      <family val="1"/>
    </font>
    <font>
      <sz val="10"/>
      <color rgb="FF008000"/>
      <name val="Georgia"/>
      <family val="1"/>
    </font>
    <font>
      <sz val="10"/>
      <color indexed="17"/>
      <name val="Georgia"/>
      <family val="1"/>
    </font>
    <font>
      <i/>
      <sz val="10"/>
      <color theme="1"/>
      <name val="Georgia"/>
      <family val="1"/>
    </font>
    <font>
      <b/>
      <sz val="10"/>
      <color rgb="FF0000FF"/>
      <name val="Georgia"/>
      <family val="1"/>
    </font>
    <font>
      <b/>
      <sz val="10"/>
      <name val="Georgia"/>
      <family val="1"/>
    </font>
    <font>
      <sz val="10"/>
      <name val="Georgia"/>
      <family val="1"/>
    </font>
    <font>
      <b/>
      <sz val="10"/>
      <color rgb="FF008000"/>
      <name val="Georgia"/>
      <family val="1"/>
    </font>
    <font>
      <b/>
      <sz val="10"/>
      <color rgb="FFC00000"/>
      <name val="Georgia"/>
      <family val="1"/>
    </font>
    <font>
      <b/>
      <sz val="10"/>
      <color rgb="FFFF0000"/>
      <name val="Georgia"/>
      <family val="1"/>
    </font>
    <font>
      <b/>
      <sz val="10"/>
      <color indexed="12"/>
      <name val="Georgia"/>
      <family val="1"/>
    </font>
    <font>
      <b/>
      <i/>
      <sz val="10"/>
      <color theme="1"/>
      <name val="Georgia"/>
      <family val="1"/>
    </font>
    <font>
      <sz val="10"/>
      <color rgb="FFFFFFFF"/>
      <name val="Georgia"/>
      <family val="1"/>
    </font>
    <font>
      <sz val="10"/>
      <color rgb="FF0000E1"/>
      <name val="Georgia"/>
      <family val="1"/>
    </font>
    <font>
      <b/>
      <sz val="10"/>
      <color theme="0"/>
      <name val="Georgia"/>
      <family val="1"/>
    </font>
    <font>
      <b/>
      <i/>
      <u/>
      <sz val="10"/>
      <color theme="1"/>
      <name val="Georgia"/>
      <family val="1"/>
    </font>
    <font>
      <sz val="10"/>
      <color indexed="10"/>
      <name val="Georgia"/>
      <family val="1"/>
    </font>
    <font>
      <i/>
      <sz val="10"/>
      <color rgb="FF0000FF"/>
      <name val="Georgia"/>
      <family val="1"/>
    </font>
    <font>
      <sz val="10"/>
      <color theme="0"/>
      <name val="Georgia"/>
      <family val="1"/>
    </font>
    <font>
      <b/>
      <u/>
      <sz val="10"/>
      <name val="Georgia"/>
      <family val="1"/>
    </font>
    <font>
      <b/>
      <sz val="10"/>
      <color theme="4" tint="-0.499984740745262"/>
      <name val="Georgia"/>
      <family val="1"/>
    </font>
    <font>
      <b/>
      <sz val="10"/>
      <color rgb="FF455560"/>
      <name val="Georgia"/>
      <family val="1"/>
    </font>
    <font>
      <sz val="10"/>
      <color rgb="FF455560"/>
      <name val="Georgia"/>
      <family val="1"/>
    </font>
    <font>
      <i/>
      <sz val="10"/>
      <name val="Georgia"/>
      <family val="1"/>
    </font>
    <font>
      <sz val="10"/>
      <color rgb="FF1F497D"/>
      <name val="Georgia"/>
      <family val="1"/>
    </font>
    <font>
      <b/>
      <u/>
      <sz val="10"/>
      <color rgb="FF455560"/>
      <name val="Georgia"/>
      <family val="1"/>
    </font>
    <font>
      <sz val="10"/>
      <color rgb="FF00B050"/>
      <name val="Georgia"/>
      <family val="1"/>
    </font>
    <font>
      <b/>
      <sz val="10"/>
      <color indexed="10"/>
      <name val="Georgia"/>
      <family val="1"/>
    </font>
    <font>
      <b/>
      <sz val="10"/>
      <color indexed="9"/>
      <name val="Georgia"/>
      <family val="1"/>
    </font>
    <font>
      <sz val="10"/>
      <color rgb="FF1F4E78"/>
      <name val="Georgia"/>
      <family val="1"/>
    </font>
    <font>
      <i/>
      <sz val="10"/>
      <color rgb="FF5A5A5A"/>
      <name val="Georgia"/>
      <family val="1"/>
    </font>
    <font>
      <b/>
      <sz val="10"/>
      <color indexed="17"/>
      <name val="Georgia"/>
      <family val="1"/>
    </font>
    <font>
      <i/>
      <sz val="10"/>
      <color indexed="12"/>
      <name val="Georgia"/>
      <family val="1"/>
    </font>
    <font>
      <u/>
      <sz val="10"/>
      <color theme="1"/>
      <name val="Georgia"/>
      <family val="1"/>
    </font>
    <font>
      <sz val="10"/>
      <color rgb="FF000000"/>
      <name val="Georgia"/>
      <family val="1"/>
    </font>
    <font>
      <i/>
      <sz val="10"/>
      <color rgb="FFFF0000"/>
      <name val="Georgia"/>
      <family val="1"/>
    </font>
    <font>
      <b/>
      <i/>
      <u/>
      <sz val="10"/>
      <name val="Georgia"/>
      <family val="1"/>
    </font>
    <font>
      <u/>
      <sz val="10"/>
      <color theme="10"/>
      <name val="Georgia"/>
      <family val="1"/>
    </font>
    <font>
      <sz val="10"/>
      <color theme="4"/>
      <name val="Georgia"/>
      <family val="1"/>
    </font>
    <font>
      <b/>
      <sz val="10"/>
      <color theme="4"/>
      <name val="Georgia"/>
      <family val="1"/>
    </font>
    <font>
      <b/>
      <sz val="12"/>
      <color rgb="FF1F4E78"/>
      <name val="Georgia"/>
      <family val="1"/>
    </font>
    <font>
      <b/>
      <sz val="16"/>
      <color theme="1"/>
      <name val="Times New Roman"/>
      <family val="1"/>
    </font>
    <font>
      <sz val="11"/>
      <color theme="1"/>
      <name val="Times New Roman"/>
      <family val="1"/>
    </font>
    <font>
      <b/>
      <sz val="14"/>
      <color theme="1"/>
      <name val="Times New Roman"/>
      <family val="1"/>
    </font>
    <font>
      <b/>
      <sz val="11"/>
      <color theme="1"/>
      <name val="Times New Roman"/>
      <family val="1"/>
    </font>
    <font>
      <b/>
      <u/>
      <sz val="11"/>
      <color theme="1"/>
      <name val="Times New Roman"/>
      <family val="1"/>
    </font>
    <font>
      <i/>
      <u/>
      <sz val="11"/>
      <color rgb="FF7030A0"/>
      <name val="Calibri"/>
      <family val="2"/>
      <scheme val="minor"/>
    </font>
    <font>
      <i/>
      <sz val="11"/>
      <color theme="1"/>
      <name val="Calibri"/>
      <family val="2"/>
      <scheme val="minor"/>
    </font>
    <font>
      <b/>
      <i/>
      <sz val="11"/>
      <color theme="1"/>
      <name val="Calibri"/>
      <family val="2"/>
      <scheme val="minor"/>
    </font>
    <font>
      <b/>
      <u/>
      <sz val="11"/>
      <color theme="1"/>
      <name val="Calibri"/>
      <family val="2"/>
      <scheme val="minor"/>
    </font>
    <font>
      <sz val="11"/>
      <name val="Calibri"/>
      <family val="2"/>
      <scheme val="minor"/>
    </font>
    <font>
      <sz val="11"/>
      <name val="Calibri"/>
      <family val="2"/>
    </font>
    <font>
      <sz val="11"/>
      <color theme="1"/>
      <name val="Calibri"/>
      <family val="2"/>
    </font>
    <font>
      <sz val="12"/>
      <name val="Calibri"/>
      <family val="2"/>
    </font>
    <font>
      <sz val="12"/>
      <color theme="1"/>
      <name val="Calibri"/>
      <family val="2"/>
    </font>
    <font>
      <b/>
      <u val="singleAccounting"/>
      <sz val="11"/>
      <color theme="1"/>
      <name val="Georgia"/>
      <family val="1"/>
    </font>
    <font>
      <i/>
      <sz val="10"/>
      <color rgb="FF008000"/>
      <name val="Georgia"/>
      <family val="1"/>
    </font>
  </fonts>
  <fills count="97">
    <fill>
      <patternFill patternType="none"/>
    </fill>
    <fill>
      <patternFill patternType="gray125"/>
    </fill>
    <fill>
      <patternFill patternType="solid">
        <fgColor rgb="FFFFC7CE"/>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5A5A5A"/>
        <bgColor indexed="64"/>
      </patternFill>
    </fill>
    <fill>
      <patternFill patternType="solid">
        <fgColor indexed="22"/>
        <bgColor indexed="64"/>
      </patternFill>
    </fill>
    <fill>
      <patternFill patternType="solid">
        <fgColor indexed="41"/>
        <bgColor indexed="64"/>
      </patternFill>
    </fill>
    <fill>
      <patternFill patternType="solid">
        <fgColor indexed="22"/>
        <bgColor indexed="22"/>
      </patternFill>
    </fill>
    <fill>
      <patternFill patternType="solid">
        <fgColor indexed="18"/>
        <bgColor indexed="64"/>
      </patternFill>
    </fill>
    <fill>
      <patternFill patternType="solid">
        <fgColor indexed="43"/>
      </patternFill>
    </fill>
    <fill>
      <patternFill patternType="solid">
        <fgColor indexed="8"/>
        <bgColor indexed="64"/>
      </patternFill>
    </fill>
    <fill>
      <patternFill patternType="solid">
        <fgColor indexed="44"/>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15"/>
        <bgColor indexed="64"/>
      </patternFill>
    </fill>
    <fill>
      <patternFill patternType="solid">
        <fgColor indexed="9"/>
        <bgColor indexed="64"/>
      </patternFill>
    </fill>
    <fill>
      <patternFill patternType="solid">
        <fgColor theme="3" tint="0.39997558519241921"/>
        <bgColor indexed="64"/>
      </patternFill>
    </fill>
    <fill>
      <patternFill patternType="solid">
        <fgColor theme="4" tint="-0.249977111117893"/>
        <bgColor indexed="64"/>
      </patternFill>
    </fill>
    <fill>
      <patternFill patternType="gray0625"/>
    </fill>
    <fill>
      <patternFill patternType="lightGray">
        <fgColor indexed="12"/>
      </patternFill>
    </fill>
    <fill>
      <patternFill patternType="gray0625">
        <fgColor indexed="12"/>
        <bgColor indexed="9"/>
      </patternFill>
    </fill>
    <fill>
      <patternFill patternType="lightGray">
        <bgColor indexed="41"/>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rgb="FFEDEDED"/>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DCE6F1"/>
        <bgColor indexed="64"/>
      </patternFill>
    </fill>
    <fill>
      <patternFill patternType="solid">
        <fgColor rgb="FF808080"/>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7"/>
        <bgColor indexed="64"/>
      </patternFill>
    </fill>
    <fill>
      <patternFill patternType="lightGray">
        <fgColor indexed="22"/>
      </patternFill>
    </fill>
    <fill>
      <patternFill patternType="solid">
        <fgColor indexed="47"/>
        <bgColor indexed="22"/>
      </patternFill>
    </fill>
    <fill>
      <patternFill patternType="darkVertical">
        <fgColor indexed="9"/>
        <bgColor indexed="10"/>
      </patternFill>
    </fill>
    <fill>
      <patternFill patternType="darkHorizontal">
        <fgColor indexed="9"/>
        <bgColor indexed="10"/>
      </patternFill>
    </fill>
    <fill>
      <patternFill patternType="solid">
        <fgColor indexed="62"/>
        <bgColor indexed="64"/>
      </patternFill>
    </fill>
    <fill>
      <patternFill patternType="solid">
        <fgColor indexed="63"/>
        <bgColor indexed="64"/>
      </patternFill>
    </fill>
    <fill>
      <patternFill patternType="solid">
        <fgColor theme="1"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3" tint="-0.249977111117893"/>
        <bgColor indexed="64"/>
      </patternFill>
    </fill>
    <fill>
      <patternFill patternType="solid">
        <fgColor rgb="FFFFFFFF"/>
        <bgColor indexed="64"/>
      </patternFill>
    </fill>
    <fill>
      <patternFill patternType="solid">
        <fgColor theme="0" tint="-0.34998626667073579"/>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7" tint="0.79998168889431442"/>
        <bgColor indexed="64"/>
      </patternFill>
    </fill>
  </fills>
  <borders count="231">
    <border>
      <left/>
      <right/>
      <top/>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ck">
        <color indexed="9"/>
      </right>
      <top/>
      <bottom style="thick">
        <color indexed="9"/>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medium">
        <color indexed="8"/>
      </bottom>
      <diagonal/>
    </border>
    <border>
      <left style="thin">
        <color indexed="9"/>
      </left>
      <right style="thin">
        <color indexed="9"/>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top style="hair">
        <color indexed="64"/>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top style="medium">
        <color indexed="64"/>
      </top>
      <bottom/>
      <diagonal/>
    </border>
    <border>
      <left/>
      <right/>
      <top/>
      <bottom style="thick">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bottom style="thin">
        <color indexed="8"/>
      </bottom>
      <diagonal/>
    </border>
    <border>
      <left/>
      <right/>
      <top/>
      <bottom style="thin">
        <color auto="1"/>
      </bottom>
      <diagonal/>
    </border>
    <border>
      <left style="hair">
        <color indexed="64"/>
      </left>
      <right style="hair">
        <color indexed="64"/>
      </right>
      <top style="double">
        <color indexed="64"/>
      </top>
      <bottom/>
      <diagonal/>
    </border>
    <border>
      <left style="thin">
        <color indexed="64"/>
      </left>
      <right style="thin">
        <color indexed="64"/>
      </right>
      <top style="thin">
        <color indexed="64"/>
      </top>
      <bottom style="thick">
        <color indexed="64"/>
      </bottom>
      <diagonal/>
    </border>
    <border>
      <left/>
      <right/>
      <top style="thin">
        <color auto="1"/>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ck">
        <color rgb="FF333F4F"/>
      </top>
      <bottom/>
      <diagonal/>
    </border>
    <border>
      <left/>
      <right/>
      <top/>
      <bottom style="thick">
        <color rgb="FF333F4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auto="1"/>
      </top>
      <bottom/>
      <diagonal/>
    </border>
    <border>
      <left style="thin">
        <color auto="1"/>
      </left>
      <right/>
      <top/>
      <bottom/>
      <diagonal/>
    </border>
    <border>
      <left/>
      <right style="thin">
        <color auto="1"/>
      </right>
      <top style="thin">
        <color auto="1"/>
      </top>
      <bottom/>
      <diagonal/>
    </border>
    <border>
      <left/>
      <right/>
      <top style="thin">
        <color indexed="64"/>
      </top>
      <bottom/>
      <diagonal/>
    </border>
    <border>
      <left/>
      <right/>
      <top style="hair">
        <color auto="1"/>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style="thin">
        <color auto="1"/>
      </left>
      <right style="thin">
        <color auto="1"/>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style="double">
        <color indexed="64"/>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auto="1"/>
      </bottom>
      <diagonal/>
    </border>
    <border>
      <left/>
      <right/>
      <top style="hair">
        <color auto="1"/>
      </top>
      <bottom style="hair">
        <color auto="1"/>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right/>
      <top style="medium">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right style="thin">
        <color indexed="64"/>
      </right>
      <top style="thin">
        <color auto="1"/>
      </top>
      <bottom/>
      <diagonal/>
    </border>
    <border>
      <left/>
      <right/>
      <top style="hair">
        <color auto="1"/>
      </top>
      <bottom style="hair">
        <color auto="1"/>
      </bottom>
      <diagonal/>
    </border>
    <border>
      <left/>
      <right/>
      <top style="thin">
        <color auto="1"/>
      </top>
      <bottom/>
      <diagonal/>
    </border>
    <border>
      <left style="thin">
        <color auto="1"/>
      </left>
      <right style="thin">
        <color indexed="64"/>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indexed="64"/>
      </top>
      <bottom style="thin">
        <color auto="1"/>
      </bottom>
      <diagonal/>
    </border>
    <border>
      <left/>
      <right style="thin">
        <color indexed="64"/>
      </right>
      <top style="thin">
        <color indexed="64"/>
      </top>
      <bottom/>
      <diagonal/>
    </border>
    <border>
      <left/>
      <right/>
      <top style="hair">
        <color auto="1"/>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indexed="64"/>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auto="1"/>
      </top>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indexed="64"/>
      </right>
      <top/>
      <bottom style="thin">
        <color auto="1"/>
      </bottom>
      <diagonal/>
    </border>
    <border>
      <left style="thin">
        <color indexed="64"/>
      </left>
      <right style="thin">
        <color indexed="64"/>
      </right>
      <top style="thin">
        <color auto="1"/>
      </top>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style="thin">
        <color theme="1"/>
      </left>
      <right style="thin">
        <color theme="1"/>
      </right>
      <top style="thin">
        <color theme="1"/>
      </top>
      <bottom/>
      <diagonal/>
    </border>
    <border>
      <left/>
      <right style="thin">
        <color indexed="64"/>
      </right>
      <top style="thin">
        <color theme="1"/>
      </top>
      <bottom style="thin">
        <color theme="1"/>
      </bottom>
      <diagonal/>
    </border>
    <border>
      <left/>
      <right style="thin">
        <color indexed="64"/>
      </right>
      <top style="thin">
        <color indexed="64"/>
      </top>
      <bottom style="thin">
        <color theme="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indexed="64"/>
      </right>
      <top style="thin">
        <color auto="1"/>
      </top>
      <bottom/>
      <diagonal/>
    </border>
    <border>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auto="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auto="1"/>
      </top>
      <bottom/>
      <diagonal/>
    </border>
    <border>
      <left/>
      <right/>
      <top style="thin">
        <color auto="1"/>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top style="thin">
        <color auto="1"/>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auto="1"/>
      </top>
      <bottom/>
      <diagonal/>
    </border>
    <border>
      <left style="medium">
        <color indexed="64"/>
      </left>
      <right/>
      <top style="medium">
        <color indexed="64"/>
      </top>
      <bottom style="medium">
        <color auto="1"/>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style="thin">
        <color indexed="64"/>
      </right>
      <top style="thin">
        <color auto="1"/>
      </top>
      <bottom/>
      <diagonal/>
    </border>
    <border>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auto="1"/>
      </top>
      <bottom/>
      <diagonal/>
    </border>
    <border>
      <left style="thin">
        <color auto="1"/>
      </left>
      <right style="thin">
        <color auto="1"/>
      </right>
      <top style="thin">
        <color auto="1"/>
      </top>
      <bottom style="thin">
        <color auto="1"/>
      </bottom>
      <diagonal/>
    </border>
    <border>
      <left/>
      <right style="thin">
        <color indexed="64"/>
      </right>
      <top style="thin">
        <color auto="1"/>
      </top>
      <bottom style="thin">
        <color auto="1"/>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s>
  <cellStyleXfs count="31979">
    <xf numFmtId="0" fontId="0" fillId="0" borderId="0"/>
    <xf numFmtId="43" fontId="13" fillId="0" borderId="0" applyFont="0" applyFill="0" applyBorder="0" applyAlignment="0" applyProtection="0"/>
    <xf numFmtId="9" fontId="13" fillId="0" borderId="0" applyFont="0" applyFill="0" applyBorder="0" applyAlignment="0" applyProtection="0"/>
    <xf numFmtId="44" fontId="13" fillId="0" borderId="0" applyFont="0" applyFill="0" applyBorder="0" applyAlignment="0" applyProtection="0"/>
    <xf numFmtId="9" fontId="16" fillId="0" borderId="0">
      <alignment horizontal="right"/>
    </xf>
    <xf numFmtId="37" fontId="17" fillId="0" borderId="0">
      <alignment horizontal="fill"/>
    </xf>
    <xf numFmtId="0" fontId="18" fillId="0" borderId="0"/>
    <xf numFmtId="0" fontId="18" fillId="0" borderId="0"/>
    <xf numFmtId="0" fontId="18" fillId="0" borderId="0"/>
    <xf numFmtId="0" fontId="18" fillId="0" borderId="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2" fontId="20" fillId="0" borderId="0" applyFont="0" applyFill="0" applyBorder="0" applyAlignment="0" applyProtection="0"/>
    <xf numFmtId="0" fontId="20"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172" fontId="20" fillId="0" borderId="0" applyFont="0" applyFill="0" applyBorder="0" applyAlignment="0" applyProtection="0"/>
    <xf numFmtId="0" fontId="20" fillId="0" borderId="0" applyFont="0" applyFill="0" applyBorder="0" applyAlignment="0" applyProtection="0"/>
    <xf numFmtId="172" fontId="20" fillId="0" borderId="0" applyFont="0" applyFill="0" applyBorder="0" applyAlignment="0" applyProtection="0"/>
    <xf numFmtId="0"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0" fontId="20" fillId="0" borderId="0" applyFont="0" applyFill="0" applyBorder="0" applyAlignment="0" applyProtection="0"/>
    <xf numFmtId="0" fontId="19"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171" fontId="19" fillId="0" borderId="0" applyFont="0" applyFill="0" applyBorder="0" applyAlignment="0" applyProtection="0"/>
    <xf numFmtId="0"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0"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173" fontId="21" fillId="0" borderId="0" applyNumberFormat="0" applyFill="0" applyBorder="0" applyAlignment="0" applyProtection="0"/>
    <xf numFmtId="0" fontId="18" fillId="0" borderId="0" applyNumberFormat="0" applyFill="0" applyBorder="0" applyAlignment="0" applyProtection="0"/>
    <xf numFmtId="0" fontId="18" fillId="0" borderId="0"/>
    <xf numFmtId="0" fontId="20" fillId="0" borderId="0" applyFont="0" applyFill="0" applyBorder="0" applyAlignment="0" applyProtection="0"/>
    <xf numFmtId="0" fontId="22" fillId="0" borderId="0"/>
    <xf numFmtId="0" fontId="22" fillId="0" borderId="0"/>
    <xf numFmtId="0" fontId="18" fillId="0" borderId="0"/>
    <xf numFmtId="0" fontId="22" fillId="0" borderId="0"/>
    <xf numFmtId="0" fontId="22" fillId="0" borderId="0"/>
    <xf numFmtId="0" fontId="22" fillId="0" borderId="0"/>
    <xf numFmtId="174" fontId="23" fillId="0" borderId="0" applyFont="0" applyFill="0" applyBorder="0" applyAlignment="0" applyProtection="0"/>
    <xf numFmtId="175" fontId="23" fillId="0" borderId="0" applyFont="0" applyFill="0" applyBorder="0" applyAlignment="0" applyProtection="0"/>
    <xf numFmtId="3" fontId="24" fillId="0" borderId="0" applyFont="0" applyFill="0" applyBorder="0" applyAlignment="0" applyProtection="0"/>
    <xf numFmtId="174" fontId="23" fillId="0" borderId="0" applyFont="0" applyFill="0" applyBorder="0" applyAlignment="0" applyProtection="0"/>
    <xf numFmtId="174" fontId="23" fillId="0" borderId="0" applyFont="0" applyFill="0" applyBorder="0" applyAlignment="0" applyProtection="0"/>
    <xf numFmtId="174" fontId="23" fillId="0" borderId="0" applyFont="0" applyFill="0" applyBorder="0" applyAlignment="0" applyProtection="0"/>
    <xf numFmtId="174" fontId="23" fillId="0" borderId="0" applyFont="0" applyFill="0" applyBorder="0" applyAlignment="0" applyProtection="0"/>
    <xf numFmtId="174" fontId="23" fillId="0" borderId="0" applyFont="0" applyFill="0" applyBorder="0" applyAlignment="0" applyProtection="0"/>
    <xf numFmtId="5" fontId="25" fillId="0" borderId="0" applyFont="0" applyFill="0" applyBorder="0" applyAlignment="0" applyProtection="0"/>
    <xf numFmtId="176" fontId="23" fillId="0" borderId="0" applyFont="0" applyFill="0" applyBorder="0" applyAlignment="0" applyProtection="0"/>
    <xf numFmtId="8" fontId="25" fillId="0" borderId="0" applyFont="0" applyFill="0" applyBorder="0" applyAlignment="0" applyProtection="0"/>
    <xf numFmtId="0" fontId="22" fillId="0" borderId="0"/>
    <xf numFmtId="177" fontId="22" fillId="0" borderId="0">
      <alignment horizontal="right"/>
    </xf>
    <xf numFmtId="177" fontId="18" fillId="0" borderId="0">
      <alignment horizontal="right"/>
    </xf>
    <xf numFmtId="178" fontId="18" fillId="0" borderId="0" applyFont="0" applyFill="0" applyBorder="0" applyAlignment="0" applyProtection="0"/>
    <xf numFmtId="179" fontId="18" fillId="0" borderId="0"/>
    <xf numFmtId="180" fontId="18" fillId="0" borderId="0" applyFont="0" applyFill="0" applyBorder="0" applyAlignment="0" applyProtection="0"/>
    <xf numFmtId="0" fontId="18" fillId="0" borderId="0"/>
    <xf numFmtId="181" fontId="23" fillId="0" borderId="0" applyFont="0" applyFill="0" applyBorder="0" applyAlignment="0" applyProtection="0"/>
    <xf numFmtId="182" fontId="18" fillId="0" borderId="0" applyFont="0" applyFill="0" applyBorder="0" applyAlignment="0" applyProtection="0"/>
    <xf numFmtId="9" fontId="26" fillId="31" borderId="17">
      <alignment horizontal="right" vertical="center"/>
    </xf>
    <xf numFmtId="9" fontId="18" fillId="0" borderId="0">
      <alignment horizontal="right" vertical="center"/>
    </xf>
    <xf numFmtId="183" fontId="27" fillId="0" borderId="0" applyBorder="0"/>
    <xf numFmtId="183" fontId="27" fillId="0" borderId="0" applyBorder="0"/>
    <xf numFmtId="183" fontId="18" fillId="0" borderId="0" applyBorder="0"/>
    <xf numFmtId="183" fontId="27" fillId="0" borderId="0" applyBorder="0"/>
    <xf numFmtId="183" fontId="27" fillId="0" borderId="0" applyBorder="0"/>
    <xf numFmtId="183" fontId="27" fillId="0" borderId="0" applyBorder="0"/>
    <xf numFmtId="10" fontId="25" fillId="0" borderId="0" applyFont="0" applyFill="0" applyBorder="0" applyAlignment="0" applyProtection="0"/>
    <xf numFmtId="0" fontId="28" fillId="0" borderId="0"/>
    <xf numFmtId="0" fontId="28" fillId="0" borderId="0"/>
    <xf numFmtId="0" fontId="29" fillId="0" borderId="0" applyNumberFormat="0" applyFont="0" applyFill="0" applyBorder="0" applyAlignment="0" applyProtection="0"/>
    <xf numFmtId="0" fontId="18" fillId="0" borderId="0" applyNumberFormat="0" applyFont="0" applyFill="0" applyBorder="0" applyAlignment="0" applyProtection="0"/>
    <xf numFmtId="184" fontId="22" fillId="0" borderId="0" applyFont="0" applyFill="0" applyBorder="0" applyAlignment="0"/>
    <xf numFmtId="184" fontId="22" fillId="0" borderId="0" applyFont="0" applyFill="0" applyBorder="0" applyAlignment="0"/>
    <xf numFmtId="184" fontId="18" fillId="0" borderId="0" applyFont="0" applyFill="0" applyBorder="0" applyAlignment="0"/>
    <xf numFmtId="184" fontId="22" fillId="0" borderId="0" applyFont="0" applyFill="0" applyBorder="0" applyAlignment="0"/>
    <xf numFmtId="184" fontId="22" fillId="0" borderId="0" applyFont="0" applyFill="0" applyBorder="0" applyAlignment="0"/>
    <xf numFmtId="184" fontId="22" fillId="0" borderId="0" applyFont="0" applyFill="0" applyBorder="0" applyAlignment="0"/>
    <xf numFmtId="186" fontId="18" fillId="0" borderId="0" applyFont="0" applyFill="0" applyBorder="0" applyAlignment="0" applyProtection="0"/>
    <xf numFmtId="9" fontId="18" fillId="0" borderId="0" applyFont="0" applyFill="0" applyBorder="0" applyAlignment="0" applyProtection="0"/>
    <xf numFmtId="187" fontId="30" fillId="0" borderId="0" applyFont="0" applyFill="0" applyBorder="0" applyProtection="0">
      <alignment horizontal="right"/>
    </xf>
    <xf numFmtId="187" fontId="18" fillId="0" borderId="0" applyFont="0" applyFill="0" applyBorder="0" applyProtection="0">
      <alignment horizontal="right"/>
    </xf>
    <xf numFmtId="188" fontId="31" fillId="0" borderId="0" applyFont="0" applyFill="0" applyBorder="0" applyAlignment="0" applyProtection="0"/>
    <xf numFmtId="189" fontId="31"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18"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190" fontId="30" fillId="0" borderId="0" applyFont="0" applyFill="0" applyBorder="0" applyProtection="0">
      <alignment horizontal="right"/>
    </xf>
    <xf numFmtId="190" fontId="18" fillId="0" borderId="0" applyFont="0" applyFill="0" applyBorder="0" applyProtection="0">
      <alignment horizontal="right"/>
    </xf>
    <xf numFmtId="0" fontId="18" fillId="0" borderId="0" applyFont="0" applyFill="0" applyBorder="0" applyAlignment="0" applyProtection="0"/>
    <xf numFmtId="191" fontId="32" fillId="0" borderId="0"/>
    <xf numFmtId="191" fontId="32" fillId="0" borderId="0"/>
    <xf numFmtId="9" fontId="16" fillId="0" borderId="0">
      <alignment horizontal="right"/>
    </xf>
    <xf numFmtId="9" fontId="16" fillId="0" borderId="0">
      <alignment horizontal="right"/>
    </xf>
    <xf numFmtId="174" fontId="31" fillId="0" borderId="0" applyFont="0" applyFill="0" applyBorder="0" applyAlignment="0" applyProtection="0"/>
    <xf numFmtId="192" fontId="30" fillId="0" borderId="0" applyFont="0" applyFill="0" applyBorder="0" applyAlignment="0" applyProtection="0"/>
    <xf numFmtId="192" fontId="30"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92" fontId="18" fillId="0" borderId="0" applyFont="0" applyFill="0" applyBorder="0" applyAlignment="0" applyProtection="0"/>
    <xf numFmtId="174" fontId="33"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34"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93" fontId="31"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5" fontId="18" fillId="0" borderId="0" applyFont="0" applyFill="0" applyBorder="0" applyAlignment="0" applyProtection="0"/>
    <xf numFmtId="196" fontId="18" fillId="0" borderId="0" applyFont="0" applyFill="0" applyBorder="0" applyAlignment="0" applyProtection="0"/>
    <xf numFmtId="196" fontId="18" fillId="0" borderId="0" applyFont="0" applyFill="0" applyBorder="0" applyAlignment="0" applyProtection="0"/>
    <xf numFmtId="194" fontId="18" fillId="0" borderId="0" applyFont="0" applyFill="0" applyBorder="0" applyAlignment="0" applyProtection="0"/>
    <xf numFmtId="197" fontId="18" fillId="0" borderId="0" applyFont="0" applyFill="0" applyBorder="0" applyAlignment="0" applyProtection="0"/>
    <xf numFmtId="198" fontId="18" fillId="0" borderId="0" applyFont="0" applyFill="0" applyBorder="0" applyAlignment="0" applyProtection="0"/>
    <xf numFmtId="194" fontId="18" fillId="0" borderId="0" applyFont="0" applyFill="0" applyBorder="0" applyAlignment="0" applyProtection="0"/>
    <xf numFmtId="196" fontId="18" fillId="0" borderId="0" applyFont="0" applyFill="0" applyBorder="0" applyAlignment="0" applyProtection="0"/>
    <xf numFmtId="193" fontId="18" fillId="0" borderId="0" applyFont="0" applyFill="0" applyBorder="0" applyAlignment="0" applyProtection="0"/>
    <xf numFmtId="194" fontId="18" fillId="0" borderId="0" applyFont="0" applyFill="0" applyBorder="0" applyAlignment="0" applyProtection="0"/>
    <xf numFmtId="195" fontId="18" fillId="0" borderId="0" applyFont="0" applyFill="0" applyBorder="0" applyAlignment="0" applyProtection="0"/>
    <xf numFmtId="195" fontId="34" fillId="0" borderId="0" applyFont="0" applyFill="0" applyBorder="0" applyAlignment="0" applyProtection="0"/>
    <xf numFmtId="195" fontId="34" fillId="0" borderId="0" applyFont="0" applyFill="0" applyBorder="0" applyAlignment="0" applyProtection="0"/>
    <xf numFmtId="193" fontId="33" fillId="0" borderId="0" applyFont="0" applyFill="0" applyBorder="0" applyAlignment="0" applyProtection="0"/>
    <xf numFmtId="193" fontId="18" fillId="0" borderId="0" applyFont="0" applyFill="0" applyBorder="0" applyAlignment="0" applyProtection="0"/>
    <xf numFmtId="193" fontId="18" fillId="0" borderId="0" applyFont="0" applyFill="0" applyBorder="0" applyAlignment="0" applyProtection="0"/>
    <xf numFmtId="193" fontId="18" fillId="0" borderId="0" applyFont="0" applyFill="0" applyBorder="0" applyAlignment="0" applyProtection="0"/>
    <xf numFmtId="194" fontId="18" fillId="0" borderId="0" applyFont="0" applyFill="0" applyBorder="0" applyAlignment="0" applyProtection="0"/>
    <xf numFmtId="194" fontId="34" fillId="0" borderId="0" applyFont="0" applyFill="0" applyBorder="0" applyAlignment="0" applyProtection="0"/>
    <xf numFmtId="195" fontId="34" fillId="0" borderId="0" applyFont="0" applyFill="0" applyBorder="0" applyAlignment="0" applyProtection="0"/>
    <xf numFmtId="195" fontId="34" fillId="0" borderId="0" applyFont="0" applyFill="0" applyBorder="0" applyAlignment="0" applyProtection="0"/>
    <xf numFmtId="197" fontId="18" fillId="0" borderId="0" applyFont="0" applyFill="0" applyBorder="0" applyAlignment="0" applyProtection="0"/>
    <xf numFmtId="198" fontId="34" fillId="0" borderId="0" applyFont="0" applyFill="0" applyBorder="0" applyAlignment="0" applyProtection="0"/>
    <xf numFmtId="195" fontId="18" fillId="0" borderId="0" applyFont="0" applyFill="0" applyBorder="0" applyAlignment="0" applyProtection="0"/>
    <xf numFmtId="193" fontId="18" fillId="0" borderId="0" applyFont="0" applyFill="0" applyBorder="0" applyAlignment="0" applyProtection="0"/>
    <xf numFmtId="198" fontId="18" fillId="0" borderId="0" applyFont="0" applyFill="0" applyBorder="0" applyAlignment="0" applyProtection="0"/>
    <xf numFmtId="0" fontId="18" fillId="0" borderId="0" applyFont="0" applyFill="0" applyBorder="0" applyAlignment="0" applyProtection="0"/>
    <xf numFmtId="199" fontId="18" fillId="0" borderId="0" applyFont="0" applyFill="0" applyBorder="0" applyAlignment="0" applyProtection="0"/>
    <xf numFmtId="193" fontId="18" fillId="0" borderId="0" applyFont="0" applyFill="0" applyBorder="0" applyAlignment="0" applyProtection="0"/>
    <xf numFmtId="195" fontId="18" fillId="0" borderId="0" applyFont="0" applyFill="0" applyBorder="0" applyAlignment="0" applyProtection="0"/>
    <xf numFmtId="198" fontId="18" fillId="0" borderId="0" applyFont="0" applyFill="0" applyBorder="0" applyAlignment="0" applyProtection="0"/>
    <xf numFmtId="193" fontId="18" fillId="0" borderId="0" applyFont="0" applyFill="0" applyBorder="0" applyAlignment="0" applyProtection="0"/>
    <xf numFmtId="200" fontId="31" fillId="0" borderId="0" applyFont="0" applyFill="0" applyBorder="0" applyAlignment="0" applyProtection="0"/>
    <xf numFmtId="39" fontId="30" fillId="0" borderId="0" applyFont="0" applyFill="0" applyBorder="0" applyAlignment="0" applyProtection="0"/>
    <xf numFmtId="39" fontId="30"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39" fontId="18" fillId="0" borderId="0" applyFont="0" applyFill="0" applyBorder="0" applyAlignment="0" applyProtection="0"/>
    <xf numFmtId="200" fontId="33"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34"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14" fontId="35" fillId="0" borderId="0" applyFill="0" applyBorder="0" applyProtection="0"/>
    <xf numFmtId="14" fontId="18" fillId="0" borderId="0" applyFill="0" applyBorder="0" applyProtection="0"/>
    <xf numFmtId="201" fontId="18" fillId="0" borderId="0" applyFont="0" applyFill="0" applyBorder="0" applyAlignment="0" applyProtection="0"/>
    <xf numFmtId="201" fontId="18" fillId="0" borderId="0" applyFont="0" applyFill="0" applyBorder="0" applyAlignment="0" applyProtection="0"/>
    <xf numFmtId="201" fontId="18" fillId="0" borderId="0" applyFont="0" applyFill="0" applyBorder="0" applyAlignment="0" applyProtection="0"/>
    <xf numFmtId="0" fontId="29" fillId="0" borderId="0" applyNumberFormat="0" applyFill="0" applyBorder="0" applyAlignment="0" applyProtection="0"/>
    <xf numFmtId="202" fontId="31" fillId="0" borderId="0" applyFont="0" applyFill="0" applyBorder="0" applyAlignment="0" applyProtection="0"/>
    <xf numFmtId="202" fontId="30" fillId="0" borderId="0" applyFont="0" applyFill="0" applyBorder="0" applyProtection="0">
      <alignment horizontal="right"/>
    </xf>
    <xf numFmtId="202" fontId="18" fillId="0" borderId="0" applyFont="0" applyFill="0" applyBorder="0" applyProtection="0">
      <alignment horizontal="right"/>
    </xf>
    <xf numFmtId="202" fontId="30" fillId="0" borderId="0" applyFont="0" applyFill="0" applyBorder="0" applyProtection="0">
      <alignment horizontal="right"/>
    </xf>
    <xf numFmtId="202" fontId="30" fillId="0" borderId="0" applyFont="0" applyFill="0" applyBorder="0" applyProtection="0">
      <alignment horizontal="right"/>
    </xf>
    <xf numFmtId="202" fontId="30" fillId="0" borderId="0" applyFont="0" applyFill="0" applyBorder="0" applyProtection="0">
      <alignment horizontal="right"/>
    </xf>
    <xf numFmtId="202" fontId="30" fillId="0" borderId="0" applyFont="0" applyFill="0" applyBorder="0" applyAlignment="0" applyProtection="0"/>
    <xf numFmtId="202" fontId="30" fillId="0" borderId="0" applyFont="0" applyFill="0" applyBorder="0" applyAlignment="0" applyProtection="0"/>
    <xf numFmtId="202" fontId="18" fillId="0" borderId="0" applyFont="0" applyFill="0" applyBorder="0" applyAlignment="0" applyProtection="0"/>
    <xf numFmtId="202" fontId="30" fillId="0" borderId="0" applyFont="0" applyFill="0" applyBorder="0" applyAlignment="0" applyProtection="0"/>
    <xf numFmtId="202" fontId="30" fillId="0" borderId="0" applyFont="0" applyFill="0" applyBorder="0" applyAlignment="0" applyProtection="0"/>
    <xf numFmtId="202" fontId="30" fillId="0" borderId="0" applyFont="0" applyFill="0" applyBorder="0" applyAlignment="0" applyProtection="0"/>
    <xf numFmtId="202" fontId="18" fillId="0" borderId="0" applyFont="0" applyFill="0" applyBorder="0" applyAlignment="0" applyProtection="0"/>
    <xf numFmtId="202" fontId="18" fillId="0" borderId="0" applyFont="0" applyFill="0" applyBorder="0" applyAlignment="0" applyProtection="0"/>
    <xf numFmtId="0" fontId="36" fillId="0" borderId="0">
      <alignment vertical="center"/>
    </xf>
    <xf numFmtId="203" fontId="37" fillId="0" borderId="18" applyFont="0" applyFill="0" applyBorder="0" applyAlignment="0" applyProtection="0"/>
    <xf numFmtId="203" fontId="18" fillId="0" borderId="0" applyFont="0" applyFill="0" applyBorder="0" applyAlignment="0" applyProtection="0"/>
    <xf numFmtId="0" fontId="38" fillId="32" borderId="19" applyBorder="0">
      <alignment horizontal="center"/>
    </xf>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1" fillId="33" borderId="0" applyNumberFormat="0" applyFont="0" applyAlignment="0" applyProtection="0"/>
    <xf numFmtId="0" fontId="18" fillId="0" borderId="0" applyNumberFormat="0" applyFont="0" applyAlignment="0" applyProtection="0"/>
    <xf numFmtId="204" fontId="40" fillId="0" borderId="0" applyFont="0" applyFill="0" applyBorder="0" applyProtection="0">
      <alignment horizontal="right"/>
    </xf>
    <xf numFmtId="204" fontId="18" fillId="0" borderId="0" applyFont="0" applyFill="0" applyBorder="0" applyProtection="0">
      <alignment horizontal="right"/>
    </xf>
    <xf numFmtId="205" fontId="40" fillId="0" borderId="0" applyFont="0" applyFill="0" applyBorder="0" applyProtection="0">
      <alignment horizontal="right"/>
    </xf>
    <xf numFmtId="205" fontId="18" fillId="0" borderId="0" applyFont="0" applyFill="0" applyBorder="0" applyProtection="0">
      <alignment horizontal="right"/>
    </xf>
    <xf numFmtId="205" fontId="40" fillId="0" borderId="0" applyFont="0" applyFill="0" applyBorder="0" applyProtection="0">
      <alignment horizontal="right"/>
    </xf>
    <xf numFmtId="205" fontId="18" fillId="0" borderId="0" applyFont="0" applyFill="0" applyBorder="0" applyProtection="0">
      <alignment horizontal="right"/>
    </xf>
    <xf numFmtId="0" fontId="32" fillId="0" borderId="0">
      <alignment vertical="center"/>
    </xf>
    <xf numFmtId="0" fontId="32" fillId="0" borderId="0">
      <alignment vertical="center"/>
    </xf>
    <xf numFmtId="0" fontId="32" fillId="0" borderId="0">
      <alignment vertical="center"/>
    </xf>
    <xf numFmtId="0" fontId="41" fillId="34" borderId="0">
      <alignment horizontal="centerContinuous" vertical="center"/>
    </xf>
    <xf numFmtId="0" fontId="18" fillId="0" borderId="0">
      <alignment horizontal="centerContinuous" vertical="center"/>
    </xf>
    <xf numFmtId="0" fontId="42" fillId="29" borderId="0">
      <alignment horizontal="centerContinuous" vertical="center"/>
    </xf>
    <xf numFmtId="0" fontId="18" fillId="0" borderId="0">
      <alignment horizontal="centerContinuous" vertical="center"/>
    </xf>
    <xf numFmtId="9" fontId="16" fillId="0" borderId="0">
      <alignment horizontal="right"/>
    </xf>
    <xf numFmtId="9" fontId="16" fillId="0" borderId="0">
      <alignment horizontal="right"/>
    </xf>
    <xf numFmtId="9" fontId="16" fillId="0" borderId="0">
      <alignment horizontal="right"/>
    </xf>
    <xf numFmtId="9" fontId="16" fillId="0" borderId="0">
      <alignment horizontal="right"/>
    </xf>
    <xf numFmtId="0" fontId="18" fillId="0" borderId="0">
      <alignment horizontal="left" wrapText="1"/>
    </xf>
    <xf numFmtId="0" fontId="18" fillId="0" borderId="0">
      <alignment horizontal="left" wrapText="1"/>
    </xf>
    <xf numFmtId="206" fontId="31" fillId="0" borderId="0" applyFont="0" applyFill="0" applyBorder="0" applyAlignment="0" applyProtection="0"/>
    <xf numFmtId="207" fontId="30" fillId="0" borderId="0" applyFont="0" applyFill="0" applyBorder="0" applyAlignment="0" applyProtection="0"/>
    <xf numFmtId="207" fontId="30" fillId="0" borderId="0" applyFont="0" applyFill="0" applyBorder="0" applyAlignment="0" applyProtection="0"/>
    <xf numFmtId="208" fontId="18" fillId="0" borderId="0" applyFont="0" applyFill="0" applyBorder="0" applyProtection="0">
      <alignment horizontal="right"/>
    </xf>
    <xf numFmtId="209" fontId="18" fillId="0" borderId="0" applyFont="0" applyFill="0" applyBorder="0" applyAlignment="0" applyProtection="0"/>
    <xf numFmtId="206" fontId="18" fillId="0" borderId="0" applyFont="0" applyFill="0" applyBorder="0" applyAlignment="0" applyProtection="0"/>
    <xf numFmtId="210" fontId="18" fillId="0" borderId="0" applyFont="0" applyFill="0" applyBorder="0" applyProtection="0">
      <alignment horizontal="right"/>
    </xf>
    <xf numFmtId="206" fontId="18" fillId="0" borderId="0" applyFont="0" applyFill="0" applyBorder="0" applyAlignment="0" applyProtection="0"/>
    <xf numFmtId="207" fontId="18" fillId="0" borderId="0" applyFont="0" applyFill="0" applyBorder="0" applyAlignment="0" applyProtection="0"/>
    <xf numFmtId="206" fontId="33" fillId="0" borderId="0" applyFont="0" applyFill="0" applyBorder="0" applyAlignment="0" applyProtection="0"/>
    <xf numFmtId="206" fontId="18" fillId="0" borderId="0" applyFont="0" applyFill="0" applyBorder="0" applyAlignment="0" applyProtection="0"/>
    <xf numFmtId="210" fontId="18" fillId="0" borderId="0" applyFont="0" applyFill="0" applyBorder="0" applyProtection="0">
      <alignment horizontal="right"/>
    </xf>
    <xf numFmtId="210" fontId="18" fillId="0" borderId="0" applyFont="0" applyFill="0" applyBorder="0" applyProtection="0">
      <alignment horizontal="right"/>
    </xf>
    <xf numFmtId="206" fontId="18" fillId="0" borderId="0" applyFont="0" applyFill="0" applyBorder="0" applyAlignment="0" applyProtection="0"/>
    <xf numFmtId="206" fontId="34" fillId="0" borderId="0" applyFont="0" applyFill="0" applyBorder="0" applyAlignment="0" applyProtection="0"/>
    <xf numFmtId="210" fontId="18" fillId="0" borderId="0" applyFont="0" applyFill="0" applyBorder="0" applyProtection="0">
      <alignment horizontal="right"/>
    </xf>
    <xf numFmtId="209" fontId="18" fillId="0" borderId="0" applyFont="0" applyFill="0" applyBorder="0" applyAlignment="0" applyProtection="0"/>
    <xf numFmtId="206" fontId="18" fillId="0" borderId="0" applyFont="0" applyFill="0" applyBorder="0" applyAlignment="0" applyProtection="0"/>
    <xf numFmtId="210" fontId="18" fillId="0" borderId="0" applyFont="0" applyFill="0" applyBorder="0" applyProtection="0">
      <alignment horizontal="right"/>
    </xf>
    <xf numFmtId="210" fontId="18" fillId="0" borderId="0" applyFont="0" applyFill="0" applyBorder="0" applyProtection="0">
      <alignment horizontal="right"/>
    </xf>
    <xf numFmtId="211" fontId="18" fillId="0" borderId="0" applyFont="0" applyFill="0" applyBorder="0" applyProtection="0">
      <alignment horizontal="right"/>
    </xf>
    <xf numFmtId="212" fontId="31" fillId="0" borderId="0" applyFont="0" applyFill="0" applyBorder="0" applyProtection="0">
      <alignment horizontal="right"/>
    </xf>
    <xf numFmtId="213" fontId="30" fillId="0" borderId="0" applyFont="0" applyFill="0" applyBorder="0" applyAlignment="0" applyProtection="0"/>
    <xf numFmtId="213" fontId="30" fillId="0" borderId="0" applyFont="0" applyFill="0" applyBorder="0" applyAlignment="0" applyProtection="0"/>
    <xf numFmtId="214" fontId="18" fillId="0" borderId="0" applyFont="0" applyFill="0" applyBorder="0" applyAlignment="0" applyProtection="0"/>
    <xf numFmtId="212" fontId="18" fillId="0" borderId="0" applyFont="0" applyFill="0" applyBorder="0" applyProtection="0">
      <alignment horizontal="right"/>
    </xf>
    <xf numFmtId="212" fontId="18" fillId="0" borderId="0" applyFont="0" applyFill="0" applyBorder="0" applyProtection="0">
      <alignment horizontal="right"/>
    </xf>
    <xf numFmtId="213" fontId="18" fillId="0" borderId="0" applyFont="0" applyFill="0" applyBorder="0" applyAlignment="0" applyProtection="0"/>
    <xf numFmtId="212" fontId="33" fillId="0" borderId="0" applyFont="0" applyFill="0" applyBorder="0" applyProtection="0">
      <alignment horizontal="right"/>
    </xf>
    <xf numFmtId="212" fontId="18" fillId="0" borderId="0" applyFont="0" applyFill="0" applyBorder="0" applyProtection="0">
      <alignment horizontal="right"/>
    </xf>
    <xf numFmtId="212" fontId="18" fillId="0" borderId="0" applyFont="0" applyFill="0" applyBorder="0" applyProtection="0">
      <alignment horizontal="right"/>
    </xf>
    <xf numFmtId="212" fontId="18" fillId="0" borderId="0" applyFont="0" applyFill="0" applyBorder="0" applyProtection="0">
      <alignment horizontal="right"/>
    </xf>
    <xf numFmtId="212" fontId="18" fillId="0" borderId="0" applyFont="0" applyFill="0" applyBorder="0" applyProtection="0">
      <alignment horizontal="right"/>
    </xf>
    <xf numFmtId="212" fontId="34" fillId="0" borderId="0" applyFont="0" applyFill="0" applyBorder="0" applyProtection="0">
      <alignment horizontal="right"/>
    </xf>
    <xf numFmtId="212" fontId="18" fillId="0" borderId="0" applyFont="0" applyFill="0" applyBorder="0" applyProtection="0">
      <alignment horizontal="right"/>
    </xf>
    <xf numFmtId="214" fontId="18" fillId="0" borderId="0" applyFont="0" applyFill="0" applyBorder="0" applyAlignment="0" applyProtection="0"/>
    <xf numFmtId="212" fontId="18" fillId="0" borderId="0" applyFont="0" applyFill="0" applyBorder="0" applyProtection="0">
      <alignment horizontal="right"/>
    </xf>
    <xf numFmtId="212" fontId="18" fillId="0" borderId="0" applyFont="0" applyFill="0" applyBorder="0" applyProtection="0">
      <alignment horizontal="right"/>
    </xf>
    <xf numFmtId="0" fontId="18" fillId="0" borderId="0"/>
    <xf numFmtId="215" fontId="30" fillId="0" borderId="0" applyFont="0" applyFill="0" applyBorder="0" applyAlignment="0" applyProtection="0"/>
    <xf numFmtId="188" fontId="18" fillId="0" borderId="0" applyFont="0" applyFill="0" applyBorder="0" applyAlignment="0" applyProtection="0"/>
    <xf numFmtId="188" fontId="18" fillId="0" borderId="0" applyFont="0" applyFill="0" applyBorder="0" applyAlignment="0" applyProtection="0"/>
    <xf numFmtId="216" fontId="43" fillId="0" borderId="20" applyFont="0" applyFill="0" applyBorder="0" applyProtection="0">
      <alignment horizontal="right"/>
    </xf>
    <xf numFmtId="216" fontId="18" fillId="0" borderId="0" applyFont="0" applyFill="0" applyBorder="0" applyProtection="0">
      <alignment horizontal="right"/>
    </xf>
    <xf numFmtId="217" fontId="43" fillId="0" borderId="20" applyFont="0" applyFill="0" applyBorder="0" applyProtection="0">
      <alignment horizontal="right"/>
    </xf>
    <xf numFmtId="217" fontId="18" fillId="0" borderId="0" applyFont="0" applyFill="0" applyBorder="0" applyProtection="0">
      <alignment horizontal="right"/>
    </xf>
    <xf numFmtId="217" fontId="43" fillId="0" borderId="20" applyFont="0" applyFill="0" applyBorder="0" applyProtection="0">
      <alignment horizontal="right"/>
    </xf>
    <xf numFmtId="217" fontId="18" fillId="0" borderId="0" applyFont="0" applyFill="0" applyBorder="0" applyProtection="0">
      <alignment horizontal="right"/>
    </xf>
    <xf numFmtId="217" fontId="43" fillId="0" borderId="20" applyFont="0" applyFill="0" applyBorder="0" applyProtection="0">
      <alignment horizontal="right"/>
    </xf>
    <xf numFmtId="217" fontId="18" fillId="0" borderId="0" applyFont="0" applyFill="0" applyBorder="0" applyProtection="0">
      <alignment horizontal="right"/>
    </xf>
    <xf numFmtId="217" fontId="43" fillId="0" borderId="20" applyFont="0" applyFill="0" applyBorder="0" applyProtection="0">
      <alignment horizontal="right"/>
    </xf>
    <xf numFmtId="217" fontId="18" fillId="0" borderId="0" applyFont="0" applyFill="0" applyBorder="0" applyProtection="0">
      <alignment horizontal="right"/>
    </xf>
    <xf numFmtId="217" fontId="43" fillId="0" borderId="20" applyFont="0" applyFill="0" applyBorder="0" applyProtection="0">
      <alignment horizontal="right"/>
    </xf>
    <xf numFmtId="217" fontId="18" fillId="0" borderId="0" applyFont="0" applyFill="0" applyBorder="0" applyProtection="0">
      <alignment horizontal="right"/>
    </xf>
    <xf numFmtId="218" fontId="30" fillId="0" borderId="0" applyFont="0" applyFill="0" applyBorder="0" applyAlignment="0" applyProtection="0"/>
    <xf numFmtId="189" fontId="18" fillId="0" borderId="0" applyFont="0" applyFill="0" applyBorder="0" applyAlignment="0" applyProtection="0"/>
    <xf numFmtId="189" fontId="18" fillId="0" borderId="0" applyFont="0" applyFill="0" applyBorder="0" applyAlignment="0" applyProtection="0"/>
    <xf numFmtId="0" fontId="44" fillId="0" borderId="0" applyNumberFormat="0" applyFill="0" applyBorder="0" applyAlignment="0" applyProtection="0"/>
    <xf numFmtId="0" fontId="18" fillId="0" borderId="0"/>
    <xf numFmtId="0" fontId="18" fillId="0" borderId="0"/>
    <xf numFmtId="0" fontId="45" fillId="0" borderId="0">
      <alignment horizontal="center" wrapText="1"/>
    </xf>
    <xf numFmtId="0" fontId="46" fillId="32" borderId="16">
      <alignment horizontal="center"/>
    </xf>
    <xf numFmtId="0" fontId="47" fillId="35" borderId="16">
      <alignment horizontal="center" vertical="center"/>
    </xf>
    <xf numFmtId="3" fontId="48" fillId="0" borderId="16"/>
    <xf numFmtId="4" fontId="48" fillId="0" borderId="16"/>
    <xf numFmtId="219" fontId="18" fillId="0" borderId="16">
      <alignment horizontal="center" vertical="center"/>
    </xf>
    <xf numFmtId="0" fontId="49" fillId="0" borderId="16">
      <alignment horizontal="center"/>
    </xf>
    <xf numFmtId="0" fontId="50" fillId="36" borderId="16">
      <alignment horizontal="center"/>
    </xf>
    <xf numFmtId="0" fontId="45" fillId="0" borderId="0"/>
    <xf numFmtId="0" fontId="46" fillId="32" borderId="16"/>
    <xf numFmtId="0" fontId="47" fillId="35" borderId="16">
      <alignment horizontal="center" vertical="center"/>
    </xf>
    <xf numFmtId="0" fontId="51" fillId="0" borderId="0"/>
    <xf numFmtId="0" fontId="44" fillId="0" borderId="0" applyNumberFormat="0" applyFill="0" applyBorder="0" applyAlignment="0" applyProtection="0"/>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Alignment="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43" fillId="0" borderId="20" applyNumberFormat="0" applyFill="0" applyAlignment="0" applyProtection="0"/>
    <xf numFmtId="0" fontId="18" fillId="0" borderId="0" applyNumberFormat="0" applyFill="0" applyAlignment="0" applyProtection="0"/>
    <xf numFmtId="0" fontId="43" fillId="0" borderId="21" applyNumberFormat="0" applyFill="0" applyAlignment="0" applyProtection="0"/>
    <xf numFmtId="0" fontId="43" fillId="0" borderId="21" applyNumberFormat="0" applyFill="0" applyAlignment="0" applyProtection="0"/>
    <xf numFmtId="0" fontId="43" fillId="0" borderId="21" applyNumberFormat="0" applyFill="0" applyAlignment="0" applyProtection="0"/>
    <xf numFmtId="0" fontId="43" fillId="0" borderId="21" applyNumberFormat="0" applyFill="0" applyAlignment="0" applyProtection="0"/>
    <xf numFmtId="0" fontId="43" fillId="0" borderId="20" applyNumberFormat="0" applyFill="0" applyAlignment="0" applyProtection="0"/>
    <xf numFmtId="0" fontId="43" fillId="0" borderId="20" applyNumberFormat="0" applyFill="0" applyAlignment="0" applyProtection="0"/>
    <xf numFmtId="0" fontId="43" fillId="0" borderId="20" applyNumberFormat="0" applyFill="0" applyAlignment="0" applyProtection="0"/>
    <xf numFmtId="0" fontId="43" fillId="0" borderId="20" applyNumberFormat="0" applyFill="0" applyAlignment="0" applyProtection="0"/>
    <xf numFmtId="0" fontId="53" fillId="0" borderId="22" applyNumberFormat="0" applyFill="0" applyProtection="0">
      <alignment horizontal="center"/>
    </xf>
    <xf numFmtId="0" fontId="18" fillId="0" borderId="0" applyNumberFormat="0" applyFill="0" applyProtection="0">
      <alignment horizontal="center"/>
    </xf>
    <xf numFmtId="0" fontId="54" fillId="0" borderId="23" applyNumberFormat="0" applyFill="0" applyProtection="0">
      <alignment horizontal="center"/>
    </xf>
    <xf numFmtId="0" fontId="18" fillId="0" borderId="0" applyNumberFormat="0" applyFill="0" applyProtection="0">
      <alignment horizontal="center"/>
    </xf>
    <xf numFmtId="0" fontId="53" fillId="0" borderId="22" applyNumberFormat="0" applyFill="0" applyProtection="0">
      <alignment horizontal="center"/>
    </xf>
    <xf numFmtId="0" fontId="18" fillId="0" borderId="0" applyNumberFormat="0" applyFill="0" applyProtection="0">
      <alignment horizontal="center"/>
    </xf>
    <xf numFmtId="0" fontId="53" fillId="0" borderId="22" applyNumberFormat="0" applyFill="0" applyProtection="0">
      <alignment horizontal="center"/>
    </xf>
    <xf numFmtId="0" fontId="18" fillId="0" borderId="0" applyNumberFormat="0" applyFill="0" applyProtection="0">
      <alignment horizontal="center"/>
    </xf>
    <xf numFmtId="0" fontId="55" fillId="0" borderId="23" applyNumberFormat="0" applyFill="0" applyProtection="0">
      <alignment horizontal="center"/>
    </xf>
    <xf numFmtId="0" fontId="18" fillId="0" borderId="0" applyNumberFormat="0" applyFill="0" applyProtection="0">
      <alignment horizontal="center"/>
    </xf>
    <xf numFmtId="0" fontId="53" fillId="0" borderId="0" applyNumberFormat="0" applyFill="0" applyBorder="0" applyProtection="0">
      <alignment horizontal="left"/>
    </xf>
    <xf numFmtId="0" fontId="18" fillId="0" borderId="0" applyNumberFormat="0" applyFill="0" applyBorder="0" applyProtection="0">
      <alignment horizontal="left"/>
    </xf>
    <xf numFmtId="0" fontId="53" fillId="0" borderId="0" applyNumberFormat="0" applyFill="0" applyBorder="0" applyProtection="0">
      <alignment horizontal="left"/>
    </xf>
    <xf numFmtId="0" fontId="18" fillId="0" borderId="0" applyNumberFormat="0" applyFill="0" applyBorder="0" applyProtection="0">
      <alignment horizontal="left"/>
    </xf>
    <xf numFmtId="0" fontId="53" fillId="0" borderId="0" applyNumberFormat="0" applyFill="0" applyBorder="0" applyProtection="0">
      <alignment horizontal="left"/>
    </xf>
    <xf numFmtId="0" fontId="18" fillId="0" borderId="0" applyNumberFormat="0" applyFill="0" applyBorder="0" applyProtection="0">
      <alignment horizontal="left"/>
    </xf>
    <xf numFmtId="0" fontId="56" fillId="0" borderId="0" applyNumberFormat="0" applyFill="0" applyBorder="0" applyProtection="0">
      <alignment horizontal="centerContinuous"/>
    </xf>
    <xf numFmtId="0" fontId="18" fillId="0" borderId="0" applyNumberFormat="0" applyFill="0" applyBorder="0" applyProtection="0">
      <alignment horizontal="centerContinuous"/>
    </xf>
    <xf numFmtId="0" fontId="56" fillId="0" borderId="0" applyNumberFormat="0" applyFill="0" applyProtection="0">
      <alignment horizontal="centerContinuous"/>
    </xf>
    <xf numFmtId="0" fontId="56" fillId="0" borderId="0" applyNumberFormat="0" applyFill="0" applyProtection="0">
      <alignment horizontal="centerContinuous"/>
    </xf>
    <xf numFmtId="0" fontId="56" fillId="0" borderId="0" applyNumberFormat="0" applyFill="0" applyBorder="0" applyProtection="0">
      <alignment horizontal="centerContinuous"/>
    </xf>
    <xf numFmtId="0" fontId="57" fillId="0" borderId="0" applyNumberFormat="0" applyFill="0" applyBorder="0" applyProtection="0">
      <alignment horizontal="centerContinuous"/>
    </xf>
    <xf numFmtId="0" fontId="18" fillId="0" borderId="0" applyNumberFormat="0" applyFill="0" applyBorder="0" applyProtection="0">
      <alignment horizontal="centerContinuous"/>
    </xf>
    <xf numFmtId="0" fontId="56" fillId="0" borderId="0" applyNumberFormat="0" applyFill="0" applyBorder="0" applyProtection="0">
      <alignment horizontal="centerContinuous"/>
    </xf>
    <xf numFmtId="0" fontId="56" fillId="0" borderId="0" applyNumberFormat="0" applyFill="0" applyBorder="0" applyProtection="0">
      <alignment horizontal="centerContinuous"/>
    </xf>
    <xf numFmtId="0" fontId="18" fillId="0" borderId="0" applyNumberFormat="0" applyFill="0" applyBorder="0" applyProtection="0">
      <alignment horizontal="centerContinuous"/>
    </xf>
    <xf numFmtId="0" fontId="56" fillId="0" borderId="0" applyNumberFormat="0" applyFill="0" applyBorder="0" applyProtection="0">
      <alignment horizontal="centerContinuous"/>
    </xf>
    <xf numFmtId="0" fontId="56" fillId="0" borderId="0" applyNumberFormat="0" applyFill="0" applyBorder="0" applyProtection="0">
      <alignment horizontal="centerContinuous"/>
    </xf>
    <xf numFmtId="0" fontId="56" fillId="0" borderId="0" applyNumberFormat="0" applyFill="0" applyBorder="0" applyProtection="0">
      <alignment horizontal="centerContinuous"/>
    </xf>
    <xf numFmtId="0" fontId="18" fillId="0" borderId="0" applyNumberFormat="0" applyFill="0" applyBorder="0" applyProtection="0">
      <alignment horizontal="centerContinuous"/>
    </xf>
    <xf numFmtId="0" fontId="57" fillId="0" borderId="0" applyNumberFormat="0" applyFill="0" applyBorder="0" applyProtection="0">
      <alignment horizontal="centerContinuous"/>
    </xf>
    <xf numFmtId="0" fontId="18" fillId="0" borderId="0" applyNumberFormat="0" applyFill="0" applyBorder="0" applyProtection="0">
      <alignment horizontal="centerContinuous"/>
    </xf>
    <xf numFmtId="0" fontId="44" fillId="0" borderId="0" applyNumberFormat="0" applyFill="0" applyBorder="0" applyAlignment="0" applyProtection="0"/>
    <xf numFmtId="0" fontId="18" fillId="0" borderId="0"/>
    <xf numFmtId="0" fontId="18" fillId="0" borderId="0"/>
    <xf numFmtId="0" fontId="18" fillId="0" borderId="0"/>
    <xf numFmtId="0" fontId="18" fillId="0" borderId="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220" fontId="18" fillId="0" borderId="0">
      <alignment horizontal="left" wrapText="1"/>
    </xf>
    <xf numFmtId="220" fontId="18" fillId="0" borderId="0">
      <alignment horizontal="left" wrapText="1"/>
    </xf>
    <xf numFmtId="0" fontId="18" fillId="0" borderId="0"/>
    <xf numFmtId="0" fontId="59" fillId="0" borderId="0"/>
    <xf numFmtId="0" fontId="59" fillId="0" borderId="0"/>
    <xf numFmtId="0" fontId="28" fillId="0" borderId="0"/>
    <xf numFmtId="0" fontId="28" fillId="0" borderId="0"/>
    <xf numFmtId="0" fontId="60" fillId="0" borderId="0">
      <alignment horizontal="right"/>
    </xf>
    <xf numFmtId="0" fontId="60" fillId="0" borderId="0">
      <alignment horizontal="right"/>
    </xf>
    <xf numFmtId="221" fontId="44" fillId="0" borderId="0" applyFont="0" applyFill="0" applyBorder="0" applyAlignment="0" applyProtection="0"/>
    <xf numFmtId="221" fontId="44" fillId="0" borderId="0" applyFont="0" applyFill="0" applyBorder="0" applyAlignment="0" applyProtection="0"/>
    <xf numFmtId="222" fontId="61" fillId="0" borderId="0" applyFont="0" applyFill="0" applyBorder="0" applyAlignment="0" applyProtection="0"/>
    <xf numFmtId="222" fontId="18" fillId="0" borderId="0" applyFont="0" applyFill="0" applyBorder="0" applyAlignment="0" applyProtection="0"/>
    <xf numFmtId="223" fontId="61" fillId="0" borderId="0" applyFont="0" applyFill="0" applyBorder="0" applyAlignment="0" applyProtection="0"/>
    <xf numFmtId="223" fontId="18" fillId="0" borderId="0" applyFont="0" applyFill="0" applyBorder="0" applyAlignment="0" applyProtection="0"/>
    <xf numFmtId="224" fontId="61" fillId="0" borderId="0" applyFont="0" applyFill="0" applyBorder="0" applyAlignment="0" applyProtection="0"/>
    <xf numFmtId="224" fontId="18" fillId="0" borderId="0" applyFont="0" applyFill="0" applyBorder="0" applyAlignment="0" applyProtection="0"/>
    <xf numFmtId="225" fontId="61" fillId="0" borderId="0" applyFont="0" applyFill="0" applyBorder="0" applyAlignment="0" applyProtection="0"/>
    <xf numFmtId="225" fontId="18" fillId="0" borderId="0" applyFont="0" applyFill="0" applyBorder="0" applyAlignment="0" applyProtection="0"/>
    <xf numFmtId="226" fontId="61" fillId="0" borderId="0" applyFont="0" applyFill="0" applyBorder="0" applyAlignment="0" applyProtection="0"/>
    <xf numFmtId="226" fontId="18" fillId="0" borderId="0" applyFont="0" applyFill="0" applyBorder="0" applyAlignment="0" applyProtection="0"/>
    <xf numFmtId="227" fontId="62" fillId="0" borderId="0" applyFont="0" applyFill="0" applyBorder="0" applyAlignment="0" applyProtection="0"/>
    <xf numFmtId="227" fontId="18" fillId="0" borderId="0" applyFont="0" applyFill="0" applyBorder="0" applyAlignment="0" applyProtection="0"/>
    <xf numFmtId="0" fontId="18" fillId="0" borderId="0"/>
    <xf numFmtId="41" fontId="18" fillId="0" borderId="0" applyFont="0" applyFill="0" applyBorder="0" applyAlignment="0" applyProtection="0"/>
    <xf numFmtId="43" fontId="18" fillId="0" borderId="0" applyFont="0" applyFill="0" applyBorder="0" applyAlignment="0" applyProtection="0"/>
    <xf numFmtId="228" fontId="44" fillId="0" borderId="0" applyFont="0" applyFill="0" applyBorder="0" applyAlignment="0" applyProtection="0"/>
    <xf numFmtId="228" fontId="44" fillId="0" borderId="0" applyFont="0" applyFill="0" applyBorder="0" applyAlignment="0" applyProtection="0"/>
    <xf numFmtId="0" fontId="30" fillId="0" borderId="0">
      <alignment vertical="top"/>
    </xf>
    <xf numFmtId="0" fontId="63" fillId="0" borderId="0"/>
    <xf numFmtId="0" fontId="64" fillId="0" borderId="0"/>
    <xf numFmtId="0" fontId="63" fillId="0" borderId="0"/>
    <xf numFmtId="0" fontId="65" fillId="0" borderId="0" applyNumberFormat="0" applyFill="0" applyBorder="0" applyAlignment="0" applyProtection="0">
      <alignment vertical="top"/>
      <protection locked="0"/>
    </xf>
    <xf numFmtId="43" fontId="22" fillId="0" borderId="0" applyFont="0" applyFill="0" applyBorder="0" applyAlignment="0" applyProtection="0"/>
    <xf numFmtId="0" fontId="63" fillId="0" borderId="0"/>
    <xf numFmtId="229" fontId="33" fillId="0" borderId="0"/>
    <xf numFmtId="1" fontId="18" fillId="0" borderId="0"/>
    <xf numFmtId="9" fontId="18" fillId="0" borderId="0"/>
    <xf numFmtId="230" fontId="66" fillId="0" borderId="0">
      <alignment horizontal="center"/>
    </xf>
    <xf numFmtId="231" fontId="66" fillId="0" borderId="0">
      <alignment horizontal="center"/>
    </xf>
    <xf numFmtId="232" fontId="66" fillId="0" borderId="0">
      <alignment horizontal="center"/>
    </xf>
    <xf numFmtId="233" fontId="44" fillId="0" borderId="0">
      <alignment horizontal="center"/>
    </xf>
    <xf numFmtId="234" fontId="66" fillId="0" borderId="0">
      <alignment horizontal="center"/>
    </xf>
    <xf numFmtId="235" fontId="66" fillId="0" borderId="0">
      <alignment horizontal="center"/>
    </xf>
    <xf numFmtId="191" fontId="33" fillId="0" borderId="0"/>
    <xf numFmtId="236" fontId="67" fillId="0" borderId="0">
      <alignment horizontal="left"/>
      <protection locked="0"/>
    </xf>
    <xf numFmtId="165" fontId="33" fillId="0" borderId="0"/>
    <xf numFmtId="2" fontId="33" fillId="0" borderId="0"/>
    <xf numFmtId="10" fontId="33" fillId="0" borderId="0"/>
    <xf numFmtId="2" fontId="33" fillId="0" borderId="0"/>
    <xf numFmtId="1" fontId="68" fillId="0" borderId="0"/>
    <xf numFmtId="1" fontId="18" fillId="0" borderId="0"/>
    <xf numFmtId="229" fontId="33" fillId="0" borderId="0"/>
    <xf numFmtId="229"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237" fontId="66" fillId="0" borderId="0">
      <alignment horizontal="center"/>
    </xf>
    <xf numFmtId="238" fontId="66" fillId="0" borderId="0">
      <alignment horizontal="center"/>
    </xf>
    <xf numFmtId="230" fontId="66" fillId="0" borderId="0">
      <alignment horizontal="center"/>
    </xf>
    <xf numFmtId="239" fontId="44" fillId="0" borderId="0">
      <alignment horizontal="center"/>
    </xf>
    <xf numFmtId="240" fontId="69" fillId="0" borderId="0">
      <alignment horizontal="left"/>
    </xf>
    <xf numFmtId="241" fontId="70" fillId="0" borderId="0">
      <alignment horizontal="left"/>
    </xf>
    <xf numFmtId="192" fontId="18" fillId="0" borderId="0"/>
    <xf numFmtId="242" fontId="18" fillId="0" borderId="0" applyFont="0" applyFill="0" applyBorder="0" applyAlignment="0" applyProtection="0"/>
    <xf numFmtId="191" fontId="27" fillId="0" borderId="0"/>
    <xf numFmtId="191" fontId="27" fillId="0" borderId="0"/>
    <xf numFmtId="191" fontId="18" fillId="0" borderId="0"/>
    <xf numFmtId="191" fontId="27" fillId="0" borderId="0"/>
    <xf numFmtId="191" fontId="27" fillId="0" borderId="0"/>
    <xf numFmtId="191" fontId="27" fillId="0" borderId="0"/>
    <xf numFmtId="243" fontId="18" fillId="0" borderId="0" applyFont="0" applyFill="0" applyBorder="0" applyAlignment="0" applyProtection="0"/>
    <xf numFmtId="180" fontId="18" fillId="0" borderId="0" applyFont="0" applyFill="0" applyBorder="0" applyAlignment="0" applyProtection="0"/>
    <xf numFmtId="244" fontId="17" fillId="0" borderId="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71" fillId="37" borderId="0" applyNumberFormat="0" applyBorder="0" applyAlignment="0" applyProtection="0"/>
    <xf numFmtId="0" fontId="71" fillId="38" borderId="0" applyNumberFormat="0" applyBorder="0" applyAlignment="0" applyProtection="0"/>
    <xf numFmtId="0" fontId="71" fillId="39" borderId="0" applyNumberFormat="0" applyBorder="0" applyAlignment="0" applyProtection="0"/>
    <xf numFmtId="0" fontId="71" fillId="40" borderId="0" applyNumberFormat="0" applyBorder="0" applyAlignment="0" applyProtection="0"/>
    <xf numFmtId="0" fontId="71" fillId="41" borderId="0" applyNumberFormat="0" applyBorder="0" applyAlignment="0" applyProtection="0"/>
    <xf numFmtId="0" fontId="71" fillId="42" borderId="0" applyNumberFormat="0" applyBorder="0" applyAlignment="0" applyProtection="0"/>
    <xf numFmtId="0" fontId="72" fillId="43" borderId="0" applyNumberFormat="0" applyBorder="0" applyAlignment="0" applyProtection="0"/>
    <xf numFmtId="0" fontId="72" fillId="42" borderId="0" applyNumberFormat="0" applyBorder="0" applyAlignment="0" applyProtection="0"/>
    <xf numFmtId="0" fontId="72" fillId="44" borderId="0" applyNumberFormat="0" applyBorder="0" applyAlignment="0" applyProtection="0"/>
    <xf numFmtId="0" fontId="72" fillId="43" borderId="0" applyNumberFormat="0" applyBorder="0" applyAlignment="0" applyProtection="0"/>
    <xf numFmtId="0" fontId="72" fillId="41" borderId="0" applyNumberFormat="0" applyBorder="0" applyAlignment="0" applyProtection="0"/>
    <xf numFmtId="0" fontId="72" fillId="42" borderId="0" applyNumberFormat="0" applyBorder="0" applyAlignment="0" applyProtection="0"/>
    <xf numFmtId="0" fontId="73" fillId="37" borderId="0" applyNumberFormat="0" applyBorder="0" applyAlignment="0" applyProtection="0"/>
    <xf numFmtId="0" fontId="18" fillId="0" borderId="0" applyNumberFormat="0" applyBorder="0" applyAlignment="0" applyProtection="0"/>
    <xf numFmtId="0" fontId="73" fillId="38" borderId="0" applyNumberFormat="0" applyBorder="0" applyAlignment="0" applyProtection="0"/>
    <xf numFmtId="0" fontId="18" fillId="0" borderId="0" applyNumberFormat="0" applyBorder="0" applyAlignment="0" applyProtection="0"/>
    <xf numFmtId="0" fontId="73" fillId="39" borderId="0" applyNumberFormat="0" applyBorder="0" applyAlignment="0" applyProtection="0"/>
    <xf numFmtId="0" fontId="18" fillId="0" borderId="0" applyNumberFormat="0" applyBorder="0" applyAlignment="0" applyProtection="0"/>
    <xf numFmtId="0" fontId="73" fillId="40" borderId="0" applyNumberFormat="0" applyBorder="0" applyAlignment="0" applyProtection="0"/>
    <xf numFmtId="0" fontId="18" fillId="0" borderId="0" applyNumberFormat="0" applyBorder="0" applyAlignment="0" applyProtection="0"/>
    <xf numFmtId="0" fontId="73" fillId="41" borderId="0" applyNumberFormat="0" applyBorder="0" applyAlignment="0" applyProtection="0"/>
    <xf numFmtId="0" fontId="18" fillId="0" borderId="0" applyNumberFormat="0" applyBorder="0" applyAlignment="0" applyProtection="0"/>
    <xf numFmtId="0" fontId="73" fillId="42" borderId="0" applyNumberFormat="0" applyBorder="0" applyAlignment="0" applyProtection="0"/>
    <xf numFmtId="0" fontId="18" fillId="0" borderId="0" applyNumberFormat="0" applyBorder="0" applyAlignment="0" applyProtection="0"/>
    <xf numFmtId="245" fontId="27" fillId="0" borderId="0"/>
    <xf numFmtId="245" fontId="27" fillId="0" borderId="0"/>
    <xf numFmtId="245" fontId="18" fillId="0" borderId="0"/>
    <xf numFmtId="245" fontId="27" fillId="0" borderId="0"/>
    <xf numFmtId="245" fontId="27" fillId="0" borderId="0"/>
    <xf numFmtId="245" fontId="27" fillId="0" borderId="0"/>
    <xf numFmtId="40" fontId="27" fillId="0" borderId="0"/>
    <xf numFmtId="40" fontId="27" fillId="0" borderId="0"/>
    <xf numFmtId="40" fontId="18" fillId="0" borderId="0"/>
    <xf numFmtId="40" fontId="27" fillId="0" borderId="0"/>
    <xf numFmtId="40" fontId="27" fillId="0" borderId="0"/>
    <xf numFmtId="40" fontId="27" fillId="0" borderId="0"/>
    <xf numFmtId="246" fontId="17" fillId="0" borderId="0" applyBorder="0"/>
    <xf numFmtId="42" fontId="18" fillId="0" borderId="0" applyFont="0" applyFill="0" applyBorder="0" applyAlignment="0" applyProtection="0"/>
    <xf numFmtId="44" fontId="18" fillId="0" borderId="0" applyFont="0" applyFill="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22" borderId="0" applyNumberFormat="0" applyBorder="0" applyAlignment="0" applyProtection="0"/>
    <xf numFmtId="0" fontId="13" fillId="22" borderId="0" applyNumberFormat="0" applyBorder="0" applyAlignment="0" applyProtection="0"/>
    <xf numFmtId="0" fontId="13" fillId="22" borderId="0" applyNumberFormat="0" applyBorder="0" applyAlignment="0" applyProtection="0"/>
    <xf numFmtId="0" fontId="13" fillId="22"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26" borderId="0" applyNumberFormat="0" applyBorder="0" applyAlignment="0" applyProtection="0"/>
    <xf numFmtId="0" fontId="13" fillId="26" borderId="0" applyNumberFormat="0" applyBorder="0" applyAlignment="0" applyProtection="0"/>
    <xf numFmtId="0" fontId="13" fillId="26" borderId="0" applyNumberFormat="0" applyBorder="0" applyAlignment="0" applyProtection="0"/>
    <xf numFmtId="0" fontId="13" fillId="26"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3" fillId="45" borderId="0" applyNumberFormat="0" applyBorder="0" applyAlignment="0" applyProtection="0"/>
    <xf numFmtId="0" fontId="18" fillId="0" borderId="0" applyNumberFormat="0" applyBorder="0" applyAlignment="0" applyProtection="0"/>
    <xf numFmtId="0" fontId="73" fillId="46" borderId="0" applyNumberFormat="0" applyBorder="0" applyAlignment="0" applyProtection="0"/>
    <xf numFmtId="0" fontId="18" fillId="0" borderId="0" applyNumberFormat="0" applyBorder="0" applyAlignment="0" applyProtection="0"/>
    <xf numFmtId="0" fontId="73" fillId="47" borderId="0" applyNumberFormat="0" applyBorder="0" applyAlignment="0" applyProtection="0"/>
    <xf numFmtId="0" fontId="18" fillId="0" borderId="0" applyNumberFormat="0" applyBorder="0" applyAlignment="0" applyProtection="0"/>
    <xf numFmtId="0" fontId="73" fillId="40" borderId="0" applyNumberFormat="0" applyBorder="0" applyAlignment="0" applyProtection="0"/>
    <xf numFmtId="0" fontId="18" fillId="0" borderId="0" applyNumberFormat="0" applyBorder="0" applyAlignment="0" applyProtection="0"/>
    <xf numFmtId="0" fontId="73" fillId="45" borderId="0" applyNumberFormat="0" applyBorder="0" applyAlignment="0" applyProtection="0"/>
    <xf numFmtId="0" fontId="18" fillId="0" borderId="0" applyNumberFormat="0" applyBorder="0" applyAlignment="0" applyProtection="0"/>
    <xf numFmtId="0" fontId="73" fillId="48" borderId="0" applyNumberFormat="0" applyBorder="0" applyAlignment="0" applyProtection="0"/>
    <xf numFmtId="0" fontId="18" fillId="0" borderId="0" applyNumberFormat="0" applyBorder="0" applyAlignment="0" applyProtection="0"/>
    <xf numFmtId="0" fontId="18" fillId="0" borderId="0"/>
    <xf numFmtId="0" fontId="18" fillId="0" borderId="0"/>
    <xf numFmtId="0" fontId="18" fillId="0" borderId="0"/>
    <xf numFmtId="0" fontId="18" fillId="0" borderId="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18" fillId="0" borderId="0"/>
    <xf numFmtId="0"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247"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247"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18" fillId="0" borderId="0"/>
    <xf numFmtId="247"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247" fontId="75" fillId="49" borderId="0" applyNumberFormat="0" applyBorder="0" applyAlignment="0" applyProtection="0"/>
    <xf numFmtId="0" fontId="75" fillId="49" borderId="0" applyNumberFormat="0" applyBorder="0" applyAlignment="0" applyProtection="0"/>
    <xf numFmtId="0" fontId="18" fillId="0" borderId="0"/>
    <xf numFmtId="247" fontId="75" fillId="49"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247" fontId="75" fillId="49" borderId="0" applyNumberFormat="0" applyBorder="0" applyAlignment="0" applyProtection="0"/>
    <xf numFmtId="0" fontId="74" fillId="7" borderId="0" applyNumberFormat="0" applyBorder="0" applyAlignment="0" applyProtection="0"/>
    <xf numFmtId="0" fontId="18" fillId="0" borderId="0"/>
    <xf numFmtId="247" fontId="75" fillId="49"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247" fontId="75" fillId="49" borderId="0" applyNumberFormat="0" applyBorder="0" applyAlignment="0" applyProtection="0"/>
    <xf numFmtId="0" fontId="74" fillId="7" borderId="0" applyNumberFormat="0" applyBorder="0" applyAlignment="0" applyProtection="0"/>
    <xf numFmtId="0" fontId="18" fillId="0" borderId="0"/>
    <xf numFmtId="0" fontId="75" fillId="49" borderId="0" applyNumberFormat="0" applyBorder="0" applyAlignment="0" applyProtection="0"/>
    <xf numFmtId="0" fontId="75" fillId="49"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18" fillId="0" borderId="0"/>
    <xf numFmtId="0"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247"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247"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18" fillId="0" borderId="0"/>
    <xf numFmtId="247"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247" fontId="75" fillId="46" borderId="0" applyNumberFormat="0" applyBorder="0" applyAlignment="0" applyProtection="0"/>
    <xf numFmtId="0" fontId="75" fillId="46" borderId="0" applyNumberFormat="0" applyBorder="0" applyAlignment="0" applyProtection="0"/>
    <xf numFmtId="0" fontId="18" fillId="0" borderId="0"/>
    <xf numFmtId="247" fontId="75" fillId="46"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247" fontId="75" fillId="46" borderId="0" applyNumberFormat="0" applyBorder="0" applyAlignment="0" applyProtection="0"/>
    <xf numFmtId="0" fontId="74" fillId="11" borderId="0" applyNumberFormat="0" applyBorder="0" applyAlignment="0" applyProtection="0"/>
    <xf numFmtId="0" fontId="18" fillId="0" borderId="0"/>
    <xf numFmtId="247" fontId="75" fillId="46"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247" fontId="75" fillId="46" borderId="0" applyNumberFormat="0" applyBorder="0" applyAlignment="0" applyProtection="0"/>
    <xf numFmtId="0" fontId="74" fillId="11" borderId="0" applyNumberFormat="0" applyBorder="0" applyAlignment="0" applyProtection="0"/>
    <xf numFmtId="0" fontId="18" fillId="0" borderId="0"/>
    <xf numFmtId="0" fontId="75" fillId="46" borderId="0" applyNumberFormat="0" applyBorder="0" applyAlignment="0" applyProtection="0"/>
    <xf numFmtId="0" fontId="75" fillId="46"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18" fillId="0" borderId="0"/>
    <xf numFmtId="0"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247"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247"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18" fillId="0" borderId="0"/>
    <xf numFmtId="247"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247" fontId="75" fillId="47" borderId="0" applyNumberFormat="0" applyBorder="0" applyAlignment="0" applyProtection="0"/>
    <xf numFmtId="0" fontId="75" fillId="47" borderId="0" applyNumberFormat="0" applyBorder="0" applyAlignment="0" applyProtection="0"/>
    <xf numFmtId="0" fontId="18" fillId="0" borderId="0"/>
    <xf numFmtId="247" fontId="75" fillId="47"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247" fontId="75" fillId="47" borderId="0" applyNumberFormat="0" applyBorder="0" applyAlignment="0" applyProtection="0"/>
    <xf numFmtId="0" fontId="74" fillId="15" borderId="0" applyNumberFormat="0" applyBorder="0" applyAlignment="0" applyProtection="0"/>
    <xf numFmtId="0" fontId="18" fillId="0" borderId="0"/>
    <xf numFmtId="247" fontId="75" fillId="47"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247" fontId="75" fillId="47" borderId="0" applyNumberFormat="0" applyBorder="0" applyAlignment="0" applyProtection="0"/>
    <xf numFmtId="0" fontId="74" fillId="15" borderId="0" applyNumberFormat="0" applyBorder="0" applyAlignment="0" applyProtection="0"/>
    <xf numFmtId="0" fontId="18" fillId="0" borderId="0"/>
    <xf numFmtId="0" fontId="75" fillId="47" borderId="0" applyNumberFormat="0" applyBorder="0" applyAlignment="0" applyProtection="0"/>
    <xf numFmtId="0" fontId="75" fillId="47"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18" fillId="0" borderId="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18" fillId="0" borderId="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18" fillId="0" borderId="0"/>
    <xf numFmtId="247" fontId="75" fillId="50"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247" fontId="75" fillId="50" borderId="0" applyNumberFormat="0" applyBorder="0" applyAlignment="0" applyProtection="0"/>
    <xf numFmtId="0" fontId="74" fillId="19" borderId="0" applyNumberFormat="0" applyBorder="0" applyAlignment="0" applyProtection="0"/>
    <xf numFmtId="0" fontId="18" fillId="0" borderId="0"/>
    <xf numFmtId="247" fontId="75" fillId="50"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247" fontId="75" fillId="50" borderId="0" applyNumberFormat="0" applyBorder="0" applyAlignment="0" applyProtection="0"/>
    <xf numFmtId="0" fontId="74" fillId="19" borderId="0" applyNumberFormat="0" applyBorder="0" applyAlignment="0" applyProtection="0"/>
    <xf numFmtId="0" fontId="18" fillId="0" borderId="0"/>
    <xf numFmtId="0" fontId="75" fillId="50" borderId="0" applyNumberFormat="0" applyBorder="0" applyAlignment="0" applyProtection="0"/>
    <xf numFmtId="0" fontId="75" fillId="50"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18" fillId="0" borderId="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18" fillId="0" borderId="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18" fillId="0" borderId="0"/>
    <xf numFmtId="247" fontId="75" fillId="51"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247" fontId="75" fillId="51" borderId="0" applyNumberFormat="0" applyBorder="0" applyAlignment="0" applyProtection="0"/>
    <xf numFmtId="0" fontId="74" fillId="23" borderId="0" applyNumberFormat="0" applyBorder="0" applyAlignment="0" applyProtection="0"/>
    <xf numFmtId="0" fontId="18" fillId="0" borderId="0"/>
    <xf numFmtId="247" fontId="75" fillId="51"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247" fontId="75" fillId="51" borderId="0" applyNumberFormat="0" applyBorder="0" applyAlignment="0" applyProtection="0"/>
    <xf numFmtId="0" fontId="74" fillId="23" borderId="0" applyNumberFormat="0" applyBorder="0" applyAlignment="0" applyProtection="0"/>
    <xf numFmtId="0" fontId="18" fillId="0" borderId="0"/>
    <xf numFmtId="0" fontId="75" fillId="51" borderId="0" applyNumberFormat="0" applyBorder="0" applyAlignment="0" applyProtection="0"/>
    <xf numFmtId="0" fontId="75" fillId="51"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18" fillId="0" borderId="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247"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247"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18" fillId="0" borderId="0"/>
    <xf numFmtId="247"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247" fontId="75" fillId="52" borderId="0" applyNumberFormat="0" applyBorder="0" applyAlignment="0" applyProtection="0"/>
    <xf numFmtId="0" fontId="75" fillId="52" borderId="0" applyNumberFormat="0" applyBorder="0" applyAlignment="0" applyProtection="0"/>
    <xf numFmtId="0" fontId="18" fillId="0" borderId="0"/>
    <xf numFmtId="247"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247" fontId="75" fillId="52" borderId="0" applyNumberFormat="0" applyBorder="0" applyAlignment="0" applyProtection="0"/>
    <xf numFmtId="0" fontId="74" fillId="27" borderId="0" applyNumberFormat="0" applyBorder="0" applyAlignment="0" applyProtection="0"/>
    <xf numFmtId="0" fontId="18" fillId="0" borderId="0"/>
    <xf numFmtId="247"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247" fontId="75" fillId="52" borderId="0" applyNumberFormat="0" applyBorder="0" applyAlignment="0" applyProtection="0"/>
    <xf numFmtId="0" fontId="74" fillId="27" borderId="0" applyNumberFormat="0" applyBorder="0" applyAlignment="0" applyProtection="0"/>
    <xf numFmtId="0" fontId="18" fillId="0" borderId="0"/>
    <xf numFmtId="0" fontId="75" fillId="52" borderId="0" applyNumberFormat="0" applyBorder="0" applyAlignment="0" applyProtection="0"/>
    <xf numFmtId="0" fontId="75" fillId="52"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6" fillId="49" borderId="0" applyNumberFormat="0" applyBorder="0" applyAlignment="0" applyProtection="0"/>
    <xf numFmtId="0" fontId="18" fillId="0" borderId="0" applyNumberFormat="0" applyBorder="0" applyAlignment="0" applyProtection="0"/>
    <xf numFmtId="0" fontId="76" fillId="46" borderId="0" applyNumberFormat="0" applyBorder="0" applyAlignment="0" applyProtection="0"/>
    <xf numFmtId="0" fontId="18" fillId="0" borderId="0" applyNumberFormat="0" applyBorder="0" applyAlignment="0" applyProtection="0"/>
    <xf numFmtId="0" fontId="76" fillId="47" borderId="0" applyNumberFormat="0" applyBorder="0" applyAlignment="0" applyProtection="0"/>
    <xf numFmtId="0" fontId="18" fillId="0" borderId="0" applyNumberFormat="0" applyBorder="0" applyAlignment="0" applyProtection="0"/>
    <xf numFmtId="0" fontId="76" fillId="50" borderId="0" applyNumberFormat="0" applyBorder="0" applyAlignment="0" applyProtection="0"/>
    <xf numFmtId="0" fontId="18" fillId="0" borderId="0" applyNumberFormat="0" applyBorder="0" applyAlignment="0" applyProtection="0"/>
    <xf numFmtId="0" fontId="76" fillId="51" borderId="0" applyNumberFormat="0" applyBorder="0" applyAlignment="0" applyProtection="0"/>
    <xf numFmtId="0" fontId="18" fillId="0" borderId="0" applyNumberFormat="0" applyBorder="0" applyAlignment="0" applyProtection="0"/>
    <xf numFmtId="0" fontId="76" fillId="52" borderId="0" applyNumberFormat="0" applyBorder="0" applyAlignment="0" applyProtection="0"/>
    <xf numFmtId="0" fontId="18" fillId="0"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18" fillId="0" borderId="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247"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247"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18" fillId="0" borderId="0"/>
    <xf numFmtId="247"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247" fontId="75" fillId="53" borderId="0" applyNumberFormat="0" applyBorder="0" applyAlignment="0" applyProtection="0"/>
    <xf numFmtId="0" fontId="75" fillId="53" borderId="0" applyNumberFormat="0" applyBorder="0" applyAlignment="0" applyProtection="0"/>
    <xf numFmtId="0" fontId="18" fillId="0" borderId="0"/>
    <xf numFmtId="247"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247" fontId="75" fillId="53" borderId="0" applyNumberFormat="0" applyBorder="0" applyAlignment="0" applyProtection="0"/>
    <xf numFmtId="0" fontId="74" fillId="4" borderId="0" applyNumberFormat="0" applyBorder="0" applyAlignment="0" applyProtection="0"/>
    <xf numFmtId="0" fontId="18" fillId="0" borderId="0"/>
    <xf numFmtId="247"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247" fontId="75" fillId="53" borderId="0" applyNumberFormat="0" applyBorder="0" applyAlignment="0" applyProtection="0"/>
    <xf numFmtId="0" fontId="74" fillId="4" borderId="0" applyNumberFormat="0" applyBorder="0" applyAlignment="0" applyProtection="0"/>
    <xf numFmtId="0" fontId="18" fillId="0" borderId="0"/>
    <xf numFmtId="0" fontId="75" fillId="53" borderId="0" applyNumberFormat="0" applyBorder="0" applyAlignment="0" applyProtection="0"/>
    <xf numFmtId="0" fontId="75" fillId="53"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18" fillId="0" borderId="0"/>
    <xf numFmtId="0"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247"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247"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18" fillId="0" borderId="0"/>
    <xf numFmtId="247"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247" fontId="75" fillId="54" borderId="0" applyNumberFormat="0" applyBorder="0" applyAlignment="0" applyProtection="0"/>
    <xf numFmtId="0" fontId="75" fillId="54" borderId="0" applyNumberFormat="0" applyBorder="0" applyAlignment="0" applyProtection="0"/>
    <xf numFmtId="0" fontId="18" fillId="0" borderId="0"/>
    <xf numFmtId="247" fontId="75" fillId="54"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247" fontId="75" fillId="54" borderId="0" applyNumberFormat="0" applyBorder="0" applyAlignment="0" applyProtection="0"/>
    <xf numFmtId="0" fontId="74" fillId="8" borderId="0" applyNumberFormat="0" applyBorder="0" applyAlignment="0" applyProtection="0"/>
    <xf numFmtId="0" fontId="18" fillId="0" borderId="0"/>
    <xf numFmtId="247" fontId="75" fillId="54"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247" fontId="75" fillId="54" borderId="0" applyNumberFormat="0" applyBorder="0" applyAlignment="0" applyProtection="0"/>
    <xf numFmtId="0" fontId="74" fillId="8" borderId="0" applyNumberFormat="0" applyBorder="0" applyAlignment="0" applyProtection="0"/>
    <xf numFmtId="0" fontId="18" fillId="0" borderId="0"/>
    <xf numFmtId="0" fontId="75" fillId="54" borderId="0" applyNumberFormat="0" applyBorder="0" applyAlignment="0" applyProtection="0"/>
    <xf numFmtId="0" fontId="75" fillId="54"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18" fillId="0" borderId="0"/>
    <xf numFmtId="0"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247"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247"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18" fillId="0" borderId="0"/>
    <xf numFmtId="247"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247" fontId="75" fillId="55" borderId="0" applyNumberFormat="0" applyBorder="0" applyAlignment="0" applyProtection="0"/>
    <xf numFmtId="0" fontId="75" fillId="55" borderId="0" applyNumberFormat="0" applyBorder="0" applyAlignment="0" applyProtection="0"/>
    <xf numFmtId="0" fontId="18" fillId="0" borderId="0"/>
    <xf numFmtId="247" fontId="75" fillId="55"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247" fontId="75" fillId="55" borderId="0" applyNumberFormat="0" applyBorder="0" applyAlignment="0" applyProtection="0"/>
    <xf numFmtId="0" fontId="74" fillId="12" borderId="0" applyNumberFormat="0" applyBorder="0" applyAlignment="0" applyProtection="0"/>
    <xf numFmtId="0" fontId="18" fillId="0" borderId="0"/>
    <xf numFmtId="247" fontId="75" fillId="55"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247" fontId="75" fillId="55" borderId="0" applyNumberFormat="0" applyBorder="0" applyAlignment="0" applyProtection="0"/>
    <xf numFmtId="0" fontId="74" fillId="12" borderId="0" applyNumberFormat="0" applyBorder="0" applyAlignment="0" applyProtection="0"/>
    <xf numFmtId="0" fontId="18" fillId="0" borderId="0"/>
    <xf numFmtId="0" fontId="75" fillId="55" borderId="0" applyNumberFormat="0" applyBorder="0" applyAlignment="0" applyProtection="0"/>
    <xf numFmtId="0" fontId="75" fillId="55"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18" fillId="0" borderId="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18" fillId="0" borderId="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18" fillId="0" borderId="0"/>
    <xf numFmtId="247" fontId="75" fillId="50"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247" fontId="75" fillId="50" borderId="0" applyNumberFormat="0" applyBorder="0" applyAlignment="0" applyProtection="0"/>
    <xf numFmtId="0" fontId="74" fillId="16" borderId="0" applyNumberFormat="0" applyBorder="0" applyAlignment="0" applyProtection="0"/>
    <xf numFmtId="0" fontId="18" fillId="0" borderId="0"/>
    <xf numFmtId="247" fontId="75" fillId="50"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247" fontId="75" fillId="50" borderId="0" applyNumberFormat="0" applyBorder="0" applyAlignment="0" applyProtection="0"/>
    <xf numFmtId="0" fontId="74" fillId="16" borderId="0" applyNumberFormat="0" applyBorder="0" applyAlignment="0" applyProtection="0"/>
    <xf numFmtId="0" fontId="18" fillId="0" borderId="0"/>
    <xf numFmtId="0" fontId="75" fillId="50" borderId="0" applyNumberFormat="0" applyBorder="0" applyAlignment="0" applyProtection="0"/>
    <xf numFmtId="0" fontId="75" fillId="50"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18" fillId="0" borderId="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18" fillId="0" borderId="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18" fillId="0" borderId="0"/>
    <xf numFmtId="247" fontId="75" fillId="51"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247" fontId="75" fillId="51" borderId="0" applyNumberFormat="0" applyBorder="0" applyAlignment="0" applyProtection="0"/>
    <xf numFmtId="0" fontId="74" fillId="20" borderId="0" applyNumberFormat="0" applyBorder="0" applyAlignment="0" applyProtection="0"/>
    <xf numFmtId="0" fontId="18" fillId="0" borderId="0"/>
    <xf numFmtId="247" fontId="75" fillId="51"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247" fontId="75" fillId="51" borderId="0" applyNumberFormat="0" applyBorder="0" applyAlignment="0" applyProtection="0"/>
    <xf numFmtId="0" fontId="74" fillId="20" borderId="0" applyNumberFormat="0" applyBorder="0" applyAlignment="0" applyProtection="0"/>
    <xf numFmtId="0" fontId="18" fillId="0" borderId="0"/>
    <xf numFmtId="0" fontId="75" fillId="51" borderId="0" applyNumberFormat="0" applyBorder="0" applyAlignment="0" applyProtection="0"/>
    <xf numFmtId="0" fontId="75" fillId="51"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18" fillId="0" borderId="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247"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247"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18" fillId="0" borderId="0"/>
    <xf numFmtId="247"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247" fontId="75" fillId="56" borderId="0" applyNumberFormat="0" applyBorder="0" applyAlignment="0" applyProtection="0"/>
    <xf numFmtId="0" fontId="75" fillId="56" borderId="0" applyNumberFormat="0" applyBorder="0" applyAlignment="0" applyProtection="0"/>
    <xf numFmtId="0" fontId="18" fillId="0" borderId="0"/>
    <xf numFmtId="247" fontId="75" fillId="56"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247" fontId="75" fillId="56" borderId="0" applyNumberFormat="0" applyBorder="0" applyAlignment="0" applyProtection="0"/>
    <xf numFmtId="0" fontId="74" fillId="24" borderId="0" applyNumberFormat="0" applyBorder="0" applyAlignment="0" applyProtection="0"/>
    <xf numFmtId="0" fontId="18" fillId="0" borderId="0"/>
    <xf numFmtId="247" fontId="75" fillId="56"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247" fontId="75" fillId="56" borderId="0" applyNumberFormat="0" applyBorder="0" applyAlignment="0" applyProtection="0"/>
    <xf numFmtId="0" fontId="74" fillId="24" borderId="0" applyNumberFormat="0" applyBorder="0" applyAlignment="0" applyProtection="0"/>
    <xf numFmtId="0" fontId="18" fillId="0" borderId="0"/>
    <xf numFmtId="0" fontId="75" fillId="56" borderId="0" applyNumberFormat="0" applyBorder="0" applyAlignment="0" applyProtection="0"/>
    <xf numFmtId="0" fontId="75" fillId="56" borderId="0" applyNumberFormat="0" applyBorder="0" applyAlignment="0" applyProtection="0"/>
    <xf numFmtId="0" fontId="18" fillId="0" borderId="0"/>
    <xf numFmtId="0" fontId="18" fillId="0" borderId="0"/>
    <xf numFmtId="0" fontId="18" fillId="0" borderId="0"/>
    <xf numFmtId="248" fontId="22" fillId="0" borderId="3"/>
    <xf numFmtId="248" fontId="22" fillId="0" borderId="3"/>
    <xf numFmtId="248" fontId="18" fillId="0" borderId="0"/>
    <xf numFmtId="248" fontId="22" fillId="0" borderId="3"/>
    <xf numFmtId="248" fontId="22" fillId="0" borderId="3"/>
    <xf numFmtId="248" fontId="22" fillId="0" borderId="3"/>
    <xf numFmtId="42" fontId="77" fillId="0" borderId="0" applyFont="0"/>
    <xf numFmtId="42" fontId="77" fillId="0" borderId="14" applyFont="0"/>
    <xf numFmtId="41" fontId="77" fillId="0" borderId="0" applyFont="0"/>
    <xf numFmtId="0" fontId="48" fillId="0" borderId="0" applyNumberFormat="0" applyAlignment="0"/>
    <xf numFmtId="0" fontId="48" fillId="0" borderId="0" applyNumberFormat="0" applyAlignment="0"/>
    <xf numFmtId="0" fontId="18" fillId="0" borderId="0" applyNumberFormat="0" applyAlignment="0"/>
    <xf numFmtId="0" fontId="48" fillId="0" borderId="0" applyNumberFormat="0" applyAlignment="0"/>
    <xf numFmtId="0" fontId="48" fillId="0" borderId="0" applyNumberFormat="0" applyAlignment="0"/>
    <xf numFmtId="0" fontId="48" fillId="0" borderId="0" applyNumberFormat="0" applyAlignment="0"/>
    <xf numFmtId="0" fontId="18" fillId="0" borderId="0"/>
    <xf numFmtId="247"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247" fontId="48" fillId="57" borderId="0" applyNumberFormat="0" applyFont="0" applyBorder="0" applyAlignment="0" applyProtection="0"/>
    <xf numFmtId="247"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247"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247"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247"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249" fontId="22" fillId="0" borderId="13"/>
    <xf numFmtId="0" fontId="18" fillId="0" borderId="0"/>
    <xf numFmtId="250" fontId="22" fillId="0" borderId="3"/>
    <xf numFmtId="250" fontId="22" fillId="0" borderId="3"/>
    <xf numFmtId="250" fontId="18" fillId="0" borderId="0"/>
    <xf numFmtId="250" fontId="22" fillId="0" borderId="3"/>
    <xf numFmtId="250" fontId="22" fillId="0" borderId="3"/>
    <xf numFmtId="250" fontId="22" fillId="0" borderId="3"/>
    <xf numFmtId="0" fontId="18" fillId="0" borderId="0"/>
    <xf numFmtId="0" fontId="78" fillId="0" borderId="0"/>
    <xf numFmtId="0" fontId="18" fillId="0" borderId="0"/>
    <xf numFmtId="0" fontId="78" fillId="0" borderId="0"/>
    <xf numFmtId="0" fontId="78" fillId="0" borderId="0"/>
    <xf numFmtId="250" fontId="22" fillId="0" borderId="10" applyBorder="0"/>
    <xf numFmtId="250" fontId="22" fillId="0" borderId="10" applyBorder="0"/>
    <xf numFmtId="250" fontId="18" fillId="0" borderId="0" applyBorder="0"/>
    <xf numFmtId="250" fontId="22" fillId="0" borderId="10" applyBorder="0"/>
    <xf numFmtId="250" fontId="22" fillId="0" borderId="10" applyBorder="0"/>
    <xf numFmtId="250" fontId="22" fillId="0" borderId="10" applyBorder="0"/>
    <xf numFmtId="0" fontId="28" fillId="0" borderId="0"/>
    <xf numFmtId="37" fontId="47" fillId="1" borderId="8">
      <alignment horizontal="centerContinuous" vertical="center"/>
    </xf>
    <xf numFmtId="37" fontId="47" fillId="1" borderId="8">
      <alignment horizontal="centerContinuous" vertical="center"/>
    </xf>
    <xf numFmtId="0" fontId="18" fillId="0" borderId="0"/>
    <xf numFmtId="0" fontId="18" fillId="0" borderId="0"/>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251" fontId="18" fillId="0" borderId="0" applyFont="0" applyFill="0" applyBorder="0" applyAlignment="0" applyProtection="0"/>
    <xf numFmtId="0" fontId="18" fillId="0" borderId="0"/>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18" fillId="0" borderId="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xf numFmtId="247" fontId="21" fillId="0" borderId="0" applyNumberFormat="0" applyFill="0" applyBorder="0" applyAlignment="0" applyProtection="0"/>
    <xf numFmtId="0" fontId="21" fillId="0" borderId="0" applyNumberFormat="0" applyFill="0" applyBorder="0" applyAlignment="0" applyProtection="0"/>
    <xf numFmtId="247" fontId="21" fillId="0" borderId="0" applyNumberFormat="0" applyFill="0" applyBorder="0" applyAlignment="0" applyProtection="0"/>
    <xf numFmtId="247"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80" fillId="0" borderId="0" applyNumberFormat="0" applyAlignment="0"/>
    <xf numFmtId="0" fontId="18" fillId="0" borderId="0" applyNumberFormat="0" applyAlignment="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18" fillId="0" borderId="0"/>
    <xf numFmtId="0" fontId="18" fillId="0" borderId="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18" fillId="0" borderId="0"/>
    <xf numFmtId="0" fontId="18" fillId="0" borderId="0"/>
    <xf numFmtId="0" fontId="60" fillId="0" borderId="0">
      <alignment horizontal="right"/>
    </xf>
    <xf numFmtId="0" fontId="60" fillId="0" borderId="0">
      <alignment horizontal="right"/>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18" fillId="0" borderId="0"/>
    <xf numFmtId="0"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247"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247"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0" fontId="18" fillId="0" borderId="0"/>
    <xf numFmtId="247"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247" fontId="84" fillId="38" borderId="0" applyNumberFormat="0" applyBorder="0" applyAlignment="0" applyProtection="0"/>
    <xf numFmtId="0" fontId="84" fillId="38" borderId="0" applyNumberFormat="0" applyBorder="0" applyAlignment="0" applyProtection="0"/>
    <xf numFmtId="0" fontId="18" fillId="0" borderId="0"/>
    <xf numFmtId="247" fontId="84" fillId="38"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247" fontId="84" fillId="38" borderId="0" applyNumberFormat="0" applyBorder="0" applyAlignment="0" applyProtection="0"/>
    <xf numFmtId="0" fontId="83" fillId="2" borderId="0" applyNumberFormat="0" applyBorder="0" applyAlignment="0" applyProtection="0"/>
    <xf numFmtId="0" fontId="18" fillId="0" borderId="0"/>
    <xf numFmtId="247" fontId="84" fillId="38"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247" fontId="84" fillId="38" borderId="0" applyNumberFormat="0" applyBorder="0" applyAlignment="0" applyProtection="0"/>
    <xf numFmtId="0" fontId="83" fillId="2" borderId="0" applyNumberFormat="0" applyBorder="0" applyAlignment="0" applyProtection="0"/>
    <xf numFmtId="0" fontId="18" fillId="0" borderId="0"/>
    <xf numFmtId="0" fontId="84" fillId="38" borderId="0" applyNumberFormat="0" applyBorder="0" applyAlignment="0" applyProtection="0"/>
    <xf numFmtId="0" fontId="84" fillId="38" borderId="0" applyNumberFormat="0" applyBorder="0" applyAlignment="0" applyProtection="0"/>
    <xf numFmtId="0" fontId="18" fillId="0" borderId="0"/>
    <xf numFmtId="0" fontId="18" fillId="0" borderId="0"/>
    <xf numFmtId="0" fontId="18" fillId="0" borderId="0"/>
    <xf numFmtId="164" fontId="85" fillId="59" borderId="0" applyNumberFormat="0" applyBorder="0" applyAlignment="0" applyProtection="0">
      <alignment horizontal="center" vertical="center" wrapText="1"/>
    </xf>
    <xf numFmtId="0" fontId="18" fillId="0" borderId="0"/>
    <xf numFmtId="0" fontId="18" fillId="0" borderId="0"/>
    <xf numFmtId="0" fontId="61" fillId="0" borderId="0" applyNumberFormat="0" applyFill="0" applyBorder="0" applyAlignment="0" applyProtection="0"/>
    <xf numFmtId="0" fontId="61" fillId="0" borderId="0" applyNumberFormat="0" applyFill="0" applyBorder="0" applyAlignment="0" applyProtection="0"/>
    <xf numFmtId="0" fontId="18"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252" fontId="86" fillId="0" borderId="0"/>
    <xf numFmtId="252" fontId="18" fillId="0" borderId="0"/>
    <xf numFmtId="192" fontId="27" fillId="0" borderId="0"/>
    <xf numFmtId="192" fontId="27" fillId="0" borderId="0"/>
    <xf numFmtId="192" fontId="18" fillId="0" borderId="0"/>
    <xf numFmtId="192" fontId="27" fillId="0" borderId="0"/>
    <xf numFmtId="192" fontId="27" fillId="0" borderId="0"/>
    <xf numFmtId="192" fontId="27" fillId="0" borderId="0"/>
    <xf numFmtId="177" fontId="27" fillId="0" borderId="8"/>
    <xf numFmtId="177" fontId="27" fillId="0" borderId="8"/>
    <xf numFmtId="177" fontId="18" fillId="0" borderId="0"/>
    <xf numFmtId="177" fontId="27" fillId="0" borderId="8"/>
    <xf numFmtId="177" fontId="27" fillId="0" borderId="8"/>
    <xf numFmtId="177" fontId="27" fillId="0" borderId="8"/>
    <xf numFmtId="253" fontId="86" fillId="0" borderId="0"/>
    <xf numFmtId="253" fontId="18" fillId="0" borderId="0"/>
    <xf numFmtId="0" fontId="86" fillId="0" borderId="0"/>
    <xf numFmtId="0" fontId="18" fillId="0" borderId="0"/>
    <xf numFmtId="254" fontId="86" fillId="0" borderId="0"/>
    <xf numFmtId="254" fontId="18" fillId="0" borderId="0"/>
    <xf numFmtId="0" fontId="27" fillId="0" borderId="0">
      <alignment horizontal="right"/>
    </xf>
    <xf numFmtId="0" fontId="27" fillId="0" borderId="0">
      <alignment horizontal="right"/>
    </xf>
    <xf numFmtId="0" fontId="18" fillId="0" borderId="0">
      <alignment horizontal="right"/>
    </xf>
    <xf numFmtId="0" fontId="27" fillId="0" borderId="0">
      <alignment horizontal="right"/>
    </xf>
    <xf numFmtId="0" fontId="27" fillId="0" borderId="0">
      <alignment horizontal="right"/>
    </xf>
    <xf numFmtId="0" fontId="27" fillId="0" borderId="0">
      <alignment horizontal="right"/>
    </xf>
    <xf numFmtId="255" fontId="86" fillId="0" borderId="0">
      <alignment horizontal="right"/>
    </xf>
    <xf numFmtId="255" fontId="18" fillId="0" borderId="0">
      <alignment horizontal="right"/>
    </xf>
    <xf numFmtId="256" fontId="86" fillId="0" borderId="0">
      <alignment horizontal="right"/>
    </xf>
    <xf numFmtId="256" fontId="18" fillId="0" borderId="0">
      <alignment horizontal="right"/>
    </xf>
    <xf numFmtId="0" fontId="27" fillId="0" borderId="0">
      <alignment horizontal="right"/>
    </xf>
    <xf numFmtId="257" fontId="27" fillId="0" borderId="0">
      <alignment horizontal="right"/>
    </xf>
    <xf numFmtId="257" fontId="27" fillId="0" borderId="0">
      <alignment horizontal="right"/>
    </xf>
    <xf numFmtId="257" fontId="18" fillId="0" borderId="0">
      <alignment horizontal="right"/>
    </xf>
    <xf numFmtId="257" fontId="27" fillId="0" borderId="0">
      <alignment horizontal="right"/>
    </xf>
    <xf numFmtId="257" fontId="27" fillId="0" borderId="0">
      <alignment horizontal="right"/>
    </xf>
    <xf numFmtId="257" fontId="27" fillId="0" borderId="0">
      <alignment horizontal="right"/>
    </xf>
    <xf numFmtId="0" fontId="61" fillId="0" borderId="0" applyNumberForma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applyNumberFormat="0" applyFill="0" applyBorder="0" applyAlignment="0" applyProtection="0"/>
    <xf numFmtId="258" fontId="86" fillId="0" borderId="0"/>
    <xf numFmtId="258" fontId="18" fillId="0" borderId="0"/>
    <xf numFmtId="259" fontId="86" fillId="0" borderId="0"/>
    <xf numFmtId="259" fontId="18" fillId="0" borderId="0"/>
    <xf numFmtId="0" fontId="86" fillId="0" borderId="0"/>
    <xf numFmtId="0" fontId="18" fillId="0" borderId="0"/>
    <xf numFmtId="164" fontId="85" fillId="60" borderId="3">
      <alignment horizontal="center" vertical="center" wrapText="1"/>
    </xf>
    <xf numFmtId="164" fontId="85" fillId="60" borderId="3">
      <alignment horizontal="center" vertical="center" wrapText="1"/>
    </xf>
    <xf numFmtId="164" fontId="85" fillId="60" borderId="3">
      <alignment horizontal="center" vertical="center" wrapText="1"/>
    </xf>
    <xf numFmtId="1" fontId="38" fillId="32" borderId="25">
      <alignment horizontal="center"/>
    </xf>
    <xf numFmtId="1" fontId="18" fillId="0" borderId="0">
      <alignment horizontal="center"/>
    </xf>
    <xf numFmtId="0" fontId="86" fillId="0" borderId="0"/>
    <xf numFmtId="0" fontId="18" fillId="0" borderId="0"/>
    <xf numFmtId="0" fontId="38" fillId="32" borderId="26">
      <alignment horizontal="center"/>
    </xf>
    <xf numFmtId="0" fontId="38" fillId="32" borderId="26">
      <alignment horizontal="center"/>
    </xf>
    <xf numFmtId="0" fontId="18" fillId="0" borderId="0">
      <alignment horizontal="center"/>
    </xf>
    <xf numFmtId="0" fontId="38" fillId="32" borderId="26">
      <alignment horizontal="center"/>
    </xf>
    <xf numFmtId="0" fontId="38" fillId="32" borderId="26">
      <alignment horizontal="center"/>
    </xf>
    <xf numFmtId="0" fontId="38" fillId="32" borderId="26">
      <alignment horizontal="center"/>
    </xf>
    <xf numFmtId="0" fontId="86" fillId="0" borderId="0"/>
    <xf numFmtId="0" fontId="18" fillId="0" borderId="0"/>
    <xf numFmtId="0" fontId="87" fillId="0" borderId="0" applyNumberFormat="0" applyFill="0" applyBorder="0" applyAlignment="0" applyProtection="0"/>
    <xf numFmtId="0" fontId="18" fillId="0" borderId="0"/>
    <xf numFmtId="0" fontId="18" fillId="0" borderId="0" applyNumberFormat="0" applyFill="0" applyBorder="0" applyAlignment="0" applyProtection="0"/>
    <xf numFmtId="0" fontId="18" fillId="0" borderId="0"/>
    <xf numFmtId="0" fontId="18" fillId="0" borderId="0" applyBorder="0">
      <alignment horizontal="left" vertical="center" indent="1"/>
    </xf>
    <xf numFmtId="260" fontId="22" fillId="0" borderId="0"/>
    <xf numFmtId="37" fontId="88" fillId="0" borderId="0" applyNumberFormat="0" applyFill="0" applyBorder="0" applyAlignment="0" applyProtection="0">
      <protection locked="0"/>
    </xf>
    <xf numFmtId="37" fontId="18" fillId="0" borderId="0" applyNumberFormat="0" applyFill="0" applyBorder="0" applyAlignment="0" applyProtection="0">
      <protection locked="0"/>
    </xf>
    <xf numFmtId="0" fontId="89" fillId="0" borderId="27">
      <alignment horizontal="centerContinuous"/>
    </xf>
    <xf numFmtId="0" fontId="89" fillId="0" borderId="27">
      <alignment horizontal="centerContinuous"/>
    </xf>
    <xf numFmtId="261" fontId="90" fillId="0" borderId="0" applyAlignment="0">
      <alignment horizontal="right"/>
    </xf>
    <xf numFmtId="0" fontId="91" fillId="0" borderId="0" applyAlignment="0"/>
    <xf numFmtId="165" fontId="91" fillId="0" borderId="0"/>
    <xf numFmtId="0" fontId="91" fillId="0" borderId="27" applyAlignment="0"/>
    <xf numFmtId="0" fontId="91" fillId="0" borderId="27" applyAlignment="0"/>
    <xf numFmtId="0" fontId="91" fillId="0" borderId="0" applyAlignment="0"/>
    <xf numFmtId="0" fontId="18" fillId="0" borderId="0"/>
    <xf numFmtId="0" fontId="18" fillId="0" borderId="0"/>
    <xf numFmtId="0" fontId="92" fillId="0" borderId="3" applyNumberFormat="0" applyFill="0" applyAlignment="0" applyProtection="0"/>
    <xf numFmtId="37" fontId="88" fillId="0" borderId="0" applyNumberFormat="0" applyFill="0" applyBorder="0" applyAlignment="0" applyProtection="0">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5" fontId="58" fillId="0" borderId="8" applyAlignment="0" applyProtection="0"/>
    <xf numFmtId="0" fontId="18" fillId="0" borderId="0"/>
    <xf numFmtId="262" fontId="63" fillId="0" borderId="18" applyNumberFormat="0" applyFill="0" applyAlignment="0" applyProtection="0">
      <alignment horizontal="center"/>
    </xf>
    <xf numFmtId="262" fontId="18" fillId="0" borderId="0" applyNumberFormat="0" applyFill="0" applyAlignment="0" applyProtection="0">
      <alignment horizontal="center"/>
    </xf>
    <xf numFmtId="262" fontId="63" fillId="0" borderId="18" applyNumberFormat="0" applyFill="0" applyAlignment="0" applyProtection="0">
      <alignment horizontal="center"/>
    </xf>
    <xf numFmtId="262" fontId="63" fillId="0" borderId="18" applyNumberFormat="0" applyFill="0" applyAlignment="0" applyProtection="0">
      <alignment horizontal="center"/>
    </xf>
    <xf numFmtId="262" fontId="63" fillId="0" borderId="18" applyNumberFormat="0" applyFill="0" applyAlignment="0" applyProtection="0">
      <alignment horizontal="center"/>
    </xf>
    <xf numFmtId="0" fontId="18" fillId="0" borderId="0"/>
    <xf numFmtId="0" fontId="18" fillId="0" borderId="0"/>
    <xf numFmtId="0" fontId="18" fillId="0" borderId="0"/>
    <xf numFmtId="263" fontId="63" fillId="0" borderId="3" applyFill="0" applyAlignment="0" applyProtection="0">
      <alignment horizontal="center"/>
    </xf>
    <xf numFmtId="263" fontId="18" fillId="0" borderId="0" applyFill="0" applyAlignment="0" applyProtection="0">
      <alignment horizontal="center"/>
    </xf>
    <xf numFmtId="263" fontId="63" fillId="0" borderId="3" applyFill="0" applyAlignment="0" applyProtection="0">
      <alignment horizontal="center"/>
    </xf>
    <xf numFmtId="263" fontId="63" fillId="0" borderId="3" applyFill="0" applyAlignment="0" applyProtection="0">
      <alignment horizontal="center"/>
    </xf>
    <xf numFmtId="263" fontId="63" fillId="0" borderId="3" applyFill="0" applyAlignment="0" applyProtection="0">
      <alignment horizontal="center"/>
    </xf>
    <xf numFmtId="0" fontId="18" fillId="0" borderId="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22" fillId="0" borderId="0"/>
    <xf numFmtId="0" fontId="22" fillId="0" borderId="0"/>
    <xf numFmtId="0" fontId="18" fillId="0" borderId="0"/>
    <xf numFmtId="0" fontId="22" fillId="0" borderId="0"/>
    <xf numFmtId="0" fontId="22" fillId="0" borderId="0"/>
    <xf numFmtId="0" fontId="22"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47"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xf numFmtId="192" fontId="93" fillId="0" borderId="0" applyFill="0" applyBorder="0" applyAlignment="0"/>
    <xf numFmtId="192" fontId="93" fillId="0" borderId="0" applyFill="0" applyBorder="0" applyAlignment="0"/>
    <xf numFmtId="247"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192"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247" fontId="93"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0" fontId="93" fillId="0" borderId="0" applyFill="0" applyBorder="0" applyAlignment="0"/>
    <xf numFmtId="247"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0" fontId="93" fillId="0" borderId="0" applyFill="0" applyBorder="0" applyAlignment="0"/>
    <xf numFmtId="247"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0"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192" fontId="93" fillId="0" borderId="0" applyFill="0" applyBorder="0" applyAlignment="0"/>
    <xf numFmtId="0" fontId="18" fillId="0" borderId="0"/>
    <xf numFmtId="266" fontId="93" fillId="0" borderId="0" applyFill="0" applyBorder="0" applyAlignment="0"/>
    <xf numFmtId="266" fontId="93" fillId="0" borderId="0" applyFill="0" applyBorder="0" applyAlignment="0"/>
    <xf numFmtId="247"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66"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47" fontId="93"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0" fontId="93" fillId="0" borderId="0" applyFill="0" applyBorder="0" applyAlignment="0"/>
    <xf numFmtId="247"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0" fontId="93" fillId="0" borderId="0" applyFill="0" applyBorder="0" applyAlignment="0"/>
    <xf numFmtId="247"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0"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66" fontId="93" fillId="0" borderId="0" applyFill="0" applyBorder="0" applyAlignment="0"/>
    <xf numFmtId="0" fontId="18" fillId="0" borderId="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47"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94" fillId="43" borderId="28" applyNumberFormat="0" applyAlignment="0" applyProtection="0"/>
    <xf numFmtId="0" fontId="94" fillId="43" borderId="28" applyNumberFormat="0" applyAlignment="0" applyProtection="0"/>
    <xf numFmtId="0" fontId="18" fillId="0" borderId="0"/>
    <xf numFmtId="0" fontId="94" fillId="43" borderId="28" applyNumberFormat="0" applyAlignment="0" applyProtection="0"/>
    <xf numFmtId="0" fontId="94" fillId="43" borderId="28" applyNumberFormat="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69" fontId="18" fillId="0" borderId="0" applyNumberFormat="0" applyFont="0" applyBorder="0" applyAlignment="0">
      <protection locked="0"/>
    </xf>
    <xf numFmtId="270" fontId="27" fillId="0" borderId="0" applyFill="0" applyBorder="0" applyProtection="0"/>
    <xf numFmtId="270" fontId="27" fillId="0" borderId="0" applyFill="0" applyBorder="0" applyProtection="0"/>
    <xf numFmtId="270" fontId="18" fillId="0" borderId="0" applyFill="0" applyBorder="0" applyProtection="0"/>
    <xf numFmtId="270" fontId="27" fillId="0" borderId="0" applyFill="0" applyBorder="0" applyProtection="0"/>
    <xf numFmtId="270" fontId="27" fillId="0" borderId="0" applyFill="0" applyBorder="0" applyProtection="0"/>
    <xf numFmtId="270" fontId="27" fillId="0" borderId="0" applyFill="0" applyBorder="0" applyProtection="0"/>
    <xf numFmtId="0" fontId="18" fillId="0" borderId="0"/>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18" fillId="0" borderId="0"/>
    <xf numFmtId="0" fontId="18" fillId="0" borderId="0"/>
    <xf numFmtId="0" fontId="18" fillId="0" borderId="0"/>
    <xf numFmtId="0" fontId="18" fillId="0" borderId="0"/>
    <xf numFmtId="0" fontId="22" fillId="0" borderId="3" applyBorder="0">
      <alignment horizontal="centerContinuous"/>
    </xf>
    <xf numFmtId="0" fontId="22" fillId="0" borderId="3" applyBorder="0">
      <alignment horizontal="centerContinuous"/>
    </xf>
    <xf numFmtId="0" fontId="22" fillId="0" borderId="3" applyBorder="0">
      <alignment horizontal="centerContinuous"/>
    </xf>
    <xf numFmtId="0" fontId="18" fillId="0" borderId="0"/>
    <xf numFmtId="0" fontId="18" fillId="0" borderId="0"/>
    <xf numFmtId="0" fontId="18" fillId="0" borderId="0" applyFill="0" applyBorder="0" applyProtection="0">
      <alignment horizontal="center"/>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96" fillId="0" borderId="0" applyAlignment="0"/>
    <xf numFmtId="0" fontId="18" fillId="0" borderId="0"/>
    <xf numFmtId="0" fontId="18" fillId="0" borderId="0"/>
    <xf numFmtId="0" fontId="18" fillId="0" borderId="0" applyNumberFormat="0" applyFill="0" applyBorder="0" applyAlignment="0" applyProtection="0"/>
    <xf numFmtId="0" fontId="18" fillId="0" borderId="0"/>
    <xf numFmtId="0" fontId="18" fillId="0" borderId="0"/>
    <xf numFmtId="0" fontId="18" fillId="0" borderId="0"/>
    <xf numFmtId="0" fontId="18" fillId="0" borderId="0"/>
    <xf numFmtId="38" fontId="97" fillId="0" borderId="30"/>
    <xf numFmtId="38" fontId="18" fillId="0" borderId="0"/>
    <xf numFmtId="0" fontId="98" fillId="0" borderId="18">
      <alignment horizontal="center"/>
    </xf>
    <xf numFmtId="0" fontId="18" fillId="0" borderId="0">
      <alignment horizontal="center"/>
    </xf>
    <xf numFmtId="0" fontId="18" fillId="0" borderId="0"/>
    <xf numFmtId="0" fontId="82" fillId="0" borderId="31">
      <alignment horizontal="center"/>
    </xf>
    <xf numFmtId="0" fontId="18" fillId="0" borderId="0"/>
    <xf numFmtId="0" fontId="18" fillId="0" borderId="0" applyNumberFormat="0" applyFill="0" applyBorder="0" applyProtection="0">
      <alignment wrapText="1"/>
    </xf>
    <xf numFmtId="0" fontId="18" fillId="0" borderId="0"/>
    <xf numFmtId="0" fontId="18" fillId="0" borderId="0" applyNumberFormat="0" applyFill="0" applyBorder="0" applyProtection="0"/>
    <xf numFmtId="0" fontId="18" fillId="0" borderId="0"/>
    <xf numFmtId="0" fontId="99" fillId="0" borderId="0" applyNumberFormat="0" applyFill="0" applyBorder="0" applyProtection="0">
      <alignment horizontal="center" wrapText="1"/>
    </xf>
    <xf numFmtId="0" fontId="18" fillId="0" borderId="0" applyNumberFormat="0" applyFill="0" applyBorder="0" applyProtection="0">
      <alignment horizontal="center" wrapText="1"/>
    </xf>
    <xf numFmtId="0" fontId="99" fillId="0" borderId="0" applyNumberFormat="0" applyFill="0" applyBorder="0" applyProtection="0">
      <alignment horizontal="center" wrapText="1"/>
    </xf>
    <xf numFmtId="0" fontId="99" fillId="0" borderId="0" applyNumberFormat="0" applyFill="0" applyBorder="0" applyProtection="0">
      <alignment horizontal="center" wrapText="1"/>
    </xf>
    <xf numFmtId="0" fontId="99" fillId="0" borderId="0" applyNumberFormat="0" applyFill="0" applyBorder="0" applyProtection="0">
      <alignment horizontal="center" wrapText="1"/>
    </xf>
    <xf numFmtId="0" fontId="18" fillId="0" borderId="0"/>
    <xf numFmtId="0" fontId="18" fillId="0" borderId="0"/>
    <xf numFmtId="0" fontId="82" fillId="0" borderId="3" applyNumberFormat="0" applyFill="0" applyProtection="0">
      <alignment horizontal="right" wrapText="1"/>
    </xf>
    <xf numFmtId="0" fontId="18" fillId="0" borderId="0"/>
    <xf numFmtId="0" fontId="18" fillId="0" borderId="0"/>
    <xf numFmtId="0" fontId="82" fillId="0" borderId="3" applyNumberFormat="0" applyFill="0" applyProtection="0">
      <alignment horizontal="left" wrapText="1"/>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71" fontId="18" fillId="0" borderId="0" applyFont="0" applyFill="0" applyBorder="0" applyAlignment="0" applyProtection="0"/>
    <xf numFmtId="184" fontId="22" fillId="0" borderId="0"/>
    <xf numFmtId="184" fontId="22" fillId="0" borderId="0"/>
    <xf numFmtId="184" fontId="18" fillId="0" borderId="0"/>
    <xf numFmtId="184" fontId="22" fillId="0" borderId="0"/>
    <xf numFmtId="184" fontId="22" fillId="0" borderId="0"/>
    <xf numFmtId="184" fontId="22" fillId="0" borderId="0"/>
    <xf numFmtId="0" fontId="18" fillId="0" borderId="0"/>
    <xf numFmtId="0" fontId="18" fillId="0" borderId="0"/>
    <xf numFmtId="41" fontId="18" fillId="0" borderId="0" applyFont="0" applyFill="0" applyBorder="0" applyAlignment="0" applyProtection="0"/>
    <xf numFmtId="272" fontId="100" fillId="0" borderId="0" applyFont="0" applyFill="0" applyBorder="0" applyAlignment="0" applyProtection="0"/>
    <xf numFmtId="272" fontId="18" fillId="0" borderId="0" applyFont="0" applyFill="0" applyBorder="0" applyAlignment="0" applyProtection="0"/>
    <xf numFmtId="273" fontId="18" fillId="0" borderId="0" applyFont="0" applyFill="0" applyBorder="0" applyAlignment="0" applyProtection="0">
      <alignment vertical="center"/>
    </xf>
    <xf numFmtId="244" fontId="18" fillId="0" borderId="0" applyFont="0" applyFill="0" applyBorder="0" applyAlignment="0" applyProtection="0">
      <alignment vertical="center"/>
    </xf>
    <xf numFmtId="0" fontId="18" fillId="0" borderId="0"/>
    <xf numFmtId="0" fontId="18" fillId="0" borderId="0"/>
    <xf numFmtId="38" fontId="18" fillId="0" borderId="0">
      <alignment horizontal="center"/>
      <protection locked="0"/>
    </xf>
    <xf numFmtId="0" fontId="18" fillId="0" borderId="0"/>
    <xf numFmtId="40" fontId="18" fillId="0" borderId="0" applyFont="0" applyFill="0" applyBorder="0" applyAlignment="0" applyProtection="0">
      <alignment horizontal="center"/>
    </xf>
    <xf numFmtId="0" fontId="18" fillId="0" borderId="0"/>
    <xf numFmtId="274" fontId="18" fillId="0" borderId="0" applyFont="0" applyFill="0" applyBorder="0" applyAlignment="0" applyProtection="0">
      <alignment horizontal="center"/>
    </xf>
    <xf numFmtId="0" fontId="18" fillId="0" borderId="0"/>
    <xf numFmtId="0" fontId="18" fillId="0" borderId="0"/>
    <xf numFmtId="0" fontId="18" fillId="0" borderId="0"/>
    <xf numFmtId="275" fontId="18" fillId="0" borderId="0" applyFont="0" applyFill="0" applyBorder="0" applyAlignment="0" applyProtection="0"/>
    <xf numFmtId="276" fontId="25" fillId="0" borderId="0" applyFont="0" applyFill="0" applyBorder="0" applyAlignment="0" applyProtection="0"/>
    <xf numFmtId="276" fontId="18" fillId="0" borderId="0" applyFont="0" applyFill="0" applyBorder="0" applyAlignment="0" applyProtection="0"/>
    <xf numFmtId="277" fontId="25" fillId="0" borderId="0" applyFont="0" applyFill="0" applyBorder="0" applyAlignment="0" applyProtection="0"/>
    <xf numFmtId="277" fontId="18" fillId="0" borderId="0" applyFont="0" applyFill="0" applyBorder="0" applyAlignment="0" applyProtection="0"/>
    <xf numFmtId="278" fontId="22" fillId="0" borderId="0" applyFont="0" applyFill="0" applyBorder="0" applyAlignment="0" applyProtection="0"/>
    <xf numFmtId="278" fontId="18" fillId="0" borderId="0" applyFont="0" applyFill="0" applyBorder="0" applyAlignment="0" applyProtection="0"/>
    <xf numFmtId="279" fontId="25" fillId="0" borderId="0" applyFont="0" applyFill="0" applyBorder="0" applyAlignment="0" applyProtection="0"/>
    <xf numFmtId="279" fontId="18" fillId="0" borderId="0" applyFont="0" applyFill="0" applyBorder="0" applyAlignment="0" applyProtection="0"/>
    <xf numFmtId="280" fontId="25" fillId="0" borderId="0" applyFont="0" applyFill="0" applyBorder="0" applyAlignment="0" applyProtection="0"/>
    <xf numFmtId="185" fontId="22" fillId="0" borderId="0" applyFont="0" applyFill="0" applyBorder="0" applyAlignment="0" applyProtection="0"/>
    <xf numFmtId="185" fontId="18" fillId="0" borderId="0" applyFont="0" applyFill="0" applyBorder="0" applyAlignment="0" applyProtection="0"/>
    <xf numFmtId="281" fontId="25" fillId="0" borderId="0" applyFont="0" applyFill="0" applyBorder="0" applyAlignment="0" applyProtection="0"/>
    <xf numFmtId="281" fontId="18" fillId="0" borderId="0" applyFont="0" applyFill="0" applyBorder="0" applyAlignment="0" applyProtection="0"/>
    <xf numFmtId="282" fontId="25" fillId="0" borderId="0" applyFont="0" applyFill="0" applyBorder="0" applyAlignment="0" applyProtection="0"/>
    <xf numFmtId="0" fontId="18" fillId="0" borderId="0"/>
    <xf numFmtId="0" fontId="18" fillId="0" borderId="0"/>
    <xf numFmtId="0" fontId="18" fillId="0" borderId="0"/>
    <xf numFmtId="0" fontId="18" fillId="0" borderId="0"/>
    <xf numFmtId="43" fontId="101" fillId="0" borderId="0" applyFont="0" applyFill="0" applyBorder="0" applyAlignment="0" applyProtection="0"/>
    <xf numFmtId="43" fontId="18" fillId="0" borderId="0" applyFont="0" applyFill="0" applyBorder="0" applyAlignment="0" applyProtection="0"/>
    <xf numFmtId="0" fontId="18" fillId="0" borderId="0"/>
    <xf numFmtId="43" fontId="18" fillId="0" borderId="0" applyFont="0" applyFill="0" applyBorder="0" applyAlignment="0" applyProtection="0"/>
    <xf numFmtId="0" fontId="18" fillId="0" borderId="0"/>
    <xf numFmtId="43" fontId="18" fillId="0" borderId="0" applyFont="0" applyFill="0" applyBorder="0" applyAlignment="0" applyProtection="0"/>
    <xf numFmtId="43" fontId="13" fillId="0" borderId="0" applyFont="0" applyFill="0" applyBorder="0" applyAlignment="0" applyProtection="0"/>
    <xf numFmtId="0" fontId="18" fillId="0" borderId="0"/>
    <xf numFmtId="43" fontId="18" fillId="0" borderId="0" applyFont="0" applyFill="0" applyBorder="0" applyAlignment="0" applyProtection="0"/>
    <xf numFmtId="0" fontId="18" fillId="0" borderId="0"/>
    <xf numFmtId="43" fontId="18" fillId="0" borderId="0" applyFont="0" applyFill="0" applyBorder="0" applyAlignment="0" applyProtection="0"/>
    <xf numFmtId="43" fontId="18" fillId="0" borderId="0" applyFont="0" applyFill="0" applyBorder="0" applyAlignment="0" applyProtection="0"/>
    <xf numFmtId="0" fontId="18" fillId="0" borderId="0"/>
    <xf numFmtId="283" fontId="18" fillId="0" borderId="0" applyFont="0" applyFill="0" applyBorder="0" applyAlignment="0" applyProtection="0"/>
    <xf numFmtId="43" fontId="22" fillId="0" borderId="0" applyFont="0" applyFill="0" applyBorder="0" applyAlignment="0" applyProtection="0"/>
    <xf numFmtId="43" fontId="13" fillId="0" borderId="0" applyFont="0" applyFill="0" applyBorder="0" applyAlignment="0" applyProtection="0"/>
    <xf numFmtId="0" fontId="18" fillId="0" borderId="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0" fontId="18" fillId="0" borderId="0"/>
    <xf numFmtId="0" fontId="18" fillId="0" borderId="0"/>
    <xf numFmtId="43" fontId="102" fillId="0" borderId="0" applyFont="0" applyFill="0" applyBorder="0" applyAlignment="0" applyProtection="0"/>
    <xf numFmtId="0" fontId="18" fillId="0" borderId="0"/>
    <xf numFmtId="43" fontId="18" fillId="0" borderId="0" applyFont="0" applyFill="0" applyBorder="0" applyAlignment="0" applyProtection="0"/>
    <xf numFmtId="0" fontId="18" fillId="0" borderId="0"/>
    <xf numFmtId="43" fontId="13" fillId="0" borderId="0" applyFont="0" applyFill="0" applyBorder="0" applyAlignment="0" applyProtection="0"/>
    <xf numFmtId="43" fontId="18" fillId="0" borderId="0" applyFont="0" applyFill="0" applyBorder="0" applyAlignment="0" applyProtection="0"/>
    <xf numFmtId="0" fontId="18" fillId="0" borderId="0"/>
    <xf numFmtId="43" fontId="13" fillId="0" borderId="0" applyFont="0" applyFill="0" applyBorder="0" applyAlignment="0" applyProtection="0"/>
    <xf numFmtId="43" fontId="13" fillId="0" borderId="0" applyFont="0" applyFill="0" applyBorder="0" applyAlignment="0" applyProtection="0"/>
    <xf numFmtId="0" fontId="18" fillId="0" borderId="0"/>
    <xf numFmtId="0" fontId="18" fillId="0" borderId="0"/>
    <xf numFmtId="0" fontId="18" fillId="0" borderId="0"/>
    <xf numFmtId="37" fontId="27" fillId="0" borderId="0" applyFill="0" applyBorder="0" applyAlignment="0" applyProtection="0"/>
    <xf numFmtId="37" fontId="18" fillId="0" borderId="0" applyFill="0" applyBorder="0" applyAlignment="0" applyProtection="0"/>
    <xf numFmtId="37" fontId="27" fillId="0" borderId="0" applyFill="0" applyBorder="0" applyAlignment="0" applyProtection="0"/>
    <xf numFmtId="37" fontId="27" fillId="0" borderId="0" applyFill="0" applyBorder="0" applyAlignment="0" applyProtection="0"/>
    <xf numFmtId="37" fontId="27" fillId="0" borderId="0" applyFill="0" applyBorder="0" applyAlignment="0" applyProtection="0"/>
    <xf numFmtId="0" fontId="18" fillId="0" borderId="0"/>
    <xf numFmtId="0" fontId="18" fillId="0" borderId="0"/>
    <xf numFmtId="0" fontId="18" fillId="0" borderId="0"/>
    <xf numFmtId="0" fontId="103" fillId="0" borderId="0"/>
    <xf numFmtId="0" fontId="18" fillId="0" borderId="0"/>
    <xf numFmtId="0" fontId="18" fillId="0" borderId="0"/>
    <xf numFmtId="0" fontId="18" fillId="0" borderId="0"/>
    <xf numFmtId="0" fontId="18" fillId="0" borderId="0"/>
    <xf numFmtId="0" fontId="18" fillId="0" borderId="0"/>
    <xf numFmtId="0" fontId="18" fillId="0" borderId="0"/>
    <xf numFmtId="38" fontId="18" fillId="0" borderId="0" applyFont="0" applyFill="0" applyBorder="0" applyAlignment="0" applyProtection="0"/>
    <xf numFmtId="0" fontId="18" fillId="0" borderId="0"/>
    <xf numFmtId="192" fontId="104" fillId="0" borderId="0" applyFont="0" applyFill="0" applyBorder="0" applyAlignment="0" applyProtection="0"/>
    <xf numFmtId="0" fontId="103" fillId="0" borderId="0"/>
    <xf numFmtId="0" fontId="18" fillId="0" borderId="0"/>
    <xf numFmtId="0" fontId="93" fillId="0" borderId="0"/>
    <xf numFmtId="0" fontId="18" fillId="0" borderId="0"/>
    <xf numFmtId="192" fontId="18" fillId="0" borderId="0" applyFont="0" applyFill="0" applyBorder="0" applyAlignment="0" applyProtection="0"/>
    <xf numFmtId="39" fontId="104" fillId="0" borderId="0" applyFont="0" applyFill="0" applyBorder="0" applyAlignment="0" applyProtection="0"/>
    <xf numFmtId="39" fontId="18" fillId="0" borderId="0" applyFont="0" applyFill="0" applyBorder="0" applyAlignment="0" applyProtection="0"/>
    <xf numFmtId="0" fontId="18" fillId="0" borderId="0"/>
    <xf numFmtId="0" fontId="105" fillId="62" borderId="0">
      <alignment horizontal="center" vertical="center" wrapText="1"/>
    </xf>
    <xf numFmtId="0" fontId="18" fillId="0" borderId="0">
      <alignment horizontal="center" vertical="center" wrapText="1"/>
    </xf>
    <xf numFmtId="0" fontId="18" fillId="0" borderId="0"/>
    <xf numFmtId="0" fontId="18" fillId="0" borderId="0" applyFill="0" applyBorder="0" applyAlignment="0" applyProtection="0">
      <protection locked="0"/>
    </xf>
    <xf numFmtId="0" fontId="105" fillId="62" borderId="0">
      <alignment horizontal="center" vertical="center" wrapText="1"/>
    </xf>
    <xf numFmtId="0" fontId="18" fillId="0" borderId="0"/>
    <xf numFmtId="284" fontId="18" fillId="0" borderId="0" applyFill="0" applyBorder="0">
      <alignment horizontal="left"/>
    </xf>
    <xf numFmtId="0" fontId="18" fillId="0" borderId="0"/>
    <xf numFmtId="0" fontId="18" fillId="0" borderId="0"/>
    <xf numFmtId="0" fontId="18" fillId="0" borderId="0" applyNumberFormat="0" applyAlignment="0">
      <alignment horizontal="left"/>
    </xf>
    <xf numFmtId="0" fontId="18" fillId="0" borderId="0"/>
    <xf numFmtId="0" fontId="18" fillId="0" borderId="0"/>
    <xf numFmtId="285" fontId="25" fillId="0" borderId="0" applyFill="0" applyBorder="0" applyProtection="0"/>
    <xf numFmtId="285" fontId="18" fillId="0" borderId="0" applyFill="0" applyBorder="0" applyProtection="0"/>
    <xf numFmtId="286" fontId="25" fillId="0" borderId="0" applyFont="0" applyFill="0" applyBorder="0" applyAlignment="0" applyProtection="0"/>
    <xf numFmtId="286"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87" fontId="18" fillId="0" borderId="0" applyFill="0" applyBorder="0">
      <alignment horizontal="right"/>
      <protection locked="0"/>
    </xf>
    <xf numFmtId="0" fontId="103" fillId="0" borderId="0"/>
    <xf numFmtId="0" fontId="18" fillId="0" borderId="0"/>
    <xf numFmtId="0" fontId="18" fillId="0" borderId="0"/>
    <xf numFmtId="288" fontId="25" fillId="0" borderId="0" applyFont="0" applyFill="0" applyBorder="0" applyAlignment="0" applyProtection="0"/>
    <xf numFmtId="288" fontId="18" fillId="0" borderId="0" applyFont="0" applyFill="0" applyBorder="0" applyAlignment="0" applyProtection="0"/>
    <xf numFmtId="0" fontId="18" fillId="0" borderId="0"/>
    <xf numFmtId="0" fontId="18" fillId="0" borderId="0"/>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42" fontId="71" fillId="0" borderId="0" applyFont="0" applyFill="0" applyBorder="0" applyAlignment="0" applyProtection="0"/>
    <xf numFmtId="42" fontId="18" fillId="0" borderId="0" applyFont="0" applyFill="0" applyBorder="0" applyAlignment="0" applyProtection="0"/>
    <xf numFmtId="0" fontId="18" fillId="0" borderId="0"/>
    <xf numFmtId="0" fontId="18" fillId="0" borderId="0"/>
    <xf numFmtId="289" fontId="48" fillId="0" borderId="0" applyFont="0" applyFill="0" applyBorder="0" applyAlignment="0"/>
    <xf numFmtId="289" fontId="18" fillId="0" borderId="0" applyFont="0" applyFill="0" applyBorder="0" applyAlignment="0"/>
    <xf numFmtId="289" fontId="48" fillId="0" borderId="0" applyFont="0" applyFill="0" applyBorder="0" applyAlignment="0"/>
    <xf numFmtId="289" fontId="48" fillId="0" borderId="0" applyFont="0" applyFill="0" applyBorder="0" applyAlignment="0"/>
    <xf numFmtId="289" fontId="48" fillId="0" borderId="0" applyFont="0" applyFill="0" applyBorder="0" applyAlignment="0"/>
    <xf numFmtId="0" fontId="18" fillId="0" borderId="0"/>
    <xf numFmtId="0" fontId="18" fillId="0" borderId="0"/>
    <xf numFmtId="177" fontId="18" fillId="0" borderId="0" applyFont="0" applyFill="0" applyBorder="0" applyAlignment="0" applyProtection="0"/>
    <xf numFmtId="0" fontId="18" fillId="0" borderId="0"/>
    <xf numFmtId="0" fontId="18" fillId="0" borderId="0"/>
    <xf numFmtId="290" fontId="18" fillId="0" borderId="0" applyFont="0" applyFill="0" applyBorder="0" applyAlignment="0" applyProtection="0">
      <alignment horizontal="right"/>
    </xf>
    <xf numFmtId="291" fontId="18" fillId="0" borderId="0" applyFont="0" applyFill="0" applyBorder="0" applyAlignment="0" applyProtection="0"/>
    <xf numFmtId="292" fontId="25" fillId="0" borderId="0" applyFont="0" applyFill="0" applyBorder="0" applyAlignment="0" applyProtection="0"/>
    <xf numFmtId="292" fontId="18" fillId="0" borderId="0" applyFont="0" applyFill="0" applyBorder="0" applyAlignment="0" applyProtection="0"/>
    <xf numFmtId="293" fontId="18" fillId="0" borderId="0" applyFont="0" applyFill="0" applyBorder="0" applyAlignment="0" applyProtection="0"/>
    <xf numFmtId="294" fontId="25" fillId="0" borderId="0" applyFont="0" applyFill="0" applyBorder="0" applyAlignment="0" applyProtection="0"/>
    <xf numFmtId="294" fontId="18" fillId="0" borderId="0" applyFont="0" applyFill="0" applyBorder="0" applyAlignment="0" applyProtection="0"/>
    <xf numFmtId="295" fontId="18" fillId="0" borderId="0" applyFont="0" applyFill="0" applyBorder="0" applyAlignment="0" applyProtection="0"/>
    <xf numFmtId="296" fontId="25" fillId="0" borderId="0" applyFont="0" applyFill="0" applyBorder="0" applyAlignment="0" applyProtection="0"/>
    <xf numFmtId="296" fontId="18" fillId="0" borderId="0" applyFont="0" applyFill="0" applyBorder="0" applyAlignment="0" applyProtection="0"/>
    <xf numFmtId="0" fontId="18" fillId="0" borderId="0"/>
    <xf numFmtId="44" fontId="18"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18" fillId="0" borderId="0"/>
    <xf numFmtId="44" fontId="18" fillId="0" borderId="0" applyFont="0" applyFill="0" applyBorder="0" applyAlignment="0" applyProtection="0"/>
    <xf numFmtId="0" fontId="18" fillId="0" borderId="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0" fontId="18" fillId="0" borderId="0"/>
    <xf numFmtId="44" fontId="73" fillId="0" borderId="0" applyFont="0" applyFill="0" applyBorder="0" applyAlignment="0" applyProtection="0"/>
    <xf numFmtId="0" fontId="18" fillId="0" borderId="0"/>
    <xf numFmtId="8" fontId="24" fillId="0" borderId="0" applyFont="0" applyFill="0" applyBorder="0" applyAlignment="0" applyProtection="0"/>
    <xf numFmtId="0" fontId="18" fillId="0" borderId="0"/>
    <xf numFmtId="183" fontId="18" fillId="0" borderId="0" applyFont="0" applyFill="0" applyBorder="0" applyAlignment="0" applyProtection="0"/>
    <xf numFmtId="0" fontId="18" fillId="0" borderId="0"/>
    <xf numFmtId="44" fontId="107" fillId="0" borderId="0" applyFont="0" applyFill="0" applyBorder="0" applyAlignment="0" applyProtection="0">
      <alignment vertical="top"/>
    </xf>
    <xf numFmtId="44" fontId="13" fillId="0" borderId="0" applyFont="0" applyFill="0" applyBorder="0" applyAlignment="0" applyProtection="0"/>
    <xf numFmtId="44" fontId="13" fillId="0" borderId="0" applyFont="0" applyFill="0" applyBorder="0" applyAlignment="0" applyProtection="0"/>
    <xf numFmtId="0" fontId="18" fillId="0" borderId="0"/>
    <xf numFmtId="44" fontId="13" fillId="0" borderId="0" applyFont="0" applyFill="0" applyBorder="0" applyAlignment="0" applyProtection="0"/>
    <xf numFmtId="0" fontId="18" fillId="0" borderId="0"/>
    <xf numFmtId="8" fontId="18" fillId="0" borderId="0">
      <alignment horizontal="right"/>
    </xf>
    <xf numFmtId="0" fontId="18" fillId="0" borderId="0"/>
    <xf numFmtId="0" fontId="18" fillId="0" borderId="0"/>
    <xf numFmtId="6" fontId="18" fillId="0" borderId="0" applyFont="0" applyFill="0" applyBorder="0" applyAlignment="0" applyProtection="0"/>
    <xf numFmtId="0" fontId="18" fillId="0" borderId="0"/>
    <xf numFmtId="0" fontId="18" fillId="0" borderId="0"/>
    <xf numFmtId="0" fontId="18" fillId="0" borderId="0"/>
    <xf numFmtId="274" fontId="22" fillId="29" borderId="0" applyFont="0" applyBorder="0"/>
    <xf numFmtId="0" fontId="18" fillId="0" borderId="0"/>
    <xf numFmtId="14" fontId="18" fillId="0" borderId="0" applyFont="0" applyFill="0" applyBorder="0" applyAlignment="0" applyProtection="0">
      <alignment horizontal="center"/>
    </xf>
    <xf numFmtId="0" fontId="18" fillId="0" borderId="0"/>
    <xf numFmtId="192" fontId="108" fillId="0" borderId="0"/>
    <xf numFmtId="0" fontId="18" fillId="0" borderId="0"/>
    <xf numFmtId="192" fontId="18" fillId="0" borderId="0" applyNumberFormat="0" applyAlignment="0">
      <alignment horizontal="left"/>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5" fontId="82" fillId="0" borderId="0" applyFill="0" applyBorder="0" applyAlignment="0"/>
    <xf numFmtId="297" fontId="82" fillId="36" borderId="0" applyFont="0" applyFill="0" applyBorder="0" applyAlignment="0" applyProtection="0"/>
    <xf numFmtId="298" fontId="16" fillId="36" borderId="32" applyFont="0" applyFill="0" applyBorder="0" applyAlignment="0" applyProtection="0"/>
    <xf numFmtId="298" fontId="16" fillId="36" borderId="32" applyFont="0" applyFill="0" applyBorder="0" applyAlignment="0" applyProtection="0"/>
    <xf numFmtId="297" fontId="48" fillId="36"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299" fontId="18" fillId="0" borderId="0" applyFont="0" applyFill="0" applyBorder="0" applyAlignment="0" applyProtection="0">
      <alignment horizontal="center"/>
    </xf>
    <xf numFmtId="300" fontId="25"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17" fontId="18" fillId="0" borderId="0" applyFont="0" applyFill="0" applyBorder="0" applyAlignment="0" applyProtection="0">
      <alignment horizontal="center"/>
    </xf>
    <xf numFmtId="0" fontId="18" fillId="0" borderId="0"/>
    <xf numFmtId="0" fontId="18" fillId="0" borderId="0"/>
    <xf numFmtId="0" fontId="18" fillId="0" borderId="0"/>
    <xf numFmtId="301" fontId="88" fillId="0" borderId="0" applyFont="0" applyFill="0" applyBorder="0" applyAlignment="0" applyProtection="0">
      <alignment horizontal="center"/>
    </xf>
    <xf numFmtId="302" fontId="88" fillId="0" borderId="33" applyFont="0" applyFill="0" applyBorder="0" applyAlignment="0" applyProtection="0">
      <alignment horizontal="center"/>
    </xf>
    <xf numFmtId="302" fontId="88" fillId="0" borderId="33" applyFont="0" applyFill="0" applyBorder="0" applyAlignment="0" applyProtection="0">
      <alignment horizontal="center"/>
    </xf>
    <xf numFmtId="302" fontId="88" fillId="0" borderId="33" applyFont="0" applyFill="0" applyBorder="0" applyAlignment="0" applyProtection="0">
      <alignment horizontal="center"/>
    </xf>
    <xf numFmtId="302" fontId="88" fillId="0" borderId="33" applyFont="0" applyFill="0" applyBorder="0" applyAlignment="0" applyProtection="0">
      <alignment horizontal="center"/>
    </xf>
    <xf numFmtId="302" fontId="88" fillId="0" borderId="33" applyFont="0" applyFill="0" applyBorder="0" applyAlignment="0" applyProtection="0">
      <alignment horizontal="center"/>
    </xf>
    <xf numFmtId="302" fontId="88" fillId="0" borderId="33" applyFont="0" applyFill="0" applyBorder="0" applyAlignment="0" applyProtection="0">
      <alignment horizontal="center"/>
    </xf>
    <xf numFmtId="186" fontId="48" fillId="0" borderId="33" applyFont="0" applyFill="0" applyBorder="0" applyAlignment="0" applyProtection="0">
      <alignment horizontal="center"/>
    </xf>
    <xf numFmtId="186" fontId="48" fillId="0" borderId="33" applyFont="0" applyFill="0" applyBorder="0" applyAlignment="0" applyProtection="0">
      <alignment horizontal="center"/>
    </xf>
    <xf numFmtId="186" fontId="48" fillId="0" borderId="33" applyFont="0" applyFill="0" applyBorder="0" applyAlignment="0" applyProtection="0">
      <alignment horizontal="center"/>
    </xf>
    <xf numFmtId="186" fontId="48" fillId="0" borderId="33" applyFont="0" applyFill="0" applyBorder="0" applyAlignment="0" applyProtection="0">
      <alignment horizontal="center"/>
    </xf>
    <xf numFmtId="186" fontId="48" fillId="0" borderId="33" applyFont="0" applyFill="0" applyBorder="0" applyAlignment="0" applyProtection="0">
      <alignment horizontal="center"/>
    </xf>
    <xf numFmtId="186" fontId="48" fillId="0" borderId="33" applyFont="0" applyFill="0" applyBorder="0" applyAlignment="0" applyProtection="0">
      <alignment horizontal="center"/>
    </xf>
    <xf numFmtId="14" fontId="109" fillId="0" borderId="0" applyFont="0" applyFill="0" applyBorder="0"/>
    <xf numFmtId="15" fontId="66" fillId="0" borderId="0" applyFont="0" applyFill="0" applyBorder="0" applyAlignment="0" applyProtection="0">
      <alignment horizontal="center"/>
    </xf>
    <xf numFmtId="270" fontId="18" fillId="0" borderId="0" applyFont="0" applyFill="0" applyBorder="0" applyAlignment="0" applyProtection="0">
      <alignment horizontal="center"/>
    </xf>
    <xf numFmtId="270" fontId="110" fillId="0" borderId="0" applyFont="0" applyFill="0" applyBorder="0" applyAlignment="0" applyProtection="0">
      <alignment horizontal="center"/>
    </xf>
    <xf numFmtId="0" fontId="30" fillId="0" borderId="0"/>
    <xf numFmtId="0" fontId="111" fillId="0" borderId="0">
      <protection locked="0"/>
    </xf>
    <xf numFmtId="0" fontId="112" fillId="0" borderId="0">
      <protection locked="0"/>
    </xf>
    <xf numFmtId="0" fontId="112" fillId="0" borderId="0">
      <protection locked="0"/>
    </xf>
    <xf numFmtId="0" fontId="18" fillId="0" borderId="0"/>
    <xf numFmtId="186" fontId="18" fillId="0" borderId="0" applyFont="0" applyFill="0" applyBorder="0" applyAlignment="0" applyProtection="0"/>
    <xf numFmtId="4" fontId="93"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7" fontId="48" fillId="0" borderId="0"/>
    <xf numFmtId="4" fontId="44" fillId="0" borderId="0" applyFont="0" applyFill="0" applyBorder="0" applyAlignment="0" applyProtection="0"/>
    <xf numFmtId="7" fontId="48" fillId="0" borderId="0"/>
    <xf numFmtId="0" fontId="18" fillId="0" borderId="0"/>
    <xf numFmtId="6" fontId="27" fillId="0" borderId="0" applyFont="0" applyFill="0" applyBorder="0" applyAlignment="0" applyProtection="0"/>
    <xf numFmtId="0" fontId="18" fillId="0" borderId="0"/>
    <xf numFmtId="0" fontId="18" fillId="0" borderId="0"/>
    <xf numFmtId="0" fontId="18" fillId="0" borderId="0"/>
    <xf numFmtId="38" fontId="48" fillId="29" borderId="0" applyNumberFormat="0" applyFon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66" fontId="11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303" fontId="18" fillId="36" borderId="0" applyFont="0" applyFill="0" applyBorder="0" applyAlignment="0"/>
    <xf numFmtId="2" fontId="18" fillId="0" borderId="0" applyFont="0" applyFill="0" applyBorder="0" applyAlignment="0" applyProtection="0"/>
    <xf numFmtId="304" fontId="18" fillId="0" borderId="0" applyFont="0" applyFill="0" applyBorder="0" applyAlignment="0"/>
    <xf numFmtId="0" fontId="18" fillId="0" borderId="0"/>
    <xf numFmtId="0" fontId="18" fillId="0" borderId="0"/>
    <xf numFmtId="0" fontId="18" fillId="0" borderId="0"/>
    <xf numFmtId="0" fontId="18" fillId="0" borderId="0"/>
    <xf numFmtId="0" fontId="114" fillId="0" borderId="0">
      <protection locked="0"/>
    </xf>
    <xf numFmtId="0" fontId="18" fillId="0" borderId="0"/>
    <xf numFmtId="305" fontId="18" fillId="63" borderId="0">
      <alignment horizontal="center"/>
      <protection locked="0"/>
    </xf>
    <xf numFmtId="306" fontId="63" fillId="0" borderId="0">
      <alignment horizontal="right"/>
    </xf>
    <xf numFmtId="0" fontId="18" fillId="0" borderId="0"/>
    <xf numFmtId="0" fontId="18" fillId="0" borderId="0"/>
    <xf numFmtId="0" fontId="18" fillId="0" borderId="0"/>
    <xf numFmtId="0" fontId="18" fillId="0" borderId="0"/>
    <xf numFmtId="0" fontId="18" fillId="0" borderId="0"/>
    <xf numFmtId="2" fontId="18" fillId="36" borderId="34" applyFill="0" applyBorder="0" applyProtection="0">
      <alignment horizontal="center"/>
    </xf>
    <xf numFmtId="2" fontId="18" fillId="36" borderId="34" applyFill="0" applyBorder="0" applyProtection="0">
      <alignment horizontal="center"/>
    </xf>
    <xf numFmtId="2" fontId="18" fillId="36" borderId="34" applyFill="0" applyBorder="0" applyProtection="0">
      <alignment horizontal="center"/>
    </xf>
    <xf numFmtId="2" fontId="18" fillId="36" borderId="34" applyFill="0" applyBorder="0" applyProtection="0">
      <alignment horizontal="center"/>
    </xf>
    <xf numFmtId="2" fontId="18" fillId="36" borderId="34" applyFill="0" applyBorder="0" applyProtection="0">
      <alignment horizontal="center"/>
    </xf>
    <xf numFmtId="2" fontId="18" fillId="36" borderId="34" applyFill="0" applyBorder="0" applyProtection="0">
      <alignment horizont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72" fontId="48" fillId="0" borderId="0" applyFill="0" applyBorder="0" applyAlignment="0" applyProtection="0">
      <alignment horizontal="right"/>
    </xf>
    <xf numFmtId="172" fontId="48" fillId="0" borderId="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15" fillId="0" borderId="0">
      <protection locked="0"/>
    </xf>
    <xf numFmtId="0" fontId="18" fillId="0" borderId="0"/>
    <xf numFmtId="0" fontId="18" fillId="0" borderId="0"/>
    <xf numFmtId="0" fontId="116" fillId="0" borderId="35">
      <alignment horizontal="left" vertical="center"/>
    </xf>
    <xf numFmtId="0" fontId="116" fillId="0" borderId="35">
      <alignment horizontal="left" vertical="center"/>
    </xf>
    <xf numFmtId="0" fontId="116" fillId="0" borderId="35">
      <alignment horizontal="left" vertical="center"/>
    </xf>
    <xf numFmtId="0" fontId="116" fillId="0" borderId="35">
      <alignment horizontal="left" vertical="center"/>
    </xf>
    <xf numFmtId="0" fontId="18" fillId="0" borderId="0"/>
    <xf numFmtId="0" fontId="117" fillId="58" borderId="36" applyNumberFormat="0" applyBorder="0">
      <alignment horizontal="left" vertical="center" indent="1"/>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49" fontId="118" fillId="0" borderId="0">
      <alignment horizontal="centerContinuous"/>
    </xf>
    <xf numFmtId="0" fontId="18" fillId="0" borderId="0"/>
    <xf numFmtId="0" fontId="119" fillId="0" borderId="3" applyFill="0" applyAlignment="0" applyProtection="0">
      <protection locked="0"/>
    </xf>
    <xf numFmtId="0" fontId="119" fillId="0" borderId="3" applyFill="0" applyAlignment="0" applyProtection="0">
      <protection locked="0"/>
    </xf>
    <xf numFmtId="0" fontId="119" fillId="0" borderId="3" applyFill="0" applyAlignment="0" applyProtection="0">
      <protection locked="0"/>
    </xf>
    <xf numFmtId="0" fontId="18" fillId="0" borderId="0"/>
    <xf numFmtId="0" fontId="18" fillId="0" borderId="0"/>
    <xf numFmtId="0" fontId="18" fillId="0" borderId="0"/>
    <xf numFmtId="0" fontId="18" fillId="0" borderId="0"/>
    <xf numFmtId="0" fontId="120" fillId="64" borderId="37">
      <alignment horizontal="left" vertical="center"/>
    </xf>
    <xf numFmtId="0" fontId="120" fillId="64" borderId="37">
      <alignment horizontal="left" vertical="center"/>
    </xf>
    <xf numFmtId="0" fontId="120" fillId="64" borderId="37">
      <alignment horizontal="left" vertical="center"/>
    </xf>
    <xf numFmtId="0" fontId="120" fillId="64" borderId="37">
      <alignment horizontal="left" vertical="center"/>
    </xf>
    <xf numFmtId="0" fontId="120" fillId="64" borderId="37">
      <alignment horizontal="left" vertical="center"/>
    </xf>
    <xf numFmtId="0" fontId="120" fillId="64" borderId="37">
      <alignment horizontal="left" vertical="center"/>
    </xf>
    <xf numFmtId="0" fontId="120" fillId="64" borderId="38" applyBorder="0">
      <alignment horizontal="center" vertical="center" wrapText="1"/>
    </xf>
    <xf numFmtId="0" fontId="120" fillId="64" borderId="38" applyBorder="0">
      <alignment horizontal="center" vertical="center" wrapText="1"/>
    </xf>
    <xf numFmtId="0" fontId="120" fillId="64" borderId="38" applyBorder="0">
      <alignment horizontal="center" vertical="center" wrapText="1"/>
    </xf>
    <xf numFmtId="0" fontId="120" fillId="64" borderId="38" applyBorder="0">
      <alignment horizontal="center" vertical="center" wrapText="1"/>
    </xf>
    <xf numFmtId="0" fontId="120" fillId="64" borderId="38" applyBorder="0">
      <alignment horizontal="center" vertical="center" wrapText="1"/>
    </xf>
    <xf numFmtId="0" fontId="120" fillId="64" borderId="38" applyBorder="0">
      <alignment horizontal="center" vertical="center" wrapText="1"/>
    </xf>
    <xf numFmtId="0" fontId="18" fillId="0" borderId="0"/>
    <xf numFmtId="0" fontId="18" fillId="0" borderId="0"/>
    <xf numFmtId="0" fontId="18" fillId="0" borderId="0"/>
    <xf numFmtId="0" fontId="18" fillId="0" borderId="0"/>
    <xf numFmtId="0" fontId="18" fillId="0" borderId="0"/>
    <xf numFmtId="0" fontId="121" fillId="0" borderId="0" applyNumberFormat="0" applyFill="0" applyBorder="0" applyAlignment="0" applyProtection="0">
      <alignment vertical="top"/>
      <protection locked="0"/>
    </xf>
    <xf numFmtId="0" fontId="122" fillId="0" borderId="0"/>
    <xf numFmtId="0" fontId="33" fillId="0" borderId="0"/>
    <xf numFmtId="270" fontId="27" fillId="0" borderId="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8" fontId="48" fillId="36" borderId="0" applyFont="0" applyBorder="0" applyAlignment="0" applyProtection="0">
      <protection locked="0"/>
    </xf>
    <xf numFmtId="298" fontId="48" fillId="36" borderId="0" applyFont="0" applyBorder="0" applyAlignment="0" applyProtection="0">
      <protection locked="0"/>
    </xf>
    <xf numFmtId="303" fontId="48" fillId="36" borderId="0" applyFont="0" applyBorder="0" applyAlignment="0">
      <protection locked="0"/>
    </xf>
    <xf numFmtId="270" fontId="48" fillId="36" borderId="0">
      <protection locked="0"/>
    </xf>
    <xf numFmtId="307" fontId="48" fillId="36" borderId="0" applyFont="0" applyBorder="0" applyAlignment="0">
      <protection locked="0"/>
    </xf>
    <xf numFmtId="10" fontId="48" fillId="36" borderId="0">
      <protection locked="0"/>
    </xf>
    <xf numFmtId="270" fontId="123" fillId="36" borderId="0" applyNumberFormat="0" applyBorder="0" applyAlignment="0">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4" fillId="0" borderId="0" applyNumberFormat="0" applyFill="0" applyBorder="0" applyAlignment="0">
      <protection locked="0"/>
    </xf>
    <xf numFmtId="8" fontId="125" fillId="0" borderId="31" applyNumberFormat="0" applyFill="0" applyBorder="0" applyAlignment="0" applyProtection="0"/>
    <xf numFmtId="8" fontId="125" fillId="0" borderId="31" applyNumberFormat="0" applyFill="0" applyBorder="0" applyAlignment="0" applyProtection="0"/>
    <xf numFmtId="8" fontId="125" fillId="0" borderId="31" applyNumberFormat="0" applyFill="0" applyBorder="0" applyAlignment="0" applyProtection="0"/>
    <xf numFmtId="8" fontId="125" fillId="0" borderId="31" applyNumberFormat="0" applyFill="0" applyBorder="0" applyAlignment="0" applyProtection="0"/>
    <xf numFmtId="8" fontId="125" fillId="0" borderId="31" applyNumberFormat="0" applyFill="0" applyBorder="0" applyAlignment="0" applyProtection="0"/>
    <xf numFmtId="8" fontId="125" fillId="0" borderId="31" applyNumberFormat="0" applyFill="0" applyBorder="0" applyAlignment="0" applyProtection="0"/>
    <xf numFmtId="270" fontId="48" fillId="36" borderId="0" applyNumberFormat="0" applyFont="0" applyBorder="0" applyAlignment="0" applyProtection="0">
      <alignment horizontal="center"/>
      <protection locked="0"/>
    </xf>
    <xf numFmtId="0" fontId="126" fillId="0" borderId="0" applyNumberFormat="0" applyFill="0" applyBorder="0" applyAlignment="0">
      <protection locked="0"/>
    </xf>
    <xf numFmtId="308" fontId="18" fillId="0" borderId="0" applyFill="0" applyBorder="0" applyAlignment="0">
      <protection locked="0"/>
    </xf>
    <xf numFmtId="0" fontId="18" fillId="0" borderId="0"/>
    <xf numFmtId="0" fontId="18" fillId="0" borderId="0"/>
    <xf numFmtId="0" fontId="18" fillId="0" borderId="0"/>
    <xf numFmtId="0" fontId="18" fillId="0" borderId="0"/>
    <xf numFmtId="309" fontId="18" fillId="0" borderId="0" applyFill="0" applyBorder="0">
      <alignment horizontal="right"/>
      <protection locked="0"/>
    </xf>
    <xf numFmtId="0" fontId="42" fillId="65" borderId="37">
      <alignment horizontal="left" vertical="center" wrapText="1"/>
    </xf>
    <xf numFmtId="0" fontId="42" fillId="65" borderId="37">
      <alignment horizontal="left" vertical="center" wrapText="1"/>
    </xf>
    <xf numFmtId="0" fontId="42" fillId="65" borderId="37">
      <alignment horizontal="left" vertical="center" wrapText="1"/>
    </xf>
    <xf numFmtId="0" fontId="42" fillId="65" borderId="37">
      <alignment horizontal="left" vertical="center" wrapText="1"/>
    </xf>
    <xf numFmtId="0" fontId="42" fillId="65" borderId="37">
      <alignment horizontal="left" vertical="center" wrapText="1"/>
    </xf>
    <xf numFmtId="0" fontId="42" fillId="65" borderId="37">
      <alignment horizontal="left" vertical="center" wrapText="1"/>
    </xf>
    <xf numFmtId="0" fontId="18" fillId="0" borderId="0"/>
    <xf numFmtId="0" fontId="18" fillId="0" borderId="0"/>
    <xf numFmtId="0" fontId="18" fillId="0" borderId="0"/>
    <xf numFmtId="0" fontId="18" fillId="0" borderId="0"/>
    <xf numFmtId="0" fontId="18" fillId="0" borderId="0" applyFont="0" applyFill="0" applyBorder="0" applyAlignment="0" applyProtection="0"/>
    <xf numFmtId="177" fontId="21" fillId="29" borderId="0" applyFont="0">
      <alignment horizont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2" fillId="0" borderId="0" applyNumberFormat="0" applyFont="0" applyFill="0" applyBorder="0" applyProtection="0">
      <alignment horizontal="left" vertical="center"/>
    </xf>
    <xf numFmtId="0" fontId="18" fillId="0" borderId="0"/>
    <xf numFmtId="0" fontId="18" fillId="0" borderId="0"/>
    <xf numFmtId="0" fontId="18" fillId="0" borderId="0"/>
    <xf numFmtId="0" fontId="18" fillId="0" borderId="0"/>
    <xf numFmtId="0" fontId="127" fillId="0" borderId="0" applyNumberFormat="0" applyFill="0" applyBorder="0" applyAlignment="0" applyProtection="0">
      <alignment vertical="top"/>
      <protection locked="0"/>
    </xf>
    <xf numFmtId="1" fontId="48" fillId="0" borderId="3" applyNumberFormat="0" applyFont="0" applyFill="0" applyAlignment="0" applyProtection="0">
      <alignment horizontal="center"/>
    </xf>
    <xf numFmtId="1" fontId="48" fillId="0" borderId="3" applyNumberFormat="0" applyFont="0" applyFill="0" applyAlignment="0" applyProtection="0">
      <alignment horizontal="center"/>
    </xf>
    <xf numFmtId="1" fontId="48" fillId="0" borderId="3" applyNumberFormat="0" applyFont="0" applyFill="0" applyAlignment="0" applyProtection="0">
      <alignment horizontal="center"/>
    </xf>
    <xf numFmtId="0" fontId="18" fillId="0" borderId="0"/>
    <xf numFmtId="2" fontId="18" fillId="0" borderId="0" applyNumberFormat="0" applyBorder="0">
      <alignment horizontal="left"/>
    </xf>
    <xf numFmtId="1" fontId="48" fillId="0" borderId="33" applyNumberFormat="0" applyFont="0" applyFill="0" applyProtection="0">
      <alignment horizontal="center"/>
    </xf>
    <xf numFmtId="1" fontId="48" fillId="0" borderId="33" applyNumberFormat="0" applyFont="0" applyFill="0" applyProtection="0">
      <alignment horizontal="center"/>
    </xf>
    <xf numFmtId="1" fontId="48" fillId="0" borderId="33" applyNumberFormat="0" applyFont="0" applyFill="0" applyProtection="0">
      <alignment horizontal="center"/>
    </xf>
    <xf numFmtId="1" fontId="48" fillId="0" borderId="33" applyNumberFormat="0" applyFont="0" applyFill="0" applyProtection="0">
      <alignment horizontal="center"/>
    </xf>
    <xf numFmtId="1" fontId="48" fillId="0" borderId="33" applyNumberFormat="0" applyFont="0" applyFill="0" applyProtection="0">
      <alignment horizontal="center"/>
    </xf>
    <xf numFmtId="1" fontId="48" fillId="0" borderId="33" applyNumberFormat="0" applyFont="0" applyFill="0" applyProtection="0">
      <alignment horizont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7" fontId="22" fillId="0" borderId="0"/>
    <xf numFmtId="310" fontId="116" fillId="66" borderId="39" applyBorder="0">
      <protection locked="0"/>
    </xf>
    <xf numFmtId="0" fontId="22" fillId="0" borderId="0" applyNumberFormat="0" applyFill="0" applyBorder="0" applyAlignment="0" applyProtection="0"/>
    <xf numFmtId="0" fontId="22" fillId="0" borderId="0" applyNumberFormat="0" applyFill="0" applyBorder="0" applyAlignment="0" applyProtection="0"/>
    <xf numFmtId="0" fontId="128" fillId="0" borderId="0" applyNumberFormat="0" applyFill="0" applyBorder="0" applyAlignment="0" applyProtection="0"/>
    <xf numFmtId="270" fontId="48" fillId="0" borderId="0" applyFill="0" applyBorder="0" applyAlignment="0" applyProtection="0"/>
    <xf numFmtId="0" fontId="18" fillId="0" borderId="0"/>
    <xf numFmtId="0" fontId="18" fillId="0" borderId="0"/>
    <xf numFmtId="0" fontId="22" fillId="0" borderId="0"/>
    <xf numFmtId="311"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312" fontId="18" fillId="0" borderId="3" applyFont="0" applyFill="0" applyBorder="0" applyAlignment="0" applyProtection="0">
      <protection locked="0"/>
    </xf>
    <xf numFmtId="312" fontId="18" fillId="0" borderId="3" applyFont="0" applyFill="0" applyBorder="0" applyAlignment="0" applyProtection="0">
      <protection locked="0"/>
    </xf>
    <xf numFmtId="312" fontId="18" fillId="0" borderId="3" applyFont="0" applyFill="0" applyBorder="0" applyAlignment="0" applyProtection="0">
      <protection locked="0"/>
    </xf>
    <xf numFmtId="0" fontId="18" fillId="0" borderId="0"/>
    <xf numFmtId="0" fontId="18" fillId="0" borderId="0"/>
    <xf numFmtId="0" fontId="18" fillId="0" borderId="0"/>
    <xf numFmtId="243" fontId="18" fillId="0" borderId="0" applyFont="0" applyFill="0" applyBorder="0" applyAlignment="0" applyProtection="0"/>
    <xf numFmtId="243" fontId="18" fillId="0" borderId="0" applyFont="0" applyFill="0" applyBorder="0" applyAlignment="0" applyProtection="0"/>
    <xf numFmtId="313" fontId="18" fillId="0" borderId="0" applyFont="0" applyFill="0" applyBorder="0" applyAlignment="0" applyProtection="0"/>
    <xf numFmtId="278" fontId="18" fillId="0" borderId="0" applyFont="0" applyFill="0" applyBorder="0" applyAlignment="0" applyProtection="0"/>
    <xf numFmtId="314"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7" fontId="109" fillId="0" borderId="0" applyFont="0" applyFill="0" applyBorder="0">
      <alignment horizontal="right"/>
    </xf>
    <xf numFmtId="17" fontId="66" fillId="0" borderId="0" applyFont="0" applyFill="0" applyBorder="0" applyAlignment="0" applyProtection="0">
      <alignment horizontal="center"/>
    </xf>
    <xf numFmtId="315" fontId="22" fillId="0" borderId="3" applyFont="0" applyFill="0" applyBorder="0" applyProtection="0"/>
    <xf numFmtId="315" fontId="22" fillId="0" borderId="3" applyFont="0" applyFill="0" applyBorder="0" applyProtection="0"/>
    <xf numFmtId="315" fontId="22" fillId="0" borderId="3" applyFont="0" applyFill="0" applyBorder="0" applyProtection="0"/>
    <xf numFmtId="316" fontId="22" fillId="0" borderId="3" applyFont="0" applyFill="0" applyBorder="0" applyAlignment="0" applyProtection="0"/>
    <xf numFmtId="316" fontId="22" fillId="0" borderId="3" applyFont="0" applyFill="0" applyBorder="0" applyAlignment="0" applyProtection="0"/>
    <xf numFmtId="316" fontId="22" fillId="0" borderId="3" applyFont="0" applyFill="0" applyBorder="0" applyAlignment="0" applyProtection="0"/>
    <xf numFmtId="0" fontId="18" fillId="0" borderId="0"/>
    <xf numFmtId="315" fontId="22" fillId="0" borderId="0" applyFont="0" applyFill="0" applyBorder="0" applyAlignment="0" applyProtection="0"/>
    <xf numFmtId="316" fontId="22" fillId="0" borderId="0" applyFont="0" applyFill="0" applyBorder="0" applyAlignment="0" applyProtection="0"/>
    <xf numFmtId="317" fontId="44" fillId="0" borderId="0" applyFont="0" applyFill="0" applyBorder="0" applyAlignment="0" applyProtection="0"/>
    <xf numFmtId="318" fontId="27" fillId="0" borderId="0" applyFont="0" applyFill="0" applyBorder="0" applyAlignment="0" applyProtection="0"/>
    <xf numFmtId="319" fontId="44" fillId="0" borderId="0" applyFont="0" applyFill="0" applyBorder="0" applyAlignment="0" applyProtection="0"/>
    <xf numFmtId="0" fontId="18" fillId="0" borderId="0"/>
    <xf numFmtId="320" fontId="44"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167" fontId="48" fillId="29" borderId="0" applyFont="0" applyBorder="0" applyAlignment="0" applyProtection="0">
      <alignment horizontal="right"/>
      <protection hidden="1"/>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40" fontId="42" fillId="0" borderId="0" applyFont="0" applyFill="0" applyBorder="0" applyAlignment="0" applyProtection="0">
      <alignment horizontal="center"/>
    </xf>
    <xf numFmtId="0" fontId="18" fillId="0" borderId="0"/>
    <xf numFmtId="321" fontId="22" fillId="0" borderId="0"/>
    <xf numFmtId="0" fontId="18" fillId="0" borderId="0"/>
    <xf numFmtId="0" fontId="18" fillId="0" borderId="0"/>
    <xf numFmtId="0" fontId="63" fillId="0" borderId="0" applyNumberFormat="0" applyFill="0" applyAlignment="0" applyProtection="0"/>
    <xf numFmtId="0" fontId="18" fillId="0" borderId="0"/>
    <xf numFmtId="0" fontId="18" fillId="0" borderId="0"/>
    <xf numFmtId="322" fontId="18" fillId="0" borderId="0"/>
    <xf numFmtId="0" fontId="18" fillId="0" borderId="0"/>
    <xf numFmtId="0" fontId="2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38" fontId="48" fillId="0" borderId="0" applyFont="0" applyFill="0" applyBorder="0" applyAlignment="0"/>
    <xf numFmtId="270" fontId="18" fillId="0" borderId="0" applyFont="0" applyFill="0" applyBorder="0" applyAlignment="0"/>
    <xf numFmtId="40" fontId="48" fillId="0" borderId="0" applyFont="0" applyFill="0" applyBorder="0" applyAlignment="0"/>
    <xf numFmtId="274" fontId="48" fillId="0" borderId="0" applyFont="0" applyFill="0" applyBorder="0" applyAlignment="0"/>
    <xf numFmtId="0" fontId="18" fillId="0" borderId="0"/>
    <xf numFmtId="0" fontId="1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0" borderId="0"/>
    <xf numFmtId="0" fontId="18" fillId="0" borderId="0"/>
    <xf numFmtId="0" fontId="18" fillId="0" borderId="0"/>
    <xf numFmtId="0" fontId="18" fillId="0" borderId="0"/>
    <xf numFmtId="0" fontId="13" fillId="0" borderId="0"/>
    <xf numFmtId="0" fontId="18" fillId="0" borderId="0"/>
    <xf numFmtId="0" fontId="13" fillId="0" borderId="0"/>
    <xf numFmtId="0" fontId="18" fillId="0" borderId="0"/>
    <xf numFmtId="0" fontId="13" fillId="0" borderId="0"/>
    <xf numFmtId="0" fontId="18" fillId="0" borderId="0"/>
    <xf numFmtId="0" fontId="13" fillId="0" borderId="0"/>
    <xf numFmtId="0" fontId="18" fillId="0" borderId="0"/>
    <xf numFmtId="0" fontId="18" fillId="0" borderId="0"/>
    <xf numFmtId="0" fontId="13" fillId="0" borderId="0"/>
    <xf numFmtId="0" fontId="18" fillId="0" borderId="0"/>
    <xf numFmtId="0" fontId="13" fillId="0" borderId="0"/>
    <xf numFmtId="0" fontId="13" fillId="0" borderId="0"/>
    <xf numFmtId="0" fontId="18" fillId="0" borderId="0"/>
    <xf numFmtId="0" fontId="18" fillId="0" borderId="0"/>
    <xf numFmtId="0" fontId="18" fillId="0" borderId="0"/>
    <xf numFmtId="0" fontId="18" fillId="0" borderId="0"/>
    <xf numFmtId="0" fontId="18" fillId="0" borderId="0"/>
    <xf numFmtId="0" fontId="101" fillId="0" borderId="0"/>
    <xf numFmtId="0" fontId="18" fillId="0" borderId="0"/>
    <xf numFmtId="0" fontId="18" fillId="0" borderId="0"/>
    <xf numFmtId="0" fontId="2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47" fontId="1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0" borderId="0"/>
    <xf numFmtId="0" fontId="101" fillId="0" borderId="0"/>
    <xf numFmtId="0" fontId="10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01" fillId="0" borderId="0"/>
    <xf numFmtId="0" fontId="101" fillId="0" borderId="0"/>
    <xf numFmtId="0" fontId="1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0" borderId="0"/>
    <xf numFmtId="0" fontId="18" fillId="0" borderId="0"/>
    <xf numFmtId="0" fontId="13" fillId="0" borderId="0"/>
    <xf numFmtId="0" fontId="18" fillId="0" borderId="0"/>
    <xf numFmtId="323" fontId="34" fillId="0" borderId="0">
      <alignment horizontal="right"/>
    </xf>
    <xf numFmtId="323" fontId="34" fillId="0" borderId="0">
      <alignment horizontal="right"/>
    </xf>
    <xf numFmtId="0" fontId="18" fillId="0" borderId="0"/>
    <xf numFmtId="1" fontId="66" fillId="0" borderId="0" applyFont="0" applyFill="0" applyBorder="0" applyAlignment="0" applyProtection="0">
      <alignment horizontal="center"/>
    </xf>
    <xf numFmtId="324" fontId="48" fillId="0" borderId="0" applyFont="0" applyFill="0" applyBorder="0" applyAlignment="0" applyProtection="0"/>
    <xf numFmtId="41" fontId="129" fillId="0" borderId="0"/>
    <xf numFmtId="270" fontId="18" fillId="0" borderId="0">
      <alignment horizontal="right"/>
    </xf>
    <xf numFmtId="270" fontId="48" fillId="0" borderId="0"/>
    <xf numFmtId="0" fontId="18" fillId="0" borderId="0"/>
    <xf numFmtId="40" fontId="48" fillId="0" borderId="0"/>
    <xf numFmtId="325" fontId="18" fillId="0" borderId="0"/>
    <xf numFmtId="38" fontId="18" fillId="0" borderId="0"/>
    <xf numFmtId="0" fontId="18" fillId="0" borderId="0"/>
    <xf numFmtId="0" fontId="18" fillId="0" borderId="0"/>
    <xf numFmtId="0" fontId="18" fillId="0" borderId="0"/>
    <xf numFmtId="0" fontId="18" fillId="0" borderId="0"/>
    <xf numFmtId="269" fontId="130" fillId="0" borderId="0">
      <alignment horizontal="right"/>
    </xf>
    <xf numFmtId="0" fontId="18" fillId="0" borderId="0"/>
    <xf numFmtId="0" fontId="18" fillId="0" borderId="0"/>
    <xf numFmtId="0" fontId="18" fillId="0" borderId="0"/>
    <xf numFmtId="39" fontId="48" fillId="0" borderId="0"/>
    <xf numFmtId="0" fontId="18" fillId="0" borderId="0"/>
    <xf numFmtId="40" fontId="18" fillId="0" borderId="0" applyBorder="0">
      <alignment horizontal="right"/>
    </xf>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8" fillId="0" borderId="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270" fontId="4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40" fontId="18" fillId="0" borderId="0" applyFont="0" applyFill="0" applyBorder="0" applyAlignment="0" applyProtection="0">
      <alignment horizontal="center"/>
    </xf>
    <xf numFmtId="0" fontId="18" fillId="0" borderId="0"/>
    <xf numFmtId="0" fontId="18" fillId="0" borderId="0"/>
    <xf numFmtId="0" fontId="18" fillId="0" borderId="0"/>
    <xf numFmtId="0" fontId="18" fillId="0" borderId="0"/>
    <xf numFmtId="43" fontId="22" fillId="0" borderId="0" applyFont="0" applyFill="0" applyBorder="0" applyAlignment="0" applyProtection="0"/>
    <xf numFmtId="0" fontId="18" fillId="0" borderId="0"/>
    <xf numFmtId="0" fontId="18" fillId="0" borderId="0"/>
    <xf numFmtId="0" fontId="18" fillId="0" borderId="0"/>
    <xf numFmtId="0" fontId="131" fillId="0" borderId="0">
      <alignment horizontal="left" vertical="top"/>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2" fillId="0" borderId="3" applyNumberFormat="0" applyFill="0" applyBorder="0" applyAlignment="0">
      <protection locked="0"/>
    </xf>
    <xf numFmtId="0" fontId="132" fillId="0" borderId="3" applyNumberFormat="0" applyFill="0" applyBorder="0" applyAlignment="0">
      <protection locked="0"/>
    </xf>
    <xf numFmtId="0" fontId="132" fillId="0" borderId="3" applyNumberFormat="0" applyFill="0" applyBorder="0" applyAlignment="0">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6" fillId="0" borderId="0" applyNumberFormat="0" applyFill="0" applyBorder="0" applyAlignment="0" applyProtection="0"/>
    <xf numFmtId="326" fontId="48" fillId="0" borderId="0"/>
    <xf numFmtId="0" fontId="18" fillId="0" borderId="0"/>
    <xf numFmtId="0" fontId="18" fillId="0" borderId="0"/>
    <xf numFmtId="0" fontId="18" fillId="0" borderId="0"/>
    <xf numFmtId="0" fontId="18" fillId="0" borderId="0"/>
    <xf numFmtId="0" fontId="103" fillId="0" borderId="0"/>
    <xf numFmtId="327" fontId="18" fillId="0" borderId="0" applyFont="0" applyFill="0" applyBorder="0" applyAlignment="0" applyProtection="0"/>
    <xf numFmtId="328"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329" fontId="44" fillId="0" borderId="0" applyFont="0" applyFill="0" applyBorder="0" applyAlignment="0" applyProtection="0"/>
    <xf numFmtId="165" fontId="133" fillId="0" borderId="0" applyFont="0" applyFill="0" applyBorder="0" applyAlignment="0" applyProtection="0"/>
    <xf numFmtId="0" fontId="18" fillId="0" borderId="0"/>
    <xf numFmtId="0" fontId="18" fillId="0" borderId="0"/>
    <xf numFmtId="0" fontId="18" fillId="0" borderId="0"/>
    <xf numFmtId="330" fontId="18" fillId="0" borderId="0" applyFont="0" applyFill="0" applyBorder="0" applyAlignment="0" applyProtection="0"/>
    <xf numFmtId="331" fontId="18" fillId="0" borderId="0" applyFont="0" applyFill="0" applyBorder="0" applyAlignment="0" applyProtection="0"/>
    <xf numFmtId="276" fontId="18" fillId="0" borderId="0" applyFont="0" applyFill="0" applyBorder="0" applyAlignment="0" applyProtection="0"/>
    <xf numFmtId="278" fontId="22" fillId="0" borderId="0" applyFont="0" applyFill="0" applyBorder="0" applyAlignment="0" applyProtection="0"/>
    <xf numFmtId="185" fontId="22" fillId="0" borderId="0" applyFont="0" applyFill="0" applyBorder="0" applyAlignment="0" applyProtection="0"/>
    <xf numFmtId="332" fontId="22" fillId="0" borderId="0" applyFont="0" applyFill="0" applyBorder="0" applyAlignment="0" applyProtection="0"/>
    <xf numFmtId="282" fontId="18" fillId="0" borderId="0" applyFont="0" applyFill="0" applyBorder="0" applyAlignment="0" applyProtection="0"/>
    <xf numFmtId="0" fontId="18" fillId="0" borderId="0"/>
    <xf numFmtId="0" fontId="18" fillId="0" borderId="0"/>
    <xf numFmtId="0" fontId="18" fillId="0" borderId="0"/>
    <xf numFmtId="9" fontId="13" fillId="0" borderId="0" applyFont="0" applyFill="0" applyBorder="0" applyAlignment="0" applyProtection="0"/>
    <xf numFmtId="9" fontId="101" fillId="0" borderId="0" applyFont="0" applyFill="0" applyBorder="0" applyAlignment="0" applyProtection="0"/>
    <xf numFmtId="9" fontId="18" fillId="0" borderId="0" applyFont="0" applyFill="0" applyBorder="0" applyAlignment="0" applyProtection="0"/>
    <xf numFmtId="9" fontId="13"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24"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9" fontId="80" fillId="0" borderId="0" applyFont="0" applyFill="0" applyBorder="0" applyAlignment="0" applyProtection="0"/>
    <xf numFmtId="0" fontId="18" fillId="0" borderId="0"/>
    <xf numFmtId="0" fontId="18" fillId="0" borderId="0"/>
    <xf numFmtId="0" fontId="18" fillId="0" borderId="0"/>
    <xf numFmtId="9" fontId="18" fillId="0" borderId="0" applyFont="0" applyFill="0" applyBorder="0" applyAlignment="0" applyProtection="0"/>
    <xf numFmtId="0" fontId="18" fillId="0" borderId="0"/>
    <xf numFmtId="0" fontId="18" fillId="0" borderId="0"/>
    <xf numFmtId="307" fontId="66" fillId="0" borderId="0" applyFont="0" applyFill="0" applyBorder="0" applyAlignment="0" applyProtection="0">
      <alignment horizont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333" fontId="18" fillId="0" borderId="0" applyFill="0" applyBorder="0">
      <alignment horizontal="right"/>
      <protection locked="0"/>
    </xf>
    <xf numFmtId="334" fontId="134" fillId="0" borderId="0" applyFont="0" applyFill="0" applyBorder="0" applyAlignment="0" applyProtection="0">
      <protection locked="0"/>
    </xf>
    <xf numFmtId="0" fontId="18" fillId="0" borderId="0"/>
    <xf numFmtId="0" fontId="18" fillId="0" borderId="0"/>
    <xf numFmtId="335" fontId="48" fillId="0" borderId="0" applyFont="0" applyFill="0" applyBorder="0" applyAlignment="0" applyProtection="0"/>
    <xf numFmtId="336" fontId="48" fillId="0" borderId="0" applyFont="0" applyFill="0" applyBorder="0" applyAlignment="0" applyProtection="0"/>
    <xf numFmtId="0" fontId="18" fillId="0" borderId="0"/>
    <xf numFmtId="0" fontId="18" fillId="0" borderId="0"/>
    <xf numFmtId="0" fontId="18" fillId="0" borderId="0"/>
    <xf numFmtId="0" fontId="18" fillId="0" borderId="0"/>
    <xf numFmtId="337" fontId="22"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8" fontId="135" fillId="0" borderId="40">
      <alignment horizontal="right"/>
    </xf>
    <xf numFmtId="0" fontId="18" fillId="0" borderId="0"/>
    <xf numFmtId="0" fontId="18" fillId="0" borderId="0"/>
    <xf numFmtId="0" fontId="18" fillId="0" borderId="0"/>
    <xf numFmtId="0" fontId="18" fillId="0" borderId="0"/>
    <xf numFmtId="0" fontId="136" fillId="0" borderId="0"/>
    <xf numFmtId="0" fontId="136" fillId="0" borderId="41">
      <alignment horizontal="right"/>
    </xf>
    <xf numFmtId="0" fontId="13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7" fillId="0" borderId="0"/>
    <xf numFmtId="0" fontId="18" fillId="0" borderId="0"/>
    <xf numFmtId="0" fontId="18" fillId="0" borderId="0"/>
    <xf numFmtId="0" fontId="18" fillId="0" borderId="0"/>
    <xf numFmtId="338" fontId="18" fillId="0" borderId="0">
      <alignment horizontal="right"/>
      <protection locked="0"/>
    </xf>
    <xf numFmtId="0" fontId="18" fillId="0" borderId="0"/>
    <xf numFmtId="0" fontId="18" fillId="0" borderId="0"/>
    <xf numFmtId="0" fontId="18" fillId="0" borderId="0"/>
    <xf numFmtId="0" fontId="18" fillId="0" borderId="0"/>
    <xf numFmtId="0" fontId="18" fillId="0" borderId="0"/>
    <xf numFmtId="270" fontId="138" fillId="0" borderId="0" applyNumberFormat="0" applyFill="0" applyBorder="0" applyAlignment="0" applyProtection="0">
      <alignment horizontal="left"/>
    </xf>
    <xf numFmtId="0" fontId="18" fillId="0" borderId="0"/>
    <xf numFmtId="0" fontId="18" fillId="0" borderId="0"/>
    <xf numFmtId="192" fontId="22" fillId="0" borderId="0">
      <alignment horizontal="right"/>
    </xf>
    <xf numFmtId="0" fontId="18" fillId="0" borderId="0"/>
    <xf numFmtId="339" fontId="18" fillId="0" borderId="42" applyBorder="0">
      <alignment horizontal="right"/>
    </xf>
    <xf numFmtId="339" fontId="18" fillId="0" borderId="42" applyBorder="0">
      <alignment horizontal="right"/>
    </xf>
    <xf numFmtId="339" fontId="18" fillId="0" borderId="42" applyBorder="0">
      <alignment horizontal="right"/>
    </xf>
    <xf numFmtId="339" fontId="18" fillId="0" borderId="42" applyBorder="0">
      <alignment horizontal="right"/>
    </xf>
    <xf numFmtId="0" fontId="18" fillId="0" borderId="0"/>
    <xf numFmtId="0" fontId="18" fillId="0" borderId="0"/>
    <xf numFmtId="0" fontId="18" fillId="0" borderId="0"/>
    <xf numFmtId="0" fontId="18" fillId="0" borderId="0"/>
    <xf numFmtId="0" fontId="18" fillId="0" borderId="0"/>
    <xf numFmtId="0" fontId="18" fillId="0" borderId="0"/>
    <xf numFmtId="0" fontId="139" fillId="0" borderId="0">
      <alignment horizontal="right"/>
    </xf>
    <xf numFmtId="0" fontId="140" fillId="0" borderId="0">
      <alignment horizontal="right"/>
    </xf>
    <xf numFmtId="0" fontId="32"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1" fillId="0" borderId="43"/>
    <xf numFmtId="0" fontId="141" fillId="0" borderId="43"/>
    <xf numFmtId="0" fontId="141" fillId="0" borderId="43"/>
    <xf numFmtId="0" fontId="141" fillId="0" borderId="43"/>
    <xf numFmtId="0" fontId="141" fillId="0" borderId="43"/>
    <xf numFmtId="0" fontId="141" fillId="0" borderId="43"/>
    <xf numFmtId="0" fontId="18" fillId="0" borderId="0"/>
    <xf numFmtId="0" fontId="116" fillId="62" borderId="29">
      <alignment horizontal="center" vertical="center" wrapText="1"/>
      <protection hidden="1"/>
    </xf>
    <xf numFmtId="0" fontId="116" fillId="62" borderId="29">
      <alignment horizontal="center" vertical="center" wrapText="1"/>
      <protection hidden="1"/>
    </xf>
    <xf numFmtId="0" fontId="116" fillId="62" borderId="29">
      <alignment horizontal="center" vertical="center" wrapText="1"/>
      <protection hidden="1"/>
    </xf>
    <xf numFmtId="0" fontId="116" fillId="62" borderId="29">
      <alignment horizontal="center" vertical="center" wrapText="1"/>
      <protection hidden="1"/>
    </xf>
    <xf numFmtId="0" fontId="116" fillId="62" borderId="29">
      <alignment horizontal="center" vertical="center" wrapText="1"/>
      <protection hidden="1"/>
    </xf>
    <xf numFmtId="0" fontId="116" fillId="62" borderId="29">
      <alignment horizontal="center" vertical="center" wrapText="1"/>
      <protection hidden="1"/>
    </xf>
    <xf numFmtId="340" fontId="22" fillId="0" borderId="0" applyFont="0" applyFill="0" applyBorder="0" applyAlignment="0" applyProtection="0">
      <alignment vertical="center"/>
    </xf>
    <xf numFmtId="0" fontId="18" fillId="0" borderId="0"/>
    <xf numFmtId="0" fontId="18" fillId="0" borderId="0"/>
    <xf numFmtId="0" fontId="142" fillId="1" borderId="35" applyNumberFormat="0" applyFont="0" applyAlignment="0">
      <alignment horizontal="center"/>
    </xf>
    <xf numFmtId="0" fontId="142" fillId="1" borderId="35" applyNumberFormat="0" applyFont="0" applyAlignment="0">
      <alignment horizontal="center"/>
    </xf>
    <xf numFmtId="0" fontId="142" fillId="1" borderId="35" applyNumberFormat="0" applyFont="0" applyAlignment="0">
      <alignment horizontal="center"/>
    </xf>
    <xf numFmtId="0" fontId="142" fillId="1" borderId="35" applyNumberFormat="0" applyFont="0" applyAlignment="0">
      <alignment horizontal="center"/>
    </xf>
    <xf numFmtId="0" fontId="18" fillId="0" borderId="0"/>
    <xf numFmtId="274" fontId="27" fillId="0" borderId="0" applyFont="0" applyFill="0" applyBorder="0" applyAlignment="0" applyProtection="0"/>
    <xf numFmtId="37" fontId="18" fillId="0" borderId="29" applyBorder="0">
      <alignment horizontal="right"/>
      <protection locked="0"/>
    </xf>
    <xf numFmtId="37" fontId="18" fillId="0" borderId="29" applyBorder="0">
      <alignment horizontal="right"/>
      <protection locked="0"/>
    </xf>
    <xf numFmtId="37" fontId="18" fillId="0" borderId="29" applyBorder="0">
      <alignment horizontal="right"/>
      <protection locked="0"/>
    </xf>
    <xf numFmtId="37" fontId="18" fillId="0" borderId="29" applyBorder="0">
      <alignment horizontal="right"/>
      <protection locked="0"/>
    </xf>
    <xf numFmtId="37" fontId="18" fillId="0" borderId="29" applyBorder="0">
      <alignment horizontal="right"/>
      <protection locked="0"/>
    </xf>
    <xf numFmtId="37" fontId="18" fillId="0" borderId="29" applyBorder="0">
      <alignment horizontal="right"/>
      <protection locked="0"/>
    </xf>
    <xf numFmtId="0" fontId="18" fillId="0" borderId="0"/>
    <xf numFmtId="1" fontId="18" fillId="0" borderId="0"/>
    <xf numFmtId="0" fontId="18" fillId="0" borderId="0"/>
    <xf numFmtId="0" fontId="18" fillId="0" borderId="0"/>
    <xf numFmtId="0" fontId="63" fillId="0" borderId="3" applyNumberFormat="0" applyFill="0" applyAlignment="0" applyProtection="0"/>
    <xf numFmtId="0" fontId="63" fillId="0" borderId="3" applyNumberFormat="0" applyFill="0" applyAlignment="0" applyProtection="0"/>
    <xf numFmtId="0" fontId="63" fillId="0" borderId="3" applyNumberFormat="0" applyFill="0" applyAlignment="0" applyProtection="0"/>
    <xf numFmtId="1" fontId="18" fillId="0" borderId="0" applyNumberFormat="0" applyFill="0" applyBorder="0" applyAlignment="0" applyProtection="0">
      <alignment horizontal="center"/>
    </xf>
    <xf numFmtId="1" fontId="21" fillId="0" borderId="0" applyNumberFormat="0" applyFill="0" applyBorder="0" applyAlignment="0" applyProtection="0">
      <alignment horizontal="center"/>
    </xf>
    <xf numFmtId="0" fontId="18" fillId="0" borderId="0"/>
    <xf numFmtId="0" fontId="18" fillId="0" borderId="0"/>
    <xf numFmtId="0" fontId="18" fillId="0" borderId="0"/>
    <xf numFmtId="289" fontId="22" fillId="0" borderId="0">
      <alignment horizontal="center"/>
    </xf>
    <xf numFmtId="6" fontId="26" fillId="0" borderId="0">
      <alignment horizontal="right" vertical="center"/>
    </xf>
    <xf numFmtId="37" fontId="26" fillId="31" borderId="17">
      <alignment horizontal="right" vertical="center"/>
    </xf>
    <xf numFmtId="38" fontId="26" fillId="0" borderId="0">
      <alignment horizontal="right" vertical="center"/>
    </xf>
    <xf numFmtId="9" fontId="26" fillId="0" borderId="0">
      <alignment horizontal="right" vertical="center"/>
    </xf>
    <xf numFmtId="0" fontId="26" fillId="0" borderId="0"/>
    <xf numFmtId="270" fontId="48" fillId="66" borderId="0" applyNumberFormat="0" applyFont="0" applyBorder="0" applyAlignment="0">
      <protection hidden="1"/>
    </xf>
    <xf numFmtId="0" fontId="18" fillId="0" borderId="0"/>
    <xf numFmtId="0" fontId="44" fillId="0" borderId="44"/>
    <xf numFmtId="0" fontId="44" fillId="0" borderId="44"/>
    <xf numFmtId="0" fontId="18" fillId="0" borderId="0"/>
    <xf numFmtId="0" fontId="18" fillId="0" borderId="0">
      <alignment vertical="top"/>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30" fillId="0" borderId="0">
      <alignment vertical="top"/>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alignment vertical="top"/>
    </xf>
    <xf numFmtId="0" fontId="18" fillId="0" borderId="0"/>
    <xf numFmtId="0" fontId="18" fillId="0" borderId="0"/>
    <xf numFmtId="0" fontId="18" fillId="0" borderId="0"/>
    <xf numFmtId="0" fontId="82" fillId="0" borderId="45" applyNumberFormat="0" applyFill="0" applyProtection="0">
      <alignment horizontal="right" wrapText="1"/>
    </xf>
    <xf numFmtId="0" fontId="82" fillId="0" borderId="45" applyNumberFormat="0" applyFill="0" applyProtection="0">
      <alignment horizontal="right" wrapText="1"/>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48" fillId="0" borderId="0" applyNumberFormat="0" applyFill="0" applyBorder="0" applyAlignment="0" applyProtection="0"/>
    <xf numFmtId="0" fontId="48" fillId="0" borderId="0" applyNumberFormat="0" applyFill="0" applyBorder="0" applyAlignment="0" applyProtection="0"/>
    <xf numFmtId="0" fontId="18" fillId="0" borderId="0"/>
    <xf numFmtId="0" fontId="48" fillId="0" borderId="0" applyNumberFormat="0" applyFill="0" applyBorder="0" applyAlignment="0" applyProtection="0"/>
    <xf numFmtId="0" fontId="48" fillId="0" borderId="0" applyNumberForma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3" fillId="0" borderId="0"/>
    <xf numFmtId="270" fontId="27" fillId="0" borderId="0" applyFill="0" applyBorder="0" applyAlignment="0" applyProtection="0"/>
    <xf numFmtId="0" fontId="18" fillId="0" borderId="0"/>
    <xf numFmtId="0" fontId="37" fillId="0" borderId="46"/>
    <xf numFmtId="0" fontId="14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341" fontId="145" fillId="0" borderId="45" applyBorder="0" applyProtection="0">
      <alignment horizontal="right" vertical="center"/>
    </xf>
    <xf numFmtId="341" fontId="145" fillId="0" borderId="45" applyBorder="0" applyProtection="0">
      <alignment horizontal="right" vertical="center"/>
    </xf>
    <xf numFmtId="0" fontId="18" fillId="0" borderId="0"/>
    <xf numFmtId="0" fontId="18" fillId="0" borderId="0"/>
    <xf numFmtId="0" fontId="146" fillId="34" borderId="45" applyBorder="0" applyProtection="0">
      <alignment horizontal="centerContinuous" vertical="center"/>
    </xf>
    <xf numFmtId="0" fontId="146" fillId="34" borderId="45" applyBorder="0" applyProtection="0">
      <alignment horizontal="centerContinuous" vertic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47" applyAlignment="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5" fontId="147" fillId="0" borderId="0"/>
    <xf numFmtId="270" fontId="18" fillId="67" borderId="0" applyNumberFormat="0" applyFon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65" fontId="18" fillId="0" borderId="0" applyFont="0" applyFill="0" applyBorder="0" applyAlignment="0" applyProtection="0">
      <alignment horizontal="center"/>
    </xf>
    <xf numFmtId="0" fontId="148" fillId="0" borderId="2" applyNumberFormat="0" applyFill="0" applyAlignment="0" applyProtection="0"/>
    <xf numFmtId="0" fontId="149" fillId="0" borderId="0" applyNumberFormat="0" applyFill="0" applyBorder="0" applyAlignment="0" applyProtection="0"/>
    <xf numFmtId="0" fontId="155" fillId="0" borderId="0"/>
    <xf numFmtId="9" fontId="157" fillId="0" borderId="0" applyFont="0" applyFill="0" applyBorder="0" applyAlignment="0" applyProtection="0"/>
    <xf numFmtId="44" fontId="159" fillId="0" borderId="0" applyFont="0" applyFill="0" applyBorder="0" applyAlignment="0" applyProtection="0"/>
    <xf numFmtId="9" fontId="159" fillId="0" borderId="0" applyFont="0" applyFill="0" applyBorder="0" applyAlignment="0" applyProtection="0"/>
    <xf numFmtId="43" fontId="159" fillId="0" borderId="0" applyFont="0" applyFill="0" applyBorder="0" applyAlignment="0" applyProtection="0"/>
    <xf numFmtId="43" fontId="157" fillId="0" borderId="0" applyFont="0" applyFill="0" applyBorder="0" applyAlignment="0" applyProtection="0"/>
    <xf numFmtId="43" fontId="157" fillId="0" borderId="0" applyFont="0" applyFill="0" applyBorder="0" applyAlignment="0" applyProtection="0"/>
    <xf numFmtId="43" fontId="12" fillId="0" borderId="0" applyFont="0" applyFill="0" applyBorder="0" applyAlignment="0" applyProtection="0"/>
    <xf numFmtId="9" fontId="12" fillId="0" borderId="0" applyFont="0" applyFill="0" applyBorder="0" applyAlignment="0" applyProtection="0"/>
    <xf numFmtId="44" fontId="12" fillId="0" borderId="0" applyFont="0" applyFill="0" applyBorder="0" applyAlignment="0" applyProtection="0"/>
    <xf numFmtId="0" fontId="46" fillId="32" borderId="71">
      <alignment horizontal="center"/>
    </xf>
    <xf numFmtId="0" fontId="47" fillId="35" borderId="71">
      <alignment horizontal="center" vertical="center"/>
    </xf>
    <xf numFmtId="3" fontId="48" fillId="0" borderId="71"/>
    <xf numFmtId="4" fontId="48" fillId="0" borderId="71"/>
    <xf numFmtId="219" fontId="18" fillId="0" borderId="71">
      <alignment horizontal="center" vertical="center"/>
    </xf>
    <xf numFmtId="0" fontId="49" fillId="0" borderId="71">
      <alignment horizontal="center"/>
    </xf>
    <xf numFmtId="0" fontId="50" fillId="36" borderId="71">
      <alignment horizontal="center"/>
    </xf>
    <xf numFmtId="0" fontId="46" fillId="32" borderId="71"/>
    <xf numFmtId="0" fontId="47" fillId="35" borderId="71">
      <alignment horizontal="center" vertical="center"/>
    </xf>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37" fontId="47" fillId="1" borderId="72">
      <alignment horizontal="centerContinuous" vertical="center"/>
    </xf>
    <xf numFmtId="37" fontId="47" fillId="1" borderId="72">
      <alignment horizontal="centerContinuous"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177" fontId="27" fillId="0" borderId="72"/>
    <xf numFmtId="177" fontId="27" fillId="0" borderId="72"/>
    <xf numFmtId="177" fontId="27" fillId="0" borderId="72"/>
    <xf numFmtId="177" fontId="27" fillId="0" borderId="72"/>
    <xf numFmtId="177" fontId="27" fillId="0" borderId="72"/>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5" fontId="58" fillId="0" borderId="72" applyAlignment="0" applyProtection="0"/>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0" fontId="95" fillId="61" borderId="71"/>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0" fontId="106" fillId="0" borderId="71"/>
    <xf numFmtId="44" fontId="12"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302" fontId="88" fillId="0" borderId="72" applyFont="0" applyFill="0" applyBorder="0" applyAlignment="0" applyProtection="0">
      <alignment horizontal="center"/>
    </xf>
    <xf numFmtId="302" fontId="88" fillId="0" borderId="72" applyFont="0" applyFill="0" applyBorder="0" applyAlignment="0" applyProtection="0">
      <alignment horizontal="center"/>
    </xf>
    <xf numFmtId="302" fontId="88" fillId="0" borderId="72" applyFont="0" applyFill="0" applyBorder="0" applyAlignment="0" applyProtection="0">
      <alignment horizontal="center"/>
    </xf>
    <xf numFmtId="302" fontId="88" fillId="0" borderId="72" applyFont="0" applyFill="0" applyBorder="0" applyAlignment="0" applyProtection="0">
      <alignment horizontal="center"/>
    </xf>
    <xf numFmtId="302" fontId="88" fillId="0" borderId="72" applyFont="0" applyFill="0" applyBorder="0" applyAlignment="0" applyProtection="0">
      <alignment horizontal="center"/>
    </xf>
    <xf numFmtId="302" fontId="88" fillId="0" borderId="72" applyFont="0" applyFill="0" applyBorder="0" applyAlignment="0" applyProtection="0">
      <alignment horizontal="center"/>
    </xf>
    <xf numFmtId="186" fontId="48" fillId="0" borderId="72" applyFont="0" applyFill="0" applyBorder="0" applyAlignment="0" applyProtection="0">
      <alignment horizontal="center"/>
    </xf>
    <xf numFmtId="186" fontId="48" fillId="0" borderId="72" applyFont="0" applyFill="0" applyBorder="0" applyAlignment="0" applyProtection="0">
      <alignment horizontal="center"/>
    </xf>
    <xf numFmtId="186" fontId="48" fillId="0" borderId="72" applyFont="0" applyFill="0" applyBorder="0" applyAlignment="0" applyProtection="0">
      <alignment horizontal="center"/>
    </xf>
    <xf numFmtId="186" fontId="48" fillId="0" borderId="72" applyFont="0" applyFill="0" applyBorder="0" applyAlignment="0" applyProtection="0">
      <alignment horizontal="center"/>
    </xf>
    <xf numFmtId="186" fontId="48" fillId="0" borderId="72" applyFont="0" applyFill="0" applyBorder="0" applyAlignment="0" applyProtection="0">
      <alignment horizontal="center"/>
    </xf>
    <xf numFmtId="186" fontId="48" fillId="0" borderId="72" applyFont="0" applyFill="0" applyBorder="0" applyAlignment="0" applyProtection="0">
      <alignment horizontal="center"/>
    </xf>
    <xf numFmtId="2" fontId="18" fillId="36" borderId="68" applyFill="0" applyBorder="0" applyProtection="0">
      <alignment horizontal="center"/>
    </xf>
    <xf numFmtId="2" fontId="18" fillId="36" borderId="68" applyFill="0" applyBorder="0" applyProtection="0">
      <alignment horizontal="center"/>
    </xf>
    <xf numFmtId="2" fontId="18" fillId="36" borderId="68" applyFill="0" applyBorder="0" applyProtection="0">
      <alignment horizontal="center"/>
    </xf>
    <xf numFmtId="2" fontId="18" fillId="36" borderId="68" applyFill="0" applyBorder="0" applyProtection="0">
      <alignment horizontal="center"/>
    </xf>
    <xf numFmtId="2" fontId="18" fillId="36" borderId="68" applyFill="0" applyBorder="0" applyProtection="0">
      <alignment horizontal="center"/>
    </xf>
    <xf numFmtId="2" fontId="18" fillId="36" borderId="68" applyFill="0" applyBorder="0" applyProtection="0">
      <alignment horizontal="center"/>
    </xf>
    <xf numFmtId="0" fontId="116" fillId="0" borderId="73">
      <alignment horizontal="left" vertical="center"/>
    </xf>
    <xf numFmtId="0" fontId="116" fillId="0" borderId="73">
      <alignment horizontal="left" vertical="center"/>
    </xf>
    <xf numFmtId="0" fontId="116" fillId="0" borderId="73">
      <alignment horizontal="left" vertical="center"/>
    </xf>
    <xf numFmtId="0" fontId="116" fillId="0" borderId="73">
      <alignment horizontal="left" vertical="center"/>
    </xf>
    <xf numFmtId="1" fontId="48" fillId="0" borderId="72" applyNumberFormat="0" applyFont="0" applyFill="0" applyProtection="0">
      <alignment horizontal="center"/>
    </xf>
    <xf numFmtId="1" fontId="48" fillId="0" borderId="72" applyNumberFormat="0" applyFont="0" applyFill="0" applyProtection="0">
      <alignment horizontal="center"/>
    </xf>
    <xf numFmtId="1" fontId="48" fillId="0" borderId="72" applyNumberFormat="0" applyFont="0" applyFill="0" applyProtection="0">
      <alignment horizontal="center"/>
    </xf>
    <xf numFmtId="1" fontId="48" fillId="0" borderId="72" applyNumberFormat="0" applyFont="0" applyFill="0" applyProtection="0">
      <alignment horizontal="center"/>
    </xf>
    <xf numFmtId="1" fontId="48" fillId="0" borderId="72" applyNumberFormat="0" applyFont="0" applyFill="0" applyProtection="0">
      <alignment horizontal="center"/>
    </xf>
    <xf numFmtId="1" fontId="48" fillId="0" borderId="72" applyNumberFormat="0" applyFont="0" applyFill="0" applyProtection="0">
      <alignment horizontal="center"/>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247" fontId="12" fillId="0" borderId="0"/>
    <xf numFmtId="0" fontId="12" fillId="0" borderId="0"/>
    <xf numFmtId="0" fontId="12" fillId="0" borderId="0"/>
    <xf numFmtId="0" fontId="12" fillId="0" borderId="0"/>
    <xf numFmtId="0" fontId="12" fillId="0" borderId="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9" fontId="12" fillId="0" borderId="0" applyFont="0" applyFill="0" applyBorder="0" applyAlignment="0" applyProtection="0"/>
    <xf numFmtId="9" fontId="12" fillId="0" borderId="0" applyFont="0" applyFill="0" applyBorder="0" applyAlignment="0" applyProtection="0"/>
    <xf numFmtId="339" fontId="18" fillId="0" borderId="69" applyBorder="0">
      <alignment horizontal="right"/>
    </xf>
    <xf numFmtId="339" fontId="18" fillId="0" borderId="69" applyBorder="0">
      <alignment horizontal="right"/>
    </xf>
    <xf numFmtId="339" fontId="18" fillId="0" borderId="69" applyBorder="0">
      <alignment horizontal="right"/>
    </xf>
    <xf numFmtId="339" fontId="18" fillId="0" borderId="69" applyBorder="0">
      <alignment horizontal="right"/>
    </xf>
    <xf numFmtId="0" fontId="116" fillId="62" borderId="71">
      <alignment horizontal="center" vertical="center" wrapText="1"/>
      <protection hidden="1"/>
    </xf>
    <xf numFmtId="0" fontId="116" fillId="62" borderId="71">
      <alignment horizontal="center" vertical="center" wrapText="1"/>
      <protection hidden="1"/>
    </xf>
    <xf numFmtId="0" fontId="116" fillId="62" borderId="71">
      <alignment horizontal="center" vertical="center" wrapText="1"/>
      <protection hidden="1"/>
    </xf>
    <xf numFmtId="0" fontId="116" fillId="62" borderId="71">
      <alignment horizontal="center" vertical="center" wrapText="1"/>
      <protection hidden="1"/>
    </xf>
    <xf numFmtId="0" fontId="116" fillId="62" borderId="71">
      <alignment horizontal="center" vertical="center" wrapText="1"/>
      <protection hidden="1"/>
    </xf>
    <xf numFmtId="0" fontId="116" fillId="62" borderId="71">
      <alignment horizontal="center" vertical="center" wrapText="1"/>
      <protection hidden="1"/>
    </xf>
    <xf numFmtId="0" fontId="142" fillId="1" borderId="73" applyNumberFormat="0" applyFont="0" applyAlignment="0">
      <alignment horizontal="center"/>
    </xf>
    <xf numFmtId="0" fontId="142" fillId="1" borderId="73" applyNumberFormat="0" applyFont="0" applyAlignment="0">
      <alignment horizontal="center"/>
    </xf>
    <xf numFmtId="0" fontId="142" fillId="1" borderId="73" applyNumberFormat="0" applyFont="0" applyAlignment="0">
      <alignment horizontal="center"/>
    </xf>
    <xf numFmtId="0" fontId="142" fillId="1" borderId="73" applyNumberFormat="0" applyFont="0" applyAlignment="0">
      <alignment horizontal="center"/>
    </xf>
    <xf numFmtId="37" fontId="18" fillId="0" borderId="71" applyBorder="0">
      <alignment horizontal="right"/>
      <protection locked="0"/>
    </xf>
    <xf numFmtId="37" fontId="18" fillId="0" borderId="71" applyBorder="0">
      <alignment horizontal="right"/>
      <protection locked="0"/>
    </xf>
    <xf numFmtId="37" fontId="18" fillId="0" borderId="71" applyBorder="0">
      <alignment horizontal="right"/>
      <protection locked="0"/>
    </xf>
    <xf numFmtId="37" fontId="18" fillId="0" borderId="71" applyBorder="0">
      <alignment horizontal="right"/>
      <protection locked="0"/>
    </xf>
    <xf numFmtId="37" fontId="18" fillId="0" borderId="71" applyBorder="0">
      <alignment horizontal="right"/>
      <protection locked="0"/>
    </xf>
    <xf numFmtId="37" fontId="18" fillId="0" borderId="71" applyBorder="0">
      <alignment horizontal="right"/>
      <protection locked="0"/>
    </xf>
    <xf numFmtId="0" fontId="160" fillId="0" borderId="0"/>
    <xf numFmtId="43" fontId="160" fillId="0" borderId="0" applyFont="0" applyFill="0" applyBorder="0" applyAlignment="0" applyProtection="0"/>
    <xf numFmtId="44" fontId="160" fillId="0" borderId="0" applyFont="0" applyFill="0" applyBorder="0" applyAlignment="0" applyProtection="0"/>
    <xf numFmtId="0" fontId="12" fillId="0" borderId="0"/>
    <xf numFmtId="0" fontId="44" fillId="0" borderId="0"/>
    <xf numFmtId="0" fontId="27" fillId="0" borderId="0">
      <alignment horizontal="right"/>
    </xf>
    <xf numFmtId="346" fontId="161" fillId="0" borderId="0">
      <alignment horizontal="right"/>
    </xf>
    <xf numFmtId="0" fontId="162" fillId="0" borderId="0"/>
    <xf numFmtId="0" fontId="18" fillId="0" borderId="0"/>
    <xf numFmtId="0" fontId="162" fillId="0" borderId="0"/>
    <xf numFmtId="0" fontId="18" fillId="0" borderId="0"/>
    <xf numFmtId="0" fontId="18" fillId="0" borderId="0"/>
    <xf numFmtId="0" fontId="18" fillId="0" borderId="0"/>
    <xf numFmtId="0" fontId="162" fillId="0" borderId="0"/>
    <xf numFmtId="0" fontId="162" fillId="0" borderId="0"/>
    <xf numFmtId="0" fontId="18" fillId="0" borderId="0"/>
    <xf numFmtId="0" fontId="18" fillId="0" borderId="0"/>
    <xf numFmtId="0" fontId="22" fillId="0" borderId="0">
      <alignment horizontal="right"/>
    </xf>
    <xf numFmtId="0" fontId="22" fillId="29" borderId="0"/>
    <xf numFmtId="0" fontId="18" fillId="29" borderId="0"/>
    <xf numFmtId="0" fontId="163" fillId="29" borderId="0"/>
    <xf numFmtId="0" fontId="163" fillId="29" borderId="0"/>
    <xf numFmtId="0" fontId="22" fillId="29" borderId="0">
      <alignment horizontal="right"/>
    </xf>
    <xf numFmtId="7" fontId="18" fillId="0" borderId="0">
      <alignment horizontal="right"/>
    </xf>
    <xf numFmtId="9" fontId="25" fillId="0" borderId="0" applyFont="0" applyFill="0" applyBorder="0" applyAlignment="0" applyProtection="0"/>
    <xf numFmtId="9" fontId="18" fillId="0" borderId="0"/>
    <xf numFmtId="0" fontId="71" fillId="37" borderId="0" applyNumberFormat="0" applyBorder="0" applyAlignment="0" applyProtection="0"/>
    <xf numFmtId="0" fontId="71" fillId="38" borderId="0" applyNumberFormat="0" applyBorder="0" applyAlignment="0" applyProtection="0"/>
    <xf numFmtId="0" fontId="71" fillId="39" borderId="0" applyNumberFormat="0" applyBorder="0" applyAlignment="0" applyProtection="0"/>
    <xf numFmtId="0" fontId="71" fillId="40" borderId="0" applyNumberFormat="0" applyBorder="0" applyAlignment="0" applyProtection="0"/>
    <xf numFmtId="0" fontId="71" fillId="41" borderId="0" applyNumberFormat="0" applyBorder="0" applyAlignment="0" applyProtection="0"/>
    <xf numFmtId="0" fontId="71" fillId="42" borderId="0" applyNumberFormat="0" applyBorder="0" applyAlignment="0" applyProtection="0"/>
    <xf numFmtId="0" fontId="71" fillId="45" borderId="0" applyNumberFormat="0" applyBorder="0" applyAlignment="0" applyProtection="0"/>
    <xf numFmtId="0" fontId="71" fillId="46" borderId="0" applyNumberFormat="0" applyBorder="0" applyAlignment="0" applyProtection="0"/>
    <xf numFmtId="0" fontId="71" fillId="47" borderId="0" applyNumberFormat="0" applyBorder="0" applyAlignment="0" applyProtection="0"/>
    <xf numFmtId="0" fontId="71" fillId="40" borderId="0" applyNumberFormat="0" applyBorder="0" applyAlignment="0" applyProtection="0"/>
    <xf numFmtId="0" fontId="71" fillId="45" borderId="0" applyNumberFormat="0" applyBorder="0" applyAlignment="0" applyProtection="0"/>
    <xf numFmtId="0" fontId="71" fillId="48" borderId="0" applyNumberFormat="0" applyBorder="0" applyAlignment="0" applyProtection="0"/>
    <xf numFmtId="0" fontId="75" fillId="49" borderId="0" applyNumberFormat="0" applyBorder="0" applyAlignment="0" applyProtection="0"/>
    <xf numFmtId="0" fontId="75" fillId="46" borderId="0" applyNumberFormat="0" applyBorder="0" applyAlignment="0" applyProtection="0"/>
    <xf numFmtId="0" fontId="75" fillId="47" borderId="0" applyNumberFormat="0" applyBorder="0" applyAlignment="0" applyProtection="0"/>
    <xf numFmtId="0" fontId="75" fillId="50"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39" fontId="18" fillId="0" borderId="0" applyFont="0" applyFill="0" applyBorder="0" applyAlignment="0" applyProtection="0"/>
    <xf numFmtId="38" fontId="18" fillId="0" borderId="0"/>
    <xf numFmtId="347" fontId="18" fillId="0" borderId="0" applyFont="0" applyFill="0" applyBorder="0" applyAlignment="0" applyProtection="0"/>
    <xf numFmtId="0" fontId="18" fillId="0" borderId="0"/>
    <xf numFmtId="0" fontId="48" fillId="0" borderId="0"/>
    <xf numFmtId="348" fontId="18" fillId="0" borderId="0" applyFont="0" applyFill="0" applyBorder="0" applyAlignment="0" applyProtection="0"/>
    <xf numFmtId="349" fontId="18" fillId="0" borderId="0" applyFont="0" applyFill="0" applyBorder="0" applyAlignment="0" applyProtection="0"/>
    <xf numFmtId="270" fontId="48" fillId="0" borderId="0"/>
    <xf numFmtId="0" fontId="32" fillId="0" borderId="0">
      <alignment vertical="center"/>
    </xf>
    <xf numFmtId="0" fontId="18" fillId="0" borderId="0" applyNumberFormat="0" applyFill="0" applyBorder="0" applyAlignment="0" applyProtection="0"/>
    <xf numFmtId="0" fontId="164" fillId="0" borderId="0"/>
    <xf numFmtId="0" fontId="18" fillId="0" borderId="0"/>
    <xf numFmtId="0" fontId="165" fillId="0" borderId="0"/>
    <xf numFmtId="0" fontId="18" fillId="0" borderId="0">
      <alignment horizontal="left" wrapText="1"/>
    </xf>
    <xf numFmtId="0" fontId="22" fillId="0" borderId="0" applyFont="0" applyFill="0" applyBorder="0" applyAlignment="0" applyProtection="0"/>
    <xf numFmtId="0" fontId="48" fillId="0" borderId="0" applyFont="0" applyFill="0" applyBorder="0" applyAlignment="0" applyProtection="0"/>
    <xf numFmtId="0" fontId="93" fillId="0" borderId="0"/>
    <xf numFmtId="0" fontId="22" fillId="0" borderId="0"/>
    <xf numFmtId="0" fontId="18" fillId="29" borderId="0"/>
    <xf numFmtId="0" fontId="166" fillId="77" borderId="0"/>
    <xf numFmtId="0" fontId="167" fillId="78" borderId="0"/>
    <xf numFmtId="0" fontId="168" fillId="79" borderId="0"/>
    <xf numFmtId="0" fontId="169" fillId="0" borderId="0"/>
    <xf numFmtId="0" fontId="37" fillId="0" borderId="0"/>
    <xf numFmtId="0" fontId="22" fillId="0" borderId="0"/>
    <xf numFmtId="0" fontId="44" fillId="0" borderId="0" applyFont="0" applyFill="0" applyBorder="0" applyAlignment="0" applyProtection="0"/>
    <xf numFmtId="350" fontId="18" fillId="0" borderId="0" applyFont="0" applyFill="0" applyBorder="0" applyAlignment="0" applyProtection="0"/>
    <xf numFmtId="192" fontId="18" fillId="0" borderId="0" applyFont="0" applyFill="0" applyBorder="0" applyAlignment="0" applyProtection="0"/>
    <xf numFmtId="39" fontId="18" fillId="0" borderId="0" applyFont="0" applyFill="0" applyBorder="0" applyAlignment="0" applyProtection="0"/>
    <xf numFmtId="39" fontId="18" fillId="0" borderId="0" applyFont="0" applyFill="0" applyBorder="0" applyAlignment="0" applyProtection="0"/>
    <xf numFmtId="192" fontId="18" fillId="0" borderId="0" applyFont="0" applyFill="0" applyBorder="0" applyAlignment="0" applyProtection="0"/>
    <xf numFmtId="39" fontId="18" fillId="0" borderId="0" applyFont="0" applyFill="0" applyBorder="0" applyAlignment="0" applyProtection="0"/>
    <xf numFmtId="4" fontId="18" fillId="36" borderId="0"/>
    <xf numFmtId="0" fontId="18" fillId="0" borderId="0" applyFont="0" applyFill="0" applyBorder="0" applyAlignment="0" applyProtection="0"/>
    <xf numFmtId="192" fontId="18" fillId="0" borderId="0" applyFont="0" applyFill="0" applyBorder="0" applyAlignment="0" applyProtection="0"/>
    <xf numFmtId="347" fontId="18" fillId="0" borderId="0" applyFont="0" applyFill="0" applyBorder="0" applyAlignment="0" applyProtection="0"/>
    <xf numFmtId="0" fontId="18" fillId="0" borderId="0">
      <alignment horizontal="right"/>
    </xf>
    <xf numFmtId="0" fontId="18" fillId="0" borderId="0"/>
    <xf numFmtId="184" fontId="22" fillId="0" borderId="0" applyFont="0" applyFill="0" applyBorder="0" applyAlignment="0"/>
    <xf numFmtId="0" fontId="18" fillId="0" borderId="0"/>
    <xf numFmtId="347" fontId="18" fillId="0" borderId="0" applyFont="0" applyFill="0" applyBorder="0" applyAlignment="0" applyProtection="0"/>
    <xf numFmtId="192" fontId="18" fillId="0" borderId="0" applyFont="0" applyFill="0" applyBorder="0" applyAlignment="0" applyProtection="0"/>
    <xf numFmtId="0" fontId="18" fillId="0" borderId="0">
      <alignment horizontal="right"/>
    </xf>
    <xf numFmtId="332" fontId="18" fillId="0" borderId="0" applyFont="0" applyFill="0" applyBorder="0" applyAlignment="0" applyProtection="0"/>
    <xf numFmtId="0" fontId="51" fillId="80" borderId="0"/>
    <xf numFmtId="0" fontId="39" fillId="0" borderId="0" applyNumberFormat="0" applyFill="0" applyBorder="0" applyAlignment="0" applyProtection="0"/>
    <xf numFmtId="0" fontId="39" fillId="0" borderId="0" applyNumberFormat="0" applyFill="0" applyBorder="0" applyAlignment="0" applyProtection="0"/>
    <xf numFmtId="0" fontId="170" fillId="0" borderId="0" applyFont="0" applyFill="0" applyBorder="0" applyAlignment="0" applyProtection="0"/>
    <xf numFmtId="0" fontId="106" fillId="0" borderId="0" applyFont="0" applyFill="0" applyBorder="0" applyAlignment="0" applyProtection="0"/>
    <xf numFmtId="165" fontId="18" fillId="0" borderId="0" applyFont="0" applyFill="0" applyBorder="0" applyAlignment="0" applyProtection="0"/>
    <xf numFmtId="0" fontId="24" fillId="0" borderId="0"/>
    <xf numFmtId="345"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13" fontId="18" fillId="0" borderId="0" applyFont="0" applyFill="0" applyBorder="0" applyAlignment="0" applyProtection="0"/>
    <xf numFmtId="0" fontId="18" fillId="0" borderId="0" applyFont="0" applyFill="0" applyBorder="0" applyProtection="0">
      <alignment horizontal="right"/>
    </xf>
    <xf numFmtId="0" fontId="33" fillId="0" borderId="0" applyFont="0" applyFill="0" applyBorder="0" applyProtection="0">
      <alignment horizontal="right"/>
    </xf>
    <xf numFmtId="0" fontId="18" fillId="0" borderId="0">
      <alignment horizontal="left" wrapText="1"/>
    </xf>
    <xf numFmtId="0" fontId="18" fillId="0" borderId="0">
      <alignment horizontal="left" wrapText="1"/>
    </xf>
    <xf numFmtId="220" fontId="18" fillId="0" borderId="0">
      <alignment horizontal="left" wrapText="1"/>
    </xf>
    <xf numFmtId="0" fontId="44" fillId="0" borderId="0"/>
    <xf numFmtId="184" fontId="22" fillId="0" borderId="0" applyFont="0" applyFill="0" applyBorder="0" applyAlignment="0"/>
    <xf numFmtId="0" fontId="18" fillId="0" borderId="0"/>
    <xf numFmtId="347" fontId="18" fillId="0" borderId="0" applyFont="0" applyFill="0" applyBorder="0" applyAlignment="0" applyProtection="0"/>
    <xf numFmtId="192" fontId="18" fillId="0" borderId="0" applyFont="0" applyFill="0" applyBorder="0" applyAlignment="0" applyProtection="0"/>
    <xf numFmtId="0" fontId="18" fillId="0" borderId="0">
      <alignment horizontal="right"/>
    </xf>
    <xf numFmtId="0" fontId="53" fillId="0" borderId="22" applyNumberFormat="0" applyFill="0" applyProtection="0">
      <alignment horizontal="center"/>
    </xf>
    <xf numFmtId="0" fontId="18" fillId="0" borderId="44" applyNumberFormat="0" applyFont="0" applyFill="0" applyAlignment="0" applyProtection="0"/>
    <xf numFmtId="0" fontId="53" fillId="0" borderId="0" applyNumberFormat="0" applyFill="0" applyBorder="0" applyProtection="0">
      <alignment horizontal="left"/>
    </xf>
    <xf numFmtId="0" fontId="56" fillId="0" borderId="0" applyNumberFormat="0" applyFill="0" applyBorder="0" applyProtection="0">
      <alignment horizontal="centerContinuous"/>
    </xf>
    <xf numFmtId="0" fontId="43" fillId="0" borderId="0" applyNumberFormat="0" applyFill="0" applyBorder="0" applyAlignment="0" applyProtection="0"/>
    <xf numFmtId="351" fontId="18" fillId="0" borderId="0"/>
    <xf numFmtId="352" fontId="18" fillId="0" borderId="0"/>
    <xf numFmtId="0" fontId="18" fillId="0" borderId="0"/>
    <xf numFmtId="353" fontId="18" fillId="0" borderId="0"/>
    <xf numFmtId="354" fontId="18" fillId="0" borderId="0"/>
    <xf numFmtId="191" fontId="17" fillId="0" borderId="0">
      <alignment horizontal="right"/>
    </xf>
    <xf numFmtId="165" fontId="17" fillId="0" borderId="0"/>
    <xf numFmtId="355" fontId="22" fillId="0" borderId="0"/>
    <xf numFmtId="2" fontId="171" fillId="0" borderId="0" applyNumberFormat="0" applyFill="0" applyBorder="0" applyAlignment="0" applyProtection="0"/>
    <xf numFmtId="2" fontId="172" fillId="0" borderId="0" applyNumberFormat="0" applyFill="0" applyBorder="0" applyAlignment="0" applyProtection="0"/>
    <xf numFmtId="0" fontId="162" fillId="0" borderId="0"/>
    <xf numFmtId="9" fontId="170" fillId="0" borderId="0" applyFont="0" applyFill="0" applyBorder="0" applyAlignment="0" applyProtection="0"/>
    <xf numFmtId="0" fontId="33" fillId="81" borderId="0"/>
    <xf numFmtId="0" fontId="173" fillId="0" borderId="74" applyNumberFormat="0" applyFont="0" applyFill="0" applyAlignment="0" applyProtection="0">
      <alignment horizontal="left"/>
      <protection locked="0"/>
    </xf>
    <xf numFmtId="356" fontId="174" fillId="0" borderId="0"/>
    <xf numFmtId="0" fontId="44" fillId="0" borderId="0" applyBorder="0">
      <alignment horizontal="right"/>
    </xf>
    <xf numFmtId="6" fontId="173" fillId="0" borderId="75" applyNumberFormat="0" applyFont="0" applyFill="0" applyAlignment="0" applyProtection="0">
      <alignment horizontal="left"/>
      <protection locked="0"/>
    </xf>
    <xf numFmtId="0" fontId="175" fillId="0" borderId="30" applyNumberFormat="0" applyFont="0" applyBorder="0" applyAlignment="0" applyProtection="0">
      <alignment horizontal="right"/>
    </xf>
    <xf numFmtId="357" fontId="30" fillId="0" borderId="0" applyFill="0" applyProtection="0"/>
    <xf numFmtId="358" fontId="37" fillId="0" borderId="0"/>
    <xf numFmtId="272" fontId="30" fillId="0" borderId="0" applyFont="0" applyFill="0" applyBorder="0" applyProtection="0"/>
    <xf numFmtId="0" fontId="30" fillId="0" borderId="0" applyFill="0" applyProtection="0"/>
    <xf numFmtId="0" fontId="124" fillId="0" borderId="0" applyFont="0" applyFill="0" applyBorder="0" applyAlignment="0" applyProtection="0"/>
    <xf numFmtId="0" fontId="176" fillId="0" borderId="0" applyNumberFormat="0" applyFill="0" applyBorder="0" applyAlignment="0" applyProtection="0"/>
    <xf numFmtId="0" fontId="177" fillId="0" borderId="0" applyNumberFormat="0" applyFont="0" applyFill="0" applyBorder="0" applyProtection="0">
      <alignment horizontal="centerContinuous"/>
    </xf>
    <xf numFmtId="37" fontId="178" fillId="30" borderId="0" applyNumberFormat="0" applyFont="0" applyBorder="0" applyAlignment="0"/>
    <xf numFmtId="0" fontId="179" fillId="0" borderId="0" applyNumberFormat="0" applyFill="0" applyBorder="0" applyAlignment="0" applyProtection="0"/>
    <xf numFmtId="0" fontId="180" fillId="0" borderId="0"/>
    <xf numFmtId="0" fontId="181" fillId="0" borderId="0" applyNumberFormat="0" applyProtection="0"/>
    <xf numFmtId="359" fontId="18" fillId="82" borderId="0" applyNumberFormat="0" applyFont="0" applyBorder="0" applyAlignment="0" applyProtection="0"/>
    <xf numFmtId="360" fontId="18" fillId="0" borderId="0" applyFont="0" applyFill="0" applyBorder="0" applyAlignment="0" applyProtection="0"/>
    <xf numFmtId="361" fontId="106" fillId="0" borderId="0" applyFont="0" applyFill="0" applyBorder="0" applyAlignment="0" applyProtection="0"/>
    <xf numFmtId="2" fontId="182" fillId="83" borderId="0" applyNumberFormat="0" applyFont="0" applyBorder="0" applyAlignment="0" applyProtection="0"/>
    <xf numFmtId="2" fontId="182" fillId="84" borderId="0" applyNumberFormat="0" applyFont="0" applyBorder="0" applyAlignment="0" applyProtection="0"/>
    <xf numFmtId="0" fontId="58" fillId="0" borderId="0" applyNumberFormat="0" applyFill="0" applyBorder="0" applyAlignment="0" applyProtection="0"/>
    <xf numFmtId="0" fontId="183" fillId="0" borderId="76" applyNumberFormat="0" applyFill="0" applyAlignment="0" applyProtection="0"/>
    <xf numFmtId="0" fontId="27" fillId="0" borderId="0" applyFont="0" applyFill="0" applyBorder="0" applyAlignment="0" applyProtection="0"/>
    <xf numFmtId="362" fontId="18" fillId="0" borderId="0"/>
    <xf numFmtId="0" fontId="184" fillId="85" borderId="0" applyNumberFormat="0">
      <alignment horizontal="left"/>
    </xf>
    <xf numFmtId="0" fontId="134" fillId="0" borderId="0" applyFont="0" applyFill="0" applyBorder="0" applyAlignment="0" applyProtection="0"/>
    <xf numFmtId="332" fontId="134" fillId="0" borderId="0" applyFont="0" applyFill="0" applyBorder="0" applyAlignment="0" applyProtection="0"/>
    <xf numFmtId="0" fontId="134" fillId="0" borderId="0" applyFont="0" applyFill="0" applyBorder="0" applyAlignment="0" applyProtection="0">
      <alignment horizontal="right"/>
    </xf>
    <xf numFmtId="0" fontId="185" fillId="0" borderId="77" applyNumberFormat="0" applyFill="0" applyAlignment="0" applyProtection="0"/>
    <xf numFmtId="0" fontId="186" fillId="0" borderId="78" applyNumberFormat="0" applyFill="0" applyAlignment="0" applyProtection="0"/>
    <xf numFmtId="0" fontId="187" fillId="0" borderId="79" applyNumberFormat="0" applyFill="0" applyAlignment="0" applyProtection="0"/>
    <xf numFmtId="0" fontId="187" fillId="0" borderId="0" applyNumberFormat="0" applyFill="0" applyBorder="0" applyAlignment="0" applyProtection="0"/>
    <xf numFmtId="0" fontId="188" fillId="0" borderId="0">
      <alignment horizontal="left"/>
    </xf>
    <xf numFmtId="0" fontId="189" fillId="0" borderId="0">
      <alignment horizontal="left" wrapText="1"/>
    </xf>
    <xf numFmtId="0" fontId="27" fillId="0" borderId="72" applyFont="0" applyFill="0" applyBorder="0" applyAlignment="0" applyProtection="0">
      <alignment horizontal="right"/>
    </xf>
    <xf numFmtId="0" fontId="27" fillId="0" borderId="0" applyFont="0" applyFill="0" applyBorder="0" applyAlignment="0" applyProtection="0"/>
    <xf numFmtId="0" fontId="65" fillId="0" borderId="0" applyNumberFormat="0" applyFill="0" applyBorder="0" applyAlignment="0" applyProtection="0">
      <alignment vertical="top"/>
      <protection locked="0"/>
    </xf>
    <xf numFmtId="0" fontId="12" fillId="0" borderId="0"/>
    <xf numFmtId="0" fontId="48" fillId="0" borderId="0"/>
    <xf numFmtId="43" fontId="11" fillId="0" borderId="0" applyFont="0" applyFill="0" applyBorder="0" applyAlignment="0" applyProtection="0"/>
    <xf numFmtId="9" fontId="11" fillId="0" borderId="0" applyFont="0" applyFill="0" applyBorder="0" applyAlignment="0" applyProtection="0"/>
    <xf numFmtId="44" fontId="11" fillId="0" borderId="0" applyFont="0" applyFill="0" applyBorder="0" applyAlignment="0" applyProtection="0"/>
    <xf numFmtId="0" fontId="43" fillId="0" borderId="84" applyNumberFormat="0" applyFill="0" applyAlignment="0" applyProtection="0"/>
    <xf numFmtId="0" fontId="43" fillId="0" borderId="84" applyNumberFormat="0" applyFill="0" applyAlignment="0" applyProtection="0"/>
    <xf numFmtId="0" fontId="43" fillId="0" borderId="84" applyNumberFormat="0" applyFill="0" applyAlignment="0" applyProtection="0"/>
    <xf numFmtId="0" fontId="43" fillId="0" borderId="84" applyNumberFormat="0" applyFill="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37" fontId="47" fillId="1" borderId="83">
      <alignment horizontal="centerContinuous" vertical="center"/>
    </xf>
    <xf numFmtId="37" fontId="47" fillId="1" borderId="83">
      <alignment horizontal="centerContinuous"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37" fontId="79" fillId="58" borderId="81" applyBorder="0" applyProtection="0">
      <alignment vertical="center"/>
    </xf>
    <xf numFmtId="0" fontId="81" fillId="0" borderId="85" applyNumberFormat="0" applyFill="0" applyBorder="0" applyAlignment="0" applyProtection="0"/>
    <xf numFmtId="0" fontId="81" fillId="0" borderId="85" applyNumberFormat="0" applyFill="0" applyBorder="0" applyAlignment="0" applyProtection="0"/>
    <xf numFmtId="0" fontId="81" fillId="0" borderId="85" applyNumberFormat="0" applyFill="0" applyBorder="0" applyAlignment="0" applyProtection="0"/>
    <xf numFmtId="0" fontId="81" fillId="0" borderId="85" applyNumberFormat="0" applyFill="0" applyBorder="0" applyAlignment="0" applyProtection="0"/>
    <xf numFmtId="0" fontId="81" fillId="0" borderId="85" applyNumberFormat="0" applyFill="0" applyBorder="0" applyAlignment="0" applyProtection="0"/>
    <xf numFmtId="0" fontId="81" fillId="0" borderId="85" applyNumberFormat="0" applyFill="0" applyBorder="0" applyAlignment="0" applyProtection="0"/>
    <xf numFmtId="0" fontId="81" fillId="0" borderId="85" applyNumberFormat="0" applyFill="0" applyBorder="0" applyAlignment="0" applyProtection="0"/>
    <xf numFmtId="0" fontId="81" fillId="0" borderId="85" applyNumberFormat="0" applyFill="0" applyBorder="0" applyAlignment="0" applyProtection="0"/>
    <xf numFmtId="0" fontId="81" fillId="0" borderId="85" applyNumberFormat="0" applyFill="0" applyBorder="0" applyAlignment="0" applyProtection="0"/>
    <xf numFmtId="0" fontId="81" fillId="0" borderId="85" applyNumberFormat="0" applyFill="0" applyBorder="0" applyAlignment="0" applyProtection="0"/>
    <xf numFmtId="0" fontId="81" fillId="0" borderId="85" applyNumberFormat="0" applyFill="0" applyBorder="0" applyAlignment="0" applyProtection="0"/>
    <xf numFmtId="0" fontId="81" fillId="0" borderId="85" applyNumberFormat="0" applyFill="0" applyBorder="0" applyAlignment="0" applyProtection="0"/>
    <xf numFmtId="0" fontId="82" fillId="0" borderId="85" applyNumberFormat="0" applyFill="0" applyBorder="0" applyAlignment="0" applyProtection="0"/>
    <xf numFmtId="0" fontId="82" fillId="0" borderId="85" applyNumberFormat="0" applyFill="0" applyBorder="0" applyAlignment="0" applyProtection="0"/>
    <xf numFmtId="0" fontId="82" fillId="0" borderId="85" applyNumberFormat="0" applyFill="0" applyBorder="0" applyAlignment="0" applyProtection="0"/>
    <xf numFmtId="0" fontId="82" fillId="0" borderId="85" applyNumberFormat="0" applyFill="0" applyBorder="0" applyAlignment="0" applyProtection="0"/>
    <xf numFmtId="0" fontId="82" fillId="0" borderId="85" applyNumberFormat="0" applyFill="0" applyBorder="0" applyAlignment="0" applyProtection="0"/>
    <xf numFmtId="0" fontId="82" fillId="0" borderId="85" applyNumberFormat="0" applyFill="0" applyBorder="0" applyAlignment="0" applyProtection="0"/>
    <xf numFmtId="0" fontId="82" fillId="0" borderId="85" applyNumberFormat="0" applyFill="0" applyBorder="0" applyAlignment="0" applyProtection="0"/>
    <xf numFmtId="0" fontId="82" fillId="0" borderId="85" applyNumberFormat="0" applyFill="0" applyBorder="0" applyAlignment="0" applyProtection="0"/>
    <xf numFmtId="0" fontId="82" fillId="0" borderId="85" applyNumberFormat="0" applyFill="0" applyBorder="0" applyAlignment="0" applyProtection="0"/>
    <xf numFmtId="0" fontId="82" fillId="0" borderId="85" applyNumberFormat="0" applyFill="0" applyBorder="0" applyAlignment="0" applyProtection="0"/>
    <xf numFmtId="0" fontId="82" fillId="0" borderId="85" applyNumberFormat="0" applyFill="0" applyBorder="0" applyAlignment="0" applyProtection="0"/>
    <xf numFmtId="0" fontId="82" fillId="0" borderId="85" applyNumberFormat="0" applyFill="0" applyBorder="0" applyAlignment="0" applyProtection="0"/>
    <xf numFmtId="0" fontId="49" fillId="0" borderId="85" applyNumberFormat="0" applyFill="0" applyBorder="0" applyAlignment="0" applyProtection="0"/>
    <xf numFmtId="0" fontId="49" fillId="0" borderId="85" applyNumberFormat="0" applyFill="0" applyBorder="0" applyAlignment="0" applyProtection="0"/>
    <xf numFmtId="0" fontId="49" fillId="0" borderId="85" applyNumberFormat="0" applyFill="0" applyBorder="0" applyAlignment="0" applyProtection="0"/>
    <xf numFmtId="0" fontId="49" fillId="0" borderId="85" applyNumberFormat="0" applyFill="0" applyBorder="0" applyAlignment="0" applyProtection="0"/>
    <xf numFmtId="0" fontId="49" fillId="0" borderId="85" applyNumberFormat="0" applyFill="0" applyBorder="0" applyAlignment="0" applyProtection="0"/>
    <xf numFmtId="0" fontId="49" fillId="0" borderId="85" applyNumberFormat="0" applyFill="0" applyBorder="0" applyAlignment="0" applyProtection="0"/>
    <xf numFmtId="0" fontId="49" fillId="0" borderId="85" applyNumberFormat="0" applyFill="0" applyBorder="0" applyAlignment="0" applyProtection="0"/>
    <xf numFmtId="0" fontId="49" fillId="0" borderId="85" applyNumberFormat="0" applyFill="0" applyBorder="0" applyAlignment="0" applyProtection="0"/>
    <xf numFmtId="0" fontId="49" fillId="0" borderId="85" applyNumberFormat="0" applyFill="0" applyBorder="0" applyAlignment="0" applyProtection="0"/>
    <xf numFmtId="0" fontId="49" fillId="0" borderId="85" applyNumberFormat="0" applyFill="0" applyBorder="0" applyAlignment="0" applyProtection="0"/>
    <xf numFmtId="0" fontId="49" fillId="0" borderId="85" applyNumberFormat="0" applyFill="0" applyBorder="0" applyAlignment="0" applyProtection="0"/>
    <xf numFmtId="0" fontId="49" fillId="0" borderId="85" applyNumberFormat="0" applyFill="0" applyBorder="0" applyAlignment="0" applyProtection="0"/>
    <xf numFmtId="0" fontId="48" fillId="0" borderId="85" applyNumberFormat="0" applyFill="0" applyAlignment="0" applyProtection="0"/>
    <xf numFmtId="0" fontId="48" fillId="0" borderId="85" applyNumberFormat="0" applyFill="0" applyAlignment="0" applyProtection="0"/>
    <xf numFmtId="0" fontId="48" fillId="0" borderId="85" applyNumberFormat="0" applyFill="0" applyAlignment="0" applyProtection="0"/>
    <xf numFmtId="0" fontId="48" fillId="0" borderId="85" applyNumberFormat="0" applyFill="0" applyAlignment="0" applyProtection="0"/>
    <xf numFmtId="0" fontId="48" fillId="0" borderId="85" applyNumberFormat="0" applyFill="0" applyAlignment="0" applyProtection="0"/>
    <xf numFmtId="0" fontId="48" fillId="0" borderId="85" applyNumberFormat="0" applyFill="0" applyAlignment="0" applyProtection="0"/>
    <xf numFmtId="0" fontId="48" fillId="0" borderId="85" applyNumberFormat="0" applyFill="0" applyAlignment="0" applyProtection="0"/>
    <xf numFmtId="0" fontId="48" fillId="0" borderId="85" applyNumberFormat="0" applyFill="0" applyAlignment="0" applyProtection="0"/>
    <xf numFmtId="177" fontId="27" fillId="0" borderId="83"/>
    <xf numFmtId="177" fontId="27" fillId="0" borderId="83"/>
    <xf numFmtId="177" fontId="27" fillId="0" borderId="83"/>
    <xf numFmtId="177" fontId="27" fillId="0" borderId="83"/>
    <xf numFmtId="177" fontId="27" fillId="0" borderId="83"/>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5" fontId="58" fillId="0" borderId="83" applyAlignment="0" applyProtection="0"/>
    <xf numFmtId="0" fontId="94" fillId="43" borderId="86" applyNumberFormat="0" applyAlignment="0" applyProtection="0"/>
    <xf numFmtId="0" fontId="94" fillId="43" borderId="86" applyNumberFormat="0" applyAlignment="0" applyProtection="0"/>
    <xf numFmtId="0" fontId="94" fillId="43" borderId="86" applyNumberFormat="0" applyAlignment="0" applyProtection="0"/>
    <xf numFmtId="0" fontId="94" fillId="43" borderId="86" applyNumberFormat="0" applyAlignment="0" applyProtection="0"/>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0" fontId="95" fillId="61" borderId="87"/>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0" fontId="106" fillId="0" borderId="87"/>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302" fontId="88" fillId="0" borderId="89" applyFont="0" applyFill="0" applyBorder="0" applyAlignment="0" applyProtection="0">
      <alignment horizontal="center"/>
    </xf>
    <xf numFmtId="302" fontId="88" fillId="0" borderId="89" applyFont="0" applyFill="0" applyBorder="0" applyAlignment="0" applyProtection="0">
      <alignment horizontal="center"/>
    </xf>
    <xf numFmtId="302" fontId="88" fillId="0" borderId="89" applyFont="0" applyFill="0" applyBorder="0" applyAlignment="0" applyProtection="0">
      <alignment horizontal="center"/>
    </xf>
    <xf numFmtId="302" fontId="88" fillId="0" borderId="89" applyFont="0" applyFill="0" applyBorder="0" applyAlignment="0" applyProtection="0">
      <alignment horizontal="center"/>
    </xf>
    <xf numFmtId="302" fontId="88" fillId="0" borderId="89" applyFont="0" applyFill="0" applyBorder="0" applyAlignment="0" applyProtection="0">
      <alignment horizontal="center"/>
    </xf>
    <xf numFmtId="302" fontId="88" fillId="0" borderId="89" applyFont="0" applyFill="0" applyBorder="0" applyAlignment="0" applyProtection="0">
      <alignment horizontal="center"/>
    </xf>
    <xf numFmtId="186" fontId="48" fillId="0" borderId="89" applyFont="0" applyFill="0" applyBorder="0" applyAlignment="0" applyProtection="0">
      <alignment horizontal="center"/>
    </xf>
    <xf numFmtId="186" fontId="48" fillId="0" borderId="89" applyFont="0" applyFill="0" applyBorder="0" applyAlignment="0" applyProtection="0">
      <alignment horizontal="center"/>
    </xf>
    <xf numFmtId="186" fontId="48" fillId="0" borderId="89" applyFont="0" applyFill="0" applyBorder="0" applyAlignment="0" applyProtection="0">
      <alignment horizontal="center"/>
    </xf>
    <xf numFmtId="186" fontId="48" fillId="0" borderId="89" applyFont="0" applyFill="0" applyBorder="0" applyAlignment="0" applyProtection="0">
      <alignment horizontal="center"/>
    </xf>
    <xf numFmtId="186" fontId="48" fillId="0" borderId="89" applyFont="0" applyFill="0" applyBorder="0" applyAlignment="0" applyProtection="0">
      <alignment horizontal="center"/>
    </xf>
    <xf numFmtId="186" fontId="48" fillId="0" borderId="89" applyFont="0" applyFill="0" applyBorder="0" applyAlignment="0" applyProtection="0">
      <alignment horizontal="center"/>
    </xf>
    <xf numFmtId="2" fontId="18" fillId="36" borderId="90" applyFill="0" applyBorder="0" applyProtection="0">
      <alignment horizontal="center"/>
    </xf>
    <xf numFmtId="2" fontId="18" fillId="36" borderId="90" applyFill="0" applyBorder="0" applyProtection="0">
      <alignment horizontal="center"/>
    </xf>
    <xf numFmtId="2" fontId="18" fillId="36" borderId="90" applyFill="0" applyBorder="0" applyProtection="0">
      <alignment horizontal="center"/>
    </xf>
    <xf numFmtId="2" fontId="18" fillId="36" borderId="90" applyFill="0" applyBorder="0" applyProtection="0">
      <alignment horizontal="center"/>
    </xf>
    <xf numFmtId="2" fontId="18" fillId="36" borderId="90" applyFill="0" applyBorder="0" applyProtection="0">
      <alignment horizontal="center"/>
    </xf>
    <xf numFmtId="2" fontId="18" fillId="36" borderId="90" applyFill="0" applyBorder="0" applyProtection="0">
      <alignment horizontal="center"/>
    </xf>
    <xf numFmtId="0" fontId="116" fillId="0" borderId="91">
      <alignment horizontal="left" vertical="center"/>
    </xf>
    <xf numFmtId="0" fontId="116" fillId="0" borderId="91">
      <alignment horizontal="left" vertical="center"/>
    </xf>
    <xf numFmtId="0" fontId="116" fillId="0" borderId="91">
      <alignment horizontal="left" vertical="center"/>
    </xf>
    <xf numFmtId="0" fontId="116" fillId="0" borderId="91">
      <alignment horizontal="left" vertical="center"/>
    </xf>
    <xf numFmtId="0" fontId="120" fillId="64" borderId="92">
      <alignment horizontal="left" vertical="center"/>
    </xf>
    <xf numFmtId="0" fontId="120" fillId="64" borderId="92">
      <alignment horizontal="left" vertical="center"/>
    </xf>
    <xf numFmtId="0" fontId="120" fillId="64" borderId="92">
      <alignment horizontal="left" vertical="center"/>
    </xf>
    <xf numFmtId="0" fontId="120" fillId="64" borderId="92">
      <alignment horizontal="left" vertical="center"/>
    </xf>
    <xf numFmtId="0" fontId="120" fillId="64" borderId="92">
      <alignment horizontal="left" vertical="center"/>
    </xf>
    <xf numFmtId="0" fontId="120" fillId="64" borderId="92">
      <alignment horizontal="left" vertical="center"/>
    </xf>
    <xf numFmtId="0" fontId="120" fillId="64" borderId="93" applyBorder="0">
      <alignment horizontal="center" vertical="center" wrapText="1"/>
    </xf>
    <xf numFmtId="0" fontId="120" fillId="64" borderId="93" applyBorder="0">
      <alignment horizontal="center" vertical="center" wrapText="1"/>
    </xf>
    <xf numFmtId="0" fontId="120" fillId="64" borderId="93" applyBorder="0">
      <alignment horizontal="center" vertical="center" wrapText="1"/>
    </xf>
    <xf numFmtId="0" fontId="120" fillId="64" borderId="93" applyBorder="0">
      <alignment horizontal="center" vertical="center" wrapText="1"/>
    </xf>
    <xf numFmtId="0" fontId="120" fillId="64" borderId="93" applyBorder="0">
      <alignment horizontal="center" vertical="center" wrapText="1"/>
    </xf>
    <xf numFmtId="0" fontId="120" fillId="64" borderId="93" applyBorder="0">
      <alignment horizontal="center" vertical="center" wrapText="1"/>
    </xf>
    <xf numFmtId="8" fontId="125" fillId="0" borderId="88" applyNumberFormat="0" applyFill="0" applyBorder="0" applyAlignment="0" applyProtection="0"/>
    <xf numFmtId="8" fontId="125" fillId="0" borderId="88" applyNumberFormat="0" applyFill="0" applyBorder="0" applyAlignment="0" applyProtection="0"/>
    <xf numFmtId="8" fontId="125" fillId="0" borderId="88" applyNumberFormat="0" applyFill="0" applyBorder="0" applyAlignment="0" applyProtection="0"/>
    <xf numFmtId="8" fontId="125" fillId="0" borderId="88" applyNumberFormat="0" applyFill="0" applyBorder="0" applyAlignment="0" applyProtection="0"/>
    <xf numFmtId="8" fontId="125" fillId="0" borderId="88" applyNumberFormat="0" applyFill="0" applyBorder="0" applyAlignment="0" applyProtection="0"/>
    <xf numFmtId="8" fontId="125" fillId="0" borderId="88" applyNumberFormat="0" applyFill="0" applyBorder="0" applyAlignment="0" applyProtection="0"/>
    <xf numFmtId="0" fontId="42" fillId="65" borderId="92">
      <alignment horizontal="left" vertical="center" wrapText="1"/>
    </xf>
    <xf numFmtId="0" fontId="42" fillId="65" borderId="92">
      <alignment horizontal="left" vertical="center" wrapText="1"/>
    </xf>
    <xf numFmtId="0" fontId="42" fillId="65" borderId="92">
      <alignment horizontal="left" vertical="center" wrapText="1"/>
    </xf>
    <xf numFmtId="0" fontId="42" fillId="65" borderId="92">
      <alignment horizontal="left" vertical="center" wrapText="1"/>
    </xf>
    <xf numFmtId="0" fontId="42" fillId="65" borderId="92">
      <alignment horizontal="left" vertical="center" wrapText="1"/>
    </xf>
    <xf numFmtId="0" fontId="42" fillId="65" borderId="92">
      <alignment horizontal="left" vertical="center" wrapText="1"/>
    </xf>
    <xf numFmtId="1" fontId="48" fillId="0" borderId="89" applyNumberFormat="0" applyFont="0" applyFill="0" applyProtection="0">
      <alignment horizontal="center"/>
    </xf>
    <xf numFmtId="1" fontId="48" fillId="0" borderId="89" applyNumberFormat="0" applyFont="0" applyFill="0" applyProtection="0">
      <alignment horizontal="center"/>
    </xf>
    <xf numFmtId="1" fontId="48" fillId="0" borderId="89" applyNumberFormat="0" applyFont="0" applyFill="0" applyProtection="0">
      <alignment horizontal="center"/>
    </xf>
    <xf numFmtId="1" fontId="48" fillId="0" borderId="89" applyNumberFormat="0" applyFont="0" applyFill="0" applyProtection="0">
      <alignment horizontal="center"/>
    </xf>
    <xf numFmtId="1" fontId="48" fillId="0" borderId="89" applyNumberFormat="0" applyFont="0" applyFill="0" applyProtection="0">
      <alignment horizontal="center"/>
    </xf>
    <xf numFmtId="1" fontId="48" fillId="0" borderId="89" applyNumberFormat="0" applyFont="0" applyFill="0" applyProtection="0">
      <alignment horizont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247" fontId="11" fillId="0" borderId="0"/>
    <xf numFmtId="0" fontId="11" fillId="0" borderId="0"/>
    <xf numFmtId="0" fontId="11" fillId="0" borderId="0"/>
    <xf numFmtId="0" fontId="11" fillId="0" borderId="0"/>
    <xf numFmtId="0" fontId="11" fillId="0" borderId="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9" fontId="11" fillId="0" borderId="0" applyFont="0" applyFill="0" applyBorder="0" applyAlignment="0" applyProtection="0"/>
    <xf numFmtId="9" fontId="11" fillId="0" borderId="0" applyFont="0" applyFill="0" applyBorder="0" applyAlignment="0" applyProtection="0"/>
    <xf numFmtId="339" fontId="18" fillId="0" borderId="94" applyBorder="0">
      <alignment horizontal="right"/>
    </xf>
    <xf numFmtId="339" fontId="18" fillId="0" borderId="94" applyBorder="0">
      <alignment horizontal="right"/>
    </xf>
    <xf numFmtId="339" fontId="18" fillId="0" borderId="94" applyBorder="0">
      <alignment horizontal="right"/>
    </xf>
    <xf numFmtId="339" fontId="18" fillId="0" borderId="94" applyBorder="0">
      <alignment horizontal="right"/>
    </xf>
    <xf numFmtId="0" fontId="141" fillId="0" borderId="95"/>
    <xf numFmtId="0" fontId="141" fillId="0" borderId="95"/>
    <xf numFmtId="0" fontId="141" fillId="0" borderId="95"/>
    <xf numFmtId="0" fontId="141" fillId="0" borderId="95"/>
    <xf numFmtId="0" fontId="141" fillId="0" borderId="95"/>
    <xf numFmtId="0" fontId="141" fillId="0" borderId="95"/>
    <xf numFmtId="0" fontId="116" fillId="62" borderId="87">
      <alignment horizontal="center" vertical="center" wrapText="1"/>
      <protection hidden="1"/>
    </xf>
    <xf numFmtId="0" fontId="116" fillId="62" borderId="87">
      <alignment horizontal="center" vertical="center" wrapText="1"/>
      <protection hidden="1"/>
    </xf>
    <xf numFmtId="0" fontId="116" fillId="62" borderId="87">
      <alignment horizontal="center" vertical="center" wrapText="1"/>
      <protection hidden="1"/>
    </xf>
    <xf numFmtId="0" fontId="116" fillId="62" borderId="87">
      <alignment horizontal="center" vertical="center" wrapText="1"/>
      <protection hidden="1"/>
    </xf>
    <xf numFmtId="0" fontId="116" fillId="62" borderId="87">
      <alignment horizontal="center" vertical="center" wrapText="1"/>
      <protection hidden="1"/>
    </xf>
    <xf numFmtId="0" fontId="116" fillId="62" borderId="87">
      <alignment horizontal="center" vertical="center" wrapText="1"/>
      <protection hidden="1"/>
    </xf>
    <xf numFmtId="0" fontId="142" fillId="1" borderId="91" applyNumberFormat="0" applyFont="0" applyAlignment="0">
      <alignment horizontal="center"/>
    </xf>
    <xf numFmtId="0" fontId="142" fillId="1" borderId="91" applyNumberFormat="0" applyFont="0" applyAlignment="0">
      <alignment horizontal="center"/>
    </xf>
    <xf numFmtId="0" fontId="142" fillId="1" borderId="91" applyNumberFormat="0" applyFont="0" applyAlignment="0">
      <alignment horizontal="center"/>
    </xf>
    <xf numFmtId="0" fontId="142" fillId="1" borderId="91" applyNumberFormat="0" applyFont="0" applyAlignment="0">
      <alignment horizontal="center"/>
    </xf>
    <xf numFmtId="37" fontId="18" fillId="0" borderId="87" applyBorder="0">
      <alignment horizontal="right"/>
      <protection locked="0"/>
    </xf>
    <xf numFmtId="37" fontId="18" fillId="0" borderId="87" applyBorder="0">
      <alignment horizontal="right"/>
      <protection locked="0"/>
    </xf>
    <xf numFmtId="37" fontId="18" fillId="0" borderId="87" applyBorder="0">
      <alignment horizontal="right"/>
      <protection locked="0"/>
    </xf>
    <xf numFmtId="37" fontId="18" fillId="0" borderId="87" applyBorder="0">
      <alignment horizontal="right"/>
      <protection locked="0"/>
    </xf>
    <xf numFmtId="37" fontId="18" fillId="0" borderId="87" applyBorder="0">
      <alignment horizontal="right"/>
      <protection locked="0"/>
    </xf>
    <xf numFmtId="37" fontId="18" fillId="0" borderId="87" applyBorder="0">
      <alignment horizontal="right"/>
      <protection locked="0"/>
    </xf>
    <xf numFmtId="248" fontId="22" fillId="0" borderId="45"/>
    <xf numFmtId="248" fontId="22" fillId="0" borderId="45"/>
    <xf numFmtId="248" fontId="22" fillId="0" borderId="45"/>
    <xf numFmtId="248" fontId="22" fillId="0" borderId="45"/>
    <xf numFmtId="248" fontId="22" fillId="0" borderId="45"/>
    <xf numFmtId="250" fontId="22" fillId="0" borderId="45"/>
    <xf numFmtId="250" fontId="22" fillId="0" borderId="45"/>
    <xf numFmtId="250" fontId="22" fillId="0" borderId="45"/>
    <xf numFmtId="250" fontId="22" fillId="0" borderId="45"/>
    <xf numFmtId="250" fontId="22" fillId="0" borderId="45"/>
    <xf numFmtId="164" fontId="85" fillId="60" borderId="45">
      <alignment horizontal="center" vertical="center" wrapText="1"/>
    </xf>
    <xf numFmtId="164" fontId="85" fillId="60" borderId="45">
      <alignment horizontal="center" vertical="center" wrapText="1"/>
    </xf>
    <xf numFmtId="164" fontId="85" fillId="60" borderId="45">
      <alignment horizontal="center" vertical="center" wrapText="1"/>
    </xf>
    <xf numFmtId="0" fontId="92" fillId="0" borderId="45" applyNumberFormat="0" applyFill="0" applyAlignment="0" applyProtection="0"/>
    <xf numFmtId="263" fontId="63" fillId="0" borderId="45" applyFill="0" applyAlignment="0" applyProtection="0">
      <alignment horizontal="center"/>
    </xf>
    <xf numFmtId="263" fontId="63" fillId="0" borderId="45" applyFill="0" applyAlignment="0" applyProtection="0">
      <alignment horizontal="center"/>
    </xf>
    <xf numFmtId="263" fontId="63" fillId="0" borderId="45" applyFill="0" applyAlignment="0" applyProtection="0">
      <alignment horizontal="center"/>
    </xf>
    <xf numFmtId="263" fontId="63" fillId="0" borderId="45" applyFill="0" applyAlignment="0" applyProtection="0">
      <alignment horizontal="center"/>
    </xf>
    <xf numFmtId="0" fontId="22" fillId="0" borderId="45" applyBorder="0">
      <alignment horizontal="centerContinuous"/>
    </xf>
    <xf numFmtId="0" fontId="22" fillId="0" borderId="45" applyBorder="0">
      <alignment horizontal="centerContinuous"/>
    </xf>
    <xf numFmtId="0" fontId="22" fillId="0" borderId="45" applyBorder="0">
      <alignment horizontal="centerContinuous"/>
    </xf>
    <xf numFmtId="0" fontId="82" fillId="0" borderId="45" applyNumberFormat="0" applyFill="0" applyProtection="0">
      <alignment horizontal="right" wrapText="1"/>
    </xf>
    <xf numFmtId="0" fontId="82" fillId="0" borderId="45" applyNumberFormat="0" applyFill="0" applyProtection="0">
      <alignment horizontal="left" wrapText="1"/>
    </xf>
    <xf numFmtId="43" fontId="18"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71"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0" fontId="119" fillId="0" borderId="45" applyFill="0" applyAlignment="0" applyProtection="0">
      <protection locked="0"/>
    </xf>
    <xf numFmtId="0" fontId="119" fillId="0" borderId="45" applyFill="0" applyAlignment="0" applyProtection="0">
      <protection locked="0"/>
    </xf>
    <xf numFmtId="0" fontId="119" fillId="0" borderId="45" applyFill="0" applyAlignment="0" applyProtection="0">
      <protection locked="0"/>
    </xf>
    <xf numFmtId="1" fontId="48" fillId="0" borderId="45" applyNumberFormat="0" applyFont="0" applyFill="0" applyAlignment="0" applyProtection="0">
      <alignment horizontal="center"/>
    </xf>
    <xf numFmtId="1" fontId="48" fillId="0" borderId="45" applyNumberFormat="0" applyFont="0" applyFill="0" applyAlignment="0" applyProtection="0">
      <alignment horizontal="center"/>
    </xf>
    <xf numFmtId="1" fontId="48" fillId="0" borderId="45" applyNumberFormat="0" applyFont="0" applyFill="0" applyAlignment="0" applyProtection="0">
      <alignment horizontal="center"/>
    </xf>
    <xf numFmtId="312" fontId="18" fillId="0" borderId="45" applyFont="0" applyFill="0" applyBorder="0" applyAlignment="0" applyProtection="0">
      <protection locked="0"/>
    </xf>
    <xf numFmtId="312" fontId="18" fillId="0" borderId="45" applyFont="0" applyFill="0" applyBorder="0" applyAlignment="0" applyProtection="0">
      <protection locked="0"/>
    </xf>
    <xf numFmtId="312" fontId="18" fillId="0" borderId="45" applyFont="0" applyFill="0" applyBorder="0" applyAlignment="0" applyProtection="0">
      <protection locked="0"/>
    </xf>
    <xf numFmtId="315" fontId="22" fillId="0" borderId="45" applyFont="0" applyFill="0" applyBorder="0" applyProtection="0"/>
    <xf numFmtId="315" fontId="22" fillId="0" borderId="45" applyFont="0" applyFill="0" applyBorder="0" applyProtection="0"/>
    <xf numFmtId="315" fontId="22" fillId="0" borderId="45" applyFont="0" applyFill="0" applyBorder="0" applyProtection="0"/>
    <xf numFmtId="316" fontId="22" fillId="0" borderId="45" applyFont="0" applyFill="0" applyBorder="0" applyAlignment="0" applyProtection="0"/>
    <xf numFmtId="316" fontId="22" fillId="0" borderId="45" applyFont="0" applyFill="0" applyBorder="0" applyAlignment="0" applyProtection="0"/>
    <xf numFmtId="316" fontId="22" fillId="0" borderId="45" applyFont="0" applyFill="0" applyBorder="0" applyAlignment="0" applyProtection="0"/>
    <xf numFmtId="0" fontId="190" fillId="0" borderId="0">
      <alignment wrapText="1"/>
    </xf>
    <xf numFmtId="0" fontId="10" fillId="0" borderId="0"/>
    <xf numFmtId="0" fontId="10" fillId="0" borderId="0"/>
    <xf numFmtId="0" fontId="191" fillId="0" borderId="0"/>
    <xf numFmtId="0" fontId="10" fillId="0" borderId="0"/>
    <xf numFmtId="0" fontId="10" fillId="0" borderId="0"/>
    <xf numFmtId="0" fontId="132" fillId="0" borderId="45" applyNumberFormat="0" applyFill="0" applyBorder="0" applyAlignment="0">
      <protection locked="0"/>
    </xf>
    <xf numFmtId="0" fontId="132" fillId="0" borderId="45" applyNumberFormat="0" applyFill="0" applyBorder="0" applyAlignment="0">
      <protection locked="0"/>
    </xf>
    <xf numFmtId="0" fontId="132" fillId="0" borderId="45" applyNumberFormat="0" applyFill="0" applyBorder="0" applyAlignment="0">
      <protection locked="0"/>
    </xf>
    <xf numFmtId="9" fontId="71" fillId="0" borderId="0" applyFont="0" applyFill="0" applyBorder="0" applyAlignment="0" applyProtection="0"/>
    <xf numFmtId="0" fontId="63" fillId="0" borderId="45" applyNumberFormat="0" applyFill="0" applyAlignment="0" applyProtection="0"/>
    <xf numFmtId="0" fontId="63" fillId="0" borderId="45" applyNumberFormat="0" applyFill="0" applyAlignment="0" applyProtection="0"/>
    <xf numFmtId="0" fontId="63" fillId="0" borderId="45" applyNumberFormat="0" applyFill="0" applyAlignment="0" applyProtection="0"/>
    <xf numFmtId="0" fontId="192" fillId="0" borderId="0" applyAlignment="0"/>
    <xf numFmtId="0" fontId="179" fillId="0" borderId="0" applyNumberFormat="0" applyFill="0" applyBorder="0" applyAlignment="0" applyProtection="0"/>
    <xf numFmtId="44" fontId="157" fillId="0" borderId="0" applyFont="0" applyFill="0" applyBorder="0" applyAlignment="0" applyProtection="0"/>
    <xf numFmtId="0" fontId="159" fillId="0" borderId="0"/>
    <xf numFmtId="0" fontId="9" fillId="0" borderId="0"/>
    <xf numFmtId="0" fontId="48" fillId="0" borderId="0"/>
    <xf numFmtId="9" fontId="18" fillId="0" borderId="0" applyFont="0" applyFill="0" applyBorder="0" applyAlignment="0" applyProtection="0"/>
    <xf numFmtId="0" fontId="9" fillId="0" borderId="0"/>
    <xf numFmtId="44" fontId="9" fillId="0" borderId="0" applyFont="0" applyFill="0" applyBorder="0" applyAlignment="0" applyProtection="0"/>
    <xf numFmtId="15" fontId="82" fillId="0" borderId="0" applyFill="0" applyBorder="0" applyAlignment="0"/>
    <xf numFmtId="297" fontId="82" fillId="36" borderId="0" applyFont="0" applyFill="0" applyBorder="0" applyAlignment="0" applyProtection="0"/>
    <xf numFmtId="17" fontId="82" fillId="0" borderId="0" applyFill="0" applyBorder="0">
      <alignment horizontal="right"/>
    </xf>
    <xf numFmtId="14" fontId="107" fillId="0" borderId="0" applyFill="0" applyBorder="0" applyAlignment="0"/>
    <xf numFmtId="17" fontId="18" fillId="0" borderId="0" applyFont="0" applyFill="0" applyBorder="0" applyAlignment="0" applyProtection="0">
      <alignment horizontal="center"/>
    </xf>
    <xf numFmtId="8" fontId="27" fillId="0" borderId="0" applyFill="0" applyBorder="0" applyProtection="0"/>
    <xf numFmtId="7" fontId="48" fillId="0" borderId="0"/>
    <xf numFmtId="7" fontId="48" fillId="0" borderId="0"/>
    <xf numFmtId="6" fontId="27" fillId="0" borderId="0" applyFont="0" applyFill="0" applyBorder="0" applyAlignment="0" applyProtection="0"/>
    <xf numFmtId="38" fontId="48" fillId="29" borderId="0" applyNumberFormat="0" applyFont="0" applyBorder="0" applyAlignment="0" applyProtection="0"/>
    <xf numFmtId="364" fontId="48" fillId="0" borderId="0">
      <alignment horizontal="left"/>
    </xf>
    <xf numFmtId="0" fontId="21" fillId="0" borderId="0" applyNumberFormat="0" applyFill="0" applyBorder="0" applyProtection="0">
      <alignment wrapText="1"/>
    </xf>
    <xf numFmtId="172" fontId="48" fillId="0" borderId="0" applyFill="0" applyBorder="0" applyAlignment="0" applyProtection="0">
      <alignment horizontal="right"/>
    </xf>
    <xf numFmtId="172" fontId="48" fillId="0" borderId="0" applyFill="0" applyBorder="0" applyAlignment="0" applyProtection="0"/>
    <xf numFmtId="37" fontId="196" fillId="34" borderId="64" applyBorder="0">
      <alignment horizontal="left" vertical="center" indent="1"/>
    </xf>
    <xf numFmtId="0" fontId="116" fillId="0" borderId="103" applyNumberFormat="0" applyAlignment="0" applyProtection="0">
      <alignment horizontal="left" vertical="center"/>
    </xf>
    <xf numFmtId="184" fontId="27" fillId="43" borderId="0" applyFont="0" applyFill="0" applyBorder="0" applyAlignment="0" applyProtection="0">
      <alignment horizontal="left"/>
    </xf>
    <xf numFmtId="270" fontId="27" fillId="0" borderId="0" applyFill="0" applyBorder="0" applyAlignment="0" applyProtection="0"/>
    <xf numFmtId="8" fontId="48" fillId="36" borderId="0" applyFont="0" applyBorder="0" applyAlignment="0" applyProtection="0">
      <protection locked="0"/>
    </xf>
    <xf numFmtId="298" fontId="48" fillId="36" borderId="0" applyFont="0" applyBorder="0" applyAlignment="0" applyProtection="0">
      <protection locked="0"/>
    </xf>
    <xf numFmtId="303" fontId="48" fillId="36" borderId="0" applyFont="0" applyBorder="0" applyAlignment="0">
      <protection locked="0"/>
    </xf>
    <xf numFmtId="270" fontId="48" fillId="36" borderId="0">
      <protection locked="0"/>
    </xf>
    <xf numFmtId="10" fontId="48" fillId="36" borderId="0">
      <protection locked="0"/>
    </xf>
    <xf numFmtId="307" fontId="48" fillId="36" borderId="0" applyFont="0" applyBorder="0" applyAlignment="0">
      <protection locked="0"/>
    </xf>
    <xf numFmtId="307" fontId="48" fillId="36" borderId="0" applyFont="0" applyBorder="0" applyAlignment="0">
      <protection locked="0"/>
    </xf>
    <xf numFmtId="270" fontId="48" fillId="36" borderId="0" applyNumberFormat="0" applyFont="0" applyBorder="0" applyAlignment="0" applyProtection="0">
      <alignment horizontal="center"/>
      <protection locked="0"/>
    </xf>
    <xf numFmtId="177" fontId="21" fillId="29" borderId="0" applyFont="0">
      <alignment horizontal="center"/>
    </xf>
    <xf numFmtId="0" fontId="22" fillId="0" borderId="0" applyNumberFormat="0" applyFont="0" applyFill="0" applyBorder="0" applyProtection="0">
      <alignment horizontal="left" vertical="center"/>
    </xf>
    <xf numFmtId="2" fontId="18" fillId="0" borderId="0" applyNumberFormat="0" applyBorder="0">
      <alignment horizontal="left"/>
    </xf>
    <xf numFmtId="310" fontId="116" fillId="66" borderId="39" applyBorder="0">
      <protection locked="0"/>
    </xf>
    <xf numFmtId="270" fontId="48" fillId="0" borderId="0" applyFill="0" applyBorder="0" applyAlignment="0" applyProtection="0"/>
    <xf numFmtId="167" fontId="48" fillId="29" borderId="0" applyFont="0" applyBorder="0" applyAlignment="0" applyProtection="0">
      <alignment horizontal="right"/>
      <protection hidden="1"/>
    </xf>
    <xf numFmtId="321" fontId="22" fillId="0" borderId="0"/>
    <xf numFmtId="0" fontId="38" fillId="86" borderId="0"/>
    <xf numFmtId="0" fontId="63" fillId="0" borderId="0" applyNumberFormat="0" applyFill="0" applyAlignment="0" applyProtection="0"/>
    <xf numFmtId="0" fontId="29" fillId="0" borderId="0"/>
    <xf numFmtId="38" fontId="48" fillId="0" borderId="0" applyFont="0" applyFill="0" applyBorder="0" applyAlignment="0"/>
    <xf numFmtId="40" fontId="48" fillId="0" borderId="0" applyFont="0" applyFill="0" applyBorder="0" applyAlignment="0"/>
    <xf numFmtId="274" fontId="48" fillId="0" borderId="0" applyFont="0" applyFill="0" applyBorder="0" applyAlignment="0"/>
    <xf numFmtId="0" fontId="18" fillId="0" borderId="0"/>
    <xf numFmtId="270" fontId="82" fillId="0" borderId="0" applyNumberFormat="0" applyFill="0" applyBorder="0" applyAlignment="0" applyProtection="0"/>
    <xf numFmtId="324" fontId="48" fillId="0" borderId="0" applyFont="0" applyFill="0" applyBorder="0" applyAlignment="0" applyProtection="0"/>
    <xf numFmtId="270" fontId="18" fillId="0" borderId="0">
      <alignment horizontal="right"/>
    </xf>
    <xf numFmtId="270" fontId="48" fillId="0" borderId="0"/>
    <xf numFmtId="40" fontId="48" fillId="0" borderId="0"/>
    <xf numFmtId="40" fontId="82" fillId="0" borderId="0">
      <alignment horizontal="left"/>
    </xf>
    <xf numFmtId="0" fontId="66" fillId="0" borderId="0"/>
    <xf numFmtId="40" fontId="18" fillId="0" borderId="0" applyBorder="0">
      <alignment horizontal="right"/>
    </xf>
    <xf numFmtId="270" fontId="48" fillId="0" borderId="0" applyFont="0" applyFill="0" applyBorder="0" applyAlignment="0" applyProtection="0"/>
    <xf numFmtId="365" fontId="63" fillId="0" borderId="0" applyFill="0" applyBorder="0" applyProtection="0">
      <alignment horizontal="center"/>
    </xf>
    <xf numFmtId="40" fontId="18" fillId="0" borderId="0" applyFont="0" applyFill="0" applyBorder="0" applyAlignment="0" applyProtection="0">
      <alignment horizontal="center"/>
    </xf>
    <xf numFmtId="326" fontId="48" fillId="0" borderId="0"/>
    <xf numFmtId="14" fontId="27" fillId="0" borderId="0">
      <alignment horizontal="center" wrapText="1"/>
      <protection locked="0"/>
    </xf>
    <xf numFmtId="307" fontId="48" fillId="0" borderId="0" applyFont="0" applyFill="0" applyBorder="0" applyAlignment="0"/>
    <xf numFmtId="9" fontId="9" fillId="0" borderId="0" applyFont="0" applyFill="0" applyBorder="0" applyAlignment="0" applyProtection="0"/>
    <xf numFmtId="366" fontId="27" fillId="0" borderId="0" applyFont="0" applyFill="0" applyBorder="0" applyProtection="0">
      <alignment horizontal="right"/>
    </xf>
    <xf numFmtId="0" fontId="27" fillId="0" borderId="0" applyFill="0" applyBorder="0" applyAlignment="0" applyProtection="0"/>
    <xf numFmtId="335" fontId="48" fillId="0" borderId="0" applyFont="0" applyFill="0" applyBorder="0" applyAlignment="0" applyProtection="0"/>
    <xf numFmtId="337" fontId="22" fillId="0" borderId="0"/>
    <xf numFmtId="0" fontId="58" fillId="0" borderId="18">
      <alignment horizontal="center"/>
    </xf>
    <xf numFmtId="340" fontId="22" fillId="0" borderId="0" applyFont="0" applyFill="0" applyBorder="0" applyAlignment="0" applyProtection="0">
      <alignment vertical="center"/>
    </xf>
    <xf numFmtId="274" fontId="27" fillId="0" borderId="0" applyFont="0" applyFill="0" applyBorder="0" applyAlignment="0" applyProtection="0"/>
    <xf numFmtId="1" fontId="18" fillId="0" borderId="0" applyNumberFormat="0" applyFill="0" applyBorder="0" applyAlignment="0" applyProtection="0">
      <alignment horizontal="center"/>
    </xf>
    <xf numFmtId="1" fontId="21" fillId="0" borderId="0" applyNumberFormat="0" applyFill="0" applyBorder="0" applyAlignment="0" applyProtection="0">
      <alignment horizontal="center"/>
    </xf>
    <xf numFmtId="270" fontId="48" fillId="66" borderId="0" applyNumberFormat="0" applyFont="0" applyBorder="0" applyAlignment="0">
      <protection hidden="1"/>
    </xf>
    <xf numFmtId="367" fontId="123" fillId="0" borderId="0" applyFill="0" applyBorder="0" applyProtection="0">
      <alignment horizontal="center" wrapText="1"/>
    </xf>
    <xf numFmtId="368" fontId="123" fillId="0" borderId="0" applyFill="0" applyBorder="0" applyProtection="0">
      <alignment horizontal="right" wrapText="1"/>
    </xf>
    <xf numFmtId="0" fontId="18" fillId="0" borderId="0"/>
    <xf numFmtId="0" fontId="8" fillId="0" borderId="0"/>
    <xf numFmtId="0" fontId="8" fillId="0" borderId="0"/>
    <xf numFmtId="0" fontId="157" fillId="0" borderId="0"/>
    <xf numFmtId="9" fontId="157" fillId="0" borderId="0" applyFont="0" applyFill="0" applyBorder="0" applyAlignment="0" applyProtection="0"/>
    <xf numFmtId="9" fontId="18" fillId="0" borderId="0"/>
    <xf numFmtId="0" fontId="198" fillId="0" borderId="0" applyNumberFormat="0" applyFill="0" applyBorder="0" applyAlignment="0" applyProtection="0"/>
    <xf numFmtId="0" fontId="7" fillId="0" borderId="0"/>
    <xf numFmtId="43" fontId="7" fillId="0" borderId="0" applyFont="0" applyFill="0" applyBorder="0" applyAlignment="0" applyProtection="0"/>
    <xf numFmtId="0" fontId="7" fillId="0" borderId="0"/>
    <xf numFmtId="0" fontId="6" fillId="0" borderId="0"/>
    <xf numFmtId="0" fontId="6" fillId="0" borderId="0"/>
    <xf numFmtId="0" fontId="18" fillId="0" borderId="0"/>
    <xf numFmtId="0" fontId="5" fillId="0" borderId="0"/>
    <xf numFmtId="0" fontId="44" fillId="0" borderId="0"/>
    <xf numFmtId="43" fontId="71" fillId="0" borderId="0" applyFont="0" applyFill="0" applyBorder="0" applyAlignment="0" applyProtection="0"/>
    <xf numFmtId="43" fontId="199" fillId="0" borderId="0" applyFont="0" applyFill="0" applyBorder="0" applyAlignment="0" applyProtection="0"/>
    <xf numFmtId="44" fontId="5"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0" fontId="157" fillId="0" borderId="0"/>
    <xf numFmtId="0" fontId="3" fillId="0" borderId="0"/>
    <xf numFmtId="0" fontId="3" fillId="0" borderId="0"/>
    <xf numFmtId="43" fontId="3"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44" fontId="2"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46" fillId="32" borderId="215">
      <alignment horizontal="center"/>
    </xf>
    <xf numFmtId="0" fontId="47" fillId="35" borderId="215">
      <alignment horizontal="center" vertical="center"/>
    </xf>
    <xf numFmtId="3" fontId="48" fillId="0" borderId="215"/>
    <xf numFmtId="4" fontId="48" fillId="0" borderId="215"/>
    <xf numFmtId="219" fontId="18" fillId="0" borderId="215">
      <alignment horizontal="center" vertical="center"/>
    </xf>
    <xf numFmtId="0" fontId="49" fillId="0" borderId="215">
      <alignment horizontal="center"/>
    </xf>
    <xf numFmtId="0" fontId="50" fillId="36" borderId="215">
      <alignment horizontal="center"/>
    </xf>
    <xf numFmtId="0" fontId="46" fillId="32" borderId="215"/>
    <xf numFmtId="0" fontId="47" fillId="35" borderId="215">
      <alignment horizontal="center" vertical="center"/>
    </xf>
    <xf numFmtId="0" fontId="43" fillId="0" borderId="217" applyNumberFormat="0" applyFill="0" applyAlignment="0" applyProtection="0"/>
    <xf numFmtId="0" fontId="43" fillId="0" borderId="217" applyNumberFormat="0" applyFill="0" applyAlignment="0" applyProtection="0"/>
    <xf numFmtId="0" fontId="43" fillId="0" borderId="217" applyNumberFormat="0" applyFill="0" applyAlignment="0" applyProtection="0"/>
    <xf numFmtId="0" fontId="43" fillId="0" borderId="217" applyNumberFormat="0" applyFill="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37" fontId="47" fillId="1" borderId="214">
      <alignment horizontal="centerContinuous" vertical="center"/>
    </xf>
    <xf numFmtId="37" fontId="47" fillId="1" borderId="214">
      <alignment horizontal="centerContinuous"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37" fontId="79" fillId="58" borderId="208" applyBorder="0" applyProtection="0">
      <alignment vertical="center"/>
    </xf>
    <xf numFmtId="0" fontId="81" fillId="0" borderId="218" applyNumberFormat="0" applyFill="0" applyBorder="0" applyAlignment="0" applyProtection="0"/>
    <xf numFmtId="0" fontId="81" fillId="0" borderId="218" applyNumberFormat="0" applyFill="0" applyBorder="0" applyAlignment="0" applyProtection="0"/>
    <xf numFmtId="0" fontId="81" fillId="0" borderId="218" applyNumberFormat="0" applyFill="0" applyBorder="0" applyAlignment="0" applyProtection="0"/>
    <xf numFmtId="0" fontId="81" fillId="0" borderId="218" applyNumberFormat="0" applyFill="0" applyBorder="0" applyAlignment="0" applyProtection="0"/>
    <xf numFmtId="0" fontId="81" fillId="0" borderId="218" applyNumberFormat="0" applyFill="0" applyBorder="0" applyAlignment="0" applyProtection="0"/>
    <xf numFmtId="0" fontId="81" fillId="0" borderId="218" applyNumberFormat="0" applyFill="0" applyBorder="0" applyAlignment="0" applyProtection="0"/>
    <xf numFmtId="0" fontId="81" fillId="0" borderId="218" applyNumberFormat="0" applyFill="0" applyBorder="0" applyAlignment="0" applyProtection="0"/>
    <xf numFmtId="0" fontId="81" fillId="0" borderId="218" applyNumberFormat="0" applyFill="0" applyBorder="0" applyAlignment="0" applyProtection="0"/>
    <xf numFmtId="0" fontId="81" fillId="0" borderId="218" applyNumberFormat="0" applyFill="0" applyBorder="0" applyAlignment="0" applyProtection="0"/>
    <xf numFmtId="0" fontId="81" fillId="0" borderId="218" applyNumberFormat="0" applyFill="0" applyBorder="0" applyAlignment="0" applyProtection="0"/>
    <xf numFmtId="0" fontId="81" fillId="0" borderId="218" applyNumberFormat="0" applyFill="0" applyBorder="0" applyAlignment="0" applyProtection="0"/>
    <xf numFmtId="0" fontId="81" fillId="0" borderId="218" applyNumberFormat="0" applyFill="0" applyBorder="0" applyAlignment="0" applyProtection="0"/>
    <xf numFmtId="0" fontId="82" fillId="0" borderId="218" applyNumberFormat="0" applyFill="0" applyBorder="0" applyAlignment="0" applyProtection="0"/>
    <xf numFmtId="0" fontId="82" fillId="0" borderId="218" applyNumberFormat="0" applyFill="0" applyBorder="0" applyAlignment="0" applyProtection="0"/>
    <xf numFmtId="0" fontId="82" fillId="0" borderId="218" applyNumberFormat="0" applyFill="0" applyBorder="0" applyAlignment="0" applyProtection="0"/>
    <xf numFmtId="0" fontId="82" fillId="0" borderId="218" applyNumberFormat="0" applyFill="0" applyBorder="0" applyAlignment="0" applyProtection="0"/>
    <xf numFmtId="0" fontId="82" fillId="0" borderId="218" applyNumberFormat="0" applyFill="0" applyBorder="0" applyAlignment="0" applyProtection="0"/>
    <xf numFmtId="0" fontId="82" fillId="0" borderId="218" applyNumberFormat="0" applyFill="0" applyBorder="0" applyAlignment="0" applyProtection="0"/>
    <xf numFmtId="0" fontId="82" fillId="0" borderId="218" applyNumberFormat="0" applyFill="0" applyBorder="0" applyAlignment="0" applyProtection="0"/>
    <xf numFmtId="0" fontId="82" fillId="0" borderId="218" applyNumberFormat="0" applyFill="0" applyBorder="0" applyAlignment="0" applyProtection="0"/>
    <xf numFmtId="0" fontId="82" fillId="0" borderId="218" applyNumberFormat="0" applyFill="0" applyBorder="0" applyAlignment="0" applyProtection="0"/>
    <xf numFmtId="0" fontId="82" fillId="0" borderId="218" applyNumberFormat="0" applyFill="0" applyBorder="0" applyAlignment="0" applyProtection="0"/>
    <xf numFmtId="0" fontId="82" fillId="0" borderId="218" applyNumberFormat="0" applyFill="0" applyBorder="0" applyAlignment="0" applyProtection="0"/>
    <xf numFmtId="0" fontId="82" fillId="0" borderId="218" applyNumberFormat="0" applyFill="0" applyBorder="0" applyAlignment="0" applyProtection="0"/>
    <xf numFmtId="0" fontId="49" fillId="0" borderId="218" applyNumberFormat="0" applyFill="0" applyBorder="0" applyAlignment="0" applyProtection="0"/>
    <xf numFmtId="0" fontId="49" fillId="0" borderId="218" applyNumberFormat="0" applyFill="0" applyBorder="0" applyAlignment="0" applyProtection="0"/>
    <xf numFmtId="0" fontId="49" fillId="0" borderId="218" applyNumberFormat="0" applyFill="0" applyBorder="0" applyAlignment="0" applyProtection="0"/>
    <xf numFmtId="0" fontId="49" fillId="0" borderId="218" applyNumberFormat="0" applyFill="0" applyBorder="0" applyAlignment="0" applyProtection="0"/>
    <xf numFmtId="0" fontId="49" fillId="0" borderId="218" applyNumberFormat="0" applyFill="0" applyBorder="0" applyAlignment="0" applyProtection="0"/>
    <xf numFmtId="0" fontId="49" fillId="0" borderId="218" applyNumberFormat="0" applyFill="0" applyBorder="0" applyAlignment="0" applyProtection="0"/>
    <xf numFmtId="0" fontId="49" fillId="0" borderId="218" applyNumberFormat="0" applyFill="0" applyBorder="0" applyAlignment="0" applyProtection="0"/>
    <xf numFmtId="0" fontId="49" fillId="0" borderId="218" applyNumberFormat="0" applyFill="0" applyBorder="0" applyAlignment="0" applyProtection="0"/>
    <xf numFmtId="0" fontId="49" fillId="0" borderId="218" applyNumberFormat="0" applyFill="0" applyBorder="0" applyAlignment="0" applyProtection="0"/>
    <xf numFmtId="0" fontId="49" fillId="0" borderId="218" applyNumberFormat="0" applyFill="0" applyBorder="0" applyAlignment="0" applyProtection="0"/>
    <xf numFmtId="0" fontId="49" fillId="0" borderId="218" applyNumberFormat="0" applyFill="0" applyBorder="0" applyAlignment="0" applyProtection="0"/>
    <xf numFmtId="0" fontId="49" fillId="0" borderId="218" applyNumberFormat="0" applyFill="0" applyBorder="0" applyAlignment="0" applyProtection="0"/>
    <xf numFmtId="0" fontId="48" fillId="0" borderId="218" applyNumberFormat="0" applyFill="0" applyAlignment="0" applyProtection="0"/>
    <xf numFmtId="0" fontId="48" fillId="0" borderId="218" applyNumberFormat="0" applyFill="0" applyAlignment="0" applyProtection="0"/>
    <xf numFmtId="0" fontId="48" fillId="0" borderId="218" applyNumberFormat="0" applyFill="0" applyAlignment="0" applyProtection="0"/>
    <xf numFmtId="0" fontId="48" fillId="0" borderId="218" applyNumberFormat="0" applyFill="0" applyAlignment="0" applyProtection="0"/>
    <xf numFmtId="0" fontId="48" fillId="0" borderId="218" applyNumberFormat="0" applyFill="0" applyAlignment="0" applyProtection="0"/>
    <xf numFmtId="0" fontId="48" fillId="0" borderId="218" applyNumberFormat="0" applyFill="0" applyAlignment="0" applyProtection="0"/>
    <xf numFmtId="0" fontId="48" fillId="0" borderId="218" applyNumberFormat="0" applyFill="0" applyAlignment="0" applyProtection="0"/>
    <xf numFmtId="0" fontId="48" fillId="0" borderId="218" applyNumberFormat="0" applyFill="0" applyAlignment="0" applyProtection="0"/>
    <xf numFmtId="177" fontId="27" fillId="0" borderId="214"/>
    <xf numFmtId="177" fontId="27" fillId="0" borderId="214"/>
    <xf numFmtId="177" fontId="27" fillId="0" borderId="214"/>
    <xf numFmtId="177" fontId="27" fillId="0" borderId="214"/>
    <xf numFmtId="177" fontId="27" fillId="0" borderId="214"/>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0" fontId="94" fillId="43" borderId="219" applyNumberFormat="0" applyAlignment="0" applyProtection="0"/>
    <xf numFmtId="0" fontId="94" fillId="43" borderId="219" applyNumberFormat="0" applyAlignment="0" applyProtection="0"/>
    <xf numFmtId="0" fontId="94" fillId="43" borderId="219" applyNumberFormat="0" applyAlignment="0" applyProtection="0"/>
    <xf numFmtId="0" fontId="94" fillId="43" borderId="219" applyNumberFormat="0" applyAlignment="0" applyProtection="0"/>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0" fontId="95" fillId="61" borderId="215"/>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0" fontId="106" fillId="0" borderId="215"/>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2" fontId="18" fillId="36" borderId="208" applyFill="0" applyBorder="0" applyProtection="0">
      <alignment horizontal="center"/>
    </xf>
    <xf numFmtId="2" fontId="18" fillId="36" borderId="208" applyFill="0" applyBorder="0" applyProtection="0">
      <alignment horizontal="center"/>
    </xf>
    <xf numFmtId="2" fontId="18" fillId="36" borderId="208" applyFill="0" applyBorder="0" applyProtection="0">
      <alignment horizontal="center"/>
    </xf>
    <xf numFmtId="2" fontId="18" fillId="36" borderId="208" applyFill="0" applyBorder="0" applyProtection="0">
      <alignment horizontal="center"/>
    </xf>
    <xf numFmtId="2" fontId="18" fillId="36" borderId="208" applyFill="0" applyBorder="0" applyProtection="0">
      <alignment horizontal="center"/>
    </xf>
    <xf numFmtId="2" fontId="18" fillId="36" borderId="208" applyFill="0" applyBorder="0" applyProtection="0">
      <alignment horizontal="center"/>
    </xf>
    <xf numFmtId="0" fontId="116" fillId="0" borderId="209">
      <alignment horizontal="left" vertical="center"/>
    </xf>
    <xf numFmtId="0" fontId="116" fillId="0" borderId="209">
      <alignment horizontal="left" vertical="center"/>
    </xf>
    <xf numFmtId="0" fontId="116" fillId="0" borderId="209">
      <alignment horizontal="left" vertical="center"/>
    </xf>
    <xf numFmtId="0" fontId="116" fillId="0" borderId="209">
      <alignment horizontal="left" vertical="center"/>
    </xf>
    <xf numFmtId="0" fontId="120" fillId="64" borderId="220">
      <alignment horizontal="left" vertical="center"/>
    </xf>
    <xf numFmtId="0" fontId="120" fillId="64" borderId="220">
      <alignment horizontal="left" vertical="center"/>
    </xf>
    <xf numFmtId="0" fontId="120" fillId="64" borderId="220">
      <alignment horizontal="left" vertical="center"/>
    </xf>
    <xf numFmtId="0" fontId="120" fillId="64" borderId="220">
      <alignment horizontal="left" vertical="center"/>
    </xf>
    <xf numFmtId="0" fontId="120" fillId="64" borderId="220">
      <alignment horizontal="left" vertical="center"/>
    </xf>
    <xf numFmtId="0" fontId="120" fillId="64" borderId="220">
      <alignment horizontal="left" vertical="center"/>
    </xf>
    <xf numFmtId="0" fontId="120" fillId="64" borderId="221" applyBorder="0">
      <alignment horizontal="center" vertical="center" wrapText="1"/>
    </xf>
    <xf numFmtId="0" fontId="120" fillId="64" borderId="221" applyBorder="0">
      <alignment horizontal="center" vertical="center" wrapText="1"/>
    </xf>
    <xf numFmtId="0" fontId="120" fillId="64" borderId="221" applyBorder="0">
      <alignment horizontal="center" vertical="center" wrapText="1"/>
    </xf>
    <xf numFmtId="0" fontId="120" fillId="64" borderId="221" applyBorder="0">
      <alignment horizontal="center" vertical="center" wrapText="1"/>
    </xf>
    <xf numFmtId="0" fontId="120" fillId="64" borderId="221" applyBorder="0">
      <alignment horizontal="center" vertical="center" wrapText="1"/>
    </xf>
    <xf numFmtId="0" fontId="120" fillId="64" borderId="221" applyBorder="0">
      <alignment horizontal="center" vertical="center" wrapText="1"/>
    </xf>
    <xf numFmtId="8" fontId="125" fillId="0" borderId="212" applyNumberFormat="0" applyFill="0" applyBorder="0" applyAlignment="0" applyProtection="0"/>
    <xf numFmtId="8" fontId="125" fillId="0" borderId="212" applyNumberFormat="0" applyFill="0" applyBorder="0" applyAlignment="0" applyProtection="0"/>
    <xf numFmtId="8" fontId="125" fillId="0" borderId="212" applyNumberFormat="0" applyFill="0" applyBorder="0" applyAlignment="0" applyProtection="0"/>
    <xf numFmtId="8" fontId="125" fillId="0" borderId="212" applyNumberFormat="0" applyFill="0" applyBorder="0" applyAlignment="0" applyProtection="0"/>
    <xf numFmtId="8" fontId="125" fillId="0" borderId="212" applyNumberFormat="0" applyFill="0" applyBorder="0" applyAlignment="0" applyProtection="0"/>
    <xf numFmtId="8" fontId="125" fillId="0" borderId="212" applyNumberFormat="0" applyFill="0" applyBorder="0" applyAlignment="0" applyProtection="0"/>
    <xf numFmtId="0" fontId="42" fillId="65" borderId="220">
      <alignment horizontal="left" vertical="center" wrapText="1"/>
    </xf>
    <xf numFmtId="0" fontId="42" fillId="65" borderId="220">
      <alignment horizontal="left" vertical="center" wrapText="1"/>
    </xf>
    <xf numFmtId="0" fontId="42" fillId="65" borderId="220">
      <alignment horizontal="left" vertical="center" wrapText="1"/>
    </xf>
    <xf numFmtId="0" fontId="42" fillId="65" borderId="220">
      <alignment horizontal="left" vertical="center" wrapText="1"/>
    </xf>
    <xf numFmtId="0" fontId="42" fillId="65" borderId="220">
      <alignment horizontal="left" vertical="center" wrapText="1"/>
    </xf>
    <xf numFmtId="0" fontId="42" fillId="65" borderId="220">
      <alignment horizontal="left" vertical="center" wrapText="1"/>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47" fontId="1" fillId="0" borderId="0"/>
    <xf numFmtId="0" fontId="1" fillId="0" borderId="0"/>
    <xf numFmtId="0" fontId="1" fillId="0" borderId="0"/>
    <xf numFmtId="0" fontId="1" fillId="0" borderId="0"/>
    <xf numFmtId="0" fontId="1" fillId="0" borderId="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339" fontId="18" fillId="0" borderId="216" applyBorder="0">
      <alignment horizontal="right"/>
    </xf>
    <xf numFmtId="339" fontId="18" fillId="0" borderId="216" applyBorder="0">
      <alignment horizontal="right"/>
    </xf>
    <xf numFmtId="339" fontId="18" fillId="0" borderId="216" applyBorder="0">
      <alignment horizontal="right"/>
    </xf>
    <xf numFmtId="339" fontId="18" fillId="0" borderId="216" applyBorder="0">
      <alignment horizontal="right"/>
    </xf>
    <xf numFmtId="0" fontId="116" fillId="62" borderId="215">
      <alignment horizontal="center" vertical="center" wrapText="1"/>
      <protection hidden="1"/>
    </xf>
    <xf numFmtId="0" fontId="116" fillId="62" borderId="215">
      <alignment horizontal="center" vertical="center" wrapText="1"/>
      <protection hidden="1"/>
    </xf>
    <xf numFmtId="0" fontId="116" fillId="62" borderId="215">
      <alignment horizontal="center" vertical="center" wrapText="1"/>
      <protection hidden="1"/>
    </xf>
    <xf numFmtId="0" fontId="116" fillId="62" borderId="215">
      <alignment horizontal="center" vertical="center" wrapText="1"/>
      <protection hidden="1"/>
    </xf>
    <xf numFmtId="0" fontId="116" fillId="62" borderId="215">
      <alignment horizontal="center" vertical="center" wrapText="1"/>
      <protection hidden="1"/>
    </xf>
    <xf numFmtId="0" fontId="116" fillId="62" borderId="215">
      <alignment horizontal="center" vertical="center" wrapText="1"/>
      <protection hidden="1"/>
    </xf>
    <xf numFmtId="0" fontId="142" fillId="1" borderId="209" applyNumberFormat="0" applyFont="0" applyAlignment="0">
      <alignment horizontal="center"/>
    </xf>
    <xf numFmtId="0" fontId="142" fillId="1" borderId="209" applyNumberFormat="0" applyFont="0" applyAlignment="0">
      <alignment horizontal="center"/>
    </xf>
    <xf numFmtId="0" fontId="142" fillId="1" borderId="209" applyNumberFormat="0" applyFont="0" applyAlignment="0">
      <alignment horizontal="center"/>
    </xf>
    <xf numFmtId="0" fontId="142" fillId="1" borderId="209" applyNumberFormat="0" applyFont="0" applyAlignment="0">
      <alignment horizontal="center"/>
    </xf>
    <xf numFmtId="37" fontId="18" fillId="0" borderId="215" applyBorder="0">
      <alignment horizontal="right"/>
      <protection locked="0"/>
    </xf>
    <xf numFmtId="37" fontId="18" fillId="0" borderId="215" applyBorder="0">
      <alignment horizontal="right"/>
      <protection locked="0"/>
    </xf>
    <xf numFmtId="37" fontId="18" fillId="0" borderId="215" applyBorder="0">
      <alignment horizontal="right"/>
      <protection locked="0"/>
    </xf>
    <xf numFmtId="37" fontId="18" fillId="0" borderId="215" applyBorder="0">
      <alignment horizontal="right"/>
      <protection locked="0"/>
    </xf>
    <xf numFmtId="37" fontId="18" fillId="0" borderId="215" applyBorder="0">
      <alignment horizontal="right"/>
      <protection locked="0"/>
    </xf>
    <xf numFmtId="37" fontId="18" fillId="0" borderId="215" applyBorder="0">
      <alignment horizontal="right"/>
      <protection locked="0"/>
    </xf>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46" fillId="32" borderId="222">
      <alignment horizontal="center"/>
    </xf>
    <xf numFmtId="0" fontId="47" fillId="35" borderId="222">
      <alignment horizontal="center" vertical="center"/>
    </xf>
    <xf numFmtId="3" fontId="48" fillId="0" borderId="222"/>
    <xf numFmtId="4" fontId="48" fillId="0" borderId="222"/>
    <xf numFmtId="219" fontId="18" fillId="0" borderId="222">
      <alignment horizontal="center" vertical="center"/>
    </xf>
    <xf numFmtId="0" fontId="49" fillId="0" borderId="222">
      <alignment horizontal="center"/>
    </xf>
    <xf numFmtId="0" fontId="50" fillId="36" borderId="222">
      <alignment horizontal="center"/>
    </xf>
    <xf numFmtId="0" fontId="46" fillId="32" borderId="222"/>
    <xf numFmtId="0" fontId="47" fillId="35" borderId="222">
      <alignment horizontal="center" vertical="center"/>
    </xf>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37" fontId="47" fillId="1" borderId="214">
      <alignment horizontal="centerContinuous" vertical="center"/>
    </xf>
    <xf numFmtId="37" fontId="47" fillId="1" borderId="214">
      <alignment horizontal="centerContinuous"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177" fontId="27" fillId="0" borderId="214"/>
    <xf numFmtId="177" fontId="27" fillId="0" borderId="214"/>
    <xf numFmtId="177" fontId="27" fillId="0" borderId="214"/>
    <xf numFmtId="177" fontId="27" fillId="0" borderId="214"/>
    <xf numFmtId="177" fontId="27" fillId="0" borderId="214"/>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2" fontId="18" fillId="36" borderId="223" applyFill="0" applyBorder="0" applyProtection="0">
      <alignment horizontal="center"/>
    </xf>
    <xf numFmtId="2" fontId="18" fillId="36" borderId="223" applyFill="0" applyBorder="0" applyProtection="0">
      <alignment horizontal="center"/>
    </xf>
    <xf numFmtId="2" fontId="18" fillId="36" borderId="223" applyFill="0" applyBorder="0" applyProtection="0">
      <alignment horizontal="center"/>
    </xf>
    <xf numFmtId="2" fontId="18" fillId="36" borderId="223" applyFill="0" applyBorder="0" applyProtection="0">
      <alignment horizontal="center"/>
    </xf>
    <xf numFmtId="2" fontId="18" fillId="36" borderId="223" applyFill="0" applyBorder="0" applyProtection="0">
      <alignment horizontal="center"/>
    </xf>
    <xf numFmtId="2" fontId="18" fillId="36" borderId="223" applyFill="0" applyBorder="0" applyProtection="0">
      <alignment horizontal="center"/>
    </xf>
    <xf numFmtId="0" fontId="116" fillId="0" borderId="224">
      <alignment horizontal="left" vertical="center"/>
    </xf>
    <xf numFmtId="0" fontId="116" fillId="0" borderId="224">
      <alignment horizontal="left" vertical="center"/>
    </xf>
    <xf numFmtId="0" fontId="116" fillId="0" borderId="224">
      <alignment horizontal="left" vertical="center"/>
    </xf>
    <xf numFmtId="0" fontId="116" fillId="0" borderId="224">
      <alignment horizontal="left" vertic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47" fontId="1" fillId="0" borderId="0"/>
    <xf numFmtId="0" fontId="1" fillId="0" borderId="0"/>
    <xf numFmtId="0" fontId="1" fillId="0" borderId="0"/>
    <xf numFmtId="0" fontId="1" fillId="0" borderId="0"/>
    <xf numFmtId="0" fontId="1" fillId="0" borderId="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339" fontId="18" fillId="0" borderId="225" applyBorder="0">
      <alignment horizontal="right"/>
    </xf>
    <xf numFmtId="339" fontId="18" fillId="0" borderId="225" applyBorder="0">
      <alignment horizontal="right"/>
    </xf>
    <xf numFmtId="339" fontId="18" fillId="0" borderId="225" applyBorder="0">
      <alignment horizontal="right"/>
    </xf>
    <xf numFmtId="339" fontId="18" fillId="0" borderId="225" applyBorder="0">
      <alignment horizontal="right"/>
    </xf>
    <xf numFmtId="0" fontId="116" fillId="62" borderId="222">
      <alignment horizontal="center" vertical="center" wrapText="1"/>
      <protection hidden="1"/>
    </xf>
    <xf numFmtId="0" fontId="116" fillId="62" borderId="222">
      <alignment horizontal="center" vertical="center" wrapText="1"/>
      <protection hidden="1"/>
    </xf>
    <xf numFmtId="0" fontId="116" fillId="62" borderId="222">
      <alignment horizontal="center" vertical="center" wrapText="1"/>
      <protection hidden="1"/>
    </xf>
    <xf numFmtId="0" fontId="116" fillId="62" borderId="222">
      <alignment horizontal="center" vertical="center" wrapText="1"/>
      <protection hidden="1"/>
    </xf>
    <xf numFmtId="0" fontId="116" fillId="62" borderId="222">
      <alignment horizontal="center" vertical="center" wrapText="1"/>
      <protection hidden="1"/>
    </xf>
    <xf numFmtId="0" fontId="116" fillId="62" borderId="222">
      <alignment horizontal="center" vertical="center" wrapText="1"/>
      <protection hidden="1"/>
    </xf>
    <xf numFmtId="0" fontId="142" fillId="1" borderId="224" applyNumberFormat="0" applyFont="0" applyAlignment="0">
      <alignment horizontal="center"/>
    </xf>
    <xf numFmtId="0" fontId="142" fillId="1" borderId="224" applyNumberFormat="0" applyFont="0" applyAlignment="0">
      <alignment horizontal="center"/>
    </xf>
    <xf numFmtId="0" fontId="142" fillId="1" borderId="224" applyNumberFormat="0" applyFont="0" applyAlignment="0">
      <alignment horizontal="center"/>
    </xf>
    <xf numFmtId="0" fontId="142" fillId="1" borderId="224" applyNumberFormat="0" applyFont="0" applyAlignment="0">
      <alignment horizontal="center"/>
    </xf>
    <xf numFmtId="37" fontId="18" fillId="0" borderId="222" applyBorder="0">
      <alignment horizontal="right"/>
      <protection locked="0"/>
    </xf>
    <xf numFmtId="37" fontId="18" fillId="0" borderId="222" applyBorder="0">
      <alignment horizontal="right"/>
      <protection locked="0"/>
    </xf>
    <xf numFmtId="37" fontId="18" fillId="0" borderId="222" applyBorder="0">
      <alignment horizontal="right"/>
      <protection locked="0"/>
    </xf>
    <xf numFmtId="37" fontId="18" fillId="0" borderId="222" applyBorder="0">
      <alignment horizontal="right"/>
      <protection locked="0"/>
    </xf>
    <xf numFmtId="37" fontId="18" fillId="0" borderId="222" applyBorder="0">
      <alignment horizontal="right"/>
      <protection locked="0"/>
    </xf>
    <xf numFmtId="37" fontId="18" fillId="0" borderId="222" applyBorder="0">
      <alignment horizontal="right"/>
      <protection locked="0"/>
    </xf>
    <xf numFmtId="0" fontId="1" fillId="0" borderId="0"/>
    <xf numFmtId="0" fontId="27" fillId="0" borderId="214" applyFont="0" applyFill="0" applyBorder="0" applyAlignment="0" applyProtection="0">
      <alignment horizontal="right"/>
    </xf>
    <xf numFmtId="0" fontId="1"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43" fillId="0" borderId="226" applyNumberFormat="0" applyFill="0" applyAlignment="0" applyProtection="0"/>
    <xf numFmtId="0" fontId="43" fillId="0" borderId="226" applyNumberFormat="0" applyFill="0" applyAlignment="0" applyProtection="0"/>
    <xf numFmtId="0" fontId="43" fillId="0" borderId="226" applyNumberFormat="0" applyFill="0" applyAlignment="0" applyProtection="0"/>
    <xf numFmtId="0" fontId="43" fillId="0" borderId="226" applyNumberFormat="0" applyFill="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37" fontId="47" fillId="1" borderId="214">
      <alignment horizontal="centerContinuous" vertical="center"/>
    </xf>
    <xf numFmtId="37" fontId="47" fillId="1" borderId="214">
      <alignment horizontal="centerContinuous"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37" fontId="79" fillId="58" borderId="223" applyBorder="0" applyProtection="0">
      <alignment vertical="center"/>
    </xf>
    <xf numFmtId="0" fontId="81" fillId="0" borderId="227" applyNumberFormat="0" applyFill="0" applyBorder="0" applyAlignment="0" applyProtection="0"/>
    <xf numFmtId="0" fontId="81" fillId="0" borderId="227" applyNumberFormat="0" applyFill="0" applyBorder="0" applyAlignment="0" applyProtection="0"/>
    <xf numFmtId="0" fontId="81" fillId="0" borderId="227" applyNumberFormat="0" applyFill="0" applyBorder="0" applyAlignment="0" applyProtection="0"/>
    <xf numFmtId="0" fontId="81" fillId="0" borderId="227" applyNumberFormat="0" applyFill="0" applyBorder="0" applyAlignment="0" applyProtection="0"/>
    <xf numFmtId="0" fontId="81" fillId="0" borderId="227" applyNumberFormat="0" applyFill="0" applyBorder="0" applyAlignment="0" applyProtection="0"/>
    <xf numFmtId="0" fontId="81" fillId="0" borderId="227" applyNumberFormat="0" applyFill="0" applyBorder="0" applyAlignment="0" applyProtection="0"/>
    <xf numFmtId="0" fontId="81" fillId="0" borderId="227" applyNumberFormat="0" applyFill="0" applyBorder="0" applyAlignment="0" applyProtection="0"/>
    <xf numFmtId="0" fontId="81" fillId="0" borderId="227" applyNumberFormat="0" applyFill="0" applyBorder="0" applyAlignment="0" applyProtection="0"/>
    <xf numFmtId="0" fontId="81" fillId="0" borderId="227" applyNumberFormat="0" applyFill="0" applyBorder="0" applyAlignment="0" applyProtection="0"/>
    <xf numFmtId="0" fontId="81" fillId="0" borderId="227" applyNumberFormat="0" applyFill="0" applyBorder="0" applyAlignment="0" applyProtection="0"/>
    <xf numFmtId="0" fontId="81" fillId="0" borderId="227" applyNumberFormat="0" applyFill="0" applyBorder="0" applyAlignment="0" applyProtection="0"/>
    <xf numFmtId="0" fontId="81" fillId="0" borderId="227" applyNumberFormat="0" applyFill="0" applyBorder="0" applyAlignment="0" applyProtection="0"/>
    <xf numFmtId="0" fontId="82" fillId="0" borderId="227" applyNumberFormat="0" applyFill="0" applyBorder="0" applyAlignment="0" applyProtection="0"/>
    <xf numFmtId="0" fontId="82" fillId="0" borderId="227" applyNumberFormat="0" applyFill="0" applyBorder="0" applyAlignment="0" applyProtection="0"/>
    <xf numFmtId="0" fontId="82" fillId="0" borderId="227" applyNumberFormat="0" applyFill="0" applyBorder="0" applyAlignment="0" applyProtection="0"/>
    <xf numFmtId="0" fontId="82" fillId="0" borderId="227" applyNumberFormat="0" applyFill="0" applyBorder="0" applyAlignment="0" applyProtection="0"/>
    <xf numFmtId="0" fontId="82" fillId="0" borderId="227" applyNumberFormat="0" applyFill="0" applyBorder="0" applyAlignment="0" applyProtection="0"/>
    <xf numFmtId="0" fontId="82" fillId="0" borderId="227" applyNumberFormat="0" applyFill="0" applyBorder="0" applyAlignment="0" applyProtection="0"/>
    <xf numFmtId="0" fontId="82" fillId="0" borderId="227" applyNumberFormat="0" applyFill="0" applyBorder="0" applyAlignment="0" applyProtection="0"/>
    <xf numFmtId="0" fontId="82" fillId="0" borderId="227" applyNumberFormat="0" applyFill="0" applyBorder="0" applyAlignment="0" applyProtection="0"/>
    <xf numFmtId="0" fontId="82" fillId="0" borderId="227" applyNumberFormat="0" applyFill="0" applyBorder="0" applyAlignment="0" applyProtection="0"/>
    <xf numFmtId="0" fontId="82" fillId="0" borderId="227" applyNumberFormat="0" applyFill="0" applyBorder="0" applyAlignment="0" applyProtection="0"/>
    <xf numFmtId="0" fontId="82" fillId="0" borderId="227" applyNumberFormat="0" applyFill="0" applyBorder="0" applyAlignment="0" applyProtection="0"/>
    <xf numFmtId="0" fontId="82" fillId="0" borderId="227" applyNumberFormat="0" applyFill="0" applyBorder="0" applyAlignment="0" applyProtection="0"/>
    <xf numFmtId="0" fontId="49" fillId="0" borderId="227" applyNumberFormat="0" applyFill="0" applyBorder="0" applyAlignment="0" applyProtection="0"/>
    <xf numFmtId="0" fontId="49" fillId="0" borderId="227" applyNumberFormat="0" applyFill="0" applyBorder="0" applyAlignment="0" applyProtection="0"/>
    <xf numFmtId="0" fontId="49" fillId="0" borderId="227" applyNumberFormat="0" applyFill="0" applyBorder="0" applyAlignment="0" applyProtection="0"/>
    <xf numFmtId="0" fontId="49" fillId="0" borderId="227" applyNumberFormat="0" applyFill="0" applyBorder="0" applyAlignment="0" applyProtection="0"/>
    <xf numFmtId="0" fontId="49" fillId="0" borderId="227" applyNumberFormat="0" applyFill="0" applyBorder="0" applyAlignment="0" applyProtection="0"/>
    <xf numFmtId="0" fontId="49" fillId="0" borderId="227" applyNumberFormat="0" applyFill="0" applyBorder="0" applyAlignment="0" applyProtection="0"/>
    <xf numFmtId="0" fontId="49" fillId="0" borderId="227" applyNumberFormat="0" applyFill="0" applyBorder="0" applyAlignment="0" applyProtection="0"/>
    <xf numFmtId="0" fontId="49" fillId="0" borderId="227" applyNumberFormat="0" applyFill="0" applyBorder="0" applyAlignment="0" applyProtection="0"/>
    <xf numFmtId="0" fontId="49" fillId="0" borderId="227" applyNumberFormat="0" applyFill="0" applyBorder="0" applyAlignment="0" applyProtection="0"/>
    <xf numFmtId="0" fontId="49" fillId="0" borderId="227" applyNumberFormat="0" applyFill="0" applyBorder="0" applyAlignment="0" applyProtection="0"/>
    <xf numFmtId="0" fontId="49" fillId="0" borderId="227" applyNumberFormat="0" applyFill="0" applyBorder="0" applyAlignment="0" applyProtection="0"/>
    <xf numFmtId="0" fontId="49" fillId="0" borderId="227" applyNumberFormat="0" applyFill="0" applyBorder="0" applyAlignment="0" applyProtection="0"/>
    <xf numFmtId="0" fontId="48" fillId="0" borderId="227" applyNumberFormat="0" applyFill="0" applyAlignment="0" applyProtection="0"/>
    <xf numFmtId="0" fontId="48" fillId="0" borderId="227" applyNumberFormat="0" applyFill="0" applyAlignment="0" applyProtection="0"/>
    <xf numFmtId="0" fontId="48" fillId="0" borderId="227" applyNumberFormat="0" applyFill="0" applyAlignment="0" applyProtection="0"/>
    <xf numFmtId="0" fontId="48" fillId="0" borderId="227" applyNumberFormat="0" applyFill="0" applyAlignment="0" applyProtection="0"/>
    <xf numFmtId="0" fontId="48" fillId="0" borderId="227" applyNumberFormat="0" applyFill="0" applyAlignment="0" applyProtection="0"/>
    <xf numFmtId="0" fontId="48" fillId="0" borderId="227" applyNumberFormat="0" applyFill="0" applyAlignment="0" applyProtection="0"/>
    <xf numFmtId="0" fontId="48" fillId="0" borderId="227" applyNumberFormat="0" applyFill="0" applyAlignment="0" applyProtection="0"/>
    <xf numFmtId="0" fontId="48" fillId="0" borderId="227" applyNumberFormat="0" applyFill="0" applyAlignment="0" applyProtection="0"/>
    <xf numFmtId="177" fontId="27" fillId="0" borderId="214"/>
    <xf numFmtId="177" fontId="27" fillId="0" borderId="214"/>
    <xf numFmtId="177" fontId="27" fillId="0" borderId="214"/>
    <xf numFmtId="177" fontId="27" fillId="0" borderId="214"/>
    <xf numFmtId="177" fontId="27" fillId="0" borderId="214"/>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5" fontId="58" fillId="0" borderId="214" applyAlignment="0" applyProtection="0"/>
    <xf numFmtId="0" fontId="94" fillId="43" borderId="228" applyNumberFormat="0" applyAlignment="0" applyProtection="0"/>
    <xf numFmtId="0" fontId="94" fillId="43" borderId="228" applyNumberFormat="0" applyAlignment="0" applyProtection="0"/>
    <xf numFmtId="0" fontId="94" fillId="43" borderId="228" applyNumberFormat="0" applyAlignment="0" applyProtection="0"/>
    <xf numFmtId="0" fontId="94" fillId="43" borderId="228" applyNumberFormat="0" applyAlignment="0" applyProtection="0"/>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0" fontId="95" fillId="61" borderId="222"/>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0" fontId="106" fillId="0" borderId="222"/>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302" fontId="8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186" fontId="48" fillId="0" borderId="214" applyFont="0" applyFill="0" applyBorder="0" applyAlignment="0" applyProtection="0">
      <alignment horizontal="center"/>
    </xf>
    <xf numFmtId="2" fontId="18" fillId="36" borderId="223" applyFill="0" applyBorder="0" applyProtection="0">
      <alignment horizontal="center"/>
    </xf>
    <xf numFmtId="2" fontId="18" fillId="36" borderId="223" applyFill="0" applyBorder="0" applyProtection="0">
      <alignment horizontal="center"/>
    </xf>
    <xf numFmtId="2" fontId="18" fillId="36" borderId="223" applyFill="0" applyBorder="0" applyProtection="0">
      <alignment horizontal="center"/>
    </xf>
    <xf numFmtId="2" fontId="18" fillId="36" borderId="223" applyFill="0" applyBorder="0" applyProtection="0">
      <alignment horizontal="center"/>
    </xf>
    <xf numFmtId="2" fontId="18" fillId="36" borderId="223" applyFill="0" applyBorder="0" applyProtection="0">
      <alignment horizontal="center"/>
    </xf>
    <xf numFmtId="2" fontId="18" fillId="36" borderId="223" applyFill="0" applyBorder="0" applyProtection="0">
      <alignment horizontal="center"/>
    </xf>
    <xf numFmtId="0" fontId="116" fillId="0" borderId="224">
      <alignment horizontal="left" vertical="center"/>
    </xf>
    <xf numFmtId="0" fontId="116" fillId="0" borderId="224">
      <alignment horizontal="left" vertical="center"/>
    </xf>
    <xf numFmtId="0" fontId="116" fillId="0" borderId="224">
      <alignment horizontal="left" vertical="center"/>
    </xf>
    <xf numFmtId="0" fontId="116" fillId="0" borderId="224">
      <alignment horizontal="left" vertical="center"/>
    </xf>
    <xf numFmtId="0" fontId="120" fillId="64" borderId="220">
      <alignment horizontal="left" vertical="center"/>
    </xf>
    <xf numFmtId="0" fontId="120" fillId="64" borderId="220">
      <alignment horizontal="left" vertical="center"/>
    </xf>
    <xf numFmtId="0" fontId="120" fillId="64" borderId="220">
      <alignment horizontal="left" vertical="center"/>
    </xf>
    <xf numFmtId="0" fontId="120" fillId="64" borderId="220">
      <alignment horizontal="left" vertical="center"/>
    </xf>
    <xf numFmtId="0" fontId="120" fillId="64" borderId="220">
      <alignment horizontal="left" vertical="center"/>
    </xf>
    <xf numFmtId="0" fontId="120" fillId="64" borderId="220">
      <alignment horizontal="left" vertical="center"/>
    </xf>
    <xf numFmtId="0" fontId="120" fillId="64" borderId="221" applyBorder="0">
      <alignment horizontal="center" vertical="center" wrapText="1"/>
    </xf>
    <xf numFmtId="0" fontId="120" fillId="64" borderId="221" applyBorder="0">
      <alignment horizontal="center" vertical="center" wrapText="1"/>
    </xf>
    <xf numFmtId="0" fontId="120" fillId="64" borderId="221" applyBorder="0">
      <alignment horizontal="center" vertical="center" wrapText="1"/>
    </xf>
    <xf numFmtId="0" fontId="120" fillId="64" borderId="221" applyBorder="0">
      <alignment horizontal="center" vertical="center" wrapText="1"/>
    </xf>
    <xf numFmtId="0" fontId="120" fillId="64" borderId="221" applyBorder="0">
      <alignment horizontal="center" vertical="center" wrapText="1"/>
    </xf>
    <xf numFmtId="0" fontId="120" fillId="64" borderId="221" applyBorder="0">
      <alignment horizontal="center" vertical="center" wrapText="1"/>
    </xf>
    <xf numFmtId="8" fontId="125" fillId="0" borderId="229" applyNumberFormat="0" applyFill="0" applyBorder="0" applyAlignment="0" applyProtection="0"/>
    <xf numFmtId="8" fontId="125" fillId="0" borderId="229" applyNumberFormat="0" applyFill="0" applyBorder="0" applyAlignment="0" applyProtection="0"/>
    <xf numFmtId="8" fontId="125" fillId="0" borderId="229" applyNumberFormat="0" applyFill="0" applyBorder="0" applyAlignment="0" applyProtection="0"/>
    <xf numFmtId="8" fontId="125" fillId="0" borderId="229" applyNumberFormat="0" applyFill="0" applyBorder="0" applyAlignment="0" applyProtection="0"/>
    <xf numFmtId="8" fontId="125" fillId="0" borderId="229" applyNumberFormat="0" applyFill="0" applyBorder="0" applyAlignment="0" applyProtection="0"/>
    <xf numFmtId="8" fontId="125" fillId="0" borderId="229" applyNumberFormat="0" applyFill="0" applyBorder="0" applyAlignment="0" applyProtection="0"/>
    <xf numFmtId="0" fontId="42" fillId="65" borderId="220">
      <alignment horizontal="left" vertical="center" wrapText="1"/>
    </xf>
    <xf numFmtId="0" fontId="42" fillId="65" borderId="220">
      <alignment horizontal="left" vertical="center" wrapText="1"/>
    </xf>
    <xf numFmtId="0" fontId="42" fillId="65" borderId="220">
      <alignment horizontal="left" vertical="center" wrapText="1"/>
    </xf>
    <xf numFmtId="0" fontId="42" fillId="65" borderId="220">
      <alignment horizontal="left" vertical="center" wrapText="1"/>
    </xf>
    <xf numFmtId="0" fontId="42" fillId="65" borderId="220">
      <alignment horizontal="left" vertical="center" wrapText="1"/>
    </xf>
    <xf numFmtId="0" fontId="42" fillId="65" borderId="220">
      <alignment horizontal="left" vertical="center" wrapText="1"/>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1" fontId="48" fillId="0" borderId="214" applyNumberFormat="0" applyFont="0" applyFill="0" applyProtection="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47" fontId="1" fillId="0" borderId="0"/>
    <xf numFmtId="0" fontId="1" fillId="0" borderId="0"/>
    <xf numFmtId="0" fontId="1" fillId="0" borderId="0"/>
    <xf numFmtId="0" fontId="1" fillId="0" borderId="0"/>
    <xf numFmtId="0" fontId="1" fillId="0" borderId="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339" fontId="18" fillId="0" borderId="216" applyBorder="0">
      <alignment horizontal="right"/>
    </xf>
    <xf numFmtId="339" fontId="18" fillId="0" borderId="216" applyBorder="0">
      <alignment horizontal="right"/>
    </xf>
    <xf numFmtId="339" fontId="18" fillId="0" borderId="216" applyBorder="0">
      <alignment horizontal="right"/>
    </xf>
    <xf numFmtId="339" fontId="18" fillId="0" borderId="216" applyBorder="0">
      <alignment horizontal="right"/>
    </xf>
    <xf numFmtId="0" fontId="116" fillId="62" borderId="222">
      <alignment horizontal="center" vertical="center" wrapText="1"/>
      <protection hidden="1"/>
    </xf>
    <xf numFmtId="0" fontId="116" fillId="62" borderId="222">
      <alignment horizontal="center" vertical="center" wrapText="1"/>
      <protection hidden="1"/>
    </xf>
    <xf numFmtId="0" fontId="116" fillId="62" borderId="222">
      <alignment horizontal="center" vertical="center" wrapText="1"/>
      <protection hidden="1"/>
    </xf>
    <xf numFmtId="0" fontId="116" fillId="62" borderId="222">
      <alignment horizontal="center" vertical="center" wrapText="1"/>
      <protection hidden="1"/>
    </xf>
    <xf numFmtId="0" fontId="116" fillId="62" borderId="222">
      <alignment horizontal="center" vertical="center" wrapText="1"/>
      <protection hidden="1"/>
    </xf>
    <xf numFmtId="0" fontId="116" fillId="62" borderId="222">
      <alignment horizontal="center" vertical="center" wrapText="1"/>
      <protection hidden="1"/>
    </xf>
    <xf numFmtId="0" fontId="142" fillId="1" borderId="224" applyNumberFormat="0" applyFont="0" applyAlignment="0">
      <alignment horizontal="center"/>
    </xf>
    <xf numFmtId="0" fontId="142" fillId="1" borderId="224" applyNumberFormat="0" applyFont="0" applyAlignment="0">
      <alignment horizontal="center"/>
    </xf>
    <xf numFmtId="0" fontId="142" fillId="1" borderId="224" applyNumberFormat="0" applyFont="0" applyAlignment="0">
      <alignment horizontal="center"/>
    </xf>
    <xf numFmtId="0" fontId="142" fillId="1" borderId="224" applyNumberFormat="0" applyFont="0" applyAlignment="0">
      <alignment horizontal="center"/>
    </xf>
    <xf numFmtId="37" fontId="18" fillId="0" borderId="222" applyBorder="0">
      <alignment horizontal="right"/>
      <protection locked="0"/>
    </xf>
    <xf numFmtId="37" fontId="18" fillId="0" borderId="222" applyBorder="0">
      <alignment horizontal="right"/>
      <protection locked="0"/>
    </xf>
    <xf numFmtId="37" fontId="18" fillId="0" borderId="222" applyBorder="0">
      <alignment horizontal="right"/>
      <protection locked="0"/>
    </xf>
    <xf numFmtId="37" fontId="18" fillId="0" borderId="222" applyBorder="0">
      <alignment horizontal="right"/>
      <protection locked="0"/>
    </xf>
    <xf numFmtId="37" fontId="18" fillId="0" borderId="222" applyBorder="0">
      <alignment horizontal="right"/>
      <protection locked="0"/>
    </xf>
    <xf numFmtId="37" fontId="18" fillId="0" borderId="222" applyBorder="0">
      <alignment horizontal="right"/>
      <protection locked="0"/>
    </xf>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cellStyleXfs>
  <cellXfs count="2094">
    <xf numFmtId="0" fontId="0" fillId="0" borderId="0" xfId="0"/>
    <xf numFmtId="0" fontId="151" fillId="0" borderId="0" xfId="0" applyFont="1"/>
    <xf numFmtId="0" fontId="150" fillId="0" borderId="0" xfId="0" applyFont="1" applyAlignment="1">
      <alignment wrapText="1"/>
    </xf>
    <xf numFmtId="0" fontId="153" fillId="0" borderId="0" xfId="0" applyFont="1"/>
    <xf numFmtId="43" fontId="154" fillId="68" borderId="56" xfId="11155" applyFont="1" applyFill="1" applyBorder="1"/>
    <xf numFmtId="43" fontId="154" fillId="68" borderId="0" xfId="11155" applyFont="1" applyFill="1"/>
    <xf numFmtId="43" fontId="154" fillId="68" borderId="57" xfId="11155" applyFont="1" applyFill="1" applyBorder="1"/>
    <xf numFmtId="43" fontId="154" fillId="68" borderId="57" xfId="11155" applyFont="1" applyFill="1" applyBorder="1" applyAlignment="1">
      <alignment horizontal="right"/>
    </xf>
    <xf numFmtId="0" fontId="150" fillId="0" borderId="0" xfId="0" applyFont="1"/>
    <xf numFmtId="0" fontId="22" fillId="0" borderId="0" xfId="0" applyFont="1"/>
    <xf numFmtId="0" fontId="124" fillId="0" borderId="0" xfId="0" applyFont="1" applyAlignment="1">
      <alignment horizontal="center"/>
    </xf>
    <xf numFmtId="0" fontId="150" fillId="71" borderId="0" xfId="0" applyFont="1" applyFill="1"/>
    <xf numFmtId="0" fontId="150" fillId="71" borderId="13" xfId="0" applyFont="1" applyFill="1" applyBorder="1"/>
    <xf numFmtId="169" fontId="151" fillId="71" borderId="45" xfId="0" applyNumberFormat="1" applyFont="1" applyFill="1" applyBorder="1"/>
    <xf numFmtId="0" fontId="150" fillId="0" borderId="10" xfId="0" applyFont="1" applyBorder="1"/>
    <xf numFmtId="234" fontId="151" fillId="71" borderId="0" xfId="0" applyNumberFormat="1" applyFont="1" applyFill="1"/>
    <xf numFmtId="169" fontId="151" fillId="71" borderId="0" xfId="0" applyNumberFormat="1" applyFont="1" applyFill="1"/>
    <xf numFmtId="0" fontId="151" fillId="71" borderId="10" xfId="0" applyFont="1" applyFill="1" applyBorder="1"/>
    <xf numFmtId="234" fontId="151" fillId="71" borderId="45" xfId="0" applyNumberFormat="1" applyFont="1" applyFill="1" applyBorder="1"/>
    <xf numFmtId="0" fontId="152" fillId="0" borderId="10" xfId="0" applyFont="1" applyBorder="1" applyAlignment="1">
      <alignment horizontal="center" wrapText="1"/>
    </xf>
    <xf numFmtId="0" fontId="152" fillId="0" borderId="32" xfId="0" applyFont="1" applyBorder="1" applyAlignment="1">
      <alignment horizontal="center" wrapText="1"/>
    </xf>
    <xf numFmtId="0" fontId="152" fillId="0" borderId="0" xfId="0" applyFont="1" applyAlignment="1">
      <alignment horizontal="center" wrapText="1"/>
    </xf>
    <xf numFmtId="165" fontId="151" fillId="71" borderId="0" xfId="0" applyNumberFormat="1" applyFont="1" applyFill="1"/>
    <xf numFmtId="165" fontId="151" fillId="71" borderId="13" xfId="0" applyNumberFormat="1" applyFont="1" applyFill="1" applyBorder="1"/>
    <xf numFmtId="165" fontId="151" fillId="71" borderId="45" xfId="0" applyNumberFormat="1" applyFont="1" applyFill="1" applyBorder="1"/>
    <xf numFmtId="164" fontId="150" fillId="0" borderId="0" xfId="0" applyNumberFormat="1" applyFont="1" applyAlignment="1">
      <alignment horizontal="center" vertical="top" wrapText="1"/>
    </xf>
    <xf numFmtId="0" fontId="150" fillId="0" borderId="0" xfId="0" applyFont="1" applyAlignment="1">
      <alignment vertical="top" wrapText="1"/>
    </xf>
    <xf numFmtId="165" fontId="150" fillId="0" borderId="0" xfId="0" applyNumberFormat="1" applyFont="1" applyAlignment="1">
      <alignment horizontal="center" vertical="top" wrapText="1"/>
    </xf>
    <xf numFmtId="0" fontId="150" fillId="0" borderId="0" xfId="0" applyFont="1" applyAlignment="1">
      <alignment horizontal="center" vertical="top" wrapText="1"/>
    </xf>
    <xf numFmtId="169" fontId="150" fillId="0" borderId="0" xfId="0" applyNumberFormat="1" applyFont="1" applyAlignment="1">
      <alignment horizontal="right" vertical="top"/>
    </xf>
    <xf numFmtId="0" fontId="150" fillId="0" borderId="0" xfId="0" applyFont="1" applyAlignment="1">
      <alignment horizontal="right" vertical="top"/>
    </xf>
    <xf numFmtId="234" fontId="150" fillId="0" borderId="0" xfId="0" applyNumberFormat="1" applyFont="1" applyAlignment="1">
      <alignment horizontal="right" vertical="top"/>
    </xf>
    <xf numFmtId="165" fontId="150" fillId="0" borderId="0" xfId="0" applyNumberFormat="1" applyFont="1" applyAlignment="1">
      <alignment vertical="top" wrapText="1"/>
    </xf>
    <xf numFmtId="0" fontId="150" fillId="71" borderId="45" xfId="0" applyFont="1" applyFill="1" applyBorder="1"/>
    <xf numFmtId="0" fontId="22" fillId="0" borderId="0" xfId="0" applyFont="1" applyAlignment="1">
      <alignment horizontal="right"/>
    </xf>
    <xf numFmtId="0" fontId="150" fillId="0" borderId="0" xfId="0" applyFont="1" applyAlignment="1">
      <alignment horizontal="right"/>
    </xf>
    <xf numFmtId="0" fontId="150" fillId="0" borderId="13" xfId="0" applyFont="1" applyBorder="1" applyAlignment="1">
      <alignment horizontal="right"/>
    </xf>
    <xf numFmtId="0" fontId="158" fillId="0" borderId="0" xfId="0" applyFont="1"/>
    <xf numFmtId="0" fontId="150" fillId="0" borderId="64" xfId="0" applyFont="1" applyBorder="1"/>
    <xf numFmtId="0" fontId="150" fillId="0" borderId="0" xfId="0" applyFont="1" applyAlignment="1">
      <alignment horizontal="center"/>
    </xf>
    <xf numFmtId="0" fontId="150" fillId="71" borderId="98" xfId="0" applyFont="1" applyFill="1" applyBorder="1"/>
    <xf numFmtId="0" fontId="27" fillId="76" borderId="0" xfId="11828" applyFont="1" applyFill="1"/>
    <xf numFmtId="0" fontId="27" fillId="76" borderId="0" xfId="11828" applyFont="1" applyFill="1" applyAlignment="1">
      <alignment horizontal="right"/>
    </xf>
    <xf numFmtId="0" fontId="194" fillId="76" borderId="0" xfId="11828" applyFont="1" applyFill="1" applyAlignment="1">
      <alignment horizontal="right"/>
    </xf>
    <xf numFmtId="0" fontId="27" fillId="0" borderId="0" xfId="11828" applyFont="1"/>
    <xf numFmtId="0" fontId="27" fillId="0" borderId="0" xfId="11828" applyFont="1" applyAlignment="1">
      <alignment horizontal="right"/>
    </xf>
    <xf numFmtId="14" fontId="27" fillId="0" borderId="0" xfId="11828" applyNumberFormat="1" applyFont="1" applyAlignment="1">
      <alignment horizontal="right"/>
    </xf>
    <xf numFmtId="165" fontId="27" fillId="0" borderId="0" xfId="12424" applyNumberFormat="1" applyFont="1" applyAlignment="1">
      <alignment horizontal="right"/>
    </xf>
    <xf numFmtId="363" fontId="27" fillId="0" borderId="0" xfId="11828" applyNumberFormat="1" applyFont="1" applyAlignment="1">
      <alignment horizontal="right"/>
    </xf>
    <xf numFmtId="10" fontId="22" fillId="0" borderId="10" xfId="20309" applyNumberFormat="1" applyFont="1" applyBorder="1" applyAlignment="1">
      <alignment horizontal="right"/>
    </xf>
    <xf numFmtId="10" fontId="22" fillId="0" borderId="64" xfId="20309" applyNumberFormat="1" applyFont="1" applyBorder="1" applyAlignment="1">
      <alignment horizontal="right"/>
    </xf>
    <xf numFmtId="14" fontId="27" fillId="0" borderId="0" xfId="11828" applyNumberFormat="1" applyFont="1" applyAlignment="1">
      <alignment horizontal="left"/>
    </xf>
    <xf numFmtId="14" fontId="27" fillId="0" borderId="0" xfId="11828" applyNumberFormat="1" applyFont="1"/>
    <xf numFmtId="0" fontId="27" fillId="0" borderId="64" xfId="11828" applyFont="1" applyBorder="1" applyAlignment="1">
      <alignment horizontal="right"/>
    </xf>
    <xf numFmtId="0" fontId="27" fillId="0" borderId="13" xfId="11828" applyFont="1" applyBorder="1" applyAlignment="1">
      <alignment horizontal="right"/>
    </xf>
    <xf numFmtId="0" fontId="27" fillId="0" borderId="10" xfId="11828" applyFont="1" applyBorder="1" applyAlignment="1">
      <alignment horizontal="right"/>
    </xf>
    <xf numFmtId="0" fontId="27" fillId="0" borderId="98" xfId="11828" applyFont="1" applyBorder="1" applyAlignment="1">
      <alignment horizontal="right"/>
    </xf>
    <xf numFmtId="0" fontId="197" fillId="0" borderId="0" xfId="11828" applyFont="1" applyAlignment="1">
      <alignment horizontal="right"/>
    </xf>
    <xf numFmtId="0" fontId="195" fillId="0" borderId="0" xfId="11828" applyFont="1"/>
    <xf numFmtId="167" fontId="27" fillId="0" borderId="0" xfId="12425" applyNumberFormat="1" applyFont="1" applyAlignment="1">
      <alignment horizontal="right"/>
    </xf>
    <xf numFmtId="255" fontId="27" fillId="0" borderId="0" xfId="11828" applyNumberFormat="1" applyFont="1" applyAlignment="1">
      <alignment horizontal="right"/>
    </xf>
    <xf numFmtId="165" fontId="27" fillId="74" borderId="0" xfId="12424" applyNumberFormat="1" applyFont="1" applyFill="1" applyAlignment="1">
      <alignment horizontal="right"/>
    </xf>
    <xf numFmtId="0" fontId="22" fillId="0" borderId="107" xfId="20308" applyFont="1" applyBorder="1" applyAlignment="1">
      <alignment horizontal="left"/>
    </xf>
    <xf numFmtId="0" fontId="22" fillId="0" borderId="64" xfId="11826" applyFont="1" applyBorder="1" applyAlignment="1">
      <alignment horizontal="centerContinuous"/>
    </xf>
    <xf numFmtId="0" fontId="22" fillId="0" borderId="0" xfId="11826" applyFont="1" applyAlignment="1">
      <alignment horizontal="centerContinuous"/>
    </xf>
    <xf numFmtId="0" fontId="27" fillId="0" borderId="0" xfId="11828" applyFont="1" applyAlignment="1">
      <alignment horizontal="centerContinuous"/>
    </xf>
    <xf numFmtId="0" fontId="27" fillId="0" borderId="13" xfId="11828" applyFont="1" applyBorder="1" applyAlignment="1">
      <alignment horizontal="centerContinuous"/>
    </xf>
    <xf numFmtId="14" fontId="150" fillId="0" borderId="51" xfId="16168" applyNumberFormat="1" applyFont="1" applyBorder="1" applyAlignment="1">
      <alignment horizontal="left"/>
    </xf>
    <xf numFmtId="2" fontId="22" fillId="0" borderId="51" xfId="11826" applyNumberFormat="1" applyFont="1" applyBorder="1" applyAlignment="1">
      <alignment horizontal="right"/>
    </xf>
    <xf numFmtId="14" fontId="150" fillId="0" borderId="32" xfId="16168" applyNumberFormat="1" applyFont="1" applyBorder="1" applyAlignment="1">
      <alignment horizontal="left"/>
    </xf>
    <xf numFmtId="2" fontId="22" fillId="0" borderId="32" xfId="11826" applyNumberFormat="1" applyFont="1" applyBorder="1" applyAlignment="1">
      <alignment horizontal="right"/>
    </xf>
    <xf numFmtId="0" fontId="22" fillId="0" borderId="10" xfId="11826" applyFont="1" applyBorder="1" applyAlignment="1">
      <alignment horizontal="centerContinuous"/>
    </xf>
    <xf numFmtId="0" fontId="22" fillId="0" borderId="45" xfId="11826" applyFont="1" applyBorder="1" applyAlignment="1">
      <alignment horizontal="centerContinuous"/>
    </xf>
    <xf numFmtId="0" fontId="27" fillId="0" borderId="45" xfId="11828" applyFont="1" applyBorder="1" applyAlignment="1">
      <alignment horizontal="centerContinuous"/>
    </xf>
    <xf numFmtId="0" fontId="27" fillId="0" borderId="98" xfId="11828" applyFont="1" applyBorder="1" applyAlignment="1">
      <alignment horizontal="centerContinuous"/>
    </xf>
    <xf numFmtId="0" fontId="88" fillId="0" borderId="0" xfId="11828" applyFont="1"/>
    <xf numFmtId="10" fontId="27" fillId="0" borderId="80" xfId="12424" applyNumberFormat="1" applyFont="1" applyBorder="1" applyAlignment="1">
      <alignment horizontal="right"/>
    </xf>
    <xf numFmtId="0" fontId="150" fillId="0" borderId="111" xfId="0" applyFont="1" applyBorder="1"/>
    <xf numFmtId="0" fontId="27" fillId="0" borderId="111" xfId="11828" applyFont="1" applyBorder="1" applyAlignment="1">
      <alignment horizontal="right"/>
    </xf>
    <xf numFmtId="14" fontId="27" fillId="0" borderId="112" xfId="11828" applyNumberFormat="1" applyFont="1" applyBorder="1" applyAlignment="1">
      <alignment horizontal="right"/>
    </xf>
    <xf numFmtId="0" fontId="22" fillId="0" borderId="0" xfId="20306" applyFont="1"/>
    <xf numFmtId="0" fontId="22" fillId="0" borderId="0" xfId="20306" applyFont="1" applyAlignment="1">
      <alignment horizontal="right"/>
    </xf>
    <xf numFmtId="0" fontId="27" fillId="0" borderId="108" xfId="11828" applyFont="1" applyBorder="1" applyAlignment="1">
      <alignment horizontal="centerContinuous"/>
    </xf>
    <xf numFmtId="0" fontId="27" fillId="0" borderId="109" xfId="11828" applyFont="1" applyBorder="1" applyAlignment="1">
      <alignment horizontal="centerContinuous"/>
    </xf>
    <xf numFmtId="0" fontId="27" fillId="0" borderId="110" xfId="11828" applyFont="1" applyBorder="1" applyAlignment="1">
      <alignment horizontal="centerContinuous"/>
    </xf>
    <xf numFmtId="0" fontId="124" fillId="0" borderId="0" xfId="20306" applyFont="1" applyAlignment="1">
      <alignment horizontal="center"/>
    </xf>
    <xf numFmtId="0" fontId="152" fillId="0" borderId="80" xfId="20380" applyFont="1" applyBorder="1" applyAlignment="1">
      <alignment horizontal="left"/>
    </xf>
    <xf numFmtId="0" fontId="152" fillId="0" borderId="80" xfId="20380" applyFont="1" applyBorder="1" applyAlignment="1">
      <alignment horizontal="right"/>
    </xf>
    <xf numFmtId="0" fontId="152" fillId="0" borderId="108" xfId="20380" applyFont="1" applyBorder="1" applyAlignment="1">
      <alignment horizontal="right"/>
    </xf>
    <xf numFmtId="0" fontId="152" fillId="0" borderId="108" xfId="20380" applyFont="1" applyBorder="1" applyAlignment="1">
      <alignment horizontal="centerContinuous"/>
    </xf>
    <xf numFmtId="0" fontId="152" fillId="0" borderId="109" xfId="20380" applyFont="1" applyBorder="1" applyAlignment="1">
      <alignment horizontal="centerContinuous"/>
    </xf>
    <xf numFmtId="2" fontId="22" fillId="0" borderId="107" xfId="20380" applyNumberFormat="1" applyFont="1" applyBorder="1" applyAlignment="1">
      <alignment horizontal="right"/>
    </xf>
    <xf numFmtId="10" fontId="22" fillId="0" borderId="111" xfId="20309" applyNumberFormat="1" applyFont="1" applyBorder="1" applyAlignment="1">
      <alignment horizontal="right"/>
    </xf>
    <xf numFmtId="0" fontId="22" fillId="0" borderId="64" xfId="20380" applyFont="1" applyBorder="1" applyAlignment="1">
      <alignment horizontal="centerContinuous"/>
    </xf>
    <xf numFmtId="0" fontId="22" fillId="0" borderId="0" xfId="20380" applyFont="1" applyAlignment="1">
      <alignment horizontal="centerContinuous"/>
    </xf>
    <xf numFmtId="14" fontId="150" fillId="0" borderId="51" xfId="20381" applyNumberFormat="1" applyFont="1" applyBorder="1" applyAlignment="1">
      <alignment horizontal="left"/>
    </xf>
    <xf numFmtId="2" fontId="22" fillId="0" borderId="51" xfId="20380" applyNumberFormat="1" applyFont="1" applyBorder="1" applyAlignment="1">
      <alignment horizontal="right"/>
    </xf>
    <xf numFmtId="14" fontId="150" fillId="0" borderId="32" xfId="20381" applyNumberFormat="1" applyFont="1" applyBorder="1" applyAlignment="1">
      <alignment horizontal="left"/>
    </xf>
    <xf numFmtId="2" fontId="22" fillId="0" borderId="32" xfId="20380" applyNumberFormat="1" applyFont="1" applyBorder="1" applyAlignment="1">
      <alignment horizontal="right"/>
    </xf>
    <xf numFmtId="0" fontId="22" fillId="0" borderId="10" xfId="20380" applyFont="1" applyBorder="1" applyAlignment="1">
      <alignment horizontal="centerContinuous"/>
    </xf>
    <xf numFmtId="0" fontId="22" fillId="0" borderId="45" xfId="20380" applyFont="1" applyBorder="1" applyAlignment="1">
      <alignment horizontal="centerContinuous"/>
    </xf>
    <xf numFmtId="14" fontId="150" fillId="0" borderId="80" xfId="20381" applyNumberFormat="1" applyFont="1" applyBorder="1" applyAlignment="1">
      <alignment horizontal="left"/>
    </xf>
    <xf numFmtId="0" fontId="27" fillId="0" borderId="109" xfId="11828" applyFont="1" applyBorder="1" applyAlignment="1">
      <alignment horizontal="left"/>
    </xf>
    <xf numFmtId="0" fontId="27" fillId="0" borderId="109" xfId="11828" applyFont="1" applyBorder="1" applyAlignment="1">
      <alignment horizontal="right"/>
    </xf>
    <xf numFmtId="0" fontId="27" fillId="0" borderId="110" xfId="11828" applyFont="1" applyBorder="1" applyAlignment="1">
      <alignment horizontal="right"/>
    </xf>
    <xf numFmtId="14" fontId="150" fillId="0" borderId="114" xfId="0" applyNumberFormat="1" applyFont="1" applyBorder="1" applyAlignment="1">
      <alignment horizontal="right"/>
    </xf>
    <xf numFmtId="0" fontId="150" fillId="0" borderId="98" xfId="0" applyFont="1" applyBorder="1" applyAlignment="1">
      <alignment horizontal="right"/>
    </xf>
    <xf numFmtId="0" fontId="150" fillId="0" borderId="0" xfId="20306" applyFont="1"/>
    <xf numFmtId="0" fontId="193" fillId="0" borderId="0" xfId="20306" applyFont="1"/>
    <xf numFmtId="0" fontId="156" fillId="72" borderId="108" xfId="20306" applyFont="1" applyFill="1" applyBorder="1" applyAlignment="1">
      <alignment horizontal="centerContinuous"/>
    </xf>
    <xf numFmtId="0" fontId="156" fillId="72" borderId="110" xfId="20306" applyFont="1" applyFill="1" applyBorder="1" applyAlignment="1">
      <alignment horizontal="centerContinuous"/>
    </xf>
    <xf numFmtId="0" fontId="156" fillId="72" borderId="109" xfId="20306" applyFont="1" applyFill="1" applyBorder="1" applyAlignment="1">
      <alignment horizontal="centerContinuous"/>
    </xf>
    <xf numFmtId="0" fontId="156" fillId="72" borderId="80" xfId="20306" applyFont="1" applyFill="1" applyBorder="1" applyAlignment="1">
      <alignment horizontal="centerContinuous"/>
    </xf>
    <xf numFmtId="0" fontId="152" fillId="0" borderId="108" xfId="20306" applyFont="1" applyBorder="1" applyAlignment="1">
      <alignment horizontal="center" wrapText="1"/>
    </xf>
    <xf numFmtId="0" fontId="152" fillId="0" borderId="109" xfId="20306" applyFont="1" applyBorder="1" applyAlignment="1">
      <alignment horizontal="center" wrapText="1"/>
    </xf>
    <xf numFmtId="0" fontId="152" fillId="0" borderId="110" xfId="20306" applyFont="1" applyBorder="1" applyAlignment="1">
      <alignment horizontal="center" wrapText="1"/>
    </xf>
    <xf numFmtId="0" fontId="150" fillId="0" borderId="0" xfId="20306" applyFont="1" applyAlignment="1">
      <alignment wrapText="1"/>
    </xf>
    <xf numFmtId="0" fontId="152" fillId="0" borderId="0" xfId="20306" applyFont="1" applyAlignment="1">
      <alignment horizontal="center" wrapText="1"/>
    </xf>
    <xf numFmtId="0" fontId="152" fillId="0" borderId="10" xfId="20306" applyFont="1" applyBorder="1" applyAlignment="1">
      <alignment horizontal="center" wrapText="1"/>
    </xf>
    <xf numFmtId="0" fontId="152" fillId="0" borderId="32" xfId="20306" applyFont="1" applyBorder="1" applyAlignment="1">
      <alignment horizontal="center" wrapText="1"/>
    </xf>
    <xf numFmtId="0" fontId="151" fillId="0" borderId="0" xfId="20306" applyFont="1" applyAlignment="1">
      <alignment horizontal="center" wrapText="1"/>
    </xf>
    <xf numFmtId="164" fontId="150" fillId="0" borderId="0" xfId="20306" applyNumberFormat="1" applyFont="1" applyAlignment="1">
      <alignment horizontal="center" vertical="top" wrapText="1"/>
    </xf>
    <xf numFmtId="0" fontId="150" fillId="0" borderId="0" xfId="20306" applyFont="1" applyAlignment="1">
      <alignment vertical="top" wrapText="1"/>
    </xf>
    <xf numFmtId="165" fontId="150" fillId="0" borderId="0" xfId="20306" applyNumberFormat="1" applyFont="1" applyAlignment="1">
      <alignment horizontal="center" vertical="top" wrapText="1"/>
    </xf>
    <xf numFmtId="0" fontId="150" fillId="0" borderId="0" xfId="20306" applyFont="1" applyAlignment="1">
      <alignment horizontal="center" vertical="top" wrapText="1"/>
    </xf>
    <xf numFmtId="169" fontId="150" fillId="0" borderId="0" xfId="20306" applyNumberFormat="1" applyFont="1" applyAlignment="1">
      <alignment horizontal="right" vertical="top"/>
    </xf>
    <xf numFmtId="0" fontId="150" fillId="0" borderId="0" xfId="20306" applyFont="1" applyAlignment="1">
      <alignment horizontal="right" vertical="top"/>
    </xf>
    <xf numFmtId="234" fontId="150" fillId="0" borderId="0" xfId="20306" applyNumberFormat="1" applyFont="1" applyAlignment="1">
      <alignment horizontal="right" vertical="top"/>
    </xf>
    <xf numFmtId="165" fontId="150" fillId="0" borderId="0" xfId="20306" applyNumberFormat="1" applyFont="1" applyAlignment="1">
      <alignment vertical="top" wrapText="1"/>
    </xf>
    <xf numFmtId="0" fontId="158" fillId="0" borderId="0" xfId="20306" applyFont="1"/>
    <xf numFmtId="0" fontId="151" fillId="71" borderId="111" xfId="20306" applyFont="1" applyFill="1" applyBorder="1"/>
    <xf numFmtId="0" fontId="150" fillId="71" borderId="113" xfId="20306" applyFont="1" applyFill="1" applyBorder="1"/>
    <xf numFmtId="169" fontId="151" fillId="71" borderId="113" xfId="20306" applyNumberFormat="1" applyFont="1" applyFill="1" applyBorder="1"/>
    <xf numFmtId="0" fontId="150" fillId="71" borderId="114" xfId="20306" applyFont="1" applyFill="1" applyBorder="1"/>
    <xf numFmtId="234" fontId="151" fillId="71" borderId="113" xfId="20306" applyNumberFormat="1" applyFont="1" applyFill="1" applyBorder="1"/>
    <xf numFmtId="165" fontId="151" fillId="71" borderId="113" xfId="20306" applyNumberFormat="1" applyFont="1" applyFill="1" applyBorder="1"/>
    <xf numFmtId="165" fontId="151" fillId="71" borderId="114" xfId="20306" applyNumberFormat="1" applyFont="1" applyFill="1" applyBorder="1"/>
    <xf numFmtId="0" fontId="151" fillId="71" borderId="64" xfId="20306" applyFont="1" applyFill="1" applyBorder="1"/>
    <xf numFmtId="0" fontId="150" fillId="71" borderId="0" xfId="20306" applyFont="1" applyFill="1"/>
    <xf numFmtId="169" fontId="151" fillId="71" borderId="0" xfId="20306" applyNumberFormat="1" applyFont="1" applyFill="1"/>
    <xf numFmtId="0" fontId="150" fillId="71" borderId="13" xfId="20306" applyFont="1" applyFill="1" applyBorder="1"/>
    <xf numFmtId="234" fontId="151" fillId="71" borderId="0" xfId="20306" applyNumberFormat="1" applyFont="1" applyFill="1"/>
    <xf numFmtId="165" fontId="151" fillId="71" borderId="0" xfId="20306" applyNumberFormat="1" applyFont="1" applyFill="1"/>
    <xf numFmtId="165" fontId="151" fillId="71" borderId="13" xfId="20306" applyNumberFormat="1" applyFont="1" applyFill="1" applyBorder="1"/>
    <xf numFmtId="0" fontId="151" fillId="71" borderId="10" xfId="20306" applyFont="1" applyFill="1" applyBorder="1"/>
    <xf numFmtId="0" fontId="150" fillId="71" borderId="45" xfId="20306" applyFont="1" applyFill="1" applyBorder="1"/>
    <xf numFmtId="169" fontId="151" fillId="71" borderId="45" xfId="20306" applyNumberFormat="1" applyFont="1" applyFill="1" applyBorder="1"/>
    <xf numFmtId="0" fontId="150" fillId="71" borderId="98" xfId="20306" applyFont="1" applyFill="1" applyBorder="1"/>
    <xf numFmtId="234" fontId="151" fillId="71" borderId="45" xfId="20306" applyNumberFormat="1" applyFont="1" applyFill="1" applyBorder="1"/>
    <xf numFmtId="165" fontId="151" fillId="71" borderId="45" xfId="20306" applyNumberFormat="1" applyFont="1" applyFill="1" applyBorder="1"/>
    <xf numFmtId="165" fontId="151" fillId="71" borderId="98" xfId="20306" applyNumberFormat="1" applyFont="1" applyFill="1" applyBorder="1"/>
    <xf numFmtId="0" fontId="153" fillId="0" borderId="0" xfId="20306" applyFont="1"/>
    <xf numFmtId="0" fontId="156" fillId="72" borderId="156" xfId="20306" applyFont="1" applyFill="1" applyBorder="1" applyAlignment="1">
      <alignment horizontal="centerContinuous"/>
    </xf>
    <xf numFmtId="0" fontId="152" fillId="0" borderId="156" xfId="20306" applyFont="1" applyBorder="1" applyAlignment="1">
      <alignment horizontal="center" wrapText="1"/>
    </xf>
    <xf numFmtId="169" fontId="151" fillId="71" borderId="165" xfId="20306" applyNumberFormat="1" applyFont="1" applyFill="1" applyBorder="1"/>
    <xf numFmtId="0" fontId="200" fillId="0" borderId="0" xfId="12421" applyFont="1"/>
    <xf numFmtId="0" fontId="201" fillId="0" borderId="0" xfId="12421" applyFont="1"/>
    <xf numFmtId="0" fontId="201" fillId="69" borderId="56" xfId="12421" applyFont="1" applyFill="1" applyBorder="1"/>
    <xf numFmtId="0" fontId="200" fillId="69" borderId="56" xfId="12421" applyFont="1" applyFill="1" applyBorder="1"/>
    <xf numFmtId="0" fontId="202" fillId="69" borderId="56" xfId="12421" applyFont="1" applyFill="1" applyBorder="1" applyAlignment="1">
      <alignment horizontal="center"/>
    </xf>
    <xf numFmtId="0" fontId="203" fillId="69" borderId="0" xfId="12421" applyFont="1" applyFill="1"/>
    <xf numFmtId="0" fontId="204" fillId="69" borderId="0" xfId="12421" applyFont="1" applyFill="1" applyAlignment="1">
      <alignment horizontal="center"/>
    </xf>
    <xf numFmtId="0" fontId="205" fillId="69" borderId="0" xfId="12421" applyFont="1" applyFill="1"/>
    <xf numFmtId="0" fontId="205" fillId="0" borderId="0" xfId="12421" applyFont="1"/>
    <xf numFmtId="0" fontId="206" fillId="74" borderId="0" xfId="12421" applyFont="1" applyFill="1"/>
    <xf numFmtId="0" fontId="201" fillId="69" borderId="0" xfId="12421" applyFont="1" applyFill="1"/>
    <xf numFmtId="0" fontId="200" fillId="69" borderId="0" xfId="12421" applyFont="1" applyFill="1"/>
    <xf numFmtId="0" fontId="207" fillId="69" borderId="0" xfId="12421" applyFont="1" applyFill="1" applyAlignment="1">
      <alignment horizontal="center"/>
    </xf>
    <xf numFmtId="0" fontId="208" fillId="69" borderId="0" xfId="12421" applyFont="1" applyFill="1" applyAlignment="1">
      <alignment horizontal="center"/>
    </xf>
    <xf numFmtId="0" fontId="209" fillId="69" borderId="0" xfId="12421" applyFont="1" applyFill="1" applyAlignment="1">
      <alignment horizontal="center"/>
    </xf>
    <xf numFmtId="0" fontId="201" fillId="69" borderId="57" xfId="12421" applyFont="1" applyFill="1" applyBorder="1"/>
    <xf numFmtId="0" fontId="200" fillId="69" borderId="57" xfId="12421" applyFont="1" applyFill="1" applyBorder="1"/>
    <xf numFmtId="0" fontId="202" fillId="69" borderId="57" xfId="12421" applyFont="1" applyFill="1" applyBorder="1" applyAlignment="1">
      <alignment horizontal="center"/>
    </xf>
    <xf numFmtId="0" fontId="200" fillId="0" borderId="0" xfId="12421" applyFont="1" applyAlignment="1">
      <alignment horizontal="center"/>
    </xf>
    <xf numFmtId="0" fontId="210" fillId="0" borderId="0" xfId="12421" applyFont="1" applyAlignment="1">
      <alignment horizontal="center"/>
    </xf>
    <xf numFmtId="343" fontId="211" fillId="0" borderId="0" xfId="12421" applyNumberFormat="1" applyFont="1" applyAlignment="1">
      <alignment horizontal="center"/>
    </xf>
    <xf numFmtId="0" fontId="212" fillId="0" borderId="0" xfId="12421" applyFont="1" applyAlignment="1">
      <alignment horizontal="center"/>
    </xf>
    <xf numFmtId="0" fontId="213" fillId="0" borderId="0" xfId="12421" applyFont="1" applyAlignment="1">
      <alignment horizontal="center"/>
    </xf>
    <xf numFmtId="0" fontId="214" fillId="0" borderId="0" xfId="12421" applyFont="1" applyAlignment="1">
      <alignment horizontal="center" wrapText="1"/>
    </xf>
    <xf numFmtId="0" fontId="215" fillId="0" borderId="0" xfId="0" applyFont="1"/>
    <xf numFmtId="0" fontId="215" fillId="0" borderId="0" xfId="0" applyFont="1" applyAlignment="1">
      <alignment horizontal="center"/>
    </xf>
    <xf numFmtId="0" fontId="216" fillId="0" borderId="0" xfId="0" applyFont="1" applyAlignment="1">
      <alignment horizontal="center"/>
    </xf>
    <xf numFmtId="0" fontId="216" fillId="0" borderId="0" xfId="0" applyFont="1"/>
    <xf numFmtId="0" fontId="216" fillId="0" borderId="0" xfId="0" applyFont="1" applyAlignment="1">
      <alignment horizontal="center" vertical="center"/>
    </xf>
    <xf numFmtId="43" fontId="215" fillId="0" borderId="0" xfId="0" applyNumberFormat="1" applyFont="1" applyAlignment="1">
      <alignment horizontal="center" vertical="center"/>
    </xf>
    <xf numFmtId="43" fontId="215" fillId="0" borderId="0" xfId="0" applyNumberFormat="1" applyFont="1" applyAlignment="1">
      <alignment horizontal="center"/>
    </xf>
    <xf numFmtId="0" fontId="200" fillId="0" borderId="0" xfId="0" applyFont="1"/>
    <xf numFmtId="43" fontId="218" fillId="68" borderId="56" xfId="11155" applyFont="1" applyFill="1" applyBorder="1"/>
    <xf numFmtId="43" fontId="218" fillId="68" borderId="0" xfId="11155" applyFont="1" applyFill="1"/>
    <xf numFmtId="0" fontId="219" fillId="69" borderId="0" xfId="12421" applyFont="1" applyFill="1" applyAlignment="1">
      <alignment horizontal="center"/>
    </xf>
    <xf numFmtId="43" fontId="218" fillId="0" borderId="0" xfId="11155" applyFont="1"/>
    <xf numFmtId="43" fontId="218" fillId="68" borderId="56" xfId="11155" applyFont="1" applyFill="1" applyBorder="1" applyAlignment="1">
      <alignment horizontal="center"/>
    </xf>
    <xf numFmtId="43" fontId="218" fillId="68" borderId="57" xfId="11155" applyFont="1" applyFill="1" applyBorder="1" applyAlignment="1">
      <alignment horizontal="center"/>
    </xf>
    <xf numFmtId="0" fontId="216" fillId="0" borderId="160" xfId="0" applyFont="1" applyBorder="1"/>
    <xf numFmtId="0" fontId="216" fillId="0" borderId="155" xfId="0" applyFont="1" applyBorder="1" applyAlignment="1">
      <alignment horizontal="center"/>
    </xf>
    <xf numFmtId="0" fontId="216" fillId="0" borderId="156" xfId="0" applyFont="1" applyBorder="1" applyAlignment="1">
      <alignment horizontal="center"/>
    </xf>
    <xf numFmtId="0" fontId="216" fillId="0" borderId="157" xfId="0" applyFont="1" applyBorder="1" applyAlignment="1">
      <alignment horizontal="right"/>
    </xf>
    <xf numFmtId="43" fontId="216" fillId="0" borderId="0" xfId="0" applyNumberFormat="1" applyFont="1" applyAlignment="1">
      <alignment horizontal="center" vertical="center"/>
    </xf>
    <xf numFmtId="43" fontId="217" fillId="0" borderId="0" xfId="0" applyNumberFormat="1" applyFont="1" applyAlignment="1">
      <alignment horizontal="center" vertical="center"/>
    </xf>
    <xf numFmtId="0" fontId="221" fillId="0" borderId="0" xfId="0" applyFont="1"/>
    <xf numFmtId="0" fontId="215" fillId="0" borderId="0" xfId="0" applyFont="1" applyAlignment="1">
      <alignment wrapText="1"/>
    </xf>
    <xf numFmtId="0" fontId="222" fillId="0" borderId="0" xfId="0" applyFont="1"/>
    <xf numFmtId="0" fontId="215" fillId="0" borderId="0" xfId="0" applyFont="1" applyAlignment="1">
      <alignment horizontal="left"/>
    </xf>
    <xf numFmtId="0" fontId="215" fillId="0" borderId="0" xfId="0" applyFont="1" applyAlignment="1">
      <alignment horizontal="right"/>
    </xf>
    <xf numFmtId="164" fontId="216" fillId="73" borderId="0" xfId="0" applyNumberFormat="1" applyFont="1" applyFill="1"/>
    <xf numFmtId="0" fontId="222" fillId="70" borderId="0" xfId="0" applyFont="1" applyFill="1" applyAlignment="1">
      <alignment horizontal="right"/>
    </xf>
    <xf numFmtId="164" fontId="222" fillId="70" borderId="0" xfId="0" applyNumberFormat="1" applyFont="1" applyFill="1" applyAlignment="1">
      <alignment horizontal="right"/>
    </xf>
    <xf numFmtId="165" fontId="222" fillId="70" borderId="0" xfId="12422" applyNumberFormat="1" applyFont="1" applyFill="1" applyAlignment="1">
      <alignment horizontal="right"/>
    </xf>
    <xf numFmtId="0" fontId="216" fillId="0" borderId="0" xfId="0" applyFont="1" applyAlignment="1">
      <alignment horizontal="right"/>
    </xf>
    <xf numFmtId="0" fontId="216" fillId="0" borderId="34" xfId="0" applyFont="1" applyBorder="1" applyAlignment="1">
      <alignment horizontal="center"/>
    </xf>
    <xf numFmtId="0" fontId="216" fillId="0" borderId="35" xfId="0" applyFont="1" applyBorder="1" applyAlignment="1">
      <alignment horizontal="left"/>
    </xf>
    <xf numFmtId="0" fontId="223" fillId="0" borderId="35" xfId="0" applyFont="1" applyBorder="1" applyAlignment="1">
      <alignment horizontal="center"/>
    </xf>
    <xf numFmtId="0" fontId="215" fillId="0" borderId="42" xfId="0" applyFont="1" applyBorder="1" applyAlignment="1">
      <alignment horizontal="right"/>
    </xf>
    <xf numFmtId="0" fontId="215" fillId="0" borderId="111" xfId="0" applyFont="1" applyBorder="1" applyAlignment="1">
      <alignment horizontal="center"/>
    </xf>
    <xf numFmtId="0" fontId="224" fillId="70" borderId="113" xfId="0" applyFont="1" applyFill="1" applyBorder="1"/>
    <xf numFmtId="0" fontId="215" fillId="73" borderId="113" xfId="0" applyFont="1" applyFill="1" applyBorder="1" applyAlignment="1">
      <alignment horizontal="center"/>
    </xf>
    <xf numFmtId="342" fontId="215" fillId="73" borderId="114" xfId="0" applyNumberFormat="1" applyFont="1" applyFill="1" applyBorder="1" applyAlignment="1">
      <alignment horizontal="right"/>
    </xf>
    <xf numFmtId="0" fontId="215" fillId="0" borderId="64" xfId="0" applyFont="1" applyBorder="1" applyAlignment="1">
      <alignment horizontal="center"/>
    </xf>
    <xf numFmtId="0" fontId="224" fillId="70" borderId="0" xfId="0" applyFont="1" applyFill="1"/>
    <xf numFmtId="0" fontId="215" fillId="73" borderId="0" xfId="0" applyFont="1" applyFill="1" applyAlignment="1">
      <alignment horizontal="center"/>
    </xf>
    <xf numFmtId="342" fontId="215" fillId="73" borderId="13" xfId="0" applyNumberFormat="1" applyFont="1" applyFill="1" applyBorder="1" applyAlignment="1">
      <alignment horizontal="right"/>
    </xf>
    <xf numFmtId="0" fontId="215" fillId="0" borderId="10" xfId="0" applyFont="1" applyBorder="1" applyAlignment="1">
      <alignment horizontal="center"/>
    </xf>
    <xf numFmtId="0" fontId="224" fillId="70" borderId="45" xfId="0" applyFont="1" applyFill="1" applyBorder="1"/>
    <xf numFmtId="0" fontId="215" fillId="73" borderId="45" xfId="0" applyFont="1" applyFill="1" applyBorder="1" applyAlignment="1">
      <alignment horizontal="center"/>
    </xf>
    <xf numFmtId="342" fontId="215" fillId="73" borderId="98" xfId="0" applyNumberFormat="1" applyFont="1" applyFill="1" applyBorder="1" applyAlignment="1">
      <alignment horizontal="right"/>
    </xf>
    <xf numFmtId="22" fontId="215" fillId="0" borderId="0" xfId="0" applyNumberFormat="1" applyFont="1" applyAlignment="1">
      <alignment horizontal="left"/>
    </xf>
    <xf numFmtId="0" fontId="216" fillId="0" borderId="80" xfId="0" applyFont="1" applyBorder="1"/>
    <xf numFmtId="0" fontId="215" fillId="0" borderId="80" xfId="0" applyFont="1" applyBorder="1"/>
    <xf numFmtId="164" fontId="215" fillId="0" borderId="80" xfId="0" applyNumberFormat="1" applyFont="1" applyBorder="1"/>
    <xf numFmtId="0" fontId="215" fillId="0" borderId="80" xfId="0" applyFont="1" applyBorder="1" applyAlignment="1">
      <alignment wrapText="1"/>
    </xf>
    <xf numFmtId="14" fontId="215" fillId="0" borderId="80" xfId="0" applyNumberFormat="1" applyFont="1" applyBorder="1"/>
    <xf numFmtId="0" fontId="215" fillId="0" borderId="0" xfId="12421" applyFont="1"/>
    <xf numFmtId="14" fontId="215" fillId="0" borderId="0" xfId="12421" applyNumberFormat="1" applyFont="1"/>
    <xf numFmtId="43" fontId="225" fillId="68" borderId="56" xfId="11155" applyFont="1" applyFill="1" applyBorder="1"/>
    <xf numFmtId="43" fontId="225" fillId="68" borderId="56" xfId="11155" applyFont="1" applyFill="1" applyBorder="1" applyAlignment="1">
      <alignment horizontal="center"/>
    </xf>
    <xf numFmtId="43" fontId="225" fillId="68" borderId="57" xfId="11155" applyFont="1" applyFill="1" applyBorder="1" applyAlignment="1">
      <alignment horizontal="center"/>
    </xf>
    <xf numFmtId="43" fontId="215" fillId="74" borderId="0" xfId="0" applyNumberFormat="1" applyFont="1" applyFill="1" applyAlignment="1">
      <alignment horizontal="center"/>
    </xf>
    <xf numFmtId="0" fontId="215" fillId="0" borderId="108" xfId="0" applyFont="1" applyBorder="1" applyAlignment="1">
      <alignment horizontal="centerContinuous"/>
    </xf>
    <xf numFmtId="0" fontId="215" fillId="0" borderId="109" xfId="0" applyFont="1" applyBorder="1" applyAlignment="1">
      <alignment horizontal="centerContinuous"/>
    </xf>
    <xf numFmtId="0" fontId="215" fillId="0" borderId="110" xfId="0" applyFont="1" applyBorder="1" applyAlignment="1">
      <alignment horizontal="centerContinuous"/>
    </xf>
    <xf numFmtId="43" fontId="225" fillId="68" borderId="0" xfId="11155" applyFont="1" applyFill="1"/>
    <xf numFmtId="43" fontId="215" fillId="0" borderId="111" xfId="0" applyNumberFormat="1" applyFont="1" applyBorder="1" applyAlignment="1">
      <alignment horizontal="center"/>
    </xf>
    <xf numFmtId="43" fontId="215" fillId="0" borderId="113" xfId="0" applyNumberFormat="1" applyFont="1" applyBorder="1" applyAlignment="1">
      <alignment horizontal="center"/>
    </xf>
    <xf numFmtId="0" fontId="215" fillId="0" borderId="114" xfId="0" applyFont="1" applyBorder="1" applyAlignment="1">
      <alignment horizontal="center"/>
    </xf>
    <xf numFmtId="0" fontId="226" fillId="0" borderId="160" xfId="0" applyFont="1" applyBorder="1"/>
    <xf numFmtId="0" fontId="215" fillId="0" borderId="13" xfId="0" applyFont="1" applyBorder="1" applyAlignment="1">
      <alignment horizontal="center"/>
    </xf>
    <xf numFmtId="0" fontId="215" fillId="0" borderId="45" xfId="0" applyFont="1" applyBorder="1" applyAlignment="1">
      <alignment horizontal="center"/>
    </xf>
    <xf numFmtId="0" fontId="215" fillId="0" borderId="98" xfId="0" applyFont="1" applyBorder="1" applyAlignment="1">
      <alignment horizontal="center"/>
    </xf>
    <xf numFmtId="0" fontId="227" fillId="72" borderId="29" xfId="0" applyFont="1" applyFill="1" applyBorder="1" applyAlignment="1">
      <alignment horizontal="left"/>
    </xf>
    <xf numFmtId="0" fontId="227" fillId="72" borderId="29" xfId="0" applyFont="1" applyFill="1" applyBorder="1" applyAlignment="1">
      <alignment horizontal="right"/>
    </xf>
    <xf numFmtId="0" fontId="227" fillId="72" borderId="29" xfId="0" applyFont="1" applyFill="1" applyBorder="1" applyAlignment="1">
      <alignment horizontal="center"/>
    </xf>
    <xf numFmtId="0" fontId="215" fillId="0" borderId="166" xfId="0" applyFont="1" applyBorder="1"/>
    <xf numFmtId="0" fontId="215" fillId="0" borderId="0" xfId="0" applyFont="1" applyAlignment="1">
      <alignment horizontal="left" indent="1"/>
    </xf>
    <xf numFmtId="169" fontId="228" fillId="0" borderId="0" xfId="0" applyNumberFormat="1" applyFont="1" applyAlignment="1">
      <alignment horizontal="right"/>
    </xf>
    <xf numFmtId="0" fontId="215" fillId="0" borderId="0" xfId="0" quotePrefix="1" applyFont="1" applyAlignment="1">
      <alignment horizontal="center"/>
    </xf>
    <xf numFmtId="169" fontId="215" fillId="0" borderId="0" xfId="0" applyNumberFormat="1" applyFont="1"/>
    <xf numFmtId="165" fontId="222" fillId="0" borderId="0" xfId="12422" applyNumberFormat="1" applyFont="1"/>
    <xf numFmtId="165" fontId="215" fillId="0" borderId="0" xfId="0" applyNumberFormat="1" applyFont="1"/>
    <xf numFmtId="10" fontId="228" fillId="0" borderId="0" xfId="0" applyNumberFormat="1" applyFont="1" applyAlignment="1">
      <alignment horizontal="center" wrapText="1"/>
    </xf>
    <xf numFmtId="10" fontId="222" fillId="0" borderId="0" xfId="0" applyNumberFormat="1" applyFont="1" applyAlignment="1">
      <alignment wrapText="1"/>
    </xf>
    <xf numFmtId="0" fontId="217" fillId="0" borderId="173" xfId="0" applyFont="1" applyBorder="1" applyAlignment="1">
      <alignment horizontal="center"/>
    </xf>
    <xf numFmtId="169" fontId="228" fillId="0" borderId="0" xfId="0" applyNumberFormat="1" applyFont="1"/>
    <xf numFmtId="167" fontId="228" fillId="0" borderId="0" xfId="12427" applyNumberFormat="1" applyFont="1"/>
    <xf numFmtId="169" fontId="229" fillId="0" borderId="0" xfId="0" applyNumberFormat="1" applyFont="1"/>
    <xf numFmtId="0" fontId="215" fillId="0" borderId="45" xfId="0" applyFont="1" applyBorder="1"/>
    <xf numFmtId="0" fontId="215" fillId="0" borderId="0" xfId="0" applyFont="1" applyAlignment="1">
      <alignment horizontal="right" wrapText="1"/>
    </xf>
    <xf numFmtId="8" fontId="228" fillId="0" borderId="0" xfId="0" applyNumberFormat="1" applyFont="1"/>
    <xf numFmtId="0" fontId="216" fillId="71" borderId="34" xfId="0" applyFont="1" applyFill="1" applyBorder="1"/>
    <xf numFmtId="0" fontId="216" fillId="71" borderId="35" xfId="0" applyFont="1" applyFill="1" applyBorder="1"/>
    <xf numFmtId="8" fontId="216" fillId="71" borderId="42" xfId="0" applyNumberFormat="1" applyFont="1" applyFill="1" applyBorder="1"/>
    <xf numFmtId="0" fontId="215" fillId="0" borderId="71" xfId="0" applyFont="1" applyBorder="1"/>
    <xf numFmtId="0" fontId="217" fillId="0" borderId="160" xfId="0" applyFont="1" applyBorder="1"/>
    <xf numFmtId="0" fontId="230" fillId="0" borderId="0" xfId="0" applyFont="1"/>
    <xf numFmtId="0" fontId="215" fillId="0" borderId="0" xfId="0" quotePrefix="1" applyFont="1" applyAlignment="1">
      <alignment horizontal="right"/>
    </xf>
    <xf numFmtId="0" fontId="215" fillId="74" borderId="0" xfId="0" quotePrefix="1" applyFont="1" applyFill="1" applyAlignment="1">
      <alignment horizontal="left"/>
    </xf>
    <xf numFmtId="0" fontId="215" fillId="74" borderId="0" xfId="0" applyFont="1" applyFill="1"/>
    <xf numFmtId="43" fontId="215" fillId="0" borderId="0" xfId="0" applyNumberFormat="1" applyFont="1"/>
    <xf numFmtId="0" fontId="215" fillId="0" borderId="173" xfId="0" applyFont="1" applyBorder="1" applyAlignment="1">
      <alignment horizontal="center"/>
    </xf>
    <xf numFmtId="0" fontId="215" fillId="0" borderId="0" xfId="12421" applyFont="1" applyAlignment="1">
      <alignment horizontal="center"/>
    </xf>
    <xf numFmtId="0" fontId="216" fillId="0" borderId="0" xfId="12421" applyFont="1"/>
    <xf numFmtId="0" fontId="216" fillId="0" borderId="0" xfId="12421" applyFont="1" applyAlignment="1">
      <alignment horizontal="center"/>
    </xf>
    <xf numFmtId="0" fontId="216" fillId="0" borderId="34" xfId="0" applyFont="1" applyBorder="1"/>
    <xf numFmtId="0" fontId="232" fillId="0" borderId="35" xfId="0" applyFont="1" applyBorder="1"/>
    <xf numFmtId="0" fontId="232" fillId="0" borderId="42" xfId="0" applyFont="1" applyBorder="1"/>
    <xf numFmtId="164" fontId="215" fillId="0" borderId="0" xfId="0" applyNumberFormat="1" applyFont="1" applyAlignment="1">
      <alignment horizontal="right"/>
    </xf>
    <xf numFmtId="169" fontId="233" fillId="0" borderId="0" xfId="0" applyNumberFormat="1" applyFont="1"/>
    <xf numFmtId="0" fontId="216" fillId="0" borderId="0" xfId="0" applyFont="1" applyAlignment="1">
      <alignment horizontal="left"/>
    </xf>
    <xf numFmtId="0" fontId="232" fillId="0" borderId="34" xfId="0" applyFont="1" applyBorder="1"/>
    <xf numFmtId="0" fontId="235" fillId="0" borderId="81" xfId="0" applyFont="1" applyBorder="1" applyAlignment="1">
      <alignment horizontal="centerContinuous"/>
    </xf>
    <xf numFmtId="0" fontId="215" fillId="0" borderId="144" xfId="0" applyFont="1" applyBorder="1" applyAlignment="1">
      <alignment horizontal="centerContinuous"/>
    </xf>
    <xf numFmtId="0" fontId="215" fillId="0" borderId="64" xfId="0" applyFont="1" applyBorder="1" applyAlignment="1">
      <alignment horizontal="right"/>
    </xf>
    <xf numFmtId="8" fontId="216" fillId="0" borderId="13" xfId="0" applyNumberFormat="1" applyFont="1" applyBorder="1" applyAlignment="1">
      <alignment horizontal="right"/>
    </xf>
    <xf numFmtId="0" fontId="215" fillId="0" borderId="81" xfId="0" applyFont="1" applyBorder="1" applyAlignment="1">
      <alignment horizontal="centerContinuous"/>
    </xf>
    <xf numFmtId="0" fontId="215" fillId="0" borderId="155" xfId="0" applyFont="1" applyBorder="1" applyAlignment="1">
      <alignment horizontal="right"/>
    </xf>
    <xf numFmtId="234" fontId="233" fillId="0" borderId="0" xfId="0" applyNumberFormat="1" applyFont="1" applyAlignment="1">
      <alignment horizontal="right"/>
    </xf>
    <xf numFmtId="0" fontId="215" fillId="0" borderId="138" xfId="0" applyFont="1" applyBorder="1" applyAlignment="1">
      <alignment horizontal="right"/>
    </xf>
    <xf numFmtId="8" fontId="216" fillId="0" borderId="98" xfId="0" applyNumberFormat="1" applyFont="1" applyBorder="1" applyAlignment="1">
      <alignment horizontal="right"/>
    </xf>
    <xf numFmtId="8" fontId="215" fillId="0" borderId="157" xfId="0" applyNumberFormat="1" applyFont="1" applyBorder="1"/>
    <xf numFmtId="169" fontId="231" fillId="0" borderId="0" xfId="0" applyNumberFormat="1" applyFont="1"/>
    <xf numFmtId="0" fontId="216" fillId="30" borderId="0" xfId="0" applyFont="1" applyFill="1"/>
    <xf numFmtId="164" fontId="233" fillId="0" borderId="0" xfId="0" applyNumberFormat="1" applyFont="1" applyAlignment="1">
      <alignment horizontal="right"/>
    </xf>
    <xf numFmtId="164" fontId="222" fillId="0" borderId="71" xfId="0" applyNumberFormat="1" applyFont="1" applyBorder="1"/>
    <xf numFmtId="167" fontId="222" fillId="0" borderId="71" xfId="12426" applyNumberFormat="1" applyFont="1" applyBorder="1"/>
    <xf numFmtId="165" fontId="233" fillId="0" borderId="0" xfId="0" applyNumberFormat="1" applyFont="1"/>
    <xf numFmtId="165" fontId="233" fillId="0" borderId="71" xfId="12049" applyNumberFormat="1" applyFont="1" applyBorder="1" applyAlignment="1">
      <alignment horizontal="right"/>
    </xf>
    <xf numFmtId="0" fontId="232" fillId="0" borderId="0" xfId="0" applyFont="1" applyAlignment="1">
      <alignment horizontal="left"/>
    </xf>
    <xf numFmtId="0" fontId="216" fillId="0" borderId="48" xfId="0" applyFont="1" applyBorder="1"/>
    <xf numFmtId="0" fontId="215" fillId="0" borderId="48" xfId="0" applyFont="1" applyBorder="1"/>
    <xf numFmtId="169" fontId="216" fillId="0" borderId="48" xfId="0" applyNumberFormat="1" applyFont="1" applyBorder="1"/>
    <xf numFmtId="169" fontId="216" fillId="0" borderId="0" xfId="0" applyNumberFormat="1" applyFont="1"/>
    <xf numFmtId="165" fontId="215" fillId="0" borderId="0" xfId="12422" applyNumberFormat="1" applyFont="1"/>
    <xf numFmtId="167" fontId="215" fillId="0" borderId="130" xfId="0" applyNumberFormat="1" applyFont="1" applyBorder="1"/>
    <xf numFmtId="165" fontId="215" fillId="0" borderId="130" xfId="12422" applyNumberFormat="1" applyFont="1" applyBorder="1"/>
    <xf numFmtId="8" fontId="215" fillId="0" borderId="0" xfId="0" applyNumberFormat="1" applyFont="1" applyAlignment="1">
      <alignment horizontal="left" indent="1"/>
    </xf>
    <xf numFmtId="0" fontId="233" fillId="0" borderId="0" xfId="0" applyFont="1" applyAlignment="1">
      <alignment horizontal="left" indent="1"/>
    </xf>
    <xf numFmtId="0" fontId="221" fillId="0" borderId="0" xfId="0" applyFont="1" applyAlignment="1">
      <alignment horizontal="right"/>
    </xf>
    <xf numFmtId="0" fontId="215" fillId="0" borderId="51" xfId="0" applyFont="1" applyBorder="1"/>
    <xf numFmtId="0" fontId="215" fillId="0" borderId="32" xfId="0" applyFont="1" applyBorder="1"/>
    <xf numFmtId="0" fontId="230" fillId="0" borderId="0" xfId="0" applyFont="1" applyAlignment="1">
      <alignment horizontal="left" indent="1"/>
    </xf>
    <xf numFmtId="0" fontId="236" fillId="0" borderId="0" xfId="0" applyFont="1"/>
    <xf numFmtId="43" fontId="217" fillId="0" borderId="160" xfId="12427" applyFont="1" applyBorder="1"/>
    <xf numFmtId="8" fontId="216" fillId="0" borderId="0" xfId="0" applyNumberFormat="1" applyFont="1" applyAlignment="1">
      <alignment horizontal="right"/>
    </xf>
    <xf numFmtId="165" fontId="228" fillId="0" borderId="0" xfId="0" applyNumberFormat="1" applyFont="1" applyAlignment="1">
      <alignment horizontal="center"/>
    </xf>
    <xf numFmtId="165" fontId="228" fillId="74" borderId="0" xfId="0" applyNumberFormat="1" applyFont="1" applyFill="1"/>
    <xf numFmtId="0" fontId="217" fillId="0" borderId="0" xfId="0" applyFont="1"/>
    <xf numFmtId="168" fontId="215" fillId="0" borderId="0" xfId="0" applyNumberFormat="1" applyFont="1"/>
    <xf numFmtId="0" fontId="217" fillId="74" borderId="0" xfId="0" applyFont="1" applyFill="1"/>
    <xf numFmtId="169" fontId="215" fillId="65" borderId="0" xfId="0" applyNumberFormat="1" applyFont="1" applyFill="1"/>
    <xf numFmtId="165" fontId="215" fillId="0" borderId="0" xfId="0" applyNumberFormat="1" applyFont="1" applyAlignment="1">
      <alignment horizontal="center"/>
    </xf>
    <xf numFmtId="0" fontId="239" fillId="0" borderId="0" xfId="0" applyFont="1"/>
    <xf numFmtId="0" fontId="215" fillId="0" borderId="0" xfId="0" quotePrefix="1" applyFont="1" applyAlignment="1">
      <alignment horizontal="left"/>
    </xf>
    <xf numFmtId="0" fontId="217" fillId="0" borderId="180" xfId="0" applyFont="1" applyBorder="1" applyAlignment="1">
      <alignment horizontal="centerContinuous"/>
    </xf>
    <xf numFmtId="0" fontId="215" fillId="0" borderId="181" xfId="0" applyFont="1" applyBorder="1" applyAlignment="1">
      <alignment horizontal="centerContinuous"/>
    </xf>
    <xf numFmtId="0" fontId="215" fillId="0" borderId="182" xfId="0" applyFont="1" applyBorder="1" applyAlignment="1">
      <alignment horizontal="centerContinuous"/>
    </xf>
    <xf numFmtId="0" fontId="231" fillId="0" borderId="180" xfId="0" applyFont="1" applyBorder="1" applyAlignment="1">
      <alignment horizontal="center"/>
    </xf>
    <xf numFmtId="0" fontId="216" fillId="0" borderId="181" xfId="0" applyFont="1" applyBorder="1"/>
    <xf numFmtId="0" fontId="215" fillId="0" borderId="181" xfId="0" applyFont="1" applyBorder="1"/>
    <xf numFmtId="0" fontId="215" fillId="0" borderId="182" xfId="0" applyFont="1" applyBorder="1"/>
    <xf numFmtId="0" fontId="215" fillId="0" borderId="64" xfId="0" applyFont="1" applyBorder="1"/>
    <xf numFmtId="0" fontId="215" fillId="0" borderId="13" xfId="0" applyFont="1" applyBorder="1"/>
    <xf numFmtId="0" fontId="216" fillId="0" borderId="180" xfId="0" applyFont="1" applyBorder="1" applyAlignment="1">
      <alignment horizontal="right"/>
    </xf>
    <xf numFmtId="0" fontId="216" fillId="0" borderId="181" xfId="0" applyFont="1" applyBorder="1" applyAlignment="1">
      <alignment horizontal="right"/>
    </xf>
    <xf numFmtId="0" fontId="216" fillId="0" borderId="182" xfId="0" applyFont="1" applyBorder="1" applyAlignment="1">
      <alignment horizontal="right"/>
    </xf>
    <xf numFmtId="0" fontId="216" fillId="0" borderId="0" xfId="0" applyFont="1" applyAlignment="1">
      <alignment horizontal="left" indent="1"/>
    </xf>
    <xf numFmtId="305" fontId="215" fillId="0" borderId="0" xfId="0" applyNumberFormat="1" applyFont="1" applyAlignment="1">
      <alignment horizontal="right"/>
    </xf>
    <xf numFmtId="0" fontId="215" fillId="0" borderId="184" xfId="0" applyFont="1" applyBorder="1"/>
    <xf numFmtId="0" fontId="215" fillId="0" borderId="185" xfId="0" applyFont="1" applyBorder="1"/>
    <xf numFmtId="0" fontId="215" fillId="0" borderId="183" xfId="0" applyFont="1" applyBorder="1"/>
    <xf numFmtId="0" fontId="215" fillId="0" borderId="0" xfId="0" applyFont="1" applyAlignment="1">
      <alignment horizontal="left" indent="2"/>
    </xf>
    <xf numFmtId="8" fontId="215" fillId="0" borderId="0" xfId="0" applyNumberFormat="1" applyFont="1"/>
    <xf numFmtId="165" fontId="228" fillId="0" borderId="64" xfId="0" applyNumberFormat="1" applyFont="1" applyBorder="1"/>
    <xf numFmtId="167" fontId="215" fillId="0" borderId="0" xfId="0" applyNumberFormat="1" applyFont="1"/>
    <xf numFmtId="167" fontId="215" fillId="0" borderId="13" xfId="12427" applyNumberFormat="1" applyFont="1" applyBorder="1"/>
    <xf numFmtId="165" fontId="215" fillId="0" borderId="64" xfId="0" applyNumberFormat="1" applyFont="1" applyBorder="1"/>
    <xf numFmtId="167" fontId="216" fillId="0" borderId="183" xfId="0" applyNumberFormat="1" applyFont="1" applyBorder="1"/>
    <xf numFmtId="167" fontId="216" fillId="0" borderId="13" xfId="0" applyNumberFormat="1" applyFont="1" applyBorder="1"/>
    <xf numFmtId="0" fontId="215" fillId="0" borderId="138" xfId="0" applyFont="1" applyBorder="1"/>
    <xf numFmtId="0" fontId="238" fillId="0" borderId="45" xfId="0" applyFont="1" applyBorder="1" applyAlignment="1">
      <alignment horizontal="right"/>
    </xf>
    <xf numFmtId="272" fontId="217" fillId="0" borderId="98" xfId="0" applyNumberFormat="1" applyFont="1" applyBorder="1"/>
    <xf numFmtId="0" fontId="216" fillId="0" borderId="180" xfId="0" applyFont="1" applyBorder="1"/>
    <xf numFmtId="10" fontId="215" fillId="0" borderId="0" xfId="0" applyNumberFormat="1" applyFont="1"/>
    <xf numFmtId="43" fontId="225" fillId="0" borderId="0" xfId="11155" applyFont="1"/>
    <xf numFmtId="43" fontId="225" fillId="0" borderId="0" xfId="11155" applyFont="1" applyAlignment="1">
      <alignment horizontal="right"/>
    </xf>
    <xf numFmtId="0" fontId="217" fillId="74" borderId="0" xfId="0" applyFont="1" applyFill="1" applyAlignment="1">
      <alignment horizontal="center" wrapText="1"/>
    </xf>
    <xf numFmtId="0" fontId="227" fillId="72" borderId="58" xfId="0" applyFont="1" applyFill="1" applyBorder="1" applyAlignment="1">
      <alignment horizontal="center"/>
    </xf>
    <xf numFmtId="0" fontId="227" fillId="72" borderId="59" xfId="0" applyFont="1" applyFill="1" applyBorder="1" applyAlignment="1">
      <alignment horizontal="right" wrapText="1"/>
    </xf>
    <xf numFmtId="0" fontId="227" fillId="72" borderId="35" xfId="0" applyFont="1" applyFill="1" applyBorder="1" applyAlignment="1">
      <alignment horizontal="right" wrapText="1"/>
    </xf>
    <xf numFmtId="0" fontId="227" fillId="72" borderId="69" xfId="0" applyFont="1" applyFill="1" applyBorder="1" applyAlignment="1">
      <alignment horizontal="right" wrapText="1"/>
    </xf>
    <xf numFmtId="0" fontId="232" fillId="0" borderId="0" xfId="0" applyFont="1" applyAlignment="1">
      <alignment horizontal="center"/>
    </xf>
    <xf numFmtId="0" fontId="216" fillId="0" borderId="122" xfId="0" applyFont="1" applyBorder="1" applyAlignment="1">
      <alignment horizontal="centerContinuous" wrapText="1"/>
    </xf>
    <xf numFmtId="0" fontId="215" fillId="0" borderId="124" xfId="0" applyFont="1" applyBorder="1" applyAlignment="1">
      <alignment horizontal="centerContinuous"/>
    </xf>
    <xf numFmtId="165" fontId="222" fillId="74" borderId="0" xfId="0" applyNumberFormat="1" applyFont="1" applyFill="1"/>
    <xf numFmtId="164" fontId="222" fillId="74" borderId="0" xfId="0" applyNumberFormat="1" applyFont="1" applyFill="1" applyAlignment="1">
      <alignment horizontal="right"/>
    </xf>
    <xf numFmtId="0" fontId="215" fillId="0" borderId="125" xfId="0" applyFont="1" applyBorder="1"/>
    <xf numFmtId="165" fontId="215" fillId="0" borderId="127" xfId="12422" applyNumberFormat="1" applyFont="1" applyBorder="1" applyAlignment="1">
      <alignment horizontal="center"/>
    </xf>
    <xf numFmtId="165" fontId="215" fillId="0" borderId="13" xfId="12422" applyNumberFormat="1" applyFont="1" applyBorder="1" applyAlignment="1">
      <alignment horizontal="center"/>
    </xf>
    <xf numFmtId="165" fontId="222" fillId="0" borderId="0" xfId="0" applyNumberFormat="1" applyFont="1"/>
    <xf numFmtId="165" fontId="215" fillId="0" borderId="98" xfId="12422" applyNumberFormat="1" applyFont="1" applyBorder="1" applyAlignment="1">
      <alignment horizontal="center"/>
    </xf>
    <xf numFmtId="0" fontId="215" fillId="0" borderId="10" xfId="0" applyFont="1" applyBorder="1"/>
    <xf numFmtId="165" fontId="232" fillId="0" borderId="98" xfId="0" applyNumberFormat="1" applyFont="1" applyBorder="1" applyAlignment="1">
      <alignment horizontal="center"/>
    </xf>
    <xf numFmtId="0" fontId="238" fillId="0" borderId="45" xfId="0" applyFont="1" applyBorder="1" applyAlignment="1">
      <alignment horizontal="left"/>
    </xf>
    <xf numFmtId="0" fontId="216" fillId="0" borderId="45" xfId="0" applyFont="1" applyBorder="1" applyAlignment="1">
      <alignment horizontal="center" wrapText="1"/>
    </xf>
    <xf numFmtId="0" fontId="227" fillId="72" borderId="58" xfId="0" applyFont="1" applyFill="1" applyBorder="1" applyAlignment="1">
      <alignment horizontal="left"/>
    </xf>
    <xf numFmtId="165" fontId="215" fillId="73" borderId="0" xfId="0" applyNumberFormat="1" applyFont="1" applyFill="1"/>
    <xf numFmtId="165" fontId="215" fillId="0" borderId="0" xfId="0" applyNumberFormat="1" applyFont="1" applyAlignment="1">
      <alignment horizontal="right"/>
    </xf>
    <xf numFmtId="0" fontId="216" fillId="0" borderId="61" xfId="0" applyFont="1" applyBorder="1"/>
    <xf numFmtId="165" fontId="216" fillId="0" borderId="61" xfId="0" applyNumberFormat="1" applyFont="1" applyBorder="1"/>
    <xf numFmtId="0" fontId="216" fillId="0" borderId="45" xfId="0" applyFont="1" applyBorder="1" applyAlignment="1">
      <alignment horizontal="right" wrapText="1"/>
    </xf>
    <xf numFmtId="165" fontId="215" fillId="0" borderId="0" xfId="0" applyNumberFormat="1" applyFont="1" applyAlignment="1">
      <alignment horizontal="right" indent="1"/>
    </xf>
    <xf numFmtId="165" fontId="216" fillId="0" borderId="0" xfId="0" applyNumberFormat="1" applyFont="1"/>
    <xf numFmtId="0" fontId="227" fillId="72" borderId="59" xfId="0" applyFont="1" applyFill="1" applyBorder="1" applyAlignment="1">
      <alignment horizontal="center" wrapText="1"/>
    </xf>
    <xf numFmtId="0" fontId="227" fillId="72" borderId="60" xfId="0" applyFont="1" applyFill="1" applyBorder="1" applyAlignment="1">
      <alignment horizontal="center" wrapText="1"/>
    </xf>
    <xf numFmtId="165" fontId="216" fillId="0" borderId="62" xfId="0" applyNumberFormat="1" applyFont="1" applyBorder="1" applyAlignment="1">
      <alignment horizontal="center"/>
    </xf>
    <xf numFmtId="165" fontId="216" fillId="0" borderId="63" xfId="0" applyNumberFormat="1" applyFont="1" applyBorder="1" applyAlignment="1">
      <alignment horizontal="center"/>
    </xf>
    <xf numFmtId="165" fontId="216" fillId="0" borderId="61" xfId="0" applyNumberFormat="1" applyFont="1" applyBorder="1" applyAlignment="1">
      <alignment horizontal="center"/>
    </xf>
    <xf numFmtId="165" fontId="222" fillId="0" borderId="10" xfId="0" applyNumberFormat="1" applyFont="1" applyBorder="1" applyAlignment="1">
      <alignment horizontal="center"/>
    </xf>
    <xf numFmtId="165" fontId="215" fillId="0" borderId="45" xfId="0" applyNumberFormat="1" applyFont="1" applyBorder="1" applyAlignment="1">
      <alignment horizontal="center"/>
    </xf>
    <xf numFmtId="165" fontId="215" fillId="0" borderId="11" xfId="0" applyNumberFormat="1" applyFont="1" applyBorder="1" applyAlignment="1">
      <alignment horizontal="center"/>
    </xf>
    <xf numFmtId="0" fontId="215" fillId="0" borderId="0" xfId="0" quotePrefix="1" applyFont="1" applyAlignment="1">
      <alignment horizontal="left" indent="1"/>
    </xf>
    <xf numFmtId="0" fontId="227" fillId="72" borderId="60" xfId="0" applyFont="1" applyFill="1" applyBorder="1" applyAlignment="1">
      <alignment horizontal="right" wrapText="1"/>
    </xf>
    <xf numFmtId="0" fontId="233" fillId="0" borderId="64" xfId="0" applyFont="1" applyBorder="1"/>
    <xf numFmtId="164" fontId="215" fillId="0" borderId="0" xfId="0" applyNumberFormat="1" applyFont="1" applyAlignment="1">
      <alignment horizontal="center"/>
    </xf>
    <xf numFmtId="165" fontId="233" fillId="0" borderId="0" xfId="0" applyNumberFormat="1" applyFont="1" applyAlignment="1">
      <alignment horizontal="center"/>
    </xf>
    <xf numFmtId="167" fontId="215" fillId="0" borderId="13" xfId="12427" applyNumberFormat="1" applyFont="1" applyBorder="1" applyAlignment="1">
      <alignment horizontal="right"/>
    </xf>
    <xf numFmtId="0" fontId="233" fillId="0" borderId="10" xfId="0" applyFont="1" applyBorder="1"/>
    <xf numFmtId="165" fontId="233" fillId="0" borderId="45" xfId="0" applyNumberFormat="1" applyFont="1" applyBorder="1" applyAlignment="1">
      <alignment horizontal="center"/>
    </xf>
    <xf numFmtId="167" fontId="215" fillId="0" borderId="11" xfId="12427" applyNumberFormat="1" applyFont="1" applyBorder="1" applyAlignment="1">
      <alignment horizontal="right"/>
    </xf>
    <xf numFmtId="0" fontId="216" fillId="0" borderId="0" xfId="0" quotePrefix="1" applyFont="1" applyAlignment="1">
      <alignment horizontal="left" indent="1"/>
    </xf>
    <xf numFmtId="165" fontId="216" fillId="0" borderId="0" xfId="0" applyNumberFormat="1" applyFont="1" applyAlignment="1">
      <alignment horizontal="right"/>
    </xf>
    <xf numFmtId="0" fontId="230" fillId="74" borderId="0" xfId="0" applyFont="1" applyFill="1"/>
    <xf numFmtId="0" fontId="238" fillId="0" borderId="0" xfId="0" applyFont="1"/>
    <xf numFmtId="0" fontId="215" fillId="0" borderId="0" xfId="20382" applyFont="1"/>
    <xf numFmtId="0" fontId="227" fillId="72" borderId="122" xfId="20389" applyFont="1" applyFill="1" applyBorder="1" applyAlignment="1">
      <alignment horizontal="right" wrapText="1"/>
    </xf>
    <xf numFmtId="0" fontId="227" fillId="72" borderId="129" xfId="20389" applyFont="1" applyFill="1" applyBorder="1" applyAlignment="1">
      <alignment horizontal="right" wrapText="1"/>
    </xf>
    <xf numFmtId="0" fontId="227" fillId="72" borderId="128" xfId="20389" applyFont="1" applyFill="1" applyBorder="1" applyAlignment="1">
      <alignment horizontal="right" wrapText="1"/>
    </xf>
    <xf numFmtId="0" fontId="216" fillId="0" borderId="0" xfId="20389" applyFont="1" applyAlignment="1">
      <alignment vertical="center"/>
    </xf>
    <xf numFmtId="165" fontId="222" fillId="0" borderId="0" xfId="20389" applyNumberFormat="1" applyFont="1" applyAlignment="1">
      <alignment vertical="center"/>
    </xf>
    <xf numFmtId="0" fontId="215" fillId="0" borderId="0" xfId="20389" applyFont="1" applyAlignment="1">
      <alignment horizontal="left" vertical="center"/>
    </xf>
    <xf numFmtId="165" fontId="215" fillId="0" borderId="0" xfId="20389" applyNumberFormat="1" applyFont="1" applyAlignment="1">
      <alignment vertical="center"/>
    </xf>
    <xf numFmtId="0" fontId="240" fillId="0" borderId="0" xfId="20382" applyFont="1" applyAlignment="1">
      <alignment horizontal="right"/>
    </xf>
    <xf numFmtId="165" fontId="215" fillId="0" borderId="0" xfId="20389" applyNumberFormat="1" applyFont="1" applyAlignment="1">
      <alignment horizontal="right" vertical="center"/>
    </xf>
    <xf numFmtId="165" fontId="222" fillId="0" borderId="0" xfId="20382" applyNumberFormat="1" applyFont="1"/>
    <xf numFmtId="0" fontId="215" fillId="0" borderId="0" xfId="20382" applyFont="1" applyAlignment="1">
      <alignment horizontal="right"/>
    </xf>
    <xf numFmtId="0" fontId="222" fillId="0" borderId="0" xfId="20382" applyFont="1"/>
    <xf numFmtId="0" fontId="215" fillId="0" borderId="0" xfId="20389" applyFont="1" applyAlignment="1">
      <alignment vertical="center"/>
    </xf>
    <xf numFmtId="0" fontId="228" fillId="0" borderId="0" xfId="20382" applyFont="1"/>
    <xf numFmtId="165" fontId="240" fillId="0" borderId="0" xfId="20389" applyNumberFormat="1" applyFont="1" applyAlignment="1">
      <alignment vertical="center"/>
    </xf>
    <xf numFmtId="0" fontId="227" fillId="72" borderId="122" xfId="20390" applyFont="1" applyFill="1" applyBorder="1" applyAlignment="1">
      <alignment horizontal="right" wrapText="1"/>
    </xf>
    <xf numFmtId="0" fontId="227" fillId="72" borderId="129" xfId="20390" applyFont="1" applyFill="1" applyBorder="1" applyAlignment="1">
      <alignment horizontal="right" wrapText="1"/>
    </xf>
    <xf numFmtId="0" fontId="227" fillId="72" borderId="128" xfId="20390" applyFont="1" applyFill="1" applyBorder="1" applyAlignment="1">
      <alignment horizontal="right"/>
    </xf>
    <xf numFmtId="0" fontId="216" fillId="0" borderId="0" xfId="20390" applyFont="1" applyAlignment="1">
      <alignment vertical="center"/>
    </xf>
    <xf numFmtId="165" fontId="222" fillId="0" borderId="0" xfId="20390" applyNumberFormat="1" applyFont="1" applyAlignment="1">
      <alignment vertical="center"/>
    </xf>
    <xf numFmtId="0" fontId="215" fillId="0" borderId="0" xfId="20390" applyFont="1" applyAlignment="1">
      <alignment horizontal="left" vertical="center"/>
    </xf>
    <xf numFmtId="165" fontId="215" fillId="0" borderId="0" xfId="20390" applyNumberFormat="1" applyFont="1" applyAlignment="1">
      <alignment vertical="center"/>
    </xf>
    <xf numFmtId="165" fontId="222" fillId="0" borderId="0" xfId="20390" applyNumberFormat="1" applyFont="1" applyAlignment="1">
      <alignment horizontal="right" vertical="center"/>
    </xf>
    <xf numFmtId="165" fontId="222" fillId="0" borderId="0" xfId="0" applyNumberFormat="1" applyFont="1" applyAlignment="1">
      <alignment horizontal="right" vertical="center"/>
    </xf>
    <xf numFmtId="165" fontId="233" fillId="0" borderId="0" xfId="0" applyNumberFormat="1" applyFont="1" applyAlignment="1">
      <alignment horizontal="right" vertical="center"/>
    </xf>
    <xf numFmtId="165" fontId="215" fillId="0" borderId="0" xfId="20390" applyNumberFormat="1" applyFont="1" applyAlignment="1">
      <alignment horizontal="right" vertical="center"/>
    </xf>
    <xf numFmtId="165" fontId="215" fillId="0" borderId="0" xfId="0" applyNumberFormat="1" applyFont="1" applyAlignment="1">
      <alignment horizontal="right" vertical="center"/>
    </xf>
    <xf numFmtId="0" fontId="215" fillId="0" borderId="0" xfId="20390" applyFont="1" applyAlignment="1">
      <alignment vertical="center"/>
    </xf>
    <xf numFmtId="165" fontId="215" fillId="0" borderId="0" xfId="20382" applyNumberFormat="1" applyFont="1"/>
    <xf numFmtId="165" fontId="233" fillId="0" borderId="0" xfId="20390" applyNumberFormat="1" applyFont="1" applyAlignment="1">
      <alignment vertical="center"/>
    </xf>
    <xf numFmtId="0" fontId="227" fillId="72" borderId="131" xfId="0" applyFont="1" applyFill="1" applyBorder="1" applyAlignment="1">
      <alignment horizontal="left" vertical="center" wrapText="1"/>
    </xf>
    <xf numFmtId="0" fontId="227" fillId="72" borderId="132" xfId="0" applyFont="1" applyFill="1" applyBorder="1" applyAlignment="1">
      <alignment horizontal="right" vertical="center" wrapText="1"/>
    </xf>
    <xf numFmtId="0" fontId="227" fillId="72" borderId="133" xfId="0" applyFont="1" applyFill="1" applyBorder="1" applyAlignment="1">
      <alignment horizontal="right" vertical="center" wrapText="1"/>
    </xf>
    <xf numFmtId="165" fontId="224" fillId="0" borderId="0" xfId="0" applyNumberFormat="1" applyFont="1" applyAlignment="1">
      <alignment horizontal="right"/>
    </xf>
    <xf numFmtId="164" fontId="222" fillId="0" borderId="0" xfId="0" applyNumberFormat="1" applyFont="1" applyAlignment="1">
      <alignment horizontal="right"/>
    </xf>
    <xf numFmtId="165" fontId="224" fillId="0" borderId="0" xfId="0" applyNumberFormat="1" applyFont="1"/>
    <xf numFmtId="273" fontId="215" fillId="0" borderId="0" xfId="0" applyNumberFormat="1" applyFont="1"/>
    <xf numFmtId="0" fontId="216" fillId="0" borderId="64" xfId="0" applyFont="1" applyBorder="1" applyAlignment="1">
      <alignment horizontal="center"/>
    </xf>
    <xf numFmtId="0" fontId="227" fillId="0" borderId="0" xfId="0" applyFont="1" applyAlignment="1">
      <alignment horizontal="left" vertical="center" wrapText="1"/>
    </xf>
    <xf numFmtId="0" fontId="227" fillId="0" borderId="0" xfId="0" applyFont="1" applyAlignment="1">
      <alignment horizontal="right" vertical="center" wrapText="1"/>
    </xf>
    <xf numFmtId="0" fontId="215" fillId="0" borderId="0" xfId="0" applyFont="1" applyAlignment="1">
      <alignment vertical="center"/>
    </xf>
    <xf numFmtId="165" fontId="224" fillId="0" borderId="0" xfId="0" applyNumberFormat="1" applyFont="1" applyAlignment="1">
      <alignment horizontal="right" vertical="center"/>
    </xf>
    <xf numFmtId="0" fontId="216" fillId="0" borderId="0" xfId="0" applyFont="1" applyAlignment="1">
      <alignment horizontal="center" wrapText="1"/>
    </xf>
    <xf numFmtId="165" fontId="215" fillId="29" borderId="0" xfId="0" applyNumberFormat="1" applyFont="1" applyFill="1"/>
    <xf numFmtId="0" fontId="216" fillId="0" borderId="134" xfId="0" applyFont="1" applyBorder="1"/>
    <xf numFmtId="165" fontId="216" fillId="0" borderId="134" xfId="0" applyNumberFormat="1" applyFont="1" applyBorder="1"/>
    <xf numFmtId="0" fontId="238" fillId="0" borderId="131" xfId="0" applyFont="1" applyBorder="1" applyAlignment="1">
      <alignment horizontal="centerContinuous"/>
    </xf>
    <xf numFmtId="0" fontId="216" fillId="0" borderId="133" xfId="0" applyFont="1" applyBorder="1" applyAlignment="1">
      <alignment horizontal="centerContinuous"/>
    </xf>
    <xf numFmtId="0" fontId="216" fillId="0" borderId="132" xfId="0" applyFont="1" applyBorder="1" applyAlignment="1">
      <alignment horizontal="centerContinuous"/>
    </xf>
    <xf numFmtId="0" fontId="227" fillId="72" borderId="131" xfId="0" applyFont="1" applyFill="1" applyBorder="1" applyAlignment="1">
      <alignment horizontal="centerContinuous" vertical="center" wrapText="1"/>
    </xf>
    <xf numFmtId="0" fontId="227" fillId="72" borderId="133" xfId="0" applyFont="1" applyFill="1" applyBorder="1" applyAlignment="1">
      <alignment horizontal="centerContinuous" wrapText="1"/>
    </xf>
    <xf numFmtId="0" fontId="227" fillId="72" borderId="132" xfId="0" applyFont="1" applyFill="1" applyBorder="1" applyAlignment="1">
      <alignment horizontal="centerContinuous" wrapText="1"/>
    </xf>
    <xf numFmtId="0" fontId="215" fillId="0" borderId="135" xfId="0" applyFont="1" applyBorder="1"/>
    <xf numFmtId="0" fontId="215" fillId="0" borderId="134" xfId="0" applyFont="1" applyBorder="1"/>
    <xf numFmtId="0" fontId="215" fillId="0" borderId="136" xfId="0" applyFont="1" applyBorder="1"/>
    <xf numFmtId="165" fontId="216" fillId="0" borderId="135" xfId="0" applyNumberFormat="1" applyFont="1" applyBorder="1" applyAlignment="1">
      <alignment horizontal="center"/>
    </xf>
    <xf numFmtId="165" fontId="216" fillId="0" borderId="136" xfId="0" applyNumberFormat="1" applyFont="1" applyBorder="1" applyAlignment="1">
      <alignment horizontal="center"/>
    </xf>
    <xf numFmtId="165" fontId="216" fillId="0" borderId="131" xfId="0" applyNumberFormat="1" applyFont="1" applyBorder="1" applyAlignment="1">
      <alignment horizontal="center"/>
    </xf>
    <xf numFmtId="165" fontId="216" fillId="0" borderId="137" xfId="0" applyNumberFormat="1" applyFont="1" applyBorder="1" applyAlignment="1">
      <alignment horizontal="center"/>
    </xf>
    <xf numFmtId="165" fontId="216" fillId="0" borderId="133" xfId="0" applyNumberFormat="1" applyFont="1" applyBorder="1" applyAlignment="1">
      <alignment horizontal="center"/>
    </xf>
    <xf numFmtId="165" fontId="222" fillId="0" borderId="138" xfId="0" applyNumberFormat="1" applyFont="1" applyBorder="1" applyAlignment="1">
      <alignment horizontal="center"/>
    </xf>
    <xf numFmtId="165" fontId="215" fillId="0" borderId="98" xfId="0" applyNumberFormat="1" applyFont="1" applyBorder="1" applyAlignment="1">
      <alignment horizontal="center"/>
    </xf>
    <xf numFmtId="165" fontId="216" fillId="0" borderId="138" xfId="0" applyNumberFormat="1" applyFont="1" applyBorder="1" applyAlignment="1">
      <alignment horizontal="center"/>
    </xf>
    <xf numFmtId="165" fontId="216" fillId="0" borderId="139" xfId="0" applyNumberFormat="1" applyFont="1" applyBorder="1" applyAlignment="1">
      <alignment horizontal="center"/>
    </xf>
    <xf numFmtId="165" fontId="222" fillId="0" borderId="0" xfId="0" applyNumberFormat="1" applyFont="1" applyAlignment="1">
      <alignment horizontal="center"/>
    </xf>
    <xf numFmtId="165" fontId="215" fillId="0" borderId="135" xfId="12422" applyNumberFormat="1" applyFont="1" applyBorder="1" applyAlignment="1">
      <alignment horizontal="center"/>
    </xf>
    <xf numFmtId="165" fontId="215" fillId="0" borderId="137" xfId="12422" applyNumberFormat="1" applyFont="1" applyBorder="1" applyAlignment="1">
      <alignment horizontal="center"/>
    </xf>
    <xf numFmtId="165" fontId="233" fillId="0" borderId="131" xfId="0" applyNumberFormat="1" applyFont="1" applyBorder="1" applyAlignment="1">
      <alignment horizontal="center"/>
    </xf>
    <xf numFmtId="165" fontId="233" fillId="0" borderId="132" xfId="0" applyNumberFormat="1" applyFont="1" applyBorder="1" applyAlignment="1">
      <alignment horizontal="center"/>
    </xf>
    <xf numFmtId="165" fontId="233" fillId="0" borderId="133" xfId="0" applyNumberFormat="1" applyFont="1" applyBorder="1" applyAlignment="1">
      <alignment horizontal="center"/>
    </xf>
    <xf numFmtId="1" fontId="222" fillId="0" borderId="138" xfId="0" applyNumberFormat="1" applyFont="1" applyBorder="1" applyAlignment="1">
      <alignment horizontal="center"/>
    </xf>
    <xf numFmtId="1" fontId="222" fillId="0" borderId="45" xfId="0" applyNumberFormat="1" applyFont="1" applyBorder="1" applyAlignment="1">
      <alignment horizontal="center"/>
    </xf>
    <xf numFmtId="1" fontId="222" fillId="0" borderId="98" xfId="0" applyNumberFormat="1" applyFont="1" applyBorder="1" applyAlignment="1">
      <alignment horizontal="center"/>
    </xf>
    <xf numFmtId="1" fontId="222" fillId="0" borderId="0" xfId="0" applyNumberFormat="1" applyFont="1" applyAlignment="1">
      <alignment horizontal="center"/>
    </xf>
    <xf numFmtId="165" fontId="216" fillId="0" borderId="131" xfId="0" applyNumberFormat="1" applyFont="1" applyBorder="1" applyAlignment="1">
      <alignment horizontal="left"/>
    </xf>
    <xf numFmtId="165" fontId="216" fillId="0" borderId="137" xfId="12422" applyNumberFormat="1" applyFont="1" applyBorder="1"/>
    <xf numFmtId="0" fontId="215" fillId="0" borderId="131" xfId="0" applyFont="1" applyBorder="1"/>
    <xf numFmtId="165" fontId="216" fillId="0" borderId="132" xfId="12422" applyNumberFormat="1" applyFont="1" applyBorder="1"/>
    <xf numFmtId="0" fontId="215" fillId="0" borderId="132" xfId="0" applyFont="1" applyBorder="1"/>
    <xf numFmtId="165" fontId="216" fillId="0" borderId="133" xfId="12422" applyNumberFormat="1" applyFont="1" applyBorder="1"/>
    <xf numFmtId="0" fontId="215" fillId="0" borderId="64" xfId="0" applyFont="1" applyBorder="1" applyAlignment="1">
      <alignment horizontal="left"/>
    </xf>
    <xf numFmtId="165" fontId="215" fillId="0" borderId="140" xfId="0" applyNumberFormat="1" applyFont="1" applyBorder="1"/>
    <xf numFmtId="165" fontId="215" fillId="0" borderId="13" xfId="0" applyNumberFormat="1" applyFont="1" applyBorder="1"/>
    <xf numFmtId="165" fontId="215" fillId="0" borderId="51" xfId="12422" applyNumberFormat="1" applyFont="1" applyBorder="1"/>
    <xf numFmtId="0" fontId="215" fillId="0" borderId="138" xfId="0" applyFont="1" applyBorder="1" applyAlignment="1">
      <alignment horizontal="left"/>
    </xf>
    <xf numFmtId="165" fontId="233" fillId="0" borderId="139" xfId="12422" applyNumberFormat="1" applyFont="1" applyBorder="1"/>
    <xf numFmtId="165" fontId="215" fillId="0" borderId="45" xfId="0" applyNumberFormat="1" applyFont="1" applyBorder="1"/>
    <xf numFmtId="165" fontId="215" fillId="0" borderId="98" xfId="0" applyNumberFormat="1" applyFont="1" applyBorder="1"/>
    <xf numFmtId="0" fontId="238" fillId="0" borderId="0" xfId="0" applyFont="1" applyAlignment="1">
      <alignment horizontal="left"/>
    </xf>
    <xf numFmtId="0" fontId="216" fillId="0" borderId="137" xfId="0" applyFont="1" applyBorder="1" applyAlignment="1">
      <alignment horizontal="right"/>
    </xf>
    <xf numFmtId="0" fontId="216" fillId="0" borderId="131" xfId="0" applyFont="1" applyBorder="1"/>
    <xf numFmtId="0" fontId="216" fillId="0" borderId="133" xfId="0" applyFont="1" applyBorder="1" applyAlignment="1">
      <alignment horizontal="right"/>
    </xf>
    <xf numFmtId="0" fontId="216" fillId="0" borderId="131" xfId="0" applyFont="1" applyBorder="1" applyAlignment="1">
      <alignment horizontal="centerContinuous"/>
    </xf>
    <xf numFmtId="165" fontId="216" fillId="0" borderId="139" xfId="0" applyNumberFormat="1" applyFont="1" applyBorder="1" applyAlignment="1">
      <alignment horizontal="left"/>
    </xf>
    <xf numFmtId="0" fontId="216" fillId="0" borderId="134" xfId="0" applyFont="1" applyBorder="1" applyAlignment="1">
      <alignment horizontal="right"/>
    </xf>
    <xf numFmtId="0" fontId="216" fillId="0" borderId="136" xfId="0" applyFont="1" applyBorder="1" applyAlignment="1">
      <alignment horizontal="right"/>
    </xf>
    <xf numFmtId="0" fontId="238" fillId="0" borderId="64" xfId="0" applyFont="1" applyBorder="1"/>
    <xf numFmtId="165" fontId="238" fillId="0" borderId="45" xfId="12422" applyNumberFormat="1" applyFont="1" applyBorder="1"/>
    <xf numFmtId="165" fontId="238" fillId="0" borderId="98" xfId="12422" applyNumberFormat="1" applyFont="1" applyBorder="1"/>
    <xf numFmtId="0" fontId="215" fillId="0" borderId="64" xfId="0" quotePrefix="1" applyFont="1" applyBorder="1"/>
    <xf numFmtId="0" fontId="215" fillId="0" borderId="0" xfId="0" quotePrefix="1" applyFont="1"/>
    <xf numFmtId="0" fontId="216" fillId="0" borderId="13" xfId="0" applyFont="1" applyBorder="1" applyAlignment="1">
      <alignment horizontal="right"/>
    </xf>
    <xf numFmtId="0" fontId="216" fillId="0" borderId="64" xfId="0" applyFont="1" applyBorder="1"/>
    <xf numFmtId="0" fontId="238" fillId="0" borderId="0" xfId="20382" applyFont="1"/>
    <xf numFmtId="0" fontId="215" fillId="0" borderId="0" xfId="20382" applyFont="1" applyAlignment="1">
      <alignment horizontal="center"/>
    </xf>
    <xf numFmtId="0" fontId="227" fillId="72" borderId="108" xfId="20382" applyFont="1" applyFill="1" applyBorder="1" applyAlignment="1">
      <alignment horizontal="center"/>
    </xf>
    <xf numFmtId="0" fontId="227" fillId="72" borderId="109" xfId="20382" applyFont="1" applyFill="1" applyBorder="1" applyAlignment="1">
      <alignment horizontal="center" wrapText="1"/>
    </xf>
    <xf numFmtId="0" fontId="227" fillId="72" borderId="110" xfId="20382" applyFont="1" applyFill="1" applyBorder="1" applyAlignment="1">
      <alignment horizontal="center" wrapText="1"/>
    </xf>
    <xf numFmtId="165" fontId="222" fillId="0" borderId="0" xfId="20382" applyNumberFormat="1" applyFont="1" applyAlignment="1">
      <alignment horizontal="center"/>
    </xf>
    <xf numFmtId="165" fontId="215" fillId="0" borderId="0" xfId="20382" applyNumberFormat="1" applyFont="1" applyAlignment="1">
      <alignment horizontal="center"/>
    </xf>
    <xf numFmtId="0" fontId="216" fillId="0" borderId="0" xfId="20382" applyFont="1"/>
    <xf numFmtId="0" fontId="216" fillId="0" borderId="0" xfId="20382" applyFont="1" applyAlignment="1">
      <alignment horizontal="center"/>
    </xf>
    <xf numFmtId="0" fontId="238" fillId="0" borderId="0" xfId="20382" applyFont="1" applyAlignment="1">
      <alignment horizontal="left"/>
    </xf>
    <xf numFmtId="0" fontId="216" fillId="0" borderId="0" xfId="20382" applyFont="1" applyAlignment="1">
      <alignment horizontal="center" wrapText="1"/>
    </xf>
    <xf numFmtId="0" fontId="232" fillId="0" borderId="10" xfId="20382" applyFont="1" applyBorder="1" applyAlignment="1">
      <alignment horizontal="center" wrapText="1"/>
    </xf>
    <xf numFmtId="0" fontId="232" fillId="0" borderId="32" xfId="20382" applyFont="1" applyBorder="1" applyAlignment="1">
      <alignment horizontal="center" wrapText="1"/>
    </xf>
    <xf numFmtId="0" fontId="227" fillId="72" borderId="108" xfId="20382" applyFont="1" applyFill="1" applyBorder="1" applyAlignment="1">
      <alignment horizontal="center" wrapText="1"/>
    </xf>
    <xf numFmtId="165" fontId="232" fillId="0" borderId="0" xfId="20382" applyNumberFormat="1" applyFont="1" applyAlignment="1">
      <alignment horizontal="left"/>
    </xf>
    <xf numFmtId="0" fontId="227" fillId="72" borderId="109" xfId="20382" applyFont="1" applyFill="1" applyBorder="1" applyAlignment="1">
      <alignment horizontal="center"/>
    </xf>
    <xf numFmtId="0" fontId="227" fillId="72" borderId="108" xfId="0" applyFont="1" applyFill="1" applyBorder="1" applyAlignment="1">
      <alignment horizontal="center" wrapText="1"/>
    </xf>
    <xf numFmtId="0" fontId="227" fillId="72" borderId="109" xfId="0" applyFont="1" applyFill="1" applyBorder="1" applyAlignment="1">
      <alignment horizontal="center" wrapText="1"/>
    </xf>
    <xf numFmtId="0" fontId="227" fillId="72" borderId="110" xfId="0" applyFont="1" applyFill="1" applyBorder="1" applyAlignment="1">
      <alignment horizontal="center" wrapText="1"/>
    </xf>
    <xf numFmtId="165" fontId="222" fillId="0" borderId="0" xfId="20383" applyNumberFormat="1" applyFont="1" applyAlignment="1">
      <alignment horizontal="center"/>
    </xf>
    <xf numFmtId="0" fontId="227" fillId="72" borderId="110" xfId="20382" applyFont="1" applyFill="1" applyBorder="1" applyAlignment="1">
      <alignment horizontal="center"/>
    </xf>
    <xf numFmtId="0" fontId="227" fillId="72" borderId="108" xfId="0" applyFont="1" applyFill="1" applyBorder="1" applyAlignment="1">
      <alignment horizontal="center"/>
    </xf>
    <xf numFmtId="0" fontId="227" fillId="72" borderId="109" xfId="0" applyFont="1" applyFill="1" applyBorder="1" applyAlignment="1">
      <alignment horizontal="center"/>
    </xf>
    <xf numFmtId="0" fontId="238" fillId="0" borderId="0" xfId="20382" applyFont="1" applyAlignment="1">
      <alignment horizontal="center"/>
    </xf>
    <xf numFmtId="0" fontId="227" fillId="72" borderId="128" xfId="20382" applyFont="1" applyFill="1" applyBorder="1" applyAlignment="1">
      <alignment horizontal="center" wrapText="1"/>
    </xf>
    <xf numFmtId="165" fontId="222" fillId="74" borderId="0" xfId="20382" applyNumberFormat="1" applyFont="1" applyFill="1" applyAlignment="1">
      <alignment horizontal="center"/>
    </xf>
    <xf numFmtId="165" fontId="217" fillId="0" borderId="0" xfId="20382" applyNumberFormat="1" applyFont="1" applyAlignment="1">
      <alignment horizontal="left"/>
    </xf>
    <xf numFmtId="0" fontId="230" fillId="0" borderId="0" xfId="20382" applyFont="1"/>
    <xf numFmtId="0" fontId="215" fillId="0" borderId="0" xfId="20382" quotePrefix="1" applyFont="1" applyAlignment="1">
      <alignment horizontal="right"/>
    </xf>
    <xf numFmtId="0" fontId="215" fillId="0" borderId="0" xfId="20382" quotePrefix="1" applyFont="1" applyAlignment="1">
      <alignment horizontal="right" vertical="top"/>
    </xf>
    <xf numFmtId="0" fontId="227" fillId="72" borderId="34" xfId="0" applyFont="1" applyFill="1" applyBorder="1"/>
    <xf numFmtId="0" fontId="227" fillId="72" borderId="35" xfId="0" applyFont="1" applyFill="1" applyBorder="1"/>
    <xf numFmtId="43" fontId="241" fillId="87" borderId="167" xfId="0" applyNumberFormat="1" applyFont="1" applyFill="1" applyBorder="1"/>
    <xf numFmtId="0" fontId="232" fillId="0" borderId="0" xfId="0" applyFont="1"/>
    <xf numFmtId="0" fontId="233" fillId="0" borderId="0" xfId="0" applyFont="1"/>
    <xf numFmtId="0" fontId="233" fillId="0" borderId="0" xfId="0" applyFont="1" applyAlignment="1">
      <alignment horizontal="right"/>
    </xf>
    <xf numFmtId="169" fontId="229" fillId="0" borderId="0" xfId="0" applyNumberFormat="1" applyFont="1" applyAlignment="1">
      <alignment horizontal="right"/>
    </xf>
    <xf numFmtId="169" fontId="222" fillId="0" borderId="0" xfId="0" applyNumberFormat="1" applyFont="1" applyAlignment="1">
      <alignment horizontal="right"/>
    </xf>
    <xf numFmtId="169" fontId="224" fillId="0" borderId="0" xfId="0" applyNumberFormat="1" applyFont="1" applyAlignment="1">
      <alignment horizontal="right"/>
    </xf>
    <xf numFmtId="10" fontId="229" fillId="0" borderId="0" xfId="0" applyNumberFormat="1" applyFont="1" applyAlignment="1">
      <alignment horizontal="right"/>
    </xf>
    <xf numFmtId="165" fontId="228" fillId="0" borderId="0" xfId="0" applyNumberFormat="1" applyFont="1" applyAlignment="1">
      <alignment horizontal="right"/>
    </xf>
    <xf numFmtId="10" fontId="228" fillId="0" borderId="0" xfId="0" applyNumberFormat="1" applyFont="1" applyAlignment="1">
      <alignment horizontal="right"/>
    </xf>
    <xf numFmtId="10" fontId="224" fillId="0" borderId="0" xfId="0" applyNumberFormat="1" applyFont="1" applyAlignment="1">
      <alignment horizontal="right"/>
    </xf>
    <xf numFmtId="0" fontId="232" fillId="0" borderId="34" xfId="0" applyFont="1" applyBorder="1" applyAlignment="1">
      <alignment horizontal="centerContinuous"/>
    </xf>
    <xf numFmtId="0" fontId="232" fillId="0" borderId="35" xfId="0" applyFont="1" applyBorder="1" applyAlignment="1">
      <alignment horizontal="centerContinuous"/>
    </xf>
    <xf numFmtId="0" fontId="227" fillId="72" borderId="29" xfId="0" applyFont="1" applyFill="1" applyBorder="1"/>
    <xf numFmtId="0" fontId="227" fillId="72" borderId="34" xfId="0" applyFont="1" applyFill="1" applyBorder="1" applyAlignment="1">
      <alignment horizontal="right" wrapText="1"/>
    </xf>
    <xf numFmtId="0" fontId="232" fillId="0" borderId="0" xfId="0" applyFont="1" applyAlignment="1">
      <alignment horizontal="center" wrapText="1"/>
    </xf>
    <xf numFmtId="167" fontId="228" fillId="0" borderId="0" xfId="12427" applyNumberFormat="1" applyFont="1" applyAlignment="1">
      <alignment horizontal="right"/>
    </xf>
    <xf numFmtId="169" fontId="222" fillId="0" borderId="0" xfId="0" applyNumberFormat="1" applyFont="1"/>
    <xf numFmtId="342" fontId="215" fillId="0" borderId="31" xfId="0" applyNumberFormat="1" applyFont="1" applyBorder="1" applyAlignment="1">
      <alignment horizontal="right"/>
    </xf>
    <xf numFmtId="342" fontId="215" fillId="0" borderId="51" xfId="0" applyNumberFormat="1" applyFont="1" applyBorder="1" applyAlignment="1">
      <alignment horizontal="right"/>
    </xf>
    <xf numFmtId="342" fontId="215" fillId="0" borderId="0" xfId="0" applyNumberFormat="1" applyFont="1" applyAlignment="1">
      <alignment horizontal="right"/>
    </xf>
    <xf numFmtId="8" fontId="228" fillId="0" borderId="51" xfId="0" applyNumberFormat="1" applyFont="1" applyBorder="1"/>
    <xf numFmtId="0" fontId="215" fillId="0" borderId="45" xfId="0" applyFont="1" applyBorder="1" applyAlignment="1">
      <alignment horizontal="right"/>
    </xf>
    <xf numFmtId="0" fontId="236" fillId="0" borderId="17" xfId="0" applyFont="1" applyBorder="1"/>
    <xf numFmtId="358" fontId="216" fillId="0" borderId="0" xfId="0" applyNumberFormat="1" applyFont="1"/>
    <xf numFmtId="0" fontId="233" fillId="0" borderId="0" xfId="0" applyFont="1" applyAlignment="1">
      <alignment wrapText="1"/>
    </xf>
    <xf numFmtId="0" fontId="241" fillId="72" borderId="29" xfId="0" applyFont="1" applyFill="1" applyBorder="1"/>
    <xf numFmtId="0" fontId="241" fillId="72" borderId="34" xfId="0" applyFont="1" applyFill="1" applyBorder="1" applyAlignment="1">
      <alignment horizontal="center" wrapText="1"/>
    </xf>
    <xf numFmtId="0" fontId="241" fillId="72" borderId="35" xfId="0" applyFont="1" applyFill="1" applyBorder="1" applyAlignment="1">
      <alignment horizontal="center" wrapText="1"/>
    </xf>
    <xf numFmtId="169" fontId="215" fillId="0" borderId="0" xfId="0" applyNumberFormat="1" applyFont="1" applyAlignment="1">
      <alignment horizontal="right"/>
    </xf>
    <xf numFmtId="0" fontId="242" fillId="0" borderId="0" xfId="0" applyFont="1" applyAlignment="1">
      <alignment horizontal="center"/>
    </xf>
    <xf numFmtId="0" fontId="233" fillId="0" borderId="45" xfId="0" applyFont="1" applyBorder="1"/>
    <xf numFmtId="0" fontId="232" fillId="0" borderId="29" xfId="0" applyFont="1" applyBorder="1" applyAlignment="1">
      <alignment horizontal="center" wrapText="1"/>
    </xf>
    <xf numFmtId="358" fontId="215" fillId="0" borderId="0" xfId="12427" applyNumberFormat="1" applyFont="1"/>
    <xf numFmtId="358" fontId="216" fillId="0" borderId="0" xfId="12427" applyNumberFormat="1" applyFont="1"/>
    <xf numFmtId="168" fontId="243" fillId="0" borderId="0" xfId="0" applyNumberFormat="1" applyFont="1" applyAlignment="1">
      <alignment horizontal="right"/>
    </xf>
    <xf numFmtId="358" fontId="215" fillId="0" borderId="0" xfId="0" applyNumberFormat="1" applyFont="1"/>
    <xf numFmtId="0" fontId="241" fillId="72" borderId="173" xfId="0" applyFont="1" applyFill="1" applyBorder="1"/>
    <xf numFmtId="0" fontId="241" fillId="72" borderId="174" xfId="0" applyFont="1" applyFill="1" applyBorder="1" applyAlignment="1">
      <alignment horizontal="center" wrapText="1"/>
    </xf>
    <xf numFmtId="0" fontId="241" fillId="72" borderId="175" xfId="0" applyFont="1" applyFill="1" applyBorder="1" applyAlignment="1">
      <alignment horizontal="center" wrapText="1"/>
    </xf>
    <xf numFmtId="243" fontId="215" fillId="0" borderId="0" xfId="12422" applyNumberFormat="1" applyFont="1"/>
    <xf numFmtId="165" fontId="236" fillId="0" borderId="0" xfId="12422" applyNumberFormat="1" applyFont="1"/>
    <xf numFmtId="0" fontId="217" fillId="0" borderId="125" xfId="0" applyFont="1" applyBorder="1"/>
    <xf numFmtId="0" fontId="217" fillId="0" borderId="127" xfId="0" applyFont="1" applyBorder="1"/>
    <xf numFmtId="0" fontId="215" fillId="0" borderId="127" xfId="0" applyFont="1" applyBorder="1"/>
    <xf numFmtId="8" fontId="228" fillId="0" borderId="13" xfId="0" applyNumberFormat="1" applyFont="1" applyBorder="1"/>
    <xf numFmtId="8" fontId="215" fillId="0" borderId="13" xfId="0" applyNumberFormat="1" applyFont="1" applyBorder="1"/>
    <xf numFmtId="0" fontId="215" fillId="0" borderId="122" xfId="0" applyFont="1" applyBorder="1"/>
    <xf numFmtId="8" fontId="215" fillId="0" borderId="124" xfId="0" applyNumberFormat="1" applyFont="1" applyBorder="1"/>
    <xf numFmtId="0" fontId="227" fillId="72" borderId="34" xfId="0" applyFont="1" applyFill="1" applyBorder="1" applyAlignment="1">
      <alignment horizontal="left"/>
    </xf>
    <xf numFmtId="0" fontId="227" fillId="72" borderId="35" xfId="0" applyFont="1" applyFill="1" applyBorder="1" applyAlignment="1">
      <alignment horizontal="center"/>
    </xf>
    <xf numFmtId="0" fontId="227" fillId="72" borderId="35" xfId="0" applyFont="1" applyFill="1" applyBorder="1" applyAlignment="1">
      <alignment horizontal="right"/>
    </xf>
    <xf numFmtId="0" fontId="227" fillId="72" borderId="42" xfId="0" applyFont="1" applyFill="1" applyBorder="1" applyAlignment="1">
      <alignment horizontal="right"/>
    </xf>
    <xf numFmtId="167" fontId="222" fillId="0" borderId="98" xfId="12427" applyNumberFormat="1" applyFont="1" applyBorder="1"/>
    <xf numFmtId="169" fontId="233" fillId="0" borderId="0" xfId="0" applyNumberFormat="1" applyFont="1" applyAlignment="1">
      <alignment horizontal="right"/>
    </xf>
    <xf numFmtId="8" fontId="215" fillId="0" borderId="0" xfId="0" applyNumberFormat="1" applyFont="1" applyAlignment="1">
      <alignment horizontal="right"/>
    </xf>
    <xf numFmtId="0" fontId="215" fillId="29" borderId="0" xfId="0" applyFont="1" applyFill="1" applyAlignment="1">
      <alignment horizontal="right"/>
    </xf>
    <xf numFmtId="169" fontId="215" fillId="0" borderId="45" xfId="0" applyNumberFormat="1" applyFont="1" applyBorder="1" applyAlignment="1">
      <alignment horizontal="right"/>
    </xf>
    <xf numFmtId="169" fontId="216" fillId="0" borderId="0" xfId="0" applyNumberFormat="1" applyFont="1" applyAlignment="1">
      <alignment horizontal="right"/>
    </xf>
    <xf numFmtId="0" fontId="233" fillId="0" borderId="0" xfId="0" applyFont="1" applyAlignment="1">
      <alignment horizontal="center"/>
    </xf>
    <xf numFmtId="10" fontId="222" fillId="0" borderId="0" xfId="0" applyNumberFormat="1" applyFont="1"/>
    <xf numFmtId="0" fontId="227" fillId="72" borderId="34" xfId="0" applyFont="1" applyFill="1" applyBorder="1" applyAlignment="1">
      <alignment horizontal="centerContinuous"/>
    </xf>
    <xf numFmtId="0" fontId="227" fillId="72" borderId="35" xfId="0" applyFont="1" applyFill="1" applyBorder="1" applyAlignment="1">
      <alignment horizontal="centerContinuous"/>
    </xf>
    <xf numFmtId="0" fontId="227" fillId="72" borderId="42" xfId="0" applyFont="1" applyFill="1" applyBorder="1" applyAlignment="1">
      <alignment horizontal="centerContinuous"/>
    </xf>
    <xf numFmtId="0" fontId="216" fillId="0" borderId="34" xfId="0" applyFont="1" applyBorder="1" applyAlignment="1">
      <alignment horizontal="centerContinuous"/>
    </xf>
    <xf numFmtId="0" fontId="216" fillId="0" borderId="35" xfId="0" applyFont="1" applyBorder="1" applyAlignment="1">
      <alignment horizontal="centerContinuous"/>
    </xf>
    <xf numFmtId="0" fontId="216" fillId="0" borderId="42" xfId="0" applyFont="1" applyBorder="1" applyAlignment="1">
      <alignment horizontal="centerContinuous"/>
    </xf>
    <xf numFmtId="1" fontId="232" fillId="0" borderId="10" xfId="0" applyNumberFormat="1" applyFont="1" applyBorder="1" applyAlignment="1">
      <alignment horizontal="right"/>
    </xf>
    <xf numFmtId="0" fontId="232" fillId="0" borderId="45" xfId="0" applyFont="1" applyBorder="1" applyAlignment="1">
      <alignment horizontal="right"/>
    </xf>
    <xf numFmtId="0" fontId="232" fillId="0" borderId="11" xfId="0" applyFont="1" applyBorder="1" applyAlignment="1">
      <alignment horizontal="right"/>
    </xf>
    <xf numFmtId="169" fontId="222" fillId="75" borderId="0" xfId="0" applyNumberFormat="1" applyFont="1" applyFill="1"/>
    <xf numFmtId="169" fontId="233" fillId="75" borderId="0" xfId="0" applyNumberFormat="1" applyFont="1" applyFill="1"/>
    <xf numFmtId="165" fontId="230" fillId="0" borderId="0" xfId="0" applyNumberFormat="1" applyFont="1" applyAlignment="1">
      <alignment horizontal="right"/>
    </xf>
    <xf numFmtId="165" fontId="244" fillId="0" borderId="0" xfId="0" applyNumberFormat="1" applyFont="1" applyAlignment="1">
      <alignment horizontal="right"/>
    </xf>
    <xf numFmtId="0" fontId="215" fillId="0" borderId="3" xfId="0" applyFont="1" applyBorder="1"/>
    <xf numFmtId="272" fontId="216" fillId="0" borderId="0" xfId="0" applyNumberFormat="1" applyFont="1"/>
    <xf numFmtId="43" fontId="216" fillId="0" borderId="0" xfId="0" applyNumberFormat="1" applyFont="1"/>
    <xf numFmtId="0" fontId="215" fillId="65" borderId="0" xfId="0" quotePrefix="1" applyFont="1" applyFill="1" applyAlignment="1">
      <alignment horizontal="center"/>
    </xf>
    <xf numFmtId="169" fontId="224" fillId="74" borderId="0" xfId="0" applyNumberFormat="1" applyFont="1" applyFill="1"/>
    <xf numFmtId="0" fontId="217" fillId="74" borderId="45" xfId="0" applyFont="1" applyFill="1" applyBorder="1"/>
    <xf numFmtId="168" fontId="224" fillId="0" borderId="0" xfId="0" applyNumberFormat="1" applyFont="1"/>
    <xf numFmtId="0" fontId="216" fillId="0" borderId="35" xfId="0" applyFont="1" applyBorder="1"/>
    <xf numFmtId="0" fontId="215" fillId="0" borderId="35" xfId="0" applyFont="1" applyBorder="1"/>
    <xf numFmtId="169" fontId="216" fillId="0" borderId="35" xfId="0" applyNumberFormat="1" applyFont="1" applyBorder="1"/>
    <xf numFmtId="0" fontId="216" fillId="71" borderId="53" xfId="0" applyFont="1" applyFill="1" applyBorder="1"/>
    <xf numFmtId="0" fontId="215" fillId="71" borderId="54" xfId="0" applyFont="1" applyFill="1" applyBorder="1"/>
    <xf numFmtId="0" fontId="215" fillId="71" borderId="55" xfId="0" applyFont="1" applyFill="1" applyBorder="1"/>
    <xf numFmtId="165" fontId="245" fillId="0" borderId="0" xfId="0" applyNumberFormat="1" applyFont="1"/>
    <xf numFmtId="0" fontId="216" fillId="0" borderId="0" xfId="0" applyFont="1" applyAlignment="1">
      <alignment horizontal="centerContinuous"/>
    </xf>
    <xf numFmtId="0" fontId="215" fillId="71" borderId="12" xfId="0" applyFont="1" applyFill="1" applyBorder="1" applyAlignment="1">
      <alignment horizontal="left" indent="1"/>
    </xf>
    <xf numFmtId="0" fontId="215" fillId="71" borderId="0" xfId="0" applyFont="1" applyFill="1"/>
    <xf numFmtId="169" fontId="215" fillId="71" borderId="13" xfId="0" applyNumberFormat="1" applyFont="1" applyFill="1" applyBorder="1"/>
    <xf numFmtId="169" fontId="245" fillId="0" borderId="0" xfId="0" applyNumberFormat="1" applyFont="1"/>
    <xf numFmtId="165" fontId="216" fillId="71" borderId="34" xfId="0" applyNumberFormat="1" applyFont="1" applyFill="1" applyBorder="1" applyAlignment="1">
      <alignment horizontal="center"/>
    </xf>
    <xf numFmtId="165" fontId="216" fillId="71" borderId="35" xfId="0" applyNumberFormat="1" applyFont="1" applyFill="1" applyBorder="1" applyAlignment="1">
      <alignment horizontal="center"/>
    </xf>
    <xf numFmtId="165" fontId="237" fillId="71" borderId="35" xfId="0" applyNumberFormat="1" applyFont="1" applyFill="1" applyBorder="1" applyAlignment="1">
      <alignment horizontal="center"/>
    </xf>
    <xf numFmtId="165" fontId="216" fillId="71" borderId="42" xfId="0" applyNumberFormat="1" applyFont="1" applyFill="1" applyBorder="1" applyAlignment="1">
      <alignment horizontal="center"/>
    </xf>
    <xf numFmtId="165" fontId="224" fillId="71" borderId="13" xfId="0" applyNumberFormat="1" applyFont="1" applyFill="1" applyBorder="1"/>
    <xf numFmtId="0" fontId="243" fillId="0" borderId="0" xfId="0" applyFont="1" applyAlignment="1">
      <alignment horizontal="center"/>
    </xf>
    <xf numFmtId="165" fontId="216" fillId="71" borderId="31" xfId="0" applyNumberFormat="1" applyFont="1" applyFill="1" applyBorder="1"/>
    <xf numFmtId="169" fontId="215" fillId="0" borderId="49" xfId="0" applyNumberFormat="1" applyFont="1" applyBorder="1"/>
    <xf numFmtId="169" fontId="215" fillId="0" borderId="33" xfId="0" applyNumberFormat="1" applyFont="1" applyBorder="1"/>
    <xf numFmtId="169" fontId="215" fillId="0" borderId="50" xfId="0" applyNumberFormat="1" applyFont="1" applyBorder="1"/>
    <xf numFmtId="165" fontId="228" fillId="71" borderId="13" xfId="0" applyNumberFormat="1" applyFont="1" applyFill="1" applyBorder="1"/>
    <xf numFmtId="165" fontId="216" fillId="71" borderId="51" xfId="0" applyNumberFormat="1" applyFont="1" applyFill="1" applyBorder="1"/>
    <xf numFmtId="169" fontId="215" fillId="0" borderId="12" xfId="0" applyNumberFormat="1" applyFont="1" applyBorder="1"/>
    <xf numFmtId="169" fontId="215" fillId="0" borderId="13" xfId="0" applyNumberFormat="1" applyFont="1" applyBorder="1"/>
    <xf numFmtId="234" fontId="215" fillId="71" borderId="13" xfId="0" applyNumberFormat="1" applyFont="1" applyFill="1" applyBorder="1"/>
    <xf numFmtId="165" fontId="237" fillId="71" borderId="51" xfId="0" applyNumberFormat="1" applyFont="1" applyFill="1" applyBorder="1"/>
    <xf numFmtId="0" fontId="215" fillId="71" borderId="0" xfId="0" quotePrefix="1" applyFont="1" applyFill="1" applyAlignment="1">
      <alignment horizontal="center"/>
    </xf>
    <xf numFmtId="169" fontId="215" fillId="0" borderId="10" xfId="0" applyNumberFormat="1" applyFont="1" applyBorder="1"/>
    <xf numFmtId="169" fontId="215" fillId="0" borderId="45" xfId="0" applyNumberFormat="1" applyFont="1" applyBorder="1"/>
    <xf numFmtId="169" fontId="215" fillId="0" borderId="11" xfId="0" applyNumberFormat="1" applyFont="1" applyBorder="1"/>
    <xf numFmtId="168" fontId="215" fillId="71" borderId="13" xfId="0" applyNumberFormat="1" applyFont="1" applyFill="1" applyBorder="1"/>
    <xf numFmtId="165" fontId="216" fillId="71" borderId="32" xfId="0" applyNumberFormat="1" applyFont="1" applyFill="1" applyBorder="1"/>
    <xf numFmtId="0" fontId="216" fillId="71" borderId="10" xfId="0" applyFont="1" applyFill="1" applyBorder="1" applyAlignment="1">
      <alignment horizontal="left" indent="1"/>
    </xf>
    <xf numFmtId="0" fontId="216" fillId="71" borderId="45" xfId="0" applyFont="1" applyFill="1" applyBorder="1"/>
    <xf numFmtId="169" fontId="216" fillId="71" borderId="11" xfId="0" applyNumberFormat="1" applyFont="1" applyFill="1" applyBorder="1"/>
    <xf numFmtId="0" fontId="216" fillId="71" borderId="49" xfId="0" applyFont="1" applyFill="1" applyBorder="1"/>
    <xf numFmtId="0" fontId="216" fillId="71" borderId="33" xfId="0" applyFont="1" applyFill="1" applyBorder="1"/>
    <xf numFmtId="0" fontId="221" fillId="71" borderId="33" xfId="0" applyFont="1" applyFill="1" applyBorder="1" applyAlignment="1">
      <alignment horizontal="center"/>
    </xf>
    <xf numFmtId="0" fontId="216" fillId="71" borderId="33" xfId="0" applyFont="1" applyFill="1" applyBorder="1" applyAlignment="1">
      <alignment horizontal="center"/>
    </xf>
    <xf numFmtId="0" fontId="221" fillId="71" borderId="50" xfId="0" applyFont="1" applyFill="1" applyBorder="1" applyAlignment="1">
      <alignment horizontal="center"/>
    </xf>
    <xf numFmtId="0" fontId="232" fillId="71" borderId="53" xfId="0" applyFont="1" applyFill="1" applyBorder="1" applyAlignment="1">
      <alignment horizontal="left"/>
    </xf>
    <xf numFmtId="0" fontId="215" fillId="71" borderId="102" xfId="0" applyFont="1" applyFill="1" applyBorder="1"/>
    <xf numFmtId="169" fontId="216" fillId="71" borderId="45" xfId="0" applyNumberFormat="1" applyFont="1" applyFill="1" applyBorder="1"/>
    <xf numFmtId="165" fontId="215" fillId="71" borderId="13" xfId="0" applyNumberFormat="1" applyFont="1" applyFill="1" applyBorder="1"/>
    <xf numFmtId="0" fontId="215" fillId="71" borderId="12" xfId="0" applyFont="1" applyFill="1" applyBorder="1"/>
    <xf numFmtId="0" fontId="215" fillId="71" borderId="13" xfId="0" applyFont="1" applyFill="1" applyBorder="1"/>
    <xf numFmtId="0" fontId="216" fillId="71" borderId="10" xfId="0" applyFont="1" applyFill="1" applyBorder="1" applyAlignment="1">
      <alignment horizontal="left"/>
    </xf>
    <xf numFmtId="0" fontId="215" fillId="71" borderId="3" xfId="0" applyFont="1" applyFill="1" applyBorder="1"/>
    <xf numFmtId="169" fontId="216" fillId="71" borderId="69" xfId="0" applyNumberFormat="1" applyFont="1" applyFill="1" applyBorder="1"/>
    <xf numFmtId="165" fontId="216" fillId="71" borderId="42" xfId="0" applyNumberFormat="1" applyFont="1" applyFill="1" applyBorder="1"/>
    <xf numFmtId="272" fontId="215" fillId="0" borderId="0" xfId="0" applyNumberFormat="1" applyFont="1"/>
    <xf numFmtId="0" fontId="233" fillId="0" borderId="0" xfId="0" quotePrefix="1" applyFont="1" applyAlignment="1">
      <alignment horizontal="right" vertical="top"/>
    </xf>
    <xf numFmtId="0" fontId="222" fillId="0" borderId="0" xfId="0" applyFont="1" applyAlignment="1">
      <alignment horizontal="center"/>
    </xf>
    <xf numFmtId="43" fontId="216" fillId="0" borderId="45" xfId="12427" applyFont="1" applyBorder="1" applyAlignment="1">
      <alignment horizontal="center"/>
    </xf>
    <xf numFmtId="0" fontId="216" fillId="0" borderId="45" xfId="0" applyFont="1" applyBorder="1" applyAlignment="1">
      <alignment horizontal="center"/>
    </xf>
    <xf numFmtId="1" fontId="216" fillId="0" borderId="45" xfId="0" applyNumberFormat="1" applyFont="1" applyBorder="1"/>
    <xf numFmtId="167" fontId="226" fillId="0" borderId="0" xfId="12427" applyNumberFormat="1" applyFont="1" applyAlignment="1">
      <alignment horizontal="center"/>
    </xf>
    <xf numFmtId="1" fontId="215" fillId="0" borderId="0" xfId="0" applyNumberFormat="1" applyFont="1"/>
    <xf numFmtId="41" fontId="215" fillId="0" borderId="0" xfId="0" applyNumberFormat="1" applyFont="1"/>
    <xf numFmtId="167" fontId="215" fillId="0" borderId="0" xfId="12427" applyNumberFormat="1" applyFont="1" applyAlignment="1">
      <alignment horizontal="center"/>
    </xf>
    <xf numFmtId="167" fontId="216" fillId="0" borderId="0" xfId="12427" applyNumberFormat="1" applyFont="1"/>
    <xf numFmtId="0" fontId="215" fillId="0" borderId="158" xfId="0" applyFont="1" applyBorder="1"/>
    <xf numFmtId="167" fontId="216" fillId="0" borderId="158" xfId="12427" applyNumberFormat="1" applyFont="1" applyBorder="1"/>
    <xf numFmtId="0" fontId="233" fillId="0" borderId="100" xfId="0" applyFont="1" applyBorder="1" applyAlignment="1">
      <alignment horizontal="right"/>
    </xf>
    <xf numFmtId="0" fontId="215" fillId="0" borderId="101" xfId="0" applyFont="1" applyBorder="1"/>
    <xf numFmtId="167" fontId="215" fillId="0" borderId="101" xfId="12427" applyNumberFormat="1" applyFont="1" applyBorder="1"/>
    <xf numFmtId="0" fontId="215" fillId="0" borderId="102" xfId="0" applyFont="1" applyBorder="1"/>
    <xf numFmtId="0" fontId="233" fillId="0" borderId="64" xfId="0" applyFont="1" applyBorder="1" applyAlignment="1">
      <alignment horizontal="right"/>
    </xf>
    <xf numFmtId="167" fontId="215" fillId="0" borderId="0" xfId="12427" applyNumberFormat="1" applyFont="1"/>
    <xf numFmtId="0" fontId="233" fillId="0" borderId="10" xfId="0" applyFont="1" applyBorder="1" applyAlignment="1">
      <alignment horizontal="right"/>
    </xf>
    <xf numFmtId="272" fontId="215" fillId="0" borderId="45" xfId="0" applyNumberFormat="1" applyFont="1" applyBorder="1"/>
    <xf numFmtId="0" fontId="215" fillId="0" borderId="98" xfId="0" applyFont="1" applyBorder="1"/>
    <xf numFmtId="9" fontId="215" fillId="0" borderId="0" xfId="12422" applyFont="1"/>
    <xf numFmtId="0" fontId="246" fillId="0" borderId="141" xfId="20391" applyFont="1" applyBorder="1"/>
    <xf numFmtId="0" fontId="233" fillId="0" borderId="0" xfId="20391" applyFont="1"/>
    <xf numFmtId="0" fontId="232" fillId="0" borderId="142" xfId="20391" applyFont="1" applyBorder="1" applyAlignment="1">
      <alignment horizontal="right"/>
    </xf>
    <xf numFmtId="0" fontId="232" fillId="0" borderId="143" xfId="20391" applyFont="1" applyBorder="1" applyAlignment="1">
      <alignment horizontal="right"/>
    </xf>
    <xf numFmtId="0" fontId="232" fillId="0" borderId="144" xfId="20391" applyFont="1" applyBorder="1" applyAlignment="1">
      <alignment horizontal="right"/>
    </xf>
    <xf numFmtId="0" fontId="233" fillId="0" borderId="145" xfId="20391" applyFont="1" applyBorder="1"/>
    <xf numFmtId="165" fontId="233" fillId="0" borderId="146" xfId="20391" applyNumberFormat="1" applyFont="1" applyBorder="1"/>
    <xf numFmtId="165" fontId="233" fillId="0" borderId="147" xfId="20391" applyNumberFormat="1" applyFont="1" applyBorder="1"/>
    <xf numFmtId="0" fontId="233" fillId="0" borderId="147" xfId="20391" applyFont="1" applyBorder="1"/>
    <xf numFmtId="0" fontId="233" fillId="0" borderId="148" xfId="20391" applyFont="1" applyBorder="1"/>
    <xf numFmtId="0" fontId="233" fillId="0" borderId="51" xfId="20391" applyFont="1" applyBorder="1"/>
    <xf numFmtId="165" fontId="233" fillId="0" borderId="64" xfId="20391" applyNumberFormat="1" applyFont="1" applyBorder="1"/>
    <xf numFmtId="165" fontId="233" fillId="0" borderId="0" xfId="20391" applyNumberFormat="1" applyFont="1"/>
    <xf numFmtId="165" fontId="233" fillId="0" borderId="13" xfId="20391" applyNumberFormat="1" applyFont="1" applyBorder="1"/>
    <xf numFmtId="0" fontId="233" fillId="0" borderId="13" xfId="20391" applyFont="1" applyBorder="1"/>
    <xf numFmtId="0" fontId="233" fillId="0" borderId="139" xfId="20391" applyFont="1" applyBorder="1"/>
    <xf numFmtId="165" fontId="233" fillId="0" borderId="138" xfId="20391" applyNumberFormat="1" applyFont="1" applyBorder="1"/>
    <xf numFmtId="165" fontId="233" fillId="0" borderId="45" xfId="20391" applyNumberFormat="1" applyFont="1" applyBorder="1"/>
    <xf numFmtId="0" fontId="233" fillId="0" borderId="45" xfId="20392" applyFont="1" applyBorder="1"/>
    <xf numFmtId="0" fontId="233" fillId="0" borderId="45" xfId="20391" applyFont="1" applyBorder="1"/>
    <xf numFmtId="0" fontId="233" fillId="0" borderId="98" xfId="20391" applyFont="1" applyBorder="1"/>
    <xf numFmtId="0" fontId="247" fillId="0" borderId="0" xfId="12421" applyFont="1"/>
    <xf numFmtId="0" fontId="247" fillId="0" borderId="0" xfId="12421" applyFont="1" applyAlignment="1">
      <alignment horizontal="center"/>
    </xf>
    <xf numFmtId="43" fontId="218" fillId="68" borderId="57" xfId="11155" applyFont="1" applyFill="1" applyBorder="1"/>
    <xf numFmtId="43" fontId="218" fillId="68" borderId="57" xfId="11155" applyFont="1" applyFill="1" applyBorder="1" applyAlignment="1">
      <alignment horizontal="right"/>
    </xf>
    <xf numFmtId="0" fontId="233" fillId="0" borderId="0" xfId="20392" applyFont="1"/>
    <xf numFmtId="0" fontId="227" fillId="72" borderId="142" xfId="0" applyFont="1" applyFill="1" applyBorder="1" applyAlignment="1">
      <alignment horizontal="centerContinuous"/>
    </xf>
    <xf numFmtId="0" fontId="227" fillId="72" borderId="143" xfId="0" applyFont="1" applyFill="1" applyBorder="1" applyAlignment="1">
      <alignment horizontal="centerContinuous"/>
    </xf>
    <xf numFmtId="0" fontId="227" fillId="72" borderId="144" xfId="0" applyFont="1" applyFill="1" applyBorder="1" applyAlignment="1">
      <alignment horizontal="centerContinuous"/>
    </xf>
    <xf numFmtId="0" fontId="216" fillId="0" borderId="146" xfId="0" applyFont="1" applyBorder="1" applyAlignment="1">
      <alignment horizontal="centerContinuous"/>
    </xf>
    <xf numFmtId="0" fontId="216" fillId="0" borderId="147" xfId="0" applyFont="1" applyBorder="1" applyAlignment="1">
      <alignment horizontal="centerContinuous"/>
    </xf>
    <xf numFmtId="0" fontId="216" fillId="0" borderId="148" xfId="0" applyFont="1" applyBorder="1" applyAlignment="1">
      <alignment horizontal="centerContinuous"/>
    </xf>
    <xf numFmtId="1" fontId="232" fillId="0" borderId="142" xfId="0" applyNumberFormat="1" applyFont="1" applyBorder="1" applyAlignment="1">
      <alignment horizontal="right"/>
    </xf>
    <xf numFmtId="0" fontId="232" fillId="0" borderId="143" xfId="0" applyFont="1" applyBorder="1" applyAlignment="1">
      <alignment horizontal="right"/>
    </xf>
    <xf numFmtId="0" fontId="232" fillId="0" borderId="144" xfId="0" applyFont="1" applyBorder="1" applyAlignment="1">
      <alignment horizontal="right"/>
    </xf>
    <xf numFmtId="0" fontId="232" fillId="0" borderId="0" xfId="20393" applyFont="1"/>
    <xf numFmtId="0" fontId="248" fillId="0" borderId="0" xfId="20391" applyFont="1"/>
    <xf numFmtId="0" fontId="249" fillId="0" borderId="0" xfId="20391" applyFont="1"/>
    <xf numFmtId="248" fontId="249" fillId="0" borderId="0" xfId="20391" applyNumberFormat="1" applyFont="1" applyAlignment="1">
      <alignment horizontal="right"/>
    </xf>
    <xf numFmtId="43" fontId="249" fillId="0" borderId="0" xfId="20391" applyNumberFormat="1" applyFont="1" applyAlignment="1">
      <alignment horizontal="right"/>
    </xf>
    <xf numFmtId="0" fontId="249" fillId="0" borderId="0" xfId="20391" applyFont="1" applyAlignment="1">
      <alignment horizontal="right"/>
    </xf>
    <xf numFmtId="0" fontId="216" fillId="0" borderId="0" xfId="20391" applyFont="1" applyAlignment="1">
      <alignment horizontal="left"/>
    </xf>
    <xf numFmtId="0" fontId="232" fillId="0" borderId="0" xfId="20391" applyFont="1" applyAlignment="1">
      <alignment horizontal="left"/>
    </xf>
    <xf numFmtId="0" fontId="250" fillId="0" borderId="149" xfId="20391" applyFont="1" applyBorder="1" applyAlignment="1">
      <alignment horizontal="right"/>
    </xf>
    <xf numFmtId="0" fontId="232" fillId="0" borderId="0" xfId="20391" applyFont="1"/>
    <xf numFmtId="1" fontId="232" fillId="0" borderId="146" xfId="20392" applyNumberFormat="1" applyFont="1" applyBorder="1" applyAlignment="1">
      <alignment horizontal="right"/>
    </xf>
    <xf numFmtId="1" fontId="232" fillId="0" borderId="147" xfId="20392" applyNumberFormat="1" applyFont="1" applyBorder="1" applyAlignment="1">
      <alignment horizontal="right"/>
    </xf>
    <xf numFmtId="1" fontId="232" fillId="0" borderId="148" xfId="20392" applyNumberFormat="1" applyFont="1" applyBorder="1" applyAlignment="1">
      <alignment horizontal="right"/>
    </xf>
    <xf numFmtId="1" fontId="232" fillId="0" borderId="0" xfId="20392" applyNumberFormat="1" applyFont="1" applyAlignment="1">
      <alignment horizontal="center"/>
    </xf>
    <xf numFmtId="0" fontId="222" fillId="0" borderId="0" xfId="20391" applyFont="1"/>
    <xf numFmtId="165" fontId="250" fillId="93" borderId="145" xfId="20391" applyNumberFormat="1" applyFont="1" applyFill="1" applyBorder="1" applyAlignment="1">
      <alignment horizontal="right"/>
    </xf>
    <xf numFmtId="165" fontId="233" fillId="0" borderId="146" xfId="20391" applyNumberFormat="1" applyFont="1" applyBorder="1" applyAlignment="1">
      <alignment horizontal="right"/>
    </xf>
    <xf numFmtId="165" fontId="233" fillId="0" borderId="147" xfId="20391" applyNumberFormat="1" applyFont="1" applyBorder="1" applyAlignment="1">
      <alignment horizontal="right"/>
    </xf>
    <xf numFmtId="165" fontId="233" fillId="0" borderId="148" xfId="20391" applyNumberFormat="1" applyFont="1" applyBorder="1" applyAlignment="1">
      <alignment horizontal="right"/>
    </xf>
    <xf numFmtId="165" fontId="233" fillId="0" borderId="150" xfId="20391" applyNumberFormat="1" applyFont="1" applyBorder="1" applyAlignment="1">
      <alignment horizontal="right"/>
    </xf>
    <xf numFmtId="165" fontId="233" fillId="0" borderId="0" xfId="20391" applyNumberFormat="1" applyFont="1" applyAlignment="1">
      <alignment horizontal="center"/>
    </xf>
    <xf numFmtId="0" fontId="251" fillId="0" borderId="0" xfId="20392" applyFont="1" applyAlignment="1">
      <alignment vertical="center"/>
    </xf>
    <xf numFmtId="165" fontId="250" fillId="93" borderId="139" xfId="20391" applyNumberFormat="1" applyFont="1" applyFill="1" applyBorder="1" applyAlignment="1">
      <alignment horizontal="right"/>
    </xf>
    <xf numFmtId="165" fontId="233" fillId="0" borderId="138" xfId="20391" applyNumberFormat="1" applyFont="1" applyBorder="1" applyAlignment="1">
      <alignment horizontal="right"/>
    </xf>
    <xf numFmtId="165" fontId="233" fillId="0" borderId="45" xfId="20391" applyNumberFormat="1" applyFont="1" applyBorder="1" applyAlignment="1">
      <alignment horizontal="right"/>
    </xf>
    <xf numFmtId="165" fontId="233" fillId="0" borderId="98" xfId="20391" applyNumberFormat="1" applyFont="1" applyBorder="1" applyAlignment="1">
      <alignment horizontal="right"/>
    </xf>
    <xf numFmtId="0" fontId="252" fillId="0" borderId="0" xfId="20391" applyFont="1" applyAlignment="1">
      <alignment horizontal="left"/>
    </xf>
    <xf numFmtId="0" fontId="248" fillId="0" borderId="0" xfId="20391" applyFont="1" applyAlignment="1">
      <alignment horizontal="left"/>
    </xf>
    <xf numFmtId="0" fontId="248" fillId="0" borderId="0" xfId="20391" applyFont="1" applyAlignment="1">
      <alignment horizontal="right"/>
    </xf>
    <xf numFmtId="248" fontId="232" fillId="0" borderId="0" xfId="20394" applyNumberFormat="1" applyFont="1" applyAlignment="1">
      <alignment horizontal="right"/>
    </xf>
    <xf numFmtId="248" fontId="232" fillId="0" borderId="0" xfId="20394" applyNumberFormat="1" applyFont="1"/>
    <xf numFmtId="0" fontId="216" fillId="0" borderId="0" xfId="20391" applyFont="1" applyAlignment="1">
      <alignment horizontal="left" indent="1"/>
    </xf>
    <xf numFmtId="10" fontId="231" fillId="0" borderId="0" xfId="20391" applyNumberFormat="1" applyFont="1" applyAlignment="1">
      <alignment horizontal="right"/>
    </xf>
    <xf numFmtId="165" fontId="232" fillId="0" borderId="142" xfId="20391" applyNumberFormat="1" applyFont="1" applyBorder="1" applyAlignment="1">
      <alignment horizontal="right"/>
    </xf>
    <xf numFmtId="165" fontId="232" fillId="0" borderId="143" xfId="20391" applyNumberFormat="1" applyFont="1" applyBorder="1" applyAlignment="1">
      <alignment horizontal="right"/>
    </xf>
    <xf numFmtId="165" fontId="232" fillId="0" borderId="144" xfId="20391" applyNumberFormat="1" applyFont="1" applyBorder="1" applyAlignment="1">
      <alignment horizontal="right"/>
    </xf>
    <xf numFmtId="165" fontId="232" fillId="0" borderId="0" xfId="20391" applyNumberFormat="1" applyFont="1" applyAlignment="1">
      <alignment horizontal="center"/>
    </xf>
    <xf numFmtId="43" fontId="236" fillId="0" borderId="0" xfId="20394" applyFont="1" applyAlignment="1">
      <alignment horizontal="right"/>
    </xf>
    <xf numFmtId="248" fontId="248" fillId="0" borderId="0" xfId="20394" applyNumberFormat="1" applyFont="1" applyAlignment="1">
      <alignment horizontal="right"/>
    </xf>
    <xf numFmtId="248" fontId="248" fillId="0" borderId="0" xfId="20394" applyNumberFormat="1" applyFont="1"/>
    <xf numFmtId="0" fontId="232" fillId="0" borderId="0" xfId="20391" applyFont="1" applyAlignment="1">
      <alignment horizontal="left" indent="1"/>
    </xf>
    <xf numFmtId="0" fontId="232" fillId="0" borderId="146" xfId="20392" applyFont="1" applyBorder="1" applyAlignment="1">
      <alignment horizontal="right"/>
    </xf>
    <xf numFmtId="0" fontId="232" fillId="0" borderId="147" xfId="20392" applyFont="1" applyBorder="1" applyAlignment="1">
      <alignment horizontal="right"/>
    </xf>
    <xf numFmtId="0" fontId="232" fillId="0" borderId="148" xfId="20392" applyFont="1" applyBorder="1" applyAlignment="1">
      <alignment horizontal="right"/>
    </xf>
    <xf numFmtId="0" fontId="233" fillId="0" borderId="0" xfId="20392" applyFont="1" applyAlignment="1">
      <alignment horizontal="center"/>
    </xf>
    <xf numFmtId="192" fontId="222" fillId="0" borderId="0" xfId="20392" applyNumberFormat="1" applyFont="1" applyAlignment="1" applyProtection="1">
      <alignment horizontal="right"/>
      <protection locked="0"/>
    </xf>
    <xf numFmtId="0" fontId="233" fillId="0" borderId="64" xfId="20392" applyFont="1" applyBorder="1" applyAlignment="1">
      <alignment horizontal="right"/>
    </xf>
    <xf numFmtId="0" fontId="233" fillId="0" borderId="0" xfId="20392" applyFont="1" applyAlignment="1">
      <alignment horizontal="right"/>
    </xf>
    <xf numFmtId="0" fontId="233" fillId="0" borderId="98" xfId="20392" applyFont="1" applyBorder="1" applyAlignment="1">
      <alignment horizontal="right"/>
    </xf>
    <xf numFmtId="167" fontId="232" fillId="0" borderId="142" xfId="12427" applyNumberFormat="1" applyFont="1" applyBorder="1" applyAlignment="1">
      <alignment horizontal="right"/>
    </xf>
    <xf numFmtId="167" fontId="232" fillId="0" borderId="143" xfId="12427" applyNumberFormat="1" applyFont="1" applyBorder="1" applyAlignment="1">
      <alignment horizontal="right"/>
    </xf>
    <xf numFmtId="167" fontId="232" fillId="0" borderId="151" xfId="12427" applyNumberFormat="1" applyFont="1" applyBorder="1" applyAlignment="1">
      <alignment horizontal="right"/>
    </xf>
    <xf numFmtId="248" fontId="232" fillId="0" borderId="0" xfId="20394" applyNumberFormat="1" applyFont="1" applyAlignment="1">
      <alignment horizontal="center"/>
    </xf>
    <xf numFmtId="0" fontId="217" fillId="0" borderId="0" xfId="20391" applyFont="1"/>
    <xf numFmtId="0" fontId="246" fillId="0" borderId="0" xfId="20391" applyFont="1" applyAlignment="1">
      <alignment horizontal="left"/>
    </xf>
    <xf numFmtId="165" fontId="244" fillId="93" borderId="145" xfId="20391" applyNumberFormat="1" applyFont="1" applyFill="1" applyBorder="1" applyAlignment="1">
      <alignment horizontal="right"/>
    </xf>
    <xf numFmtId="165" fontId="244" fillId="93" borderId="51" xfId="20391" applyNumberFormat="1" applyFont="1" applyFill="1" applyBorder="1" applyAlignment="1">
      <alignment horizontal="right"/>
    </xf>
    <xf numFmtId="165" fontId="233" fillId="0" borderId="64" xfId="20391" applyNumberFormat="1" applyFont="1" applyBorder="1" applyAlignment="1">
      <alignment horizontal="right"/>
    </xf>
    <xf numFmtId="165" fontId="233" fillId="0" borderId="0" xfId="20391" applyNumberFormat="1" applyFont="1" applyAlignment="1">
      <alignment horizontal="right"/>
    </xf>
    <xf numFmtId="165" fontId="233" fillId="0" borderId="13" xfId="20391" applyNumberFormat="1" applyFont="1" applyBorder="1" applyAlignment="1">
      <alignment horizontal="right"/>
    </xf>
    <xf numFmtId="165" fontId="244" fillId="93" borderId="139" xfId="20391" applyNumberFormat="1" applyFont="1" applyFill="1" applyBorder="1" applyAlignment="1">
      <alignment horizontal="right"/>
    </xf>
    <xf numFmtId="43" fontId="236" fillId="0" borderId="0" xfId="20394" applyFont="1"/>
    <xf numFmtId="10" fontId="231" fillId="0" borderId="0" xfId="20391" applyNumberFormat="1" applyFont="1"/>
    <xf numFmtId="0" fontId="233" fillId="0" borderId="0" xfId="20391" applyFont="1" applyAlignment="1">
      <alignment horizontal="left" indent="1"/>
    </xf>
    <xf numFmtId="0" fontId="233" fillId="0" borderId="0" xfId="20391" applyFont="1" applyAlignment="1">
      <alignment horizontal="right"/>
    </xf>
    <xf numFmtId="44" fontId="249" fillId="0" borderId="0" xfId="20391" applyNumberFormat="1" applyFont="1"/>
    <xf numFmtId="1" fontId="232" fillId="0" borderId="142" xfId="20392" applyNumberFormat="1" applyFont="1" applyBorder="1" applyAlignment="1">
      <alignment horizontal="right"/>
    </xf>
    <xf numFmtId="1" fontId="232" fillId="0" borderId="143" xfId="20392" applyNumberFormat="1" applyFont="1" applyBorder="1" applyAlignment="1">
      <alignment horizontal="right"/>
    </xf>
    <xf numFmtId="1" fontId="232" fillId="0" borderId="144" xfId="20392" applyNumberFormat="1" applyFont="1" applyBorder="1" applyAlignment="1">
      <alignment horizontal="right"/>
    </xf>
    <xf numFmtId="1" fontId="249" fillId="0" borderId="0" xfId="20391" applyNumberFormat="1" applyFont="1" applyAlignment="1">
      <alignment horizontal="left"/>
    </xf>
    <xf numFmtId="1" fontId="233" fillId="0" borderId="0" xfId="20391" applyNumberFormat="1" applyFont="1" applyAlignment="1">
      <alignment horizontal="left"/>
    </xf>
    <xf numFmtId="272" fontId="249" fillId="0" borderId="0" xfId="20391" applyNumberFormat="1" applyFont="1"/>
    <xf numFmtId="167" fontId="233" fillId="0" borderId="0" xfId="12427" applyNumberFormat="1" applyFont="1" applyAlignment="1">
      <alignment horizontal="right"/>
    </xf>
    <xf numFmtId="248" fontId="233" fillId="0" borderId="0" xfId="20394" applyNumberFormat="1" applyFont="1"/>
    <xf numFmtId="167" fontId="228" fillId="0" borderId="0" xfId="20395" applyNumberFormat="1" applyFont="1"/>
    <xf numFmtId="248" fontId="249" fillId="0" borderId="0" xfId="20391" applyNumberFormat="1" applyFont="1"/>
    <xf numFmtId="166" fontId="253" fillId="0" borderId="0" xfId="20396" applyNumberFormat="1" applyFont="1"/>
    <xf numFmtId="0" fontId="249" fillId="0" borderId="0" xfId="20391" applyFont="1" applyAlignment="1">
      <alignment horizontal="left"/>
    </xf>
    <xf numFmtId="0" fontId="233" fillId="0" borderId="0" xfId="20391" applyFont="1" applyAlignment="1">
      <alignment horizontal="left"/>
    </xf>
    <xf numFmtId="41" fontId="233" fillId="0" borderId="0" xfId="20391" applyNumberFormat="1" applyFont="1"/>
    <xf numFmtId="167" fontId="233" fillId="0" borderId="142" xfId="12427" applyNumberFormat="1" applyFont="1" applyBorder="1" applyAlignment="1">
      <alignment horizontal="right"/>
    </xf>
    <xf numFmtId="167" fontId="233" fillId="0" borderId="143" xfId="12427" applyNumberFormat="1" applyFont="1" applyBorder="1" applyAlignment="1">
      <alignment horizontal="right"/>
    </xf>
    <xf numFmtId="167" fontId="233" fillId="0" borderId="144" xfId="12427" applyNumberFormat="1" applyFont="1" applyBorder="1" applyAlignment="1">
      <alignment horizontal="right"/>
    </xf>
    <xf numFmtId="42" fontId="233" fillId="0" borderId="0" xfId="20394" applyNumberFormat="1" applyFont="1"/>
    <xf numFmtId="44" fontId="233" fillId="0" borderId="0" xfId="20391" applyNumberFormat="1" applyFont="1" applyAlignment="1">
      <alignment horizontal="right"/>
    </xf>
    <xf numFmtId="220" fontId="233" fillId="0" borderId="0" xfId="20391" applyNumberFormat="1" applyFont="1" applyAlignment="1">
      <alignment horizontal="right"/>
    </xf>
    <xf numFmtId="167" fontId="232" fillId="0" borderId="155" xfId="12427" applyNumberFormat="1" applyFont="1" applyBorder="1" applyAlignment="1">
      <alignment horizontal="right"/>
    </xf>
    <xf numFmtId="167" fontId="232" fillId="0" borderId="156" xfId="12427" applyNumberFormat="1" applyFont="1" applyBorder="1" applyAlignment="1">
      <alignment horizontal="right"/>
    </xf>
    <xf numFmtId="167" fontId="232" fillId="0" borderId="157" xfId="12427" applyNumberFormat="1" applyFont="1" applyBorder="1" applyAlignment="1">
      <alignment horizontal="right"/>
    </xf>
    <xf numFmtId="167" fontId="232" fillId="0" borderId="144" xfId="12427" applyNumberFormat="1" applyFont="1" applyBorder="1" applyAlignment="1">
      <alignment horizontal="right"/>
    </xf>
    <xf numFmtId="42" fontId="232" fillId="0" borderId="0" xfId="20394" applyNumberFormat="1" applyFont="1"/>
    <xf numFmtId="0" fontId="233" fillId="0" borderId="0" xfId="20392" quotePrefix="1" applyFont="1" applyAlignment="1">
      <alignment vertical="top"/>
    </xf>
    <xf numFmtId="0" fontId="233" fillId="0" borderId="0" xfId="20392" applyFont="1" applyAlignment="1">
      <alignment vertical="top"/>
    </xf>
    <xf numFmtId="0" fontId="233" fillId="0" borderId="0" xfId="20392" applyFont="1" applyAlignment="1">
      <alignment vertical="top" wrapText="1"/>
    </xf>
    <xf numFmtId="0" fontId="233" fillId="0" borderId="0" xfId="20391" applyFont="1" applyAlignment="1">
      <alignment horizontal="left" vertical="top" wrapText="1"/>
    </xf>
    <xf numFmtId="0" fontId="233" fillId="0" borderId="0" xfId="20391" quotePrefix="1" applyFont="1" applyAlignment="1">
      <alignment vertical="top"/>
    </xf>
    <xf numFmtId="41" fontId="249" fillId="0" borderId="0" xfId="20391" applyNumberFormat="1" applyFont="1"/>
    <xf numFmtId="0" fontId="215" fillId="74" borderId="0" xfId="0" quotePrefix="1" applyFont="1" applyFill="1" applyAlignment="1">
      <alignment horizontal="left" indent="1"/>
    </xf>
    <xf numFmtId="0" fontId="246" fillId="0" borderId="80" xfId="20391" applyFont="1" applyBorder="1"/>
    <xf numFmtId="0" fontId="215" fillId="0" borderId="0" xfId="20392" applyFont="1"/>
    <xf numFmtId="0" fontId="227" fillId="0" borderId="13" xfId="0" applyFont="1" applyBorder="1" applyAlignment="1">
      <alignment horizontal="centerContinuous"/>
    </xf>
    <xf numFmtId="0" fontId="227" fillId="72" borderId="118" xfId="0" applyFont="1" applyFill="1" applyBorder="1" applyAlignment="1">
      <alignment horizontal="centerContinuous"/>
    </xf>
    <xf numFmtId="0" fontId="227" fillId="72" borderId="82" xfId="0" applyFont="1" applyFill="1" applyBorder="1" applyAlignment="1">
      <alignment horizontal="centerContinuous"/>
    </xf>
    <xf numFmtId="0" fontId="227" fillId="72" borderId="69" xfId="0" applyFont="1" applyFill="1" applyBorder="1" applyAlignment="1">
      <alignment horizontal="centerContinuous"/>
    </xf>
    <xf numFmtId="0" fontId="227" fillId="0" borderId="0" xfId="0" applyFont="1"/>
    <xf numFmtId="1" fontId="232" fillId="0" borderId="174" xfId="0" applyNumberFormat="1" applyFont="1" applyBorder="1" applyAlignment="1">
      <alignment horizontal="right"/>
    </xf>
    <xf numFmtId="1" fontId="232" fillId="0" borderId="82" xfId="0" applyNumberFormat="1" applyFont="1" applyBorder="1" applyAlignment="1">
      <alignment horizontal="right"/>
    </xf>
    <xf numFmtId="164" fontId="232" fillId="0" borderId="69" xfId="0" applyNumberFormat="1" applyFont="1" applyBorder="1" applyAlignment="1">
      <alignment horizontal="right"/>
    </xf>
    <xf numFmtId="164" fontId="232" fillId="0" borderId="80" xfId="0" applyNumberFormat="1" applyFont="1" applyBorder="1" applyAlignment="1">
      <alignment horizontal="right"/>
    </xf>
    <xf numFmtId="272" fontId="232" fillId="0" borderId="0" xfId="0" applyNumberFormat="1" applyFont="1"/>
    <xf numFmtId="0" fontId="215" fillId="65" borderId="0" xfId="0" quotePrefix="1" applyFont="1" applyFill="1" applyAlignment="1">
      <alignment horizontal="left" indent="1"/>
    </xf>
    <xf numFmtId="0" fontId="227" fillId="72" borderId="53" xfId="0" applyFont="1" applyFill="1" applyBorder="1" applyAlignment="1">
      <alignment horizontal="centerContinuous"/>
    </xf>
    <xf numFmtId="0" fontId="227" fillId="72" borderId="102" xfId="0" applyFont="1" applyFill="1" applyBorder="1" applyAlignment="1">
      <alignment horizontal="centerContinuous"/>
    </xf>
    <xf numFmtId="0" fontId="227" fillId="72" borderId="31" xfId="0" applyFont="1" applyFill="1" applyBorder="1" applyAlignment="1">
      <alignment horizontal="centerContinuous"/>
    </xf>
    <xf numFmtId="1" fontId="232" fillId="0" borderId="34" xfId="0" applyNumberFormat="1" applyFont="1" applyBorder="1" applyAlignment="1">
      <alignment horizontal="right"/>
    </xf>
    <xf numFmtId="1" fontId="232" fillId="0" borderId="69" xfId="0" applyNumberFormat="1" applyFont="1" applyBorder="1" applyAlignment="1">
      <alignment horizontal="right"/>
    </xf>
    <xf numFmtId="0" fontId="216" fillId="0" borderId="42" xfId="0" applyFont="1" applyBorder="1"/>
    <xf numFmtId="0" fontId="215" fillId="0" borderId="42" xfId="0" applyFont="1" applyBorder="1"/>
    <xf numFmtId="0" fontId="215" fillId="0" borderId="45" xfId="0" applyFont="1" applyBorder="1" applyAlignment="1">
      <alignment horizontal="left" indent="1"/>
    </xf>
    <xf numFmtId="169" fontId="232" fillId="0" borderId="0" xfId="0" applyNumberFormat="1" applyFont="1"/>
    <xf numFmtId="0" fontId="216" fillId="0" borderId="170" xfId="0" applyFont="1" applyBorder="1"/>
    <xf numFmtId="169" fontId="232" fillId="0" borderId="170" xfId="0" applyNumberFormat="1" applyFont="1" applyBorder="1"/>
    <xf numFmtId="0" fontId="216" fillId="71" borderId="42" xfId="0" applyFont="1" applyFill="1" applyBorder="1"/>
    <xf numFmtId="0" fontId="233" fillId="0" borderId="45" xfId="0" applyFont="1" applyBorder="1" applyAlignment="1">
      <alignment horizontal="left" indent="1"/>
    </xf>
    <xf numFmtId="169" fontId="233" fillId="0" borderId="45" xfId="0" applyNumberFormat="1" applyFont="1" applyBorder="1"/>
    <xf numFmtId="169" fontId="254" fillId="0" borderId="35" xfId="0" applyNumberFormat="1" applyFont="1" applyBorder="1"/>
    <xf numFmtId="169" fontId="254" fillId="0" borderId="42" xfId="0" applyNumberFormat="1" applyFont="1" applyBorder="1"/>
    <xf numFmtId="0" fontId="235" fillId="0" borderId="160" xfId="0" applyFont="1" applyBorder="1"/>
    <xf numFmtId="0" fontId="230" fillId="0" borderId="0" xfId="12421" applyFont="1" applyAlignment="1">
      <alignment horizontal="center"/>
    </xf>
    <xf numFmtId="0" fontId="241" fillId="72" borderId="80" xfId="0" applyFont="1" applyFill="1" applyBorder="1" applyAlignment="1">
      <alignment horizontal="left"/>
    </xf>
    <xf numFmtId="0" fontId="241" fillId="72" borderId="81" xfId="0" applyFont="1" applyFill="1" applyBorder="1" applyAlignment="1">
      <alignment horizontal="right"/>
    </xf>
    <xf numFmtId="0" fontId="241" fillId="72" borderId="82" xfId="0" applyFont="1" applyFill="1" applyBorder="1" applyAlignment="1">
      <alignment horizontal="right"/>
    </xf>
    <xf numFmtId="0" fontId="241" fillId="72" borderId="69" xfId="0" applyFont="1" applyFill="1" applyBorder="1" applyAlignment="1">
      <alignment horizontal="right"/>
    </xf>
    <xf numFmtId="0" fontId="241" fillId="72" borderId="80" xfId="0" applyFont="1" applyFill="1" applyBorder="1" applyAlignment="1">
      <alignment horizontal="centerContinuous"/>
    </xf>
    <xf numFmtId="0" fontId="215" fillId="72" borderId="45" xfId="0" applyFont="1" applyFill="1" applyBorder="1"/>
    <xf numFmtId="164" fontId="229" fillId="0" borderId="45" xfId="0" applyNumberFormat="1" applyFont="1" applyBorder="1" applyAlignment="1">
      <alignment horizontal="center"/>
    </xf>
    <xf numFmtId="165" fontId="228" fillId="0" borderId="0" xfId="12422" applyNumberFormat="1" applyFont="1"/>
    <xf numFmtId="10" fontId="215" fillId="0" borderId="45" xfId="0" applyNumberFormat="1" applyFont="1" applyBorder="1"/>
    <xf numFmtId="10" fontId="216" fillId="0" borderId="35" xfId="0" applyNumberFormat="1" applyFont="1" applyBorder="1"/>
    <xf numFmtId="165" fontId="216" fillId="0" borderId="35" xfId="0" applyNumberFormat="1" applyFont="1" applyBorder="1"/>
    <xf numFmtId="165" fontId="232" fillId="71" borderId="42" xfId="0" applyNumberFormat="1" applyFont="1" applyFill="1" applyBorder="1"/>
    <xf numFmtId="0" fontId="241" fillId="72" borderId="34" xfId="0" applyFont="1" applyFill="1" applyBorder="1"/>
    <xf numFmtId="0" fontId="245" fillId="72" borderId="35" xfId="0" applyFont="1" applyFill="1" applyBorder="1"/>
    <xf numFmtId="0" fontId="241" fillId="72" borderId="42" xfId="0" applyFont="1" applyFill="1" applyBorder="1" applyAlignment="1">
      <alignment horizontal="centerContinuous" wrapText="1"/>
    </xf>
    <xf numFmtId="0" fontId="233" fillId="0" borderId="0" xfId="0" quotePrefix="1" applyFont="1" applyAlignment="1">
      <alignment horizontal="center"/>
    </xf>
    <xf numFmtId="165" fontId="228" fillId="0" borderId="0" xfId="0" applyNumberFormat="1" applyFont="1"/>
    <xf numFmtId="234" fontId="228" fillId="0" borderId="0" xfId="0" applyNumberFormat="1" applyFont="1"/>
    <xf numFmtId="234" fontId="233" fillId="0" borderId="0" xfId="0" applyNumberFormat="1" applyFont="1"/>
    <xf numFmtId="165" fontId="224" fillId="74" borderId="0" xfId="0" applyNumberFormat="1" applyFont="1" applyFill="1"/>
    <xf numFmtId="10" fontId="224" fillId="0" borderId="0" xfId="0" applyNumberFormat="1" applyFont="1"/>
    <xf numFmtId="10" fontId="228" fillId="0" borderId="0" xfId="0" applyNumberFormat="1" applyFont="1"/>
    <xf numFmtId="0" fontId="233" fillId="0" borderId="0" xfId="0" quotePrefix="1" applyFont="1" applyAlignment="1">
      <alignment horizontal="left"/>
    </xf>
    <xf numFmtId="0" fontId="233" fillId="74" borderId="0" xfId="0" quotePrefix="1" applyFont="1" applyFill="1" applyAlignment="1">
      <alignment horizontal="left"/>
    </xf>
    <xf numFmtId="0" fontId="233" fillId="0" borderId="0" xfId="0" quotePrefix="1" applyFont="1" applyAlignment="1">
      <alignment horizontal="left" indent="1"/>
    </xf>
    <xf numFmtId="0" fontId="232" fillId="0" borderId="90" xfId="20379" applyFont="1" applyBorder="1" applyAlignment="1" applyProtection="1">
      <alignment horizontal="left"/>
      <protection locked="0"/>
    </xf>
    <xf numFmtId="0" fontId="232" fillId="0" borderId="91" xfId="20379" applyFont="1" applyBorder="1" applyAlignment="1" applyProtection="1">
      <alignment horizontal="center"/>
      <protection locked="0"/>
    </xf>
    <xf numFmtId="0" fontId="215" fillId="0" borderId="91" xfId="0" applyFont="1" applyBorder="1"/>
    <xf numFmtId="0" fontId="232" fillId="0" borderId="91" xfId="20379" applyFont="1" applyBorder="1" applyAlignment="1" applyProtection="1">
      <alignment horizontal="right"/>
      <protection locked="0"/>
    </xf>
    <xf numFmtId="0" fontId="232" fillId="0" borderId="94" xfId="20379" applyFont="1" applyBorder="1" applyAlignment="1" applyProtection="1">
      <alignment horizontal="right"/>
      <protection locked="0"/>
    </xf>
    <xf numFmtId="0" fontId="233" fillId="0" borderId="64" xfId="20379" applyFont="1" applyBorder="1" applyProtection="1">
      <protection locked="0"/>
    </xf>
    <xf numFmtId="0" fontId="233" fillId="0" borderId="0" xfId="20379" applyFont="1" applyProtection="1">
      <protection locked="0"/>
    </xf>
    <xf numFmtId="369" fontId="233" fillId="0" borderId="0" xfId="11155" applyNumberFormat="1" applyFont="1" applyProtection="1">
      <protection locked="0"/>
    </xf>
    <xf numFmtId="10" fontId="233" fillId="0" borderId="13" xfId="12074" applyNumberFormat="1" applyFont="1" applyBorder="1" applyAlignment="1" applyProtection="1">
      <alignment horizontal="right"/>
      <protection locked="0"/>
    </xf>
    <xf numFmtId="0" fontId="233" fillId="0" borderId="13" xfId="20379" applyFont="1" applyBorder="1" applyAlignment="1" applyProtection="1">
      <alignment horizontal="right"/>
      <protection locked="0"/>
    </xf>
    <xf numFmtId="0" fontId="233" fillId="0" borderId="10" xfId="20379" applyFont="1" applyBorder="1" applyProtection="1">
      <protection locked="0"/>
    </xf>
    <xf numFmtId="0" fontId="233" fillId="0" borderId="45" xfId="20379" applyFont="1" applyBorder="1" applyProtection="1">
      <protection locked="0"/>
    </xf>
    <xf numFmtId="369" fontId="233" fillId="0" borderId="45" xfId="11155" applyNumberFormat="1" applyFont="1" applyBorder="1" applyProtection="1">
      <protection locked="0"/>
    </xf>
    <xf numFmtId="10" fontId="233" fillId="0" borderId="98" xfId="12074" applyNumberFormat="1" applyFont="1" applyBorder="1" applyAlignment="1" applyProtection="1">
      <alignment horizontal="right"/>
      <protection locked="0"/>
    </xf>
    <xf numFmtId="0" fontId="215" fillId="0" borderId="100" xfId="0" applyFont="1" applyBorder="1"/>
    <xf numFmtId="0" fontId="215" fillId="0" borderId="45" xfId="0" applyFont="1" applyBorder="1" applyAlignment="1">
      <alignment wrapText="1"/>
    </xf>
    <xf numFmtId="10" fontId="215" fillId="0" borderId="98" xfId="12422" applyNumberFormat="1" applyFont="1" applyBorder="1"/>
    <xf numFmtId="0" fontId="215" fillId="0" borderId="53" xfId="0" applyFont="1" applyBorder="1"/>
    <xf numFmtId="14" fontId="215" fillId="0" borderId="55" xfId="0" applyNumberFormat="1" applyFont="1" applyBorder="1" applyAlignment="1">
      <alignment horizontal="right"/>
    </xf>
    <xf numFmtId="0" fontId="215" fillId="0" borderId="12" xfId="0" applyFont="1" applyBorder="1"/>
    <xf numFmtId="0" fontId="215" fillId="0" borderId="13" xfId="0" applyFont="1" applyBorder="1" applyAlignment="1">
      <alignment horizontal="right"/>
    </xf>
    <xf numFmtId="0" fontId="215" fillId="0" borderId="11" xfId="0" applyFont="1" applyBorder="1" applyAlignment="1">
      <alignment horizontal="right"/>
    </xf>
    <xf numFmtId="0" fontId="255" fillId="72" borderId="53" xfId="0" applyFont="1" applyFill="1" applyBorder="1" applyAlignment="1">
      <alignment horizontal="centerContinuous"/>
    </xf>
    <xf numFmtId="0" fontId="255" fillId="72" borderId="54" xfId="0" applyFont="1" applyFill="1" applyBorder="1" applyAlignment="1">
      <alignment horizontal="centerContinuous"/>
    </xf>
    <xf numFmtId="0" fontId="255" fillId="72" borderId="55" xfId="0" applyFont="1" applyFill="1" applyBorder="1" applyAlignment="1">
      <alignment horizontal="centerContinuous"/>
    </xf>
    <xf numFmtId="0" fontId="232" fillId="72" borderId="54" xfId="0" applyFont="1" applyFill="1" applyBorder="1" applyAlignment="1">
      <alignment horizontal="centerContinuous"/>
    </xf>
    <xf numFmtId="0" fontId="232" fillId="72" borderId="55" xfId="0" applyFont="1" applyFill="1" applyBorder="1" applyAlignment="1">
      <alignment horizontal="centerContinuous"/>
    </xf>
    <xf numFmtId="165" fontId="229" fillId="0" borderId="0" xfId="0" applyNumberFormat="1" applyFont="1"/>
    <xf numFmtId="0" fontId="232" fillId="0" borderId="52" xfId="0" applyFont="1" applyBorder="1" applyAlignment="1">
      <alignment horizontal="center" wrapText="1"/>
    </xf>
    <xf numFmtId="0" fontId="232" fillId="0" borderId="34" xfId="0" applyFont="1" applyBorder="1" applyAlignment="1">
      <alignment horizontal="right" wrapText="1"/>
    </xf>
    <xf numFmtId="0" fontId="232" fillId="0" borderId="35" xfId="0" applyFont="1" applyBorder="1" applyAlignment="1">
      <alignment horizontal="right" wrapText="1"/>
    </xf>
    <xf numFmtId="0" fontId="215" fillId="0" borderId="35" xfId="0" applyFont="1" applyBorder="1" applyAlignment="1">
      <alignment horizontal="right" wrapText="1"/>
    </xf>
    <xf numFmtId="0" fontId="232" fillId="0" borderId="42" xfId="0" applyFont="1" applyBorder="1" applyAlignment="1">
      <alignment horizontal="right" wrapText="1"/>
    </xf>
    <xf numFmtId="0" fontId="255" fillId="28" borderId="34" xfId="0" applyFont="1" applyFill="1" applyBorder="1" applyAlignment="1">
      <alignment horizontal="center" wrapText="1"/>
    </xf>
    <xf numFmtId="0" fontId="255" fillId="28" borderId="35" xfId="0" applyFont="1" applyFill="1" applyBorder="1" applyAlignment="1">
      <alignment horizontal="center" wrapText="1"/>
    </xf>
    <xf numFmtId="0" fontId="255" fillId="28" borderId="42" xfId="0" applyFont="1" applyFill="1" applyBorder="1" applyAlignment="1">
      <alignment horizontal="center" wrapText="1"/>
    </xf>
    <xf numFmtId="0" fontId="235" fillId="0" borderId="160" xfId="0" applyFont="1" applyBorder="1" applyAlignment="1">
      <alignment wrapText="1"/>
    </xf>
    <xf numFmtId="0" fontId="224" fillId="0" borderId="0" xfId="0" applyFont="1" applyAlignment="1">
      <alignment horizontal="center"/>
    </xf>
    <xf numFmtId="234" fontId="215" fillId="0" borderId="0" xfId="0" applyNumberFormat="1" applyFont="1" applyAlignment="1">
      <alignment horizontal="right"/>
    </xf>
    <xf numFmtId="234" fontId="215" fillId="0" borderId="0" xfId="0" quotePrefix="1" applyNumberFormat="1" applyFont="1" applyAlignment="1">
      <alignment horizontal="right"/>
    </xf>
    <xf numFmtId="0" fontId="229" fillId="0" borderId="0" xfId="0" applyFont="1"/>
    <xf numFmtId="169" fontId="243" fillId="0" borderId="0" xfId="0" applyNumberFormat="1" applyFont="1"/>
    <xf numFmtId="0" fontId="224" fillId="0" borderId="0" xfId="0" applyFont="1"/>
    <xf numFmtId="0" fontId="216" fillId="71" borderId="125" xfId="0" applyFont="1" applyFill="1" applyBorder="1"/>
    <xf numFmtId="0" fontId="216" fillId="71" borderId="126" xfId="0" applyFont="1" applyFill="1" applyBorder="1"/>
    <xf numFmtId="234" fontId="216" fillId="71" borderId="126" xfId="0" applyNumberFormat="1" applyFont="1" applyFill="1" applyBorder="1"/>
    <xf numFmtId="169" fontId="216" fillId="71" borderId="126" xfId="0" applyNumberFormat="1" applyFont="1" applyFill="1" applyBorder="1"/>
    <xf numFmtId="169" fontId="216" fillId="71" borderId="127" xfId="0" applyNumberFormat="1" applyFont="1" applyFill="1" applyBorder="1"/>
    <xf numFmtId="165" fontId="216" fillId="71" borderId="0" xfId="12422" applyNumberFormat="1" applyFont="1" applyFill="1"/>
    <xf numFmtId="0" fontId="216" fillId="71" borderId="64" xfId="0" applyFont="1" applyFill="1" applyBorder="1"/>
    <xf numFmtId="0" fontId="216" fillId="71" borderId="0" xfId="0" applyFont="1" applyFill="1"/>
    <xf numFmtId="234" fontId="216" fillId="71" borderId="0" xfId="0" applyNumberFormat="1" applyFont="1" applyFill="1"/>
    <xf numFmtId="169" fontId="216" fillId="71" borderId="0" xfId="0" applyNumberFormat="1" applyFont="1" applyFill="1"/>
    <xf numFmtId="169" fontId="216" fillId="71" borderId="13" xfId="0" applyNumberFormat="1" applyFont="1" applyFill="1" applyBorder="1"/>
    <xf numFmtId="0" fontId="216" fillId="71" borderId="10" xfId="0" applyFont="1" applyFill="1" applyBorder="1"/>
    <xf numFmtId="234" fontId="216" fillId="71" borderId="45" xfId="0" applyNumberFormat="1" applyFont="1" applyFill="1" applyBorder="1"/>
    <xf numFmtId="169" fontId="216" fillId="71" borderId="98" xfId="0" applyNumberFormat="1" applyFont="1" applyFill="1" applyBorder="1"/>
    <xf numFmtId="0" fontId="255" fillId="72" borderId="81" xfId="0" applyFont="1" applyFill="1" applyBorder="1" applyAlignment="1">
      <alignment horizontal="left"/>
    </xf>
    <xf numFmtId="0" fontId="255" fillId="0" borderId="64" xfId="0" applyFont="1" applyBorder="1" applyAlignment="1">
      <alignment horizontal="centerContinuous"/>
    </xf>
    <xf numFmtId="0" fontId="255" fillId="0" borderId="0" xfId="0" applyFont="1"/>
    <xf numFmtId="0" fontId="255" fillId="72" borderId="81" xfId="0" applyFont="1" applyFill="1" applyBorder="1" applyAlignment="1">
      <alignment horizontal="centerContinuous"/>
    </xf>
    <xf numFmtId="0" fontId="255" fillId="72" borderId="80" xfId="0" applyFont="1" applyFill="1" applyBorder="1" applyAlignment="1">
      <alignment horizontal="centerContinuous"/>
    </xf>
    <xf numFmtId="0" fontId="215" fillId="30" borderId="0" xfId="0" applyFont="1" applyFill="1"/>
    <xf numFmtId="0" fontId="215" fillId="65" borderId="0" xfId="0" applyFont="1" applyFill="1"/>
    <xf numFmtId="8" fontId="233" fillId="0" borderId="0" xfId="0" applyNumberFormat="1" applyFont="1" applyAlignment="1">
      <alignment horizontal="right"/>
    </xf>
    <xf numFmtId="9" fontId="222" fillId="0" borderId="71" xfId="12422" applyFont="1" applyBorder="1"/>
    <xf numFmtId="165" fontId="237" fillId="71" borderId="42" xfId="0" applyNumberFormat="1" applyFont="1" applyFill="1" applyBorder="1" applyAlignment="1">
      <alignment horizontal="right"/>
    </xf>
    <xf numFmtId="0" fontId="233" fillId="65" borderId="0" xfId="0" quotePrefix="1" applyFont="1" applyFill="1"/>
    <xf numFmtId="0" fontId="233" fillId="65" borderId="0" xfId="0" quotePrefix="1" applyFont="1" applyFill="1" applyAlignment="1">
      <alignment horizontal="left" indent="1"/>
    </xf>
    <xf numFmtId="0" fontId="215" fillId="0" borderId="0" xfId="0" applyFont="1" applyAlignment="1">
      <alignment vertical="top"/>
    </xf>
    <xf numFmtId="0" fontId="233" fillId="0" borderId="0" xfId="0" quotePrefix="1" applyFont="1" applyAlignment="1">
      <alignment horizontal="right"/>
    </xf>
    <xf numFmtId="0" fontId="257" fillId="0" borderId="0" xfId="0" applyFont="1"/>
    <xf numFmtId="0" fontId="227" fillId="72" borderId="81" xfId="0" applyFont="1" applyFill="1" applyBorder="1" applyAlignment="1">
      <alignment horizontal="left"/>
    </xf>
    <xf numFmtId="165" fontId="258" fillId="0" borderId="0" xfId="0" applyNumberFormat="1" applyFont="1"/>
    <xf numFmtId="0" fontId="247" fillId="69" borderId="56" xfId="12421" applyFont="1" applyFill="1" applyBorder="1"/>
    <xf numFmtId="0" fontId="215" fillId="69" borderId="56" xfId="12421" applyFont="1" applyFill="1" applyBorder="1"/>
    <xf numFmtId="0" fontId="247" fillId="69" borderId="0" xfId="12421" applyFont="1" applyFill="1"/>
    <xf numFmtId="0" fontId="215" fillId="69" borderId="0" xfId="12421" applyFont="1" applyFill="1"/>
    <xf numFmtId="0" fontId="247" fillId="69" borderId="57" xfId="12421" applyFont="1" applyFill="1" applyBorder="1"/>
    <xf numFmtId="0" fontId="215" fillId="69" borderId="57" xfId="12421" applyFont="1" applyFill="1" applyBorder="1"/>
    <xf numFmtId="0" fontId="227" fillId="72" borderId="58" xfId="0" applyFont="1" applyFill="1" applyBorder="1" applyAlignment="1">
      <alignment horizontal="centerContinuous"/>
    </xf>
    <xf numFmtId="0" fontId="227" fillId="72" borderId="59" xfId="0" applyFont="1" applyFill="1" applyBorder="1" applyAlignment="1">
      <alignment horizontal="centerContinuous"/>
    </xf>
    <xf numFmtId="0" fontId="227" fillId="72" borderId="60" xfId="0" applyFont="1" applyFill="1" applyBorder="1" applyAlignment="1">
      <alignment horizontal="centerContinuous"/>
    </xf>
    <xf numFmtId="0" fontId="221" fillId="0" borderId="0" xfId="0" applyFont="1" applyAlignment="1">
      <alignment horizontal="centerContinuous"/>
    </xf>
    <xf numFmtId="0" fontId="215" fillId="0" borderId="0" xfId="0" applyFont="1" applyAlignment="1">
      <alignment horizontal="centerContinuous"/>
    </xf>
    <xf numFmtId="0" fontId="227" fillId="72" borderId="52" xfId="0" applyFont="1" applyFill="1" applyBorder="1" applyAlignment="1">
      <alignment horizontal="centerContinuous"/>
    </xf>
    <xf numFmtId="0" fontId="227" fillId="72" borderId="52" xfId="0" applyFont="1" applyFill="1" applyBorder="1" applyAlignment="1">
      <alignment horizontal="centerContinuous" wrapText="1"/>
    </xf>
    <xf numFmtId="0" fontId="232" fillId="0" borderId="29" xfId="0" applyFont="1" applyBorder="1" applyAlignment="1">
      <alignment horizontal="right" wrapText="1"/>
    </xf>
    <xf numFmtId="0" fontId="232" fillId="0" borderId="32" xfId="0" applyFont="1" applyBorder="1" applyAlignment="1">
      <alignment horizontal="right" wrapText="1"/>
    </xf>
    <xf numFmtId="165" fontId="232" fillId="0" borderId="52" xfId="12422" applyNumberFormat="1" applyFont="1" applyBorder="1" applyAlignment="1">
      <alignment horizontal="right" wrapText="1"/>
    </xf>
    <xf numFmtId="0" fontId="232" fillId="0" borderId="29" xfId="0" applyFont="1" applyBorder="1" applyAlignment="1">
      <alignment horizontal="centerContinuous" wrapText="1"/>
    </xf>
    <xf numFmtId="0" fontId="217" fillId="0" borderId="70" xfId="0" applyFont="1" applyBorder="1"/>
    <xf numFmtId="234" fontId="224" fillId="0" borderId="0" xfId="0" applyNumberFormat="1" applyFont="1" applyAlignment="1">
      <alignment horizontal="right"/>
    </xf>
    <xf numFmtId="2" fontId="222" fillId="0" borderId="0" xfId="0" applyNumberFormat="1" applyFont="1" applyAlignment="1">
      <alignment horizontal="right"/>
    </xf>
    <xf numFmtId="165" fontId="222" fillId="0" borderId="0" xfId="12422" applyNumberFormat="1" applyFont="1" applyAlignment="1">
      <alignment horizontal="right"/>
    </xf>
    <xf numFmtId="0" fontId="215" fillId="71" borderId="35" xfId="0" applyFont="1" applyFill="1" applyBorder="1"/>
    <xf numFmtId="0" fontId="215" fillId="71" borderId="59" xfId="0" applyFont="1" applyFill="1" applyBorder="1"/>
    <xf numFmtId="169" fontId="216" fillId="71" borderId="35" xfId="0" applyNumberFormat="1" applyFont="1" applyFill="1" applyBorder="1"/>
    <xf numFmtId="169" fontId="216" fillId="71" borderId="42" xfId="0" applyNumberFormat="1" applyFont="1" applyFill="1" applyBorder="1"/>
    <xf numFmtId="0" fontId="215" fillId="0" borderId="111" xfId="0" applyFont="1" applyBorder="1"/>
    <xf numFmtId="0" fontId="215" fillId="0" borderId="113" xfId="0" applyFont="1" applyBorder="1"/>
    <xf numFmtId="0" fontId="215" fillId="0" borderId="114" xfId="0" applyFont="1" applyBorder="1"/>
    <xf numFmtId="0" fontId="222" fillId="0" borderId="13" xfId="0" applyFont="1" applyBorder="1" applyAlignment="1">
      <alignment horizontal="right"/>
    </xf>
    <xf numFmtId="0" fontId="215" fillId="0" borderId="10" xfId="0" applyFont="1" applyBorder="1" applyAlignment="1">
      <alignment horizontal="left"/>
    </xf>
    <xf numFmtId="167" fontId="215" fillId="0" borderId="45" xfId="12427" applyNumberFormat="1" applyFont="1" applyBorder="1"/>
    <xf numFmtId="0" fontId="222" fillId="0" borderId="11" xfId="0" applyFont="1" applyBorder="1" applyAlignment="1">
      <alignment horizontal="right"/>
    </xf>
    <xf numFmtId="0" fontId="216" fillId="0" borderId="81" xfId="0" applyFont="1" applyBorder="1" applyAlignment="1">
      <alignment horizontal="centerContinuous"/>
    </xf>
    <xf numFmtId="0" fontId="215" fillId="0" borderId="82" xfId="0" applyFont="1" applyBorder="1" applyAlignment="1">
      <alignment horizontal="centerContinuous"/>
    </xf>
    <xf numFmtId="0" fontId="216" fillId="0" borderId="82" xfId="0" applyFont="1" applyBorder="1" applyAlignment="1">
      <alignment horizontal="centerContinuous"/>
    </xf>
    <xf numFmtId="0" fontId="216" fillId="0" borderId="69" xfId="0" applyFont="1" applyBorder="1" applyAlignment="1">
      <alignment horizontal="centerContinuous"/>
    </xf>
    <xf numFmtId="0" fontId="216" fillId="0" borderId="70" xfId="0" applyFont="1" applyBorder="1" applyAlignment="1">
      <alignment horizontal="centerContinuous"/>
    </xf>
    <xf numFmtId="0" fontId="215" fillId="0" borderId="101" xfId="0" applyFont="1" applyBorder="1" applyAlignment="1">
      <alignment horizontal="centerContinuous"/>
    </xf>
    <xf numFmtId="0" fontId="216" fillId="0" borderId="101" xfId="0" applyFont="1" applyBorder="1" applyAlignment="1">
      <alignment horizontal="centerContinuous"/>
    </xf>
    <xf numFmtId="0" fontId="215" fillId="0" borderId="118" xfId="0" applyFont="1" applyBorder="1"/>
    <xf numFmtId="234" fontId="222" fillId="0" borderId="119" xfId="0" applyNumberFormat="1" applyFont="1" applyBorder="1" applyAlignment="1">
      <alignment horizontal="right"/>
    </xf>
    <xf numFmtId="0" fontId="227" fillId="72" borderId="81" xfId="0" applyFont="1" applyFill="1" applyBorder="1" applyAlignment="1">
      <alignment horizontal="centerContinuous"/>
    </xf>
    <xf numFmtId="0" fontId="227" fillId="72" borderId="80" xfId="0" applyFont="1" applyFill="1" applyBorder="1" applyAlignment="1">
      <alignment horizontal="centerContinuous"/>
    </xf>
    <xf numFmtId="0" fontId="227" fillId="74" borderId="59" xfId="0" applyFont="1" applyFill="1" applyBorder="1" applyAlignment="1">
      <alignment horizontal="centerContinuous"/>
    </xf>
    <xf numFmtId="0" fontId="232" fillId="0" borderId="81" xfId="0" applyFont="1" applyBorder="1" applyAlignment="1">
      <alignment horizontal="left" wrapText="1"/>
    </xf>
    <xf numFmtId="0" fontId="232" fillId="0" borderId="166" xfId="0" applyFont="1" applyBorder="1" applyAlignment="1">
      <alignment horizontal="right" wrapText="1"/>
    </xf>
    <xf numFmtId="0" fontId="232" fillId="0" borderId="168" xfId="0" applyFont="1" applyBorder="1" applyAlignment="1">
      <alignment horizontal="right" wrapText="1"/>
    </xf>
    <xf numFmtId="0" fontId="232" fillId="0" borderId="10" xfId="0" applyFont="1" applyBorder="1" applyAlignment="1">
      <alignment horizontal="right" wrapText="1"/>
    </xf>
    <xf numFmtId="0" fontId="232" fillId="0" borderId="45" xfId="0" applyFont="1" applyBorder="1" applyAlignment="1">
      <alignment horizontal="right" wrapText="1"/>
    </xf>
    <xf numFmtId="0" fontId="232" fillId="0" borderId="80" xfId="0" applyFont="1" applyBorder="1" applyAlignment="1">
      <alignment horizontal="right" wrapText="1"/>
    </xf>
    <xf numFmtId="0" fontId="232" fillId="0" borderId="0" xfId="0" applyFont="1" applyAlignment="1">
      <alignment horizontal="right" wrapText="1"/>
    </xf>
    <xf numFmtId="0" fontId="232" fillId="0" borderId="81" xfId="0" applyFont="1" applyBorder="1" applyAlignment="1">
      <alignment horizontal="right" wrapText="1"/>
    </xf>
    <xf numFmtId="0" fontId="232" fillId="0" borderId="82" xfId="0" applyFont="1" applyBorder="1" applyAlignment="1">
      <alignment horizontal="right" wrapText="1"/>
    </xf>
    <xf numFmtId="0" fontId="232" fillId="0" borderId="69" xfId="0" applyFont="1" applyBorder="1" applyAlignment="1">
      <alignment horizontal="right" wrapText="1"/>
    </xf>
    <xf numFmtId="0" fontId="216" fillId="0" borderId="4" xfId="0" applyFont="1" applyBorder="1" applyAlignment="1">
      <alignment horizontal="center" wrapText="1"/>
    </xf>
    <xf numFmtId="0" fontId="216" fillId="0" borderId="5" xfId="0" applyFont="1" applyBorder="1" applyAlignment="1">
      <alignment horizontal="center" wrapText="1"/>
    </xf>
    <xf numFmtId="0" fontId="216" fillId="74" borderId="5" xfId="0" applyFont="1" applyFill="1" applyBorder="1" applyAlignment="1">
      <alignment horizontal="center" wrapText="1"/>
    </xf>
    <xf numFmtId="0" fontId="216" fillId="0" borderId="6" xfId="0" applyFont="1" applyBorder="1" applyAlignment="1">
      <alignment horizontal="center" wrapText="1"/>
    </xf>
    <xf numFmtId="169" fontId="215" fillId="74" borderId="0" xfId="0" applyNumberFormat="1" applyFont="1" applyFill="1"/>
    <xf numFmtId="169" fontId="216" fillId="71" borderId="33" xfId="0" applyNumberFormat="1" applyFont="1" applyFill="1" applyBorder="1"/>
    <xf numFmtId="0" fontId="216" fillId="71" borderId="170" xfId="0" applyFont="1" applyFill="1" applyBorder="1"/>
    <xf numFmtId="41" fontId="216" fillId="71" borderId="33" xfId="0" applyNumberFormat="1" applyFont="1" applyFill="1" applyBorder="1"/>
    <xf numFmtId="234" fontId="216" fillId="71" borderId="33" xfId="0" applyNumberFormat="1" applyFont="1" applyFill="1" applyBorder="1"/>
    <xf numFmtId="234" fontId="216" fillId="71" borderId="50" xfId="0" applyNumberFormat="1" applyFont="1" applyFill="1" applyBorder="1"/>
    <xf numFmtId="0" fontId="216" fillId="71" borderId="12" xfId="0" applyFont="1" applyFill="1" applyBorder="1"/>
    <xf numFmtId="41" fontId="216" fillId="71" borderId="0" xfId="0" applyNumberFormat="1" applyFont="1" applyFill="1"/>
    <xf numFmtId="234" fontId="216" fillId="71" borderId="13" xfId="0" applyNumberFormat="1" applyFont="1" applyFill="1" applyBorder="1"/>
    <xf numFmtId="41" fontId="216" fillId="71" borderId="45" xfId="0" applyNumberFormat="1" applyFont="1" applyFill="1" applyBorder="1"/>
    <xf numFmtId="234" fontId="216" fillId="71" borderId="11" xfId="0" applyNumberFormat="1" applyFont="1" applyFill="1" applyBorder="1"/>
    <xf numFmtId="0" fontId="227" fillId="72" borderId="0" xfId="0" applyFont="1" applyFill="1" applyAlignment="1">
      <alignment horizontal="centerContinuous"/>
    </xf>
    <xf numFmtId="0" fontId="227" fillId="72" borderId="64" xfId="0" applyFont="1" applyFill="1" applyBorder="1" applyAlignment="1">
      <alignment horizontal="centerContinuous"/>
    </xf>
    <xf numFmtId="0" fontId="227" fillId="72" borderId="13" xfId="0" applyFont="1" applyFill="1" applyBorder="1" applyAlignment="1">
      <alignment horizontal="centerContinuous"/>
    </xf>
    <xf numFmtId="0" fontId="232" fillId="0" borderId="98" xfId="0" applyFont="1" applyBorder="1" applyAlignment="1">
      <alignment horizontal="right" wrapText="1"/>
    </xf>
    <xf numFmtId="0" fontId="215" fillId="0" borderId="35" xfId="0" applyFont="1" applyBorder="1" applyAlignment="1">
      <alignment horizontal="centerContinuous"/>
    </xf>
    <xf numFmtId="0" fontId="215" fillId="0" borderId="42" xfId="0" applyFont="1" applyBorder="1" applyAlignment="1">
      <alignment horizontal="centerContinuous"/>
    </xf>
    <xf numFmtId="9" fontId="222" fillId="0" borderId="119" xfId="12422" applyFont="1" applyBorder="1" applyAlignment="1">
      <alignment horizontal="right"/>
    </xf>
    <xf numFmtId="0" fontId="232" fillId="0" borderId="80" xfId="0" applyFont="1" applyBorder="1" applyAlignment="1">
      <alignment horizontal="left" wrapText="1"/>
    </xf>
    <xf numFmtId="0" fontId="232" fillId="0" borderId="11" xfId="0" applyFont="1" applyBorder="1" applyAlignment="1">
      <alignment horizontal="right" wrapText="1"/>
    </xf>
    <xf numFmtId="165" fontId="216" fillId="71" borderId="126" xfId="0" applyNumberFormat="1" applyFont="1" applyFill="1" applyBorder="1"/>
    <xf numFmtId="165" fontId="216" fillId="71" borderId="127" xfId="0" applyNumberFormat="1" applyFont="1" applyFill="1" applyBorder="1"/>
    <xf numFmtId="165" fontId="216" fillId="71" borderId="0" xfId="0" applyNumberFormat="1" applyFont="1" applyFill="1"/>
    <xf numFmtId="165" fontId="216" fillId="71" borderId="13" xfId="0" applyNumberFormat="1" applyFont="1" applyFill="1" applyBorder="1"/>
    <xf numFmtId="165" fontId="216" fillId="71" borderId="45" xfId="0" applyNumberFormat="1" applyFont="1" applyFill="1" applyBorder="1"/>
    <xf numFmtId="165" fontId="216" fillId="71" borderId="98" xfId="0" applyNumberFormat="1" applyFont="1" applyFill="1" applyBorder="1"/>
    <xf numFmtId="0" fontId="215" fillId="0" borderId="34" xfId="0" applyFont="1" applyBorder="1" applyAlignment="1">
      <alignment wrapText="1"/>
    </xf>
    <xf numFmtId="0" fontId="215" fillId="0" borderId="35" xfId="0" applyFont="1" applyBorder="1" applyAlignment="1">
      <alignment wrapText="1"/>
    </xf>
    <xf numFmtId="0" fontId="224" fillId="0" borderId="35" xfId="0" applyFont="1" applyBorder="1" applyAlignment="1">
      <alignment wrapText="1"/>
    </xf>
    <xf numFmtId="0" fontId="224" fillId="0" borderId="42" xfId="0" applyFont="1" applyBorder="1" applyAlignment="1">
      <alignment wrapText="1"/>
    </xf>
    <xf numFmtId="0" fontId="227" fillId="72" borderId="80" xfId="0" applyFont="1" applyFill="1" applyBorder="1" applyAlignment="1">
      <alignment horizontal="left"/>
    </xf>
    <xf numFmtId="0" fontId="227" fillId="72" borderId="80" xfId="0" applyFont="1" applyFill="1" applyBorder="1" applyAlignment="1">
      <alignment horizontal="center"/>
    </xf>
    <xf numFmtId="0" fontId="215" fillId="0" borderId="99" xfId="0" applyFont="1" applyBorder="1" applyAlignment="1">
      <alignment horizontal="justify" vertical="center" wrapText="1"/>
    </xf>
    <xf numFmtId="0" fontId="215" fillId="0" borderId="67" xfId="0" applyFont="1" applyBorder="1"/>
    <xf numFmtId="0" fontId="215" fillId="0" borderId="121" xfId="0" applyFont="1" applyBorder="1"/>
    <xf numFmtId="0" fontId="215" fillId="0" borderId="0" xfId="0" applyFont="1" applyAlignment="1">
      <alignment horizontal="justify" vertical="top" wrapText="1"/>
    </xf>
    <xf numFmtId="0" fontId="216" fillId="0" borderId="0" xfId="0" applyFont="1" applyAlignment="1">
      <alignment horizontal="right" wrapText="1"/>
    </xf>
    <xf numFmtId="165" fontId="215" fillId="0" borderId="0" xfId="12422" applyNumberFormat="1" applyFont="1" applyAlignment="1">
      <alignment horizontal="right"/>
    </xf>
    <xf numFmtId="0" fontId="227" fillId="72" borderId="65" xfId="0" applyFont="1" applyFill="1" applyBorder="1" applyAlignment="1">
      <alignment horizontal="centerContinuous"/>
    </xf>
    <xf numFmtId="0" fontId="232" fillId="0" borderId="52" xfId="0" applyFont="1" applyBorder="1" applyAlignment="1">
      <alignment horizontal="right" wrapText="1"/>
    </xf>
    <xf numFmtId="0" fontId="232" fillId="0" borderId="51" xfId="0" applyFont="1" applyBorder="1" applyAlignment="1">
      <alignment horizontal="right" wrapText="1"/>
    </xf>
    <xf numFmtId="165" fontId="232" fillId="0" borderId="32" xfId="12422" applyNumberFormat="1" applyFont="1" applyBorder="1" applyAlignment="1">
      <alignment horizontal="right" wrapText="1"/>
    </xf>
    <xf numFmtId="0" fontId="232" fillId="0" borderId="51" xfId="0" applyFont="1" applyBorder="1" applyAlignment="1">
      <alignment horizontal="centerContinuous" wrapText="1"/>
    </xf>
    <xf numFmtId="0" fontId="236" fillId="0" borderId="70" xfId="0" applyFont="1" applyBorder="1"/>
    <xf numFmtId="0" fontId="216" fillId="0" borderId="66" xfId="0" applyFont="1" applyBorder="1"/>
    <xf numFmtId="0" fontId="215" fillId="0" borderId="66" xfId="0" applyFont="1" applyBorder="1"/>
    <xf numFmtId="169" fontId="216" fillId="0" borderId="66" xfId="0" applyNumberFormat="1" applyFont="1" applyBorder="1"/>
    <xf numFmtId="0" fontId="230" fillId="65" borderId="0" xfId="0" applyFont="1" applyFill="1"/>
    <xf numFmtId="0" fontId="230" fillId="65" borderId="0" xfId="0" quotePrefix="1" applyFont="1" applyFill="1"/>
    <xf numFmtId="0" fontId="227" fillId="72" borderId="156" xfId="0" applyFont="1" applyFill="1" applyBorder="1" applyAlignment="1">
      <alignment horizontal="centerContinuous"/>
    </xf>
    <xf numFmtId="0" fontId="227" fillId="72" borderId="125" xfId="0" applyFont="1" applyFill="1" applyBorder="1" applyAlignment="1">
      <alignment horizontal="centerContinuous"/>
    </xf>
    <xf numFmtId="0" fontId="227" fillId="72" borderId="107" xfId="0" applyFont="1" applyFill="1" applyBorder="1" applyAlignment="1">
      <alignment horizontal="centerContinuous"/>
    </xf>
    <xf numFmtId="0" fontId="232" fillId="0" borderId="34" xfId="0" applyFont="1" applyBorder="1" applyAlignment="1">
      <alignment horizontal="center" wrapText="1"/>
    </xf>
    <xf numFmtId="0" fontId="232" fillId="0" borderId="35" xfId="0" applyFont="1" applyBorder="1" applyAlignment="1">
      <alignment horizontal="center" wrapText="1"/>
    </xf>
    <xf numFmtId="0" fontId="232" fillId="0" borderId="69" xfId="0" applyFont="1" applyBorder="1" applyAlignment="1">
      <alignment horizontal="center" wrapText="1"/>
    </xf>
    <xf numFmtId="0" fontId="232" fillId="0" borderId="42" xfId="0" applyFont="1" applyBorder="1" applyAlignment="1">
      <alignment horizontal="center" wrapText="1"/>
    </xf>
    <xf numFmtId="0" fontId="232" fillId="0" borderId="156" xfId="0" applyFont="1" applyBorder="1" applyAlignment="1">
      <alignment horizontal="right" wrapText="1"/>
    </xf>
    <xf numFmtId="0" fontId="232" fillId="0" borderId="122" xfId="0" applyFont="1" applyBorder="1" applyAlignment="1">
      <alignment horizontal="right" wrapText="1"/>
    </xf>
    <xf numFmtId="0" fontId="232" fillId="0" borderId="128" xfId="0" applyFont="1" applyBorder="1" applyAlignment="1">
      <alignment horizontal="right" wrapText="1"/>
    </xf>
    <xf numFmtId="234" fontId="222" fillId="0" borderId="124" xfId="0" applyNumberFormat="1" applyFont="1" applyBorder="1" applyAlignment="1">
      <alignment horizontal="right"/>
    </xf>
    <xf numFmtId="164" fontId="215" fillId="0" borderId="0" xfId="0" applyNumberFormat="1" applyFont="1" applyAlignment="1">
      <alignment horizontal="center" vertical="top" wrapText="1"/>
    </xf>
    <xf numFmtId="165" fontId="215" fillId="0" borderId="0" xfId="0" applyNumberFormat="1" applyFont="1" applyAlignment="1">
      <alignment horizontal="center" vertical="top" wrapText="1"/>
    </xf>
    <xf numFmtId="0" fontId="215" fillId="0" borderId="0" xfId="0" applyFont="1" applyAlignment="1">
      <alignment vertical="top" wrapText="1"/>
    </xf>
    <xf numFmtId="169" fontId="215" fillId="0" borderId="0" xfId="0" applyNumberFormat="1" applyFont="1" applyAlignment="1">
      <alignment horizontal="right" vertical="top"/>
    </xf>
    <xf numFmtId="0" fontId="215" fillId="0" borderId="0" xfId="0" applyFont="1" applyAlignment="1">
      <alignment horizontal="right" vertical="top"/>
    </xf>
    <xf numFmtId="234" fontId="215" fillId="0" borderId="0" xfId="0" applyNumberFormat="1" applyFont="1" applyAlignment="1">
      <alignment horizontal="right" vertical="top"/>
    </xf>
    <xf numFmtId="0" fontId="222" fillId="0" borderId="0" xfId="0" applyFont="1" applyAlignment="1">
      <alignment horizontal="center" vertical="top" wrapText="1"/>
    </xf>
    <xf numFmtId="0" fontId="215" fillId="71" borderId="33" xfId="0" applyFont="1" applyFill="1" applyBorder="1"/>
    <xf numFmtId="10" fontId="215" fillId="71" borderId="33" xfId="0" applyNumberFormat="1" applyFont="1" applyFill="1" applyBorder="1"/>
    <xf numFmtId="0" fontId="215" fillId="71" borderId="170" xfId="0" applyFont="1" applyFill="1" applyBorder="1"/>
    <xf numFmtId="169" fontId="216" fillId="71" borderId="165" xfId="0" applyNumberFormat="1" applyFont="1" applyFill="1" applyBorder="1"/>
    <xf numFmtId="169" fontId="216" fillId="71" borderId="54" xfId="0" applyNumberFormat="1" applyFont="1" applyFill="1" applyBorder="1"/>
    <xf numFmtId="0" fontId="215" fillId="71" borderId="97" xfId="0" applyFont="1" applyFill="1" applyBorder="1"/>
    <xf numFmtId="0" fontId="215" fillId="0" borderId="33" xfId="0" applyFont="1" applyBorder="1"/>
    <xf numFmtId="165" fontId="216" fillId="71" borderId="33" xfId="0" applyNumberFormat="1" applyFont="1" applyFill="1" applyBorder="1"/>
    <xf numFmtId="165" fontId="216" fillId="71" borderId="50" xfId="0" applyNumberFormat="1" applyFont="1" applyFill="1" applyBorder="1"/>
    <xf numFmtId="10" fontId="215" fillId="71" borderId="0" xfId="0" applyNumberFormat="1" applyFont="1" applyFill="1"/>
    <xf numFmtId="0" fontId="215" fillId="71" borderId="45" xfId="0" applyFont="1" applyFill="1" applyBorder="1"/>
    <xf numFmtId="0" fontId="215" fillId="71" borderId="98" xfId="0" applyFont="1" applyFill="1" applyBorder="1"/>
    <xf numFmtId="165" fontId="216" fillId="71" borderId="11" xfId="0" applyNumberFormat="1" applyFont="1" applyFill="1" applyBorder="1"/>
    <xf numFmtId="0" fontId="227" fillId="0" borderId="0" xfId="0" applyFont="1" applyAlignment="1">
      <alignment horizontal="left"/>
    </xf>
    <xf numFmtId="0" fontId="215" fillId="0" borderId="67" xfId="0" applyFont="1" applyBorder="1" applyAlignment="1">
      <alignment horizontal="justify" vertical="center" wrapText="1"/>
    </xf>
    <xf numFmtId="0" fontId="215" fillId="0" borderId="115" xfId="0" applyFont="1" applyBorder="1" applyAlignment="1">
      <alignment horizontal="justify" vertical="center" wrapText="1"/>
    </xf>
    <xf numFmtId="0" fontId="227" fillId="72" borderId="52" xfId="0" applyFont="1" applyFill="1" applyBorder="1" applyAlignment="1">
      <alignment wrapText="1"/>
    </xf>
    <xf numFmtId="0" fontId="227" fillId="72" borderId="58" xfId="0" applyFont="1" applyFill="1" applyBorder="1" applyAlignment="1">
      <alignment horizontal="right" wrapText="1"/>
    </xf>
    <xf numFmtId="0" fontId="227" fillId="72" borderId="52" xfId="0" applyFont="1" applyFill="1" applyBorder="1" applyAlignment="1">
      <alignment horizontal="right" wrapText="1"/>
    </xf>
    <xf numFmtId="169" fontId="224" fillId="0" borderId="0" xfId="0" applyNumberFormat="1" applyFont="1"/>
    <xf numFmtId="234" fontId="259" fillId="0" borderId="0" xfId="0" applyNumberFormat="1" applyFont="1" applyAlignment="1">
      <alignment horizontal="right" vertical="top"/>
    </xf>
    <xf numFmtId="0" fontId="216" fillId="71" borderId="58" xfId="0" applyFont="1" applyFill="1" applyBorder="1"/>
    <xf numFmtId="0" fontId="216" fillId="71" borderId="59" xfId="0" applyFont="1" applyFill="1" applyBorder="1"/>
    <xf numFmtId="169" fontId="216" fillId="71" borderId="59" xfId="0" applyNumberFormat="1" applyFont="1" applyFill="1" applyBorder="1"/>
    <xf numFmtId="169" fontId="216" fillId="71" borderId="128" xfId="0" applyNumberFormat="1" applyFont="1" applyFill="1" applyBorder="1"/>
    <xf numFmtId="169" fontId="216" fillId="71" borderId="52" xfId="0" applyNumberFormat="1" applyFont="1" applyFill="1" applyBorder="1"/>
    <xf numFmtId="0" fontId="227" fillId="72" borderId="58" xfId="0" applyFont="1" applyFill="1" applyBorder="1" applyAlignment="1">
      <alignment wrapText="1"/>
    </xf>
    <xf numFmtId="0" fontId="227" fillId="72" borderId="59" xfId="0" applyFont="1" applyFill="1" applyBorder="1" applyAlignment="1">
      <alignment wrapText="1"/>
    </xf>
    <xf numFmtId="0" fontId="227" fillId="72" borderId="60" xfId="0" applyFont="1" applyFill="1" applyBorder="1" applyAlignment="1">
      <alignment wrapText="1"/>
    </xf>
    <xf numFmtId="0" fontId="260" fillId="0" borderId="0" xfId="0" applyFont="1" applyAlignment="1">
      <alignment horizontal="left"/>
    </xf>
    <xf numFmtId="0" fontId="260" fillId="0" borderId="0" xfId="0" applyFont="1" applyAlignment="1">
      <alignment horizontal="right"/>
    </xf>
    <xf numFmtId="8" fontId="233" fillId="0" borderId="0" xfId="0" applyNumberFormat="1" applyFont="1"/>
    <xf numFmtId="8" fontId="228" fillId="0" borderId="0" xfId="0" applyNumberFormat="1" applyFont="1" applyAlignment="1">
      <alignment horizontal="right"/>
    </xf>
    <xf numFmtId="8" fontId="224" fillId="0" borderId="45" xfId="0" applyNumberFormat="1" applyFont="1" applyBorder="1"/>
    <xf numFmtId="169" fontId="224" fillId="0" borderId="45" xfId="0" applyNumberFormat="1" applyFont="1" applyBorder="1" applyAlignment="1">
      <alignment horizontal="right"/>
    </xf>
    <xf numFmtId="8" fontId="216" fillId="0" borderId="0" xfId="0" applyNumberFormat="1" applyFont="1"/>
    <xf numFmtId="0" fontId="227" fillId="72" borderId="69" xfId="0" applyFont="1" applyFill="1" applyBorder="1" applyAlignment="1">
      <alignment wrapText="1"/>
    </xf>
    <xf numFmtId="0" fontId="261" fillId="0" borderId="0" xfId="0" applyFont="1" applyAlignment="1">
      <alignment horizontal="left" indent="2"/>
    </xf>
    <xf numFmtId="167" fontId="215" fillId="0" borderId="0" xfId="12427" applyNumberFormat="1" applyFont="1" applyAlignment="1">
      <alignment horizontal="right"/>
    </xf>
    <xf numFmtId="8" fontId="224" fillId="0" borderId="0" xfId="0" applyNumberFormat="1" applyFont="1" applyAlignment="1">
      <alignment horizontal="right"/>
    </xf>
    <xf numFmtId="167" fontId="215" fillId="0" borderId="0" xfId="0" applyNumberFormat="1" applyFont="1" applyAlignment="1">
      <alignment horizontal="right"/>
    </xf>
    <xf numFmtId="289" fontId="215" fillId="0" borderId="0" xfId="0" applyNumberFormat="1" applyFont="1" applyAlignment="1">
      <alignment horizontal="right"/>
    </xf>
    <xf numFmtId="234" fontId="224" fillId="0" borderId="0" xfId="0" applyNumberFormat="1" applyFont="1" applyAlignment="1">
      <alignment horizontal="right" vertical="top"/>
    </xf>
    <xf numFmtId="191" fontId="215" fillId="0" borderId="0" xfId="0" applyNumberFormat="1" applyFont="1" applyAlignment="1">
      <alignment horizontal="right"/>
    </xf>
    <xf numFmtId="0" fontId="224" fillId="0" borderId="0" xfId="0" applyFont="1" applyAlignment="1">
      <alignment horizontal="right"/>
    </xf>
    <xf numFmtId="0" fontId="224" fillId="0" borderId="0" xfId="0" applyFont="1" applyAlignment="1">
      <alignment horizontal="right" wrapText="1"/>
    </xf>
    <xf numFmtId="0" fontId="227" fillId="72" borderId="155" xfId="0" applyFont="1" applyFill="1" applyBorder="1" applyAlignment="1">
      <alignment horizontal="left"/>
    </xf>
    <xf numFmtId="0" fontId="227" fillId="72" borderId="156" xfId="0" applyFont="1" applyFill="1" applyBorder="1" applyAlignment="1">
      <alignment horizontal="right" wrapText="1"/>
    </xf>
    <xf numFmtId="0" fontId="227" fillId="72" borderId="157" xfId="0" applyFont="1" applyFill="1" applyBorder="1" applyAlignment="1">
      <alignment horizontal="right" wrapText="1"/>
    </xf>
    <xf numFmtId="0" fontId="227" fillId="72" borderId="16" xfId="0" applyFont="1" applyFill="1" applyBorder="1" applyAlignment="1">
      <alignment horizontal="center"/>
    </xf>
    <xf numFmtId="0" fontId="227" fillId="0" borderId="0" xfId="0" applyFont="1" applyAlignment="1">
      <alignment horizontal="center"/>
    </xf>
    <xf numFmtId="43" fontId="215" fillId="0" borderId="0" xfId="0" quotePrefix="1" applyNumberFormat="1" applyFont="1" applyAlignment="1">
      <alignment horizontal="center"/>
    </xf>
    <xf numFmtId="0" fontId="216" fillId="0" borderId="158" xfId="0" applyFont="1" applyBorder="1"/>
    <xf numFmtId="169" fontId="232" fillId="0" borderId="158" xfId="0" applyNumberFormat="1" applyFont="1" applyBorder="1"/>
    <xf numFmtId="0" fontId="215" fillId="0" borderId="161" xfId="0" applyFont="1" applyBorder="1"/>
    <xf numFmtId="0" fontId="215" fillId="0" borderId="164" xfId="0" applyFont="1" applyBorder="1"/>
    <xf numFmtId="43" fontId="233" fillId="0" borderId="0" xfId="0" quotePrefix="1" applyNumberFormat="1" applyFont="1" applyAlignment="1">
      <alignment horizontal="center"/>
    </xf>
    <xf numFmtId="10" fontId="224" fillId="0" borderId="13" xfId="0" applyNumberFormat="1" applyFont="1" applyBorder="1"/>
    <xf numFmtId="168" fontId="215" fillId="0" borderId="13" xfId="0" applyNumberFormat="1" applyFont="1" applyBorder="1"/>
    <xf numFmtId="170" fontId="215" fillId="0" borderId="0" xfId="0" applyNumberFormat="1" applyFont="1"/>
    <xf numFmtId="170" fontId="215" fillId="0" borderId="13" xfId="0" applyNumberFormat="1" applyFont="1" applyBorder="1"/>
    <xf numFmtId="0" fontId="216" fillId="0" borderId="138" xfId="0" applyFont="1" applyBorder="1"/>
    <xf numFmtId="0" fontId="216" fillId="0" borderId="45" xfId="0" applyFont="1" applyBorder="1"/>
    <xf numFmtId="165" fontId="216" fillId="0" borderId="45" xfId="0" applyNumberFormat="1" applyFont="1" applyBorder="1"/>
    <xf numFmtId="165" fontId="216" fillId="0" borderId="98" xfId="0" applyNumberFormat="1" applyFont="1" applyBorder="1"/>
    <xf numFmtId="10" fontId="215" fillId="0" borderId="13" xfId="0" applyNumberFormat="1" applyFont="1" applyBorder="1"/>
    <xf numFmtId="0" fontId="227" fillId="72" borderId="176" xfId="0" applyFont="1" applyFill="1" applyBorder="1" applyAlignment="1">
      <alignment horizontal="left"/>
    </xf>
    <xf numFmtId="0" fontId="227" fillId="72" borderId="177" xfId="0" applyFont="1" applyFill="1" applyBorder="1" applyAlignment="1">
      <alignment horizontal="centerContinuous"/>
    </xf>
    <xf numFmtId="0" fontId="215" fillId="0" borderId="178" xfId="0" applyFont="1" applyBorder="1"/>
    <xf numFmtId="0" fontId="215" fillId="0" borderId="179" xfId="0" applyFont="1" applyBorder="1"/>
    <xf numFmtId="167" fontId="233" fillId="0" borderId="179" xfId="12427" applyNumberFormat="1" applyFont="1" applyBorder="1"/>
    <xf numFmtId="10" fontId="233" fillId="0" borderId="0" xfId="0" applyNumberFormat="1" applyFont="1"/>
    <xf numFmtId="0" fontId="216" fillId="71" borderId="155" xfId="0" applyFont="1" applyFill="1" applyBorder="1"/>
    <xf numFmtId="0" fontId="216" fillId="71" borderId="156" xfId="0" applyFont="1" applyFill="1" applyBorder="1"/>
    <xf numFmtId="165" fontId="232" fillId="71" borderId="156" xfId="12422" applyNumberFormat="1" applyFont="1" applyFill="1" applyBorder="1"/>
    <xf numFmtId="165" fontId="232" fillId="71" borderId="157" xfId="12422" applyNumberFormat="1" applyFont="1" applyFill="1" applyBorder="1"/>
    <xf numFmtId="0" fontId="215" fillId="0" borderId="0" xfId="0" quotePrefix="1" applyFont="1" applyAlignment="1">
      <alignment horizontal="right" vertical="top"/>
    </xf>
    <xf numFmtId="0" fontId="215" fillId="0" borderId="0" xfId="0" quotePrefix="1" applyFont="1" applyAlignment="1">
      <alignment horizontal="left" vertical="top"/>
    </xf>
    <xf numFmtId="0" fontId="227" fillId="72" borderId="4" xfId="0" applyFont="1" applyFill="1" applyBorder="1" applyAlignment="1">
      <alignment horizontal="centerContinuous"/>
    </xf>
    <xf numFmtId="0" fontId="227" fillId="72" borderId="5" xfId="0" applyFont="1" applyFill="1" applyBorder="1" applyAlignment="1">
      <alignment horizontal="centerContinuous"/>
    </xf>
    <xf numFmtId="0" fontId="227" fillId="72" borderId="6" xfId="0" applyFont="1" applyFill="1" applyBorder="1" applyAlignment="1">
      <alignment horizontal="centerContinuous"/>
    </xf>
    <xf numFmtId="10" fontId="227" fillId="72" borderId="5" xfId="0" applyNumberFormat="1" applyFont="1" applyFill="1" applyBorder="1" applyAlignment="1">
      <alignment horizontal="centerContinuous"/>
    </xf>
    <xf numFmtId="0" fontId="227" fillId="72" borderId="4" xfId="0" applyFont="1" applyFill="1" applyBorder="1" applyAlignment="1">
      <alignment horizontal="centerContinuous" wrapText="1"/>
    </xf>
    <xf numFmtId="0" fontId="227" fillId="72" borderId="6" xfId="0" applyFont="1" applyFill="1" applyBorder="1" applyAlignment="1">
      <alignment horizontal="centerContinuous" wrapText="1"/>
    </xf>
    <xf numFmtId="0" fontId="232" fillId="0" borderId="16" xfId="0" applyFont="1" applyBorder="1" applyAlignment="1">
      <alignment horizontal="left" wrapText="1"/>
    </xf>
    <xf numFmtId="0" fontId="232" fillId="0" borderId="4" xfId="0" applyFont="1" applyBorder="1" applyAlignment="1">
      <alignment horizontal="right" wrapText="1"/>
    </xf>
    <xf numFmtId="0" fontId="232" fillId="0" borderId="5" xfId="0" applyFont="1" applyBorder="1" applyAlignment="1">
      <alignment horizontal="right" wrapText="1"/>
    </xf>
    <xf numFmtId="0" fontId="232" fillId="0" borderId="6" xfId="0" applyFont="1" applyBorder="1" applyAlignment="1">
      <alignment horizontal="right" wrapText="1"/>
    </xf>
    <xf numFmtId="0" fontId="232" fillId="0" borderId="16" xfId="0" applyFont="1" applyBorder="1" applyAlignment="1">
      <alignment horizontal="right" wrapText="1"/>
    </xf>
    <xf numFmtId="0" fontId="216" fillId="0" borderId="0" xfId="0" applyFont="1" applyAlignment="1">
      <alignment wrapText="1"/>
    </xf>
    <xf numFmtId="10" fontId="215" fillId="0" borderId="0" xfId="0" applyNumberFormat="1" applyFont="1" applyAlignment="1">
      <alignment horizontal="right"/>
    </xf>
    <xf numFmtId="165" fontId="233" fillId="0" borderId="0" xfId="0" applyNumberFormat="1" applyFont="1" applyAlignment="1">
      <alignment horizontal="right"/>
    </xf>
    <xf numFmtId="168" fontId="215" fillId="0" borderId="0" xfId="0" applyNumberFormat="1" applyFont="1" applyAlignment="1">
      <alignment horizontal="right"/>
    </xf>
    <xf numFmtId="168" fontId="233" fillId="0" borderId="0" xfId="0" applyNumberFormat="1" applyFont="1" applyAlignment="1">
      <alignment horizontal="right"/>
    </xf>
    <xf numFmtId="10" fontId="216" fillId="71" borderId="126" xfId="0" applyNumberFormat="1" applyFont="1" applyFill="1" applyBorder="1"/>
    <xf numFmtId="10" fontId="232" fillId="71" borderId="126" xfId="0" applyNumberFormat="1" applyFont="1" applyFill="1" applyBorder="1"/>
    <xf numFmtId="165" fontId="232" fillId="71" borderId="126" xfId="0" applyNumberFormat="1" applyFont="1" applyFill="1" applyBorder="1"/>
    <xf numFmtId="0" fontId="232" fillId="71" borderId="126" xfId="0" applyFont="1" applyFill="1" applyBorder="1"/>
    <xf numFmtId="168" fontId="216" fillId="71" borderId="126" xfId="0" applyNumberFormat="1" applyFont="1" applyFill="1" applyBorder="1" applyAlignment="1">
      <alignment horizontal="right"/>
    </xf>
    <xf numFmtId="168" fontId="232" fillId="71" borderId="126" xfId="0" applyNumberFormat="1" applyFont="1" applyFill="1" applyBorder="1" applyAlignment="1">
      <alignment horizontal="right"/>
    </xf>
    <xf numFmtId="165" fontId="232" fillId="71" borderId="127" xfId="0" applyNumberFormat="1" applyFont="1" applyFill="1" applyBorder="1" applyAlignment="1">
      <alignment horizontal="right"/>
    </xf>
    <xf numFmtId="165" fontId="215" fillId="0" borderId="125" xfId="12422" applyNumberFormat="1" applyFont="1" applyBorder="1"/>
    <xf numFmtId="0" fontId="215" fillId="0" borderId="126" xfId="0" applyFont="1" applyBorder="1"/>
    <xf numFmtId="10" fontId="216" fillId="71" borderId="0" xfId="0" applyNumberFormat="1" applyFont="1" applyFill="1"/>
    <xf numFmtId="10" fontId="232" fillId="71" borderId="0" xfId="0" applyNumberFormat="1" applyFont="1" applyFill="1"/>
    <xf numFmtId="165" fontId="232" fillId="71" borderId="0" xfId="0" applyNumberFormat="1" applyFont="1" applyFill="1"/>
    <xf numFmtId="0" fontId="232" fillId="71" borderId="0" xfId="0" applyFont="1" applyFill="1"/>
    <xf numFmtId="168" fontId="216" fillId="71" borderId="0" xfId="0" applyNumberFormat="1" applyFont="1" applyFill="1" applyAlignment="1">
      <alignment horizontal="right"/>
    </xf>
    <xf numFmtId="168" fontId="232" fillId="71" borderId="0" xfId="0" applyNumberFormat="1" applyFont="1" applyFill="1" applyAlignment="1">
      <alignment horizontal="right"/>
    </xf>
    <xf numFmtId="165" fontId="232" fillId="71" borderId="13" xfId="0" applyNumberFormat="1" applyFont="1" applyFill="1" applyBorder="1" applyAlignment="1">
      <alignment horizontal="right"/>
    </xf>
    <xf numFmtId="165" fontId="215" fillId="0" borderId="64" xfId="12422" applyNumberFormat="1" applyFont="1" applyBorder="1"/>
    <xf numFmtId="0" fontId="262" fillId="0" borderId="13" xfId="0" applyFont="1" applyBorder="1"/>
    <xf numFmtId="0" fontId="217" fillId="0" borderId="64" xfId="0" applyFont="1" applyBorder="1"/>
    <xf numFmtId="0" fontId="217" fillId="0" borderId="10" xfId="0" applyFont="1" applyBorder="1"/>
    <xf numFmtId="10" fontId="216" fillId="71" borderId="45" xfId="0" applyNumberFormat="1" applyFont="1" applyFill="1" applyBorder="1"/>
    <xf numFmtId="10" fontId="232" fillId="71" borderId="45" xfId="0" applyNumberFormat="1" applyFont="1" applyFill="1" applyBorder="1"/>
    <xf numFmtId="165" fontId="232" fillId="71" borderId="45" xfId="0" applyNumberFormat="1" applyFont="1" applyFill="1" applyBorder="1"/>
    <xf numFmtId="0" fontId="232" fillId="71" borderId="45" xfId="0" applyFont="1" applyFill="1" applyBorder="1"/>
    <xf numFmtId="168" fontId="216" fillId="71" borderId="45" xfId="0" applyNumberFormat="1" applyFont="1" applyFill="1" applyBorder="1" applyAlignment="1">
      <alignment horizontal="right"/>
    </xf>
    <xf numFmtId="168" fontId="232" fillId="71" borderId="45" xfId="0" applyNumberFormat="1" applyFont="1" applyFill="1" applyBorder="1" applyAlignment="1">
      <alignment horizontal="right"/>
    </xf>
    <xf numFmtId="165" fontId="232" fillId="71" borderId="98" xfId="0" applyNumberFormat="1" applyFont="1" applyFill="1" applyBorder="1" applyAlignment="1">
      <alignment horizontal="right"/>
    </xf>
    <xf numFmtId="0" fontId="216" fillId="71" borderId="4" xfId="0" applyFont="1" applyFill="1" applyBorder="1" applyAlignment="1">
      <alignment horizontal="left"/>
    </xf>
    <xf numFmtId="0" fontId="215" fillId="71" borderId="5" xfId="0" quotePrefix="1" applyFont="1" applyFill="1" applyBorder="1" applyAlignment="1">
      <alignment horizontal="center"/>
    </xf>
    <xf numFmtId="0" fontId="216" fillId="71" borderId="5" xfId="0" applyFont="1" applyFill="1" applyBorder="1"/>
    <xf numFmtId="169" fontId="258" fillId="71" borderId="5" xfId="0" applyNumberFormat="1" applyFont="1" applyFill="1" applyBorder="1"/>
    <xf numFmtId="167" fontId="216" fillId="71" borderId="5" xfId="12427" applyNumberFormat="1" applyFont="1" applyFill="1" applyBorder="1"/>
    <xf numFmtId="165" fontId="258" fillId="71" borderId="5" xfId="0" applyNumberFormat="1" applyFont="1" applyFill="1" applyBorder="1"/>
    <xf numFmtId="169" fontId="216" fillId="71" borderId="5" xfId="0" applyNumberFormat="1" applyFont="1" applyFill="1" applyBorder="1"/>
    <xf numFmtId="10" fontId="216" fillId="71" borderId="5" xfId="0" applyNumberFormat="1" applyFont="1" applyFill="1" applyBorder="1"/>
    <xf numFmtId="0" fontId="232" fillId="71" borderId="5" xfId="0" applyFont="1" applyFill="1" applyBorder="1"/>
    <xf numFmtId="165" fontId="237" fillId="71" borderId="35" xfId="0" applyNumberFormat="1" applyFont="1" applyFill="1" applyBorder="1"/>
    <xf numFmtId="168" fontId="216" fillId="71" borderId="5" xfId="0" applyNumberFormat="1" applyFont="1" applyFill="1" applyBorder="1" applyAlignment="1">
      <alignment horizontal="right"/>
    </xf>
    <xf numFmtId="168" fontId="232" fillId="71" borderId="5" xfId="0" applyNumberFormat="1" applyFont="1" applyFill="1" applyBorder="1" applyAlignment="1">
      <alignment horizontal="right"/>
    </xf>
    <xf numFmtId="165" fontId="232" fillId="71" borderId="6" xfId="0" applyNumberFormat="1" applyFont="1" applyFill="1" applyBorder="1" applyAlignment="1">
      <alignment horizontal="right"/>
    </xf>
    <xf numFmtId="169" fontId="232" fillId="71" borderId="5" xfId="0" applyNumberFormat="1" applyFont="1" applyFill="1" applyBorder="1"/>
    <xf numFmtId="165" fontId="232" fillId="71" borderId="5" xfId="0" applyNumberFormat="1" applyFont="1" applyFill="1" applyBorder="1"/>
    <xf numFmtId="0" fontId="215" fillId="74" borderId="0" xfId="0" quotePrefix="1" applyFont="1" applyFill="1" applyAlignment="1">
      <alignment horizontal="right"/>
    </xf>
    <xf numFmtId="0" fontId="215" fillId="74" borderId="0" xfId="0" applyFont="1" applyFill="1" applyAlignment="1">
      <alignment horizontal="left"/>
    </xf>
    <xf numFmtId="0" fontId="233" fillId="74" borderId="0" xfId="0" applyFont="1" applyFill="1"/>
    <xf numFmtId="167" fontId="216" fillId="71" borderId="181" xfId="12427" applyNumberFormat="1" applyFont="1" applyFill="1" applyBorder="1"/>
    <xf numFmtId="0" fontId="215" fillId="0" borderId="4" xfId="0" applyFont="1" applyBorder="1"/>
    <xf numFmtId="164" fontId="229" fillId="0" borderId="6" xfId="0" applyNumberFormat="1" applyFont="1" applyBorder="1" applyAlignment="1">
      <alignment horizontal="center"/>
    </xf>
    <xf numFmtId="0" fontId="227" fillId="72" borderId="155" xfId="0" applyFont="1" applyFill="1" applyBorder="1" applyAlignment="1">
      <alignment horizontal="centerContinuous"/>
    </xf>
    <xf numFmtId="0" fontId="227" fillId="72" borderId="157" xfId="0" applyFont="1" applyFill="1" applyBorder="1" applyAlignment="1">
      <alignment horizontal="centerContinuous"/>
    </xf>
    <xf numFmtId="168" fontId="232" fillId="0" borderId="155" xfId="0" applyNumberFormat="1" applyFont="1" applyBorder="1" applyAlignment="1">
      <alignment horizontal="center"/>
    </xf>
    <xf numFmtId="168" fontId="232" fillId="0" borderId="156" xfId="0" applyNumberFormat="1" applyFont="1" applyBorder="1" applyAlignment="1">
      <alignment horizontal="center"/>
    </xf>
    <xf numFmtId="168" fontId="232" fillId="0" borderId="157" xfId="0" applyNumberFormat="1" applyFont="1" applyBorder="1" applyAlignment="1">
      <alignment horizontal="center"/>
    </xf>
    <xf numFmtId="14" fontId="228" fillId="0" borderId="0" xfId="0" applyNumberFormat="1" applyFont="1" applyAlignment="1">
      <alignment horizontal="center"/>
    </xf>
    <xf numFmtId="0" fontId="215" fillId="71" borderId="126" xfId="0" applyFont="1" applyFill="1" applyBorder="1"/>
    <xf numFmtId="0" fontId="223" fillId="0" borderId="4" xfId="0" applyFont="1" applyBorder="1" applyAlignment="1">
      <alignment wrapText="1"/>
    </xf>
    <xf numFmtId="0" fontId="215" fillId="0" borderId="5" xfId="0" applyFont="1" applyBorder="1" applyAlignment="1">
      <alignment wrapText="1"/>
    </xf>
    <xf numFmtId="0" fontId="224" fillId="0" borderId="5" xfId="0" applyFont="1" applyBorder="1" applyAlignment="1">
      <alignment wrapText="1"/>
    </xf>
    <xf numFmtId="0" fontId="224" fillId="0" borderId="6" xfId="0" applyFont="1" applyBorder="1" applyAlignment="1">
      <alignment wrapText="1"/>
    </xf>
    <xf numFmtId="0" fontId="224" fillId="0" borderId="0" xfId="0" applyFont="1" applyAlignment="1">
      <alignment wrapText="1"/>
    </xf>
    <xf numFmtId="0" fontId="215" fillId="0" borderId="0" xfId="0" applyFont="1" applyAlignment="1">
      <alignment horizontal="center" wrapText="1"/>
    </xf>
    <xf numFmtId="0" fontId="215" fillId="0" borderId="5" xfId="0" applyFont="1" applyBorder="1"/>
    <xf numFmtId="0" fontId="228" fillId="0" borderId="6" xfId="0" applyFont="1" applyBorder="1" applyAlignment="1">
      <alignment horizontal="right"/>
    </xf>
    <xf numFmtId="0" fontId="215" fillId="0" borderId="163" xfId="0" applyFont="1" applyBorder="1"/>
    <xf numFmtId="164" fontId="215" fillId="0" borderId="6" xfId="0" applyNumberFormat="1" applyFont="1" applyBorder="1" applyAlignment="1">
      <alignment horizontal="right"/>
    </xf>
    <xf numFmtId="167" fontId="228" fillId="0" borderId="138" xfId="12427" applyNumberFormat="1" applyFont="1" applyBorder="1"/>
    <xf numFmtId="167" fontId="228" fillId="0" borderId="45" xfId="12427" applyNumberFormat="1" applyFont="1" applyBorder="1"/>
    <xf numFmtId="167" fontId="228" fillId="0" borderId="98" xfId="12427" applyNumberFormat="1" applyFont="1" applyBorder="1"/>
    <xf numFmtId="0" fontId="227" fillId="72" borderId="16" xfId="0" applyFont="1" applyFill="1" applyBorder="1" applyAlignment="1">
      <alignment wrapText="1"/>
    </xf>
    <xf numFmtId="0" fontId="227" fillId="72" borderId="4" xfId="0" applyFont="1" applyFill="1" applyBorder="1" applyAlignment="1">
      <alignment horizontal="right" wrapText="1"/>
    </xf>
    <xf numFmtId="0" fontId="227" fillId="72" borderId="6" xfId="0" applyFont="1" applyFill="1" applyBorder="1" applyAlignment="1">
      <alignment horizontal="right" wrapText="1"/>
    </xf>
    <xf numFmtId="0" fontId="255" fillId="28" borderId="4" xfId="0" applyFont="1" applyFill="1" applyBorder="1" applyAlignment="1">
      <alignment horizontal="center" wrapText="1"/>
    </xf>
    <xf numFmtId="0" fontId="255" fillId="28" borderId="5" xfId="0" applyFont="1" applyFill="1" applyBorder="1" applyAlignment="1">
      <alignment horizontal="center" wrapText="1"/>
    </xf>
    <xf numFmtId="0" fontId="255" fillId="28" borderId="6" xfId="0" applyFont="1" applyFill="1" applyBorder="1" applyAlignment="1">
      <alignment horizontal="center" wrapText="1"/>
    </xf>
    <xf numFmtId="164" fontId="233" fillId="0" borderId="0" xfId="0" applyNumberFormat="1" applyFont="1"/>
    <xf numFmtId="168" fontId="233" fillId="0" borderId="0" xfId="0" applyNumberFormat="1" applyFont="1"/>
    <xf numFmtId="168" fontId="215" fillId="29" borderId="0" xfId="0" applyNumberFormat="1" applyFont="1" applyFill="1"/>
    <xf numFmtId="0" fontId="216" fillId="71" borderId="7" xfId="0" applyFont="1" applyFill="1" applyBorder="1"/>
    <xf numFmtId="0" fontId="215" fillId="71" borderId="8" xfId="0" applyFont="1" applyFill="1" applyBorder="1"/>
    <xf numFmtId="0" fontId="215" fillId="71" borderId="9" xfId="0" applyFont="1" applyFill="1" applyBorder="1"/>
    <xf numFmtId="169" fontId="215" fillId="71" borderId="0" xfId="0" applyNumberFormat="1" applyFont="1" applyFill="1"/>
    <xf numFmtId="10" fontId="215" fillId="71" borderId="13" xfId="0" applyNumberFormat="1" applyFont="1" applyFill="1" applyBorder="1" applyAlignment="1">
      <alignment horizontal="right"/>
    </xf>
    <xf numFmtId="10" fontId="215" fillId="0" borderId="0" xfId="12422" applyNumberFormat="1" applyFont="1"/>
    <xf numFmtId="10" fontId="215" fillId="71" borderId="13" xfId="0" applyNumberFormat="1" applyFont="1" applyFill="1" applyBorder="1"/>
    <xf numFmtId="0" fontId="216" fillId="71" borderId="3" xfId="0" applyFont="1" applyFill="1" applyBorder="1"/>
    <xf numFmtId="10" fontId="216" fillId="71" borderId="11" xfId="0" applyNumberFormat="1" applyFont="1" applyFill="1" applyBorder="1" applyAlignment="1">
      <alignment horizontal="right"/>
    </xf>
    <xf numFmtId="0" fontId="233" fillId="0" borderId="0" xfId="11807" applyFont="1"/>
    <xf numFmtId="0" fontId="217" fillId="0" borderId="0" xfId="11807" applyFont="1"/>
    <xf numFmtId="0" fontId="241" fillId="87" borderId="122" xfId="20303" applyFont="1" applyFill="1" applyBorder="1" applyAlignment="1">
      <alignment horizontal="center" wrapText="1"/>
    </xf>
    <xf numFmtId="0" fontId="241" fillId="87" borderId="123" xfId="20303" applyFont="1" applyFill="1" applyBorder="1" applyAlignment="1">
      <alignment horizontal="left" wrapText="1"/>
    </xf>
    <xf numFmtId="0" fontId="241" fillId="87" borderId="129" xfId="20303" applyFont="1" applyFill="1" applyBorder="1" applyAlignment="1">
      <alignment horizontal="left" wrapText="1"/>
    </xf>
    <xf numFmtId="0" fontId="241" fillId="87" borderId="123" xfId="20303" applyFont="1" applyFill="1" applyBorder="1" applyAlignment="1">
      <alignment horizontal="center" wrapText="1"/>
    </xf>
    <xf numFmtId="0" fontId="241" fillId="87" borderId="129" xfId="20303" applyFont="1" applyFill="1" applyBorder="1" applyAlignment="1">
      <alignment horizontal="center" wrapText="1"/>
    </xf>
    <xf numFmtId="0" fontId="241" fillId="87" borderId="124" xfId="20303" applyFont="1" applyFill="1" applyBorder="1" applyAlignment="1">
      <alignment horizontal="center" wrapText="1"/>
    </xf>
    <xf numFmtId="0" fontId="241" fillId="0" borderId="0" xfId="20303" applyFont="1" applyAlignment="1">
      <alignment horizontal="center" wrapText="1"/>
    </xf>
    <xf numFmtId="0" fontId="241" fillId="0" borderId="0" xfId="20303" applyFont="1" applyAlignment="1">
      <alignment horizontal="left" wrapText="1"/>
    </xf>
    <xf numFmtId="0" fontId="241" fillId="0" borderId="0" xfId="20303" applyFont="1" applyAlignment="1">
      <alignment horizontal="right" wrapText="1"/>
    </xf>
    <xf numFmtId="0" fontId="263" fillId="0" borderId="0" xfId="11846" applyFont="1"/>
    <xf numFmtId="164" fontId="215" fillId="0" borderId="0" xfId="11807" applyNumberFormat="1" applyFont="1" applyAlignment="1">
      <alignment horizontal="center" wrapText="1"/>
    </xf>
    <xf numFmtId="0" fontId="233" fillId="0" borderId="0" xfId="11846" applyFont="1" applyAlignment="1">
      <alignment horizontal="left"/>
    </xf>
    <xf numFmtId="0" fontId="233" fillId="0" borderId="0" xfId="11846" applyFont="1" applyAlignment="1">
      <alignment horizontal="left" wrapText="1" indent="1"/>
    </xf>
    <xf numFmtId="0" fontId="233" fillId="0" borderId="0" xfId="11846" applyFont="1" applyAlignment="1">
      <alignment horizontal="left" indent="1"/>
    </xf>
    <xf numFmtId="310" fontId="233" fillId="0" borderId="0" xfId="11846" applyNumberFormat="1" applyFont="1" applyAlignment="1">
      <alignment horizontal="right"/>
    </xf>
    <xf numFmtId="165" fontId="233" fillId="0" borderId="0" xfId="20384" applyNumberFormat="1" applyFont="1" applyAlignment="1">
      <alignment horizontal="right"/>
    </xf>
    <xf numFmtId="0" fontId="215" fillId="88" borderId="0" xfId="0" applyFont="1" applyFill="1" applyAlignment="1">
      <alignment vertical="top"/>
    </xf>
    <xf numFmtId="0" fontId="215" fillId="89" borderId="0" xfId="0" applyFont="1" applyFill="1" applyAlignment="1">
      <alignment vertical="top"/>
    </xf>
    <xf numFmtId="164" fontId="242" fillId="0" borderId="0" xfId="11807" applyNumberFormat="1" applyFont="1" applyAlignment="1">
      <alignment horizontal="center" wrapText="1"/>
    </xf>
    <xf numFmtId="0" fontId="264" fillId="88" borderId="0" xfId="20385" applyFont="1" applyFill="1" applyAlignment="1">
      <alignment vertical="top"/>
    </xf>
    <xf numFmtId="164" fontId="242" fillId="0" borderId="0" xfId="11807" applyNumberFormat="1" applyFont="1" applyAlignment="1">
      <alignment horizontal="left"/>
    </xf>
    <xf numFmtId="0" fontId="233" fillId="0" borderId="0" xfId="11807" applyFont="1" applyAlignment="1">
      <alignment horizontal="left"/>
    </xf>
    <xf numFmtId="0" fontId="215" fillId="71" borderId="130" xfId="0" applyFont="1" applyFill="1" applyBorder="1"/>
    <xf numFmtId="167" fontId="216" fillId="71" borderId="126" xfId="12427" applyNumberFormat="1" applyFont="1" applyFill="1" applyBorder="1"/>
    <xf numFmtId="167" fontId="216" fillId="71" borderId="130" xfId="12427" applyNumberFormat="1" applyFont="1" applyFill="1" applyBorder="1"/>
    <xf numFmtId="234" fontId="216" fillId="0" borderId="0" xfId="0" applyNumberFormat="1" applyFont="1"/>
    <xf numFmtId="167" fontId="216" fillId="71" borderId="0" xfId="12427" applyNumberFormat="1" applyFont="1" applyFill="1"/>
    <xf numFmtId="10" fontId="215" fillId="71" borderId="45" xfId="0" applyNumberFormat="1" applyFont="1" applyFill="1" applyBorder="1"/>
    <xf numFmtId="167" fontId="216" fillId="71" borderId="45" xfId="12427" applyNumberFormat="1" applyFont="1" applyFill="1" applyBorder="1"/>
    <xf numFmtId="0" fontId="216" fillId="0" borderId="0" xfId="20386" applyFont="1" applyAlignment="1">
      <alignment vertical="top"/>
    </xf>
    <xf numFmtId="0" fontId="215" fillId="0" borderId="0" xfId="20386" applyFont="1"/>
    <xf numFmtId="0" fontId="215" fillId="0" borderId="0" xfId="20386" applyFont="1" applyAlignment="1">
      <alignment horizontal="right" vertical="top"/>
    </xf>
    <xf numFmtId="0" fontId="215" fillId="0" borderId="0" xfId="20386" applyFont="1" applyAlignment="1">
      <alignment horizontal="right"/>
    </xf>
    <xf numFmtId="0" fontId="232" fillId="0" borderId="125" xfId="20386" applyFont="1" applyBorder="1"/>
    <xf numFmtId="0" fontId="232" fillId="0" borderId="127" xfId="20386" applyFont="1" applyBorder="1"/>
    <xf numFmtId="14" fontId="215" fillId="0" borderId="0" xfId="20386" applyNumberFormat="1" applyFont="1" applyAlignment="1">
      <alignment horizontal="center"/>
    </xf>
    <xf numFmtId="0" fontId="215" fillId="0" borderId="0" xfId="20386" applyFont="1" applyAlignment="1">
      <alignment horizontal="left"/>
    </xf>
    <xf numFmtId="248" fontId="215" fillId="0" borderId="0" xfId="20387" applyNumberFormat="1" applyFont="1" applyAlignment="1">
      <alignment horizontal="right"/>
    </xf>
    <xf numFmtId="43" fontId="217" fillId="0" borderId="0" xfId="12427" applyFont="1"/>
    <xf numFmtId="43" fontId="232" fillId="0" borderId="10" xfId="20386" applyNumberFormat="1" applyFont="1" applyBorder="1"/>
    <xf numFmtId="164" fontId="232" fillId="0" borderId="98" xfId="20386" applyNumberFormat="1" applyFont="1" applyBorder="1"/>
    <xf numFmtId="43" fontId="217" fillId="0" borderId="80" xfId="20386" applyNumberFormat="1" applyFont="1" applyBorder="1"/>
    <xf numFmtId="0" fontId="217" fillId="0" borderId="0" xfId="20386" applyFont="1"/>
    <xf numFmtId="0" fontId="215" fillId="74" borderId="0" xfId="20386" applyFont="1" applyFill="1" applyAlignment="1">
      <alignment horizontal="left"/>
    </xf>
    <xf numFmtId="0" fontId="215" fillId="74" borderId="0" xfId="20386" applyFont="1" applyFill="1" applyAlignment="1">
      <alignment horizontal="right" vertical="top"/>
    </xf>
    <xf numFmtId="358" fontId="215" fillId="0" borderId="0" xfId="20386" applyNumberFormat="1" applyFont="1" applyAlignment="1">
      <alignment horizontal="right" vertical="top"/>
    </xf>
    <xf numFmtId="42" fontId="215" fillId="0" borderId="0" xfId="20386" applyNumberFormat="1" applyFont="1" applyAlignment="1">
      <alignment horizontal="right" vertical="top"/>
    </xf>
    <xf numFmtId="0" fontId="217" fillId="0" borderId="0" xfId="20386" applyFont="1" applyAlignment="1">
      <alignment horizontal="right"/>
    </xf>
    <xf numFmtId="0" fontId="215" fillId="0" borderId="0" xfId="20397" applyFont="1"/>
    <xf numFmtId="0" fontId="227" fillId="72" borderId="166" xfId="0" applyFont="1" applyFill="1" applyBorder="1" applyAlignment="1">
      <alignment horizontal="left"/>
    </xf>
    <xf numFmtId="0" fontId="227" fillId="72" borderId="167" xfId="0" applyFont="1" applyFill="1" applyBorder="1" applyAlignment="1">
      <alignment horizontal="center"/>
    </xf>
    <xf numFmtId="0" fontId="227" fillId="72" borderId="168" xfId="0" applyFont="1" applyFill="1" applyBorder="1" applyAlignment="1">
      <alignment horizontal="center"/>
    </xf>
    <xf numFmtId="248" fontId="215" fillId="0" borderId="0" xfId="20398" applyNumberFormat="1" applyFont="1" applyAlignment="1">
      <alignment horizontal="right"/>
    </xf>
    <xf numFmtId="0" fontId="241" fillId="90" borderId="0" xfId="20397" applyFont="1" applyFill="1"/>
    <xf numFmtId="0" fontId="215" fillId="0" borderId="0" xfId="20397" applyFont="1" applyAlignment="1">
      <alignment horizontal="center" wrapText="1"/>
    </xf>
    <xf numFmtId="0" fontId="216" fillId="91" borderId="169" xfId="20397" applyFont="1" applyFill="1" applyBorder="1" applyAlignment="1">
      <alignment horizontal="center" wrapText="1"/>
    </xf>
    <xf numFmtId="0" fontId="216" fillId="91" borderId="170" xfId="20397" applyFont="1" applyFill="1" applyBorder="1" applyAlignment="1">
      <alignment horizontal="center" wrapText="1"/>
    </xf>
    <xf numFmtId="0" fontId="216" fillId="91" borderId="0" xfId="20397" applyFont="1" applyFill="1" applyAlignment="1">
      <alignment horizontal="center" wrapText="1"/>
    </xf>
    <xf numFmtId="0" fontId="216" fillId="91" borderId="138" xfId="20397" applyFont="1" applyFill="1" applyBorder="1" applyAlignment="1">
      <alignment horizontal="left" wrapText="1"/>
    </xf>
    <xf numFmtId="0" fontId="216" fillId="91" borderId="45" xfId="20397" applyFont="1" applyFill="1" applyBorder="1" applyAlignment="1">
      <alignment horizontal="center" wrapText="1"/>
    </xf>
    <xf numFmtId="0" fontId="216" fillId="91" borderId="45" xfId="20397" applyFont="1" applyFill="1" applyBorder="1" applyAlignment="1">
      <alignment horizontal="right" wrapText="1"/>
    </xf>
    <xf numFmtId="248" fontId="216" fillId="0" borderId="0" xfId="20398" applyNumberFormat="1" applyFont="1" applyAlignment="1">
      <alignment horizontal="right"/>
    </xf>
    <xf numFmtId="0" fontId="216" fillId="0" borderId="0" xfId="20397" applyFont="1" applyAlignment="1">
      <alignment horizontal="center" wrapText="1"/>
    </xf>
    <xf numFmtId="0" fontId="216" fillId="92" borderId="0" xfId="20397" applyFont="1" applyFill="1" applyAlignment="1">
      <alignment horizontal="center" wrapText="1"/>
    </xf>
    <xf numFmtId="0" fontId="216" fillId="0" borderId="0" xfId="20397" applyFont="1" applyAlignment="1">
      <alignment horizontal="left" wrapText="1"/>
    </xf>
    <xf numFmtId="0" fontId="216" fillId="0" borderId="0" xfId="20397" applyFont="1" applyAlignment="1">
      <alignment horizontal="left"/>
    </xf>
    <xf numFmtId="167" fontId="215" fillId="0" borderId="0" xfId="12427" applyNumberFormat="1" applyFont="1" applyAlignment="1">
      <alignment horizontal="center" wrapText="1"/>
    </xf>
    <xf numFmtId="0" fontId="222" fillId="0" borderId="0" xfId="20399" applyFont="1" applyAlignment="1">
      <alignment horizontal="center"/>
    </xf>
    <xf numFmtId="0" fontId="215" fillId="0" borderId="0" xfId="20399" applyFont="1" applyAlignment="1">
      <alignment horizontal="center"/>
    </xf>
    <xf numFmtId="164" fontId="215" fillId="0" borderId="0" xfId="20397" applyNumberFormat="1" applyFont="1" applyAlignment="1">
      <alignment horizontal="center"/>
    </xf>
    <xf numFmtId="243" fontId="215" fillId="0" borderId="0" xfId="0" applyNumberFormat="1" applyFont="1" applyAlignment="1">
      <alignment horizontal="right"/>
    </xf>
    <xf numFmtId="167" fontId="215" fillId="0" borderId="0" xfId="12427" applyNumberFormat="1" applyFont="1" applyAlignment="1">
      <alignment horizontal="right" wrapText="1"/>
    </xf>
    <xf numFmtId="248" fontId="233" fillId="0" borderId="0" xfId="20398" applyNumberFormat="1" applyFont="1" applyAlignment="1">
      <alignment horizontal="right"/>
    </xf>
    <xf numFmtId="43" fontId="215" fillId="74" borderId="0" xfId="20398" applyFont="1" applyFill="1" applyAlignment="1">
      <alignment horizontal="right"/>
    </xf>
    <xf numFmtId="165" fontId="215" fillId="74" borderId="0" xfId="20398" applyNumberFormat="1" applyFont="1" applyFill="1" applyAlignment="1">
      <alignment horizontal="right"/>
    </xf>
    <xf numFmtId="248" fontId="215" fillId="0" borderId="0" xfId="20397" applyNumberFormat="1" applyFont="1"/>
    <xf numFmtId="0" fontId="215" fillId="0" borderId="0" xfId="20397" applyFont="1" applyAlignment="1">
      <alignment horizontal="left"/>
    </xf>
    <xf numFmtId="248" fontId="215" fillId="0" borderId="0" xfId="20397" applyNumberFormat="1" applyFont="1" applyAlignment="1">
      <alignment horizontal="center" wrapText="1"/>
    </xf>
    <xf numFmtId="248" fontId="233" fillId="0" borderId="0" xfId="20397" applyNumberFormat="1" applyFont="1" applyAlignment="1">
      <alignment horizontal="center" wrapText="1"/>
    </xf>
    <xf numFmtId="248" fontId="215" fillId="0" borderId="0" xfId="12427" applyNumberFormat="1" applyFont="1" applyAlignment="1">
      <alignment horizontal="center"/>
    </xf>
    <xf numFmtId="248" fontId="233" fillId="0" borderId="0" xfId="12427" applyNumberFormat="1" applyFont="1" applyAlignment="1">
      <alignment horizontal="right"/>
    </xf>
    <xf numFmtId="248" fontId="215" fillId="0" borderId="0" xfId="20397" applyNumberFormat="1" applyFont="1" applyAlignment="1">
      <alignment horizontal="right" wrapText="1"/>
    </xf>
    <xf numFmtId="248" fontId="233" fillId="74" borderId="0" xfId="20398" applyNumberFormat="1" applyFont="1" applyFill="1" applyAlignment="1">
      <alignment horizontal="right"/>
    </xf>
    <xf numFmtId="243" fontId="215" fillId="0" borderId="0" xfId="20398" applyNumberFormat="1" applyFont="1" applyAlignment="1">
      <alignment horizontal="right"/>
    </xf>
    <xf numFmtId="248" fontId="215" fillId="74" borderId="0" xfId="20397" applyNumberFormat="1" applyFont="1" applyFill="1"/>
    <xf numFmtId="248" fontId="215" fillId="0" borderId="0" xfId="12427" applyNumberFormat="1" applyFont="1" applyAlignment="1">
      <alignment horizontal="right"/>
    </xf>
    <xf numFmtId="0" fontId="215" fillId="74" borderId="0" xfId="20397" applyFont="1" applyFill="1" applyAlignment="1">
      <alignment horizontal="center" wrapText="1"/>
    </xf>
    <xf numFmtId="0" fontId="222" fillId="74" borderId="0" xfId="20399" applyFont="1" applyFill="1" applyAlignment="1">
      <alignment horizontal="center"/>
    </xf>
    <xf numFmtId="248" fontId="215" fillId="88" borderId="0" xfId="20397" applyNumberFormat="1" applyFont="1" applyFill="1"/>
    <xf numFmtId="0" fontId="215" fillId="88" borderId="0" xfId="20397" applyFont="1" applyFill="1"/>
    <xf numFmtId="248" fontId="233" fillId="88" borderId="0" xfId="20398" applyNumberFormat="1" applyFont="1" applyFill="1" applyAlignment="1">
      <alignment horizontal="right"/>
    </xf>
    <xf numFmtId="234" fontId="215" fillId="88" borderId="0" xfId="20399" applyNumberFormat="1" applyFont="1" applyFill="1" applyAlignment="1">
      <alignment horizontal="right"/>
    </xf>
    <xf numFmtId="14" fontId="215" fillId="88" borderId="0" xfId="20397" applyNumberFormat="1" applyFont="1" applyFill="1" applyAlignment="1">
      <alignment horizontal="left"/>
    </xf>
    <xf numFmtId="248" fontId="215" fillId="88" borderId="0" xfId="20398" applyNumberFormat="1" applyFont="1" applyFill="1" applyAlignment="1">
      <alignment horizontal="center" wrapText="1"/>
    </xf>
    <xf numFmtId="243" fontId="215" fillId="0" borderId="0" xfId="20398" applyNumberFormat="1" applyFont="1"/>
    <xf numFmtId="248" fontId="215" fillId="0" borderId="0" xfId="20398" applyNumberFormat="1" applyFont="1" applyAlignment="1">
      <alignment horizontal="center"/>
    </xf>
    <xf numFmtId="0" fontId="216" fillId="71" borderId="169" xfId="11807" applyFont="1" applyFill="1" applyBorder="1"/>
    <xf numFmtId="0" fontId="215" fillId="71" borderId="170" xfId="11807" applyFont="1" applyFill="1" applyBorder="1"/>
    <xf numFmtId="167" fontId="216" fillId="71" borderId="170" xfId="12427" applyNumberFormat="1" applyFont="1" applyFill="1" applyBorder="1"/>
    <xf numFmtId="167" fontId="216" fillId="71" borderId="171" xfId="12427" applyNumberFormat="1" applyFont="1" applyFill="1" applyBorder="1"/>
    <xf numFmtId="243" fontId="215" fillId="0" borderId="172" xfId="0" applyNumberFormat="1" applyFont="1" applyBorder="1" applyAlignment="1">
      <alignment horizontal="right"/>
    </xf>
    <xf numFmtId="0" fontId="216" fillId="71" borderId="64" xfId="11807" applyFont="1" applyFill="1" applyBorder="1"/>
    <xf numFmtId="0" fontId="215" fillId="71" borderId="0" xfId="11807" applyFont="1" applyFill="1"/>
    <xf numFmtId="167" fontId="216" fillId="71" borderId="13" xfId="12427" applyNumberFormat="1" applyFont="1" applyFill="1" applyBorder="1"/>
    <xf numFmtId="243" fontId="215" fillId="0" borderId="51" xfId="0" applyNumberFormat="1" applyFont="1" applyBorder="1" applyAlignment="1">
      <alignment horizontal="right"/>
    </xf>
    <xf numFmtId="0" fontId="216" fillId="71" borderId="138" xfId="11807" applyFont="1" applyFill="1" applyBorder="1"/>
    <xf numFmtId="0" fontId="215" fillId="71" borderId="45" xfId="11807" applyFont="1" applyFill="1" applyBorder="1"/>
    <xf numFmtId="167" fontId="216" fillId="71" borderId="98" xfId="12427" applyNumberFormat="1" applyFont="1" applyFill="1" applyBorder="1"/>
    <xf numFmtId="243" fontId="215" fillId="0" borderId="139" xfId="0" applyNumberFormat="1" applyFont="1" applyBorder="1" applyAlignment="1">
      <alignment horizontal="right"/>
    </xf>
    <xf numFmtId="0" fontId="216" fillId="0" borderId="0" xfId="20397" applyFont="1"/>
    <xf numFmtId="248" fontId="233" fillId="0" borderId="0" xfId="20403" applyNumberFormat="1" applyFont="1" applyAlignment="1">
      <alignment horizontal="center" wrapText="1"/>
    </xf>
    <xf numFmtId="0" fontId="215" fillId="88" borderId="0" xfId="20403" applyFont="1" applyFill="1"/>
    <xf numFmtId="248" fontId="215" fillId="0" borderId="0" xfId="20403" applyNumberFormat="1" applyFont="1" applyAlignment="1">
      <alignment horizontal="right" wrapText="1"/>
    </xf>
    <xf numFmtId="0" fontId="215" fillId="0" borderId="0" xfId="20403" applyFont="1" applyAlignment="1">
      <alignment horizontal="center" wrapText="1"/>
    </xf>
    <xf numFmtId="0" fontId="215" fillId="0" borderId="0" xfId="20403" applyFont="1"/>
    <xf numFmtId="0" fontId="222" fillId="0" borderId="0" xfId="20404" applyFont="1" applyAlignment="1">
      <alignment horizontal="center"/>
    </xf>
    <xf numFmtId="0" fontId="215" fillId="0" borderId="0" xfId="20404" applyFont="1" applyAlignment="1">
      <alignment horizontal="center"/>
    </xf>
    <xf numFmtId="248" fontId="215" fillId="0" borderId="0" xfId="20405" applyNumberFormat="1" applyFont="1" applyAlignment="1">
      <alignment horizontal="right"/>
    </xf>
    <xf numFmtId="248" fontId="215" fillId="0" borderId="0" xfId="20403" applyNumberFormat="1" applyFont="1"/>
    <xf numFmtId="0" fontId="215" fillId="0" borderId="0" xfId="20403" applyFont="1" applyAlignment="1">
      <alignment horizontal="left"/>
    </xf>
    <xf numFmtId="248" fontId="215" fillId="0" borderId="0" xfId="20403" applyNumberFormat="1" applyFont="1" applyAlignment="1">
      <alignment horizontal="center" wrapText="1"/>
    </xf>
    <xf numFmtId="248" fontId="233" fillId="74" borderId="0" xfId="20405" applyNumberFormat="1" applyFont="1" applyFill="1" applyAlignment="1">
      <alignment horizontal="right"/>
    </xf>
    <xf numFmtId="0" fontId="215" fillId="0" borderId="0" xfId="20397" quotePrefix="1" applyFont="1" applyAlignment="1">
      <alignment horizontal="right" wrapText="1"/>
    </xf>
    <xf numFmtId="0" fontId="215" fillId="0" borderId="0" xfId="20397" applyFont="1" applyAlignment="1">
      <alignment horizontal="left" vertical="center" wrapText="1"/>
    </xf>
    <xf numFmtId="43" fontId="215" fillId="0" borderId="0" xfId="20398" applyFont="1" applyAlignment="1">
      <alignment horizontal="right"/>
    </xf>
    <xf numFmtId="165" fontId="215" fillId="0" borderId="0" xfId="20398" applyNumberFormat="1" applyFont="1" applyAlignment="1">
      <alignment horizontal="right"/>
    </xf>
    <xf numFmtId="0" fontId="230" fillId="0" borderId="0" xfId="20397" applyFont="1" applyAlignment="1">
      <alignment horizontal="left"/>
    </xf>
    <xf numFmtId="248" fontId="215" fillId="88" borderId="0" xfId="20398" applyNumberFormat="1" applyFont="1" applyFill="1" applyAlignment="1">
      <alignment horizontal="center"/>
    </xf>
    <xf numFmtId="0" fontId="215" fillId="0" borderId="0" xfId="20397" applyFont="1" applyAlignment="1">
      <alignment horizontal="right"/>
    </xf>
    <xf numFmtId="243" fontId="215" fillId="0" borderId="172" xfId="16218" applyNumberFormat="1" applyFont="1" applyBorder="1" applyAlignment="1">
      <alignment horizontal="right"/>
    </xf>
    <xf numFmtId="243" fontId="215" fillId="0" borderId="51" xfId="20398" applyNumberFormat="1" applyFont="1" applyBorder="1" applyAlignment="1">
      <alignment horizontal="right"/>
    </xf>
    <xf numFmtId="243" fontId="215" fillId="0" borderId="139" xfId="16218" applyNumberFormat="1" applyFont="1" applyBorder="1" applyAlignment="1">
      <alignment horizontal="right"/>
    </xf>
    <xf numFmtId="0" fontId="215" fillId="0" borderId="0" xfId="20397" applyFont="1" applyAlignment="1">
      <alignment vertical="top" wrapText="1"/>
    </xf>
    <xf numFmtId="0" fontId="216" fillId="0" borderId="145" xfId="20386" applyFont="1" applyBorder="1" applyAlignment="1">
      <alignment horizontal="center"/>
    </xf>
    <xf numFmtId="43" fontId="217" fillId="0" borderId="0" xfId="20386" applyNumberFormat="1" applyFont="1"/>
    <xf numFmtId="164" fontId="216" fillId="0" borderId="80" xfId="20386" applyNumberFormat="1" applyFont="1" applyBorder="1" applyAlignment="1">
      <alignment horizontal="center"/>
    </xf>
    <xf numFmtId="43" fontId="225" fillId="74" borderId="0" xfId="11155" applyFont="1" applyFill="1"/>
    <xf numFmtId="0" fontId="227" fillId="72" borderId="143" xfId="0" applyFont="1" applyFill="1" applyBorder="1" applyAlignment="1">
      <alignment horizontal="center"/>
    </xf>
    <xf numFmtId="0" fontId="227" fillId="72" borderId="144" xfId="0" applyFont="1" applyFill="1" applyBorder="1" applyAlignment="1">
      <alignment horizontal="center"/>
    </xf>
    <xf numFmtId="248" fontId="215" fillId="0" borderId="0" xfId="20400" applyNumberFormat="1" applyFont="1" applyAlignment="1">
      <alignment horizontal="right"/>
    </xf>
    <xf numFmtId="0" fontId="216" fillId="0" borderId="81" xfId="20397" applyFont="1" applyBorder="1" applyAlignment="1">
      <alignment horizontal="center" wrapText="1"/>
    </xf>
    <xf numFmtId="0" fontId="216" fillId="0" borderId="143" xfId="20397" applyFont="1" applyBorder="1" applyAlignment="1">
      <alignment horizontal="center" wrapText="1"/>
    </xf>
    <xf numFmtId="0" fontId="216" fillId="0" borderId="143" xfId="20397" applyFont="1" applyBorder="1" applyAlignment="1">
      <alignment wrapText="1"/>
    </xf>
    <xf numFmtId="0" fontId="227" fillId="0" borderId="143" xfId="0" applyFont="1" applyBorder="1" applyAlignment="1">
      <alignment horizontal="center"/>
    </xf>
    <xf numFmtId="0" fontId="216" fillId="0" borderId="144" xfId="20397" applyFont="1" applyBorder="1" applyAlignment="1">
      <alignment horizontal="center" wrapText="1"/>
    </xf>
    <xf numFmtId="0" fontId="216" fillId="0" borderId="143" xfId="20397" applyFont="1" applyBorder="1" applyAlignment="1">
      <alignment horizontal="centerContinuous" vertical="center" wrapText="1"/>
    </xf>
    <xf numFmtId="0" fontId="216" fillId="0" borderId="144" xfId="20397" applyFont="1" applyBorder="1" applyAlignment="1">
      <alignment horizontal="centerContinuous" vertical="center" wrapText="1"/>
    </xf>
    <xf numFmtId="0" fontId="241" fillId="0" borderId="0" xfId="20397" applyFont="1"/>
    <xf numFmtId="0" fontId="216" fillId="91" borderId="64" xfId="20397" applyFont="1" applyFill="1" applyBorder="1" applyAlignment="1">
      <alignment horizontal="center" wrapText="1"/>
    </xf>
    <xf numFmtId="0" fontId="216" fillId="91" borderId="152" xfId="20397" applyFont="1" applyFill="1" applyBorder="1" applyAlignment="1">
      <alignment horizontal="center" wrapText="1"/>
    </xf>
    <xf numFmtId="0" fontId="216" fillId="91" borderId="153" xfId="20397" applyFont="1" applyFill="1" applyBorder="1" applyAlignment="1">
      <alignment horizontal="center" wrapText="1"/>
    </xf>
    <xf numFmtId="0" fontId="216" fillId="91" borderId="13" xfId="20397" applyFont="1" applyFill="1" applyBorder="1" applyAlignment="1">
      <alignment horizontal="center" wrapText="1"/>
    </xf>
    <xf numFmtId="0" fontId="216" fillId="91" borderId="98" xfId="20397" applyFont="1" applyFill="1" applyBorder="1" applyAlignment="1">
      <alignment horizontal="center" wrapText="1"/>
    </xf>
    <xf numFmtId="0" fontId="216" fillId="0" borderId="152" xfId="20397" applyFont="1" applyBorder="1" applyAlignment="1">
      <alignment horizontal="center" wrapText="1"/>
    </xf>
    <xf numFmtId="0" fontId="216" fillId="92" borderId="0" xfId="20397" applyFont="1" applyFill="1" applyAlignment="1">
      <alignment wrapText="1"/>
    </xf>
    <xf numFmtId="243" fontId="215" fillId="0" borderId="0" xfId="20401" applyNumberFormat="1" applyFont="1" applyAlignment="1">
      <alignment horizontal="right"/>
    </xf>
    <xf numFmtId="243" fontId="215" fillId="0" borderId="0" xfId="20400" applyNumberFormat="1" applyFont="1" applyAlignment="1">
      <alignment horizontal="right"/>
    </xf>
    <xf numFmtId="14" fontId="215" fillId="0" borderId="0" xfId="20397" applyNumberFormat="1" applyFont="1" applyAlignment="1">
      <alignment horizontal="left"/>
    </xf>
    <xf numFmtId="248" fontId="215" fillId="0" borderId="0" xfId="12427" applyNumberFormat="1" applyFont="1" applyAlignment="1">
      <alignment horizontal="center" wrapText="1"/>
    </xf>
    <xf numFmtId="248" fontId="233" fillId="0" borderId="0" xfId="12427" applyNumberFormat="1" applyFont="1" applyAlignment="1">
      <alignment horizontal="center" wrapText="1"/>
    </xf>
    <xf numFmtId="248" fontId="215" fillId="0" borderId="0" xfId="12427" applyNumberFormat="1" applyFont="1" applyAlignment="1">
      <alignment horizontal="right" wrapText="1"/>
    </xf>
    <xf numFmtId="248" fontId="215" fillId="0" borderId="0" xfId="12427" applyNumberFormat="1" applyFont="1"/>
    <xf numFmtId="0" fontId="215" fillId="0" borderId="45" xfId="20397" applyFont="1" applyBorder="1"/>
    <xf numFmtId="0" fontId="215" fillId="0" borderId="45" xfId="20397" applyFont="1" applyBorder="1" applyAlignment="1">
      <alignment horizontal="right"/>
    </xf>
    <xf numFmtId="248" fontId="233" fillId="0" borderId="45" xfId="20400" applyNumberFormat="1" applyFont="1" applyBorder="1" applyAlignment="1">
      <alignment horizontal="right"/>
    </xf>
    <xf numFmtId="0" fontId="216" fillId="71" borderId="154" xfId="20397" applyFont="1" applyFill="1" applyBorder="1"/>
    <xf numFmtId="0" fontId="216" fillId="71" borderId="152" xfId="20397" applyFont="1" applyFill="1" applyBorder="1"/>
    <xf numFmtId="0" fontId="216" fillId="71" borderId="152" xfId="20397" applyFont="1" applyFill="1" applyBorder="1" applyAlignment="1">
      <alignment horizontal="right"/>
    </xf>
    <xf numFmtId="248" fontId="216" fillId="71" borderId="152" xfId="12427" applyNumberFormat="1" applyFont="1" applyFill="1" applyBorder="1" applyAlignment="1">
      <alignment horizontal="right"/>
    </xf>
    <xf numFmtId="248" fontId="216" fillId="71" borderId="153" xfId="12427" applyNumberFormat="1" applyFont="1" applyFill="1" applyBorder="1" applyAlignment="1">
      <alignment horizontal="right"/>
    </xf>
    <xf numFmtId="248" fontId="216" fillId="0" borderId="152" xfId="12427" applyNumberFormat="1" applyFont="1" applyBorder="1" applyAlignment="1">
      <alignment horizontal="right"/>
    </xf>
    <xf numFmtId="234" fontId="216" fillId="0" borderId="152" xfId="0" applyNumberFormat="1" applyFont="1" applyBorder="1" applyAlignment="1">
      <alignment horizontal="right"/>
    </xf>
    <xf numFmtId="234" fontId="216" fillId="0" borderId="153" xfId="0" applyNumberFormat="1" applyFont="1" applyBorder="1" applyAlignment="1">
      <alignment horizontal="right"/>
    </xf>
    <xf numFmtId="0" fontId="216" fillId="71" borderId="64" xfId="20397" applyFont="1" applyFill="1" applyBorder="1"/>
    <xf numFmtId="0" fontId="216" fillId="71" borderId="0" xfId="20397" applyFont="1" applyFill="1"/>
    <xf numFmtId="0" fontId="216" fillId="71" borderId="0" xfId="20397" applyFont="1" applyFill="1" applyAlignment="1">
      <alignment horizontal="right"/>
    </xf>
    <xf numFmtId="248" fontId="216" fillId="71" borderId="0" xfId="12427" applyNumberFormat="1" applyFont="1" applyFill="1" applyAlignment="1">
      <alignment horizontal="right"/>
    </xf>
    <xf numFmtId="248" fontId="216" fillId="71" borderId="13" xfId="12427" applyNumberFormat="1" applyFont="1" applyFill="1" applyBorder="1" applyAlignment="1">
      <alignment horizontal="right"/>
    </xf>
    <xf numFmtId="248" fontId="216" fillId="0" borderId="0" xfId="12427" applyNumberFormat="1" applyFont="1" applyAlignment="1">
      <alignment horizontal="right"/>
    </xf>
    <xf numFmtId="234" fontId="216" fillId="0" borderId="0" xfId="0" applyNumberFormat="1" applyFont="1" applyAlignment="1">
      <alignment horizontal="right"/>
    </xf>
    <xf numFmtId="234" fontId="216" fillId="0" borderId="13" xfId="0" applyNumberFormat="1" applyFont="1" applyBorder="1" applyAlignment="1">
      <alignment horizontal="right"/>
    </xf>
    <xf numFmtId="0" fontId="216" fillId="71" borderId="138" xfId="20397" applyFont="1" applyFill="1" applyBorder="1"/>
    <xf numFmtId="0" fontId="216" fillId="71" borderId="45" xfId="20397" applyFont="1" applyFill="1" applyBorder="1"/>
    <xf numFmtId="0" fontId="216" fillId="71" borderId="45" xfId="20397" applyFont="1" applyFill="1" applyBorder="1" applyAlignment="1">
      <alignment horizontal="right"/>
    </xf>
    <xf numFmtId="248" fontId="216" fillId="71" borderId="45" xfId="12427" applyNumberFormat="1" applyFont="1" applyFill="1" applyBorder="1" applyAlignment="1">
      <alignment horizontal="right"/>
    </xf>
    <xf numFmtId="248" fontId="216" fillId="71" borderId="98" xfId="12427" applyNumberFormat="1" applyFont="1" applyFill="1" applyBorder="1" applyAlignment="1">
      <alignment horizontal="right"/>
    </xf>
    <xf numFmtId="248" fontId="216" fillId="0" borderId="45" xfId="12427" applyNumberFormat="1" applyFont="1" applyBorder="1" applyAlignment="1">
      <alignment horizontal="right"/>
    </xf>
    <xf numFmtId="234" fontId="216" fillId="0" borderId="45" xfId="0" applyNumberFormat="1" applyFont="1" applyBorder="1" applyAlignment="1">
      <alignment horizontal="right"/>
    </xf>
    <xf numFmtId="234" fontId="216" fillId="0" borderId="98" xfId="0" applyNumberFormat="1" applyFont="1" applyBorder="1" applyAlignment="1">
      <alignment horizontal="right"/>
    </xf>
    <xf numFmtId="0" fontId="215" fillId="0" borderId="152" xfId="20397" applyFont="1" applyBorder="1"/>
    <xf numFmtId="0" fontId="215" fillId="0" borderId="152" xfId="20397" applyFont="1" applyBorder="1" applyAlignment="1">
      <alignment horizontal="right"/>
    </xf>
    <xf numFmtId="0" fontId="216" fillId="91" borderId="154" xfId="20397" applyFont="1" applyFill="1" applyBorder="1" applyAlignment="1">
      <alignment horizontal="center" wrapText="1"/>
    </xf>
    <xf numFmtId="248" fontId="216" fillId="0" borderId="0" xfId="20397" applyNumberFormat="1" applyFont="1" applyAlignment="1">
      <alignment horizontal="center" wrapText="1"/>
    </xf>
    <xf numFmtId="243" fontId="215" fillId="0" borderId="0" xfId="0" applyNumberFormat="1" applyFont="1"/>
    <xf numFmtId="248" fontId="215" fillId="74" borderId="0" xfId="12427" applyNumberFormat="1" applyFont="1" applyFill="1" applyAlignment="1">
      <alignment horizontal="right"/>
    </xf>
    <xf numFmtId="164" fontId="215" fillId="74" borderId="0" xfId="20397" applyNumberFormat="1" applyFont="1" applyFill="1" applyAlignment="1">
      <alignment horizontal="left"/>
    </xf>
    <xf numFmtId="0" fontId="215" fillId="0" borderId="0" xfId="20397" applyFont="1" applyAlignment="1">
      <alignment wrapText="1"/>
    </xf>
    <xf numFmtId="0" fontId="216" fillId="71" borderId="154" xfId="11807" applyFont="1" applyFill="1" applyBorder="1"/>
    <xf numFmtId="0" fontId="215" fillId="71" borderId="152" xfId="11807" applyFont="1" applyFill="1" applyBorder="1"/>
    <xf numFmtId="167" fontId="216" fillId="71" borderId="152" xfId="12427" applyNumberFormat="1" applyFont="1" applyFill="1" applyBorder="1"/>
    <xf numFmtId="167" fontId="216" fillId="71" borderId="153" xfId="12427" applyNumberFormat="1" applyFont="1" applyFill="1" applyBorder="1"/>
    <xf numFmtId="243" fontId="215" fillId="0" borderId="145" xfId="0" applyNumberFormat="1" applyFont="1" applyBorder="1" applyAlignment="1">
      <alignment horizontal="right"/>
    </xf>
    <xf numFmtId="243" fontId="215" fillId="0" borderId="145" xfId="16218" applyNumberFormat="1" applyFont="1" applyBorder="1" applyAlignment="1">
      <alignment horizontal="right"/>
    </xf>
    <xf numFmtId="248" fontId="216" fillId="71" borderId="152" xfId="12427" applyNumberFormat="1" applyFont="1" applyFill="1" applyBorder="1"/>
    <xf numFmtId="248" fontId="216" fillId="71" borderId="153" xfId="12427" applyNumberFormat="1" applyFont="1" applyFill="1" applyBorder="1"/>
    <xf numFmtId="248" fontId="216" fillId="0" borderId="159" xfId="12427" applyNumberFormat="1" applyFont="1" applyBorder="1" applyAlignment="1">
      <alignment horizontal="right"/>
    </xf>
    <xf numFmtId="248" fontId="216" fillId="71" borderId="0" xfId="12427" applyNumberFormat="1" applyFont="1" applyFill="1"/>
    <xf numFmtId="248" fontId="216" fillId="71" borderId="13" xfId="12427" applyNumberFormat="1" applyFont="1" applyFill="1" applyBorder="1"/>
    <xf numFmtId="248" fontId="216" fillId="0" borderId="51" xfId="12427" applyNumberFormat="1" applyFont="1" applyBorder="1" applyAlignment="1">
      <alignment horizontal="right"/>
    </xf>
    <xf numFmtId="248" fontId="216" fillId="71" borderId="45" xfId="12427" applyNumberFormat="1" applyFont="1" applyFill="1" applyBorder="1"/>
    <xf numFmtId="248" fontId="216" fillId="71" borderId="98" xfId="12427" applyNumberFormat="1" applyFont="1" applyFill="1" applyBorder="1"/>
    <xf numFmtId="248" fontId="216" fillId="0" borderId="139" xfId="12427" applyNumberFormat="1" applyFont="1" applyBorder="1" applyAlignment="1">
      <alignment horizontal="right"/>
    </xf>
    <xf numFmtId="0" fontId="215" fillId="0" borderId="126" xfId="20386" applyFont="1" applyBorder="1" applyAlignment="1">
      <alignment horizontal="right"/>
    </xf>
    <xf numFmtId="0" fontId="216" fillId="74" borderId="0" xfId="0" applyFont="1" applyFill="1" applyAlignment="1">
      <alignment horizontal="left"/>
    </xf>
    <xf numFmtId="0" fontId="216" fillId="74" borderId="0" xfId="0" applyFont="1" applyFill="1" applyAlignment="1">
      <alignment horizontal="centerContinuous"/>
    </xf>
    <xf numFmtId="0" fontId="227" fillId="72" borderId="81" xfId="0" applyFont="1" applyFill="1" applyBorder="1" applyAlignment="1">
      <alignment wrapText="1"/>
    </xf>
    <xf numFmtId="0" fontId="227" fillId="72" borderId="80" xfId="0" applyFont="1" applyFill="1" applyBorder="1" applyAlignment="1">
      <alignment horizontal="right" wrapText="1"/>
    </xf>
    <xf numFmtId="0" fontId="227" fillId="0" borderId="0" xfId="0" applyFont="1" applyAlignment="1">
      <alignment horizontal="center" wrapText="1"/>
    </xf>
    <xf numFmtId="0" fontId="227" fillId="72" borderId="81" xfId="0" applyFont="1" applyFill="1" applyBorder="1" applyAlignment="1">
      <alignment horizontal="centerContinuous" wrapText="1"/>
    </xf>
    <xf numFmtId="0" fontId="227" fillId="72" borderId="69" xfId="0" applyFont="1" applyFill="1" applyBorder="1" applyAlignment="1">
      <alignment horizontal="centerContinuous" wrapText="1"/>
    </xf>
    <xf numFmtId="165" fontId="233" fillId="0" borderId="0" xfId="12422" applyNumberFormat="1" applyFont="1" applyAlignment="1">
      <alignment vertical="top"/>
    </xf>
    <xf numFmtId="0" fontId="216" fillId="0" borderId="18" xfId="0" applyFont="1" applyBorder="1"/>
    <xf numFmtId="168" fontId="216" fillId="0" borderId="18" xfId="0" applyNumberFormat="1" applyFont="1" applyBorder="1"/>
    <xf numFmtId="168" fontId="216" fillId="0" borderId="18" xfId="0" applyNumberFormat="1" applyFont="1" applyBorder="1" applyAlignment="1">
      <alignment horizontal="right" wrapText="1"/>
    </xf>
    <xf numFmtId="0" fontId="216" fillId="74" borderId="18" xfId="0" applyFont="1" applyFill="1" applyBorder="1"/>
    <xf numFmtId="165" fontId="222" fillId="0" borderId="0" xfId="0" applyNumberFormat="1" applyFont="1" applyAlignment="1">
      <alignment horizontal="right" indent="1"/>
    </xf>
    <xf numFmtId="0" fontId="215" fillId="0" borderId="0" xfId="0" applyFont="1" applyAlignment="1">
      <alignment horizontal="right" indent="1"/>
    </xf>
    <xf numFmtId="0" fontId="216" fillId="0" borderId="18" xfId="0" applyFont="1" applyBorder="1" applyAlignment="1">
      <alignment horizontal="right" indent="1"/>
    </xf>
    <xf numFmtId="0" fontId="227" fillId="72" borderId="81" xfId="0" applyFont="1" applyFill="1" applyBorder="1"/>
    <xf numFmtId="0" fontId="227" fillId="72" borderId="69" xfId="0" applyFont="1" applyFill="1" applyBorder="1" applyAlignment="1">
      <alignment horizontal="left" wrapText="1"/>
    </xf>
    <xf numFmtId="0" fontId="227" fillId="72" borderId="81" xfId="0" applyFont="1" applyFill="1" applyBorder="1" applyAlignment="1">
      <alignment horizontal="left" wrapText="1"/>
    </xf>
    <xf numFmtId="0" fontId="216" fillId="71" borderId="70" xfId="0" applyFont="1" applyFill="1" applyBorder="1"/>
    <xf numFmtId="0" fontId="216" fillId="71" borderId="101" xfId="0" applyFont="1" applyFill="1" applyBorder="1"/>
    <xf numFmtId="0" fontId="215" fillId="71" borderId="101" xfId="0" applyFont="1" applyFill="1" applyBorder="1"/>
    <xf numFmtId="165" fontId="215" fillId="71" borderId="101" xfId="0" applyNumberFormat="1" applyFont="1" applyFill="1" applyBorder="1"/>
    <xf numFmtId="165" fontId="215" fillId="71" borderId="101" xfId="0" quotePrefix="1" applyNumberFormat="1" applyFont="1" applyFill="1" applyBorder="1"/>
    <xf numFmtId="165" fontId="231" fillId="71" borderId="102" xfId="0" applyNumberFormat="1" applyFont="1" applyFill="1" applyBorder="1"/>
    <xf numFmtId="0" fontId="215" fillId="71" borderId="101" xfId="0" quotePrefix="1" applyFont="1" applyFill="1" applyBorder="1"/>
    <xf numFmtId="165" fontId="216" fillId="71" borderId="45" xfId="12422" applyNumberFormat="1" applyFont="1" applyFill="1" applyBorder="1"/>
    <xf numFmtId="43" fontId="256" fillId="0" borderId="0" xfId="11155" applyFont="1"/>
    <xf numFmtId="0" fontId="227" fillId="72" borderId="155" xfId="0" applyFont="1" applyFill="1" applyBorder="1" applyAlignment="1">
      <alignment wrapText="1"/>
    </xf>
    <xf numFmtId="0" fontId="227" fillId="72" borderId="156" xfId="0" applyFont="1" applyFill="1" applyBorder="1" applyAlignment="1">
      <alignment wrapText="1"/>
    </xf>
    <xf numFmtId="8" fontId="222" fillId="0" borderId="0" xfId="0" applyNumberFormat="1" applyFont="1"/>
    <xf numFmtId="0" fontId="232" fillId="0" borderId="155" xfId="0" applyFont="1" applyBorder="1"/>
    <xf numFmtId="0" fontId="216" fillId="0" borderId="156" xfId="0" applyFont="1" applyBorder="1"/>
    <xf numFmtId="0" fontId="216" fillId="0" borderId="157" xfId="0" applyFont="1" applyBorder="1"/>
    <xf numFmtId="0" fontId="216" fillId="0" borderId="0" xfId="20402" applyFont="1" applyAlignment="1">
      <alignment horizontal="left" indent="1"/>
    </xf>
    <xf numFmtId="8" fontId="217" fillId="0" borderId="0" xfId="0" applyNumberFormat="1" applyFont="1"/>
    <xf numFmtId="167" fontId="222" fillId="0" borderId="0" xfId="12427" applyNumberFormat="1" applyFont="1"/>
    <xf numFmtId="248" fontId="222" fillId="0" borderId="0" xfId="12427" applyNumberFormat="1" applyFont="1"/>
    <xf numFmtId="0" fontId="215" fillId="0" borderId="0" xfId="0" applyFont="1" applyAlignment="1">
      <alignment horizontal="left" vertical="center" wrapText="1"/>
    </xf>
    <xf numFmtId="0" fontId="230" fillId="0" borderId="0" xfId="20402" applyFont="1" applyAlignment="1">
      <alignment horizontal="left"/>
    </xf>
    <xf numFmtId="0" fontId="215" fillId="0" borderId="0" xfId="20402" quotePrefix="1" applyFont="1" applyAlignment="1">
      <alignment horizontal="left"/>
    </xf>
    <xf numFmtId="0" fontId="215" fillId="0" borderId="0" xfId="0" applyFont="1" applyAlignment="1">
      <alignment horizontal="left" indent="3"/>
    </xf>
    <xf numFmtId="43" fontId="241" fillId="87" borderId="175" xfId="0" applyNumberFormat="1" applyFont="1" applyFill="1" applyBorder="1"/>
    <xf numFmtId="0" fontId="215" fillId="0" borderId="170" xfId="0" applyFont="1" applyBorder="1"/>
    <xf numFmtId="0" fontId="230" fillId="0" borderId="0" xfId="0" applyFont="1" applyAlignment="1">
      <alignment horizontal="center"/>
    </xf>
    <xf numFmtId="0" fontId="241" fillId="72" borderId="174" xfId="0" applyFont="1" applyFill="1" applyBorder="1"/>
    <xf numFmtId="0" fontId="241" fillId="72" borderId="175" xfId="0" applyFont="1" applyFill="1" applyBorder="1"/>
    <xf numFmtId="43" fontId="215" fillId="0" borderId="0" xfId="12427" applyFont="1"/>
    <xf numFmtId="0" fontId="233" fillId="0" borderId="31" xfId="0" applyFont="1" applyBorder="1" applyAlignment="1">
      <alignment horizontal="center"/>
    </xf>
    <xf numFmtId="0" fontId="217" fillId="0" borderId="32" xfId="0" applyFont="1" applyBorder="1"/>
    <xf numFmtId="169" fontId="229" fillId="0" borderId="158" xfId="0" applyNumberFormat="1" applyFont="1" applyBorder="1"/>
    <xf numFmtId="169" fontId="229" fillId="0" borderId="162" xfId="0" applyNumberFormat="1" applyFont="1" applyBorder="1"/>
    <xf numFmtId="43" fontId="233" fillId="74" borderId="0" xfId="0" quotePrefix="1" applyNumberFormat="1" applyFont="1" applyFill="1" applyAlignment="1">
      <alignment horizontal="center"/>
    </xf>
    <xf numFmtId="10" fontId="229" fillId="0" borderId="13" xfId="0" applyNumberFormat="1" applyFont="1" applyBorder="1" applyAlignment="1">
      <alignment horizontal="right"/>
    </xf>
    <xf numFmtId="165" fontId="229" fillId="0" borderId="13" xfId="0" applyNumberFormat="1" applyFont="1" applyBorder="1"/>
    <xf numFmtId="43" fontId="233" fillId="0" borderId="0" xfId="0" applyNumberFormat="1" applyFont="1" applyAlignment="1">
      <alignment horizontal="center"/>
    </xf>
    <xf numFmtId="8" fontId="215" fillId="0" borderId="158" xfId="0" applyNumberFormat="1" applyFont="1" applyBorder="1"/>
    <xf numFmtId="8" fontId="215" fillId="0" borderId="162" xfId="0" applyNumberFormat="1" applyFont="1" applyBorder="1"/>
    <xf numFmtId="169" fontId="215" fillId="0" borderId="158" xfId="0" applyNumberFormat="1" applyFont="1" applyBorder="1"/>
    <xf numFmtId="169" fontId="215" fillId="0" borderId="162" xfId="0" applyNumberFormat="1" applyFont="1" applyBorder="1"/>
    <xf numFmtId="165" fontId="228" fillId="0" borderId="160" xfId="12422" applyNumberFormat="1" applyFont="1" applyBorder="1"/>
    <xf numFmtId="0" fontId="227" fillId="72" borderId="161" xfId="0" applyFont="1" applyFill="1" applyBorder="1" applyAlignment="1">
      <alignment horizontal="centerContinuous"/>
    </xf>
    <xf numFmtId="0" fontId="227" fillId="72" borderId="158" xfId="0" applyFont="1" applyFill="1" applyBorder="1" applyAlignment="1">
      <alignment horizontal="centerContinuous"/>
    </xf>
    <xf numFmtId="0" fontId="227" fillId="72" borderId="162" xfId="0" applyFont="1" applyFill="1" applyBorder="1" applyAlignment="1">
      <alignment horizontal="centerContinuous"/>
    </xf>
    <xf numFmtId="43" fontId="215" fillId="0" borderId="155" xfId="0" applyNumberFormat="1" applyFont="1" applyBorder="1" applyAlignment="1">
      <alignment horizontal="right"/>
    </xf>
    <xf numFmtId="43" fontId="215" fillId="0" borderId="156" xfId="0" applyNumberFormat="1" applyFont="1" applyBorder="1" applyAlignment="1">
      <alignment horizontal="right"/>
    </xf>
    <xf numFmtId="0" fontId="227" fillId="72" borderId="138" xfId="0" applyFont="1" applyFill="1" applyBorder="1" applyAlignment="1">
      <alignment horizontal="centerContinuous"/>
    </xf>
    <xf numFmtId="0" fontId="227" fillId="72" borderId="45" xfId="0" applyFont="1" applyFill="1" applyBorder="1" applyAlignment="1">
      <alignment horizontal="centerContinuous"/>
    </xf>
    <xf numFmtId="0" fontId="227" fillId="72" borderId="98" xfId="0" applyFont="1" applyFill="1" applyBorder="1" applyAlignment="1">
      <alignment horizontal="centerContinuous"/>
    </xf>
    <xf numFmtId="167" fontId="215" fillId="0" borderId="64" xfId="12427" applyNumberFormat="1" applyFont="1" applyBorder="1"/>
    <xf numFmtId="165" fontId="215" fillId="0" borderId="13" xfId="12422" applyNumberFormat="1" applyFont="1" applyBorder="1"/>
    <xf numFmtId="167" fontId="216" fillId="0" borderId="155" xfId="12427" applyNumberFormat="1" applyFont="1" applyBorder="1"/>
    <xf numFmtId="43" fontId="216" fillId="0" borderId="156" xfId="12427" applyFont="1" applyBorder="1"/>
    <xf numFmtId="165" fontId="216" fillId="0" borderId="156" xfId="12422" applyNumberFormat="1" applyFont="1" applyBorder="1"/>
    <xf numFmtId="165" fontId="216" fillId="0" borderId="157" xfId="12422" applyNumberFormat="1" applyFont="1" applyBorder="1"/>
    <xf numFmtId="43" fontId="215" fillId="0" borderId="0" xfId="0" applyNumberFormat="1" applyFont="1" applyAlignment="1">
      <alignment horizontal="right"/>
    </xf>
    <xf numFmtId="43" fontId="216" fillId="0" borderId="0" xfId="12427" applyFont="1"/>
    <xf numFmtId="165" fontId="216" fillId="0" borderId="0" xfId="12422" applyNumberFormat="1" applyFont="1"/>
    <xf numFmtId="0" fontId="215" fillId="0" borderId="96" xfId="0" applyFont="1" applyBorder="1"/>
    <xf numFmtId="14" fontId="215" fillId="0" borderId="97" xfId="0" applyNumberFormat="1" applyFont="1" applyBorder="1" applyAlignment="1">
      <alignment horizontal="right"/>
    </xf>
    <xf numFmtId="0" fontId="222" fillId="0" borderId="98" xfId="0" applyFont="1" applyBorder="1" applyAlignment="1">
      <alignment horizontal="right"/>
    </xf>
    <xf numFmtId="14" fontId="227" fillId="72" borderId="100" xfId="0" applyNumberFormat="1" applyFont="1" applyFill="1" applyBorder="1" applyAlignment="1">
      <alignment horizontal="centerContinuous"/>
    </xf>
    <xf numFmtId="0" fontId="227" fillId="72" borderId="101" xfId="0" applyFont="1" applyFill="1" applyBorder="1" applyAlignment="1">
      <alignment horizontal="centerContinuous"/>
    </xf>
    <xf numFmtId="0" fontId="227" fillId="72" borderId="100" xfId="0" applyFont="1" applyFill="1" applyBorder="1" applyAlignment="1">
      <alignment horizontal="centerContinuous"/>
    </xf>
    <xf numFmtId="9" fontId="222" fillId="0" borderId="168" xfId="0" applyNumberFormat="1" applyFont="1" applyBorder="1" applyAlignment="1">
      <alignment horizontal="right"/>
    </xf>
    <xf numFmtId="0" fontId="232" fillId="0" borderId="117" xfId="0" applyFont="1" applyBorder="1" applyAlignment="1">
      <alignment horizontal="left"/>
    </xf>
    <xf numFmtId="0" fontId="232" fillId="0" borderId="118" xfId="0" applyFont="1" applyBorder="1" applyAlignment="1">
      <alignment horizontal="right" wrapText="1"/>
    </xf>
    <xf numFmtId="0" fontId="216" fillId="0" borderId="82" xfId="0" applyFont="1" applyBorder="1" applyAlignment="1">
      <alignment horizontal="right" wrapText="1"/>
    </xf>
    <xf numFmtId="0" fontId="216" fillId="0" borderId="69" xfId="0" applyFont="1" applyBorder="1" applyAlignment="1">
      <alignment horizontal="right" wrapText="1"/>
    </xf>
    <xf numFmtId="0" fontId="215" fillId="0" borderId="51" xfId="0" applyFont="1" applyBorder="1" applyAlignment="1">
      <alignment horizontal="right" wrapText="1"/>
    </xf>
    <xf numFmtId="0" fontId="263" fillId="0" borderId="0" xfId="0" applyFont="1"/>
    <xf numFmtId="0" fontId="223" fillId="0" borderId="0" xfId="0" applyFont="1"/>
    <xf numFmtId="0" fontId="216" fillId="71" borderId="100" xfId="0" applyFont="1" applyFill="1" applyBorder="1"/>
    <xf numFmtId="0" fontId="216" fillId="71" borderId="116" xfId="0" applyFont="1" applyFill="1" applyBorder="1"/>
    <xf numFmtId="169" fontId="216" fillId="71" borderId="101" xfId="0" applyNumberFormat="1" applyFont="1" applyFill="1" applyBorder="1"/>
    <xf numFmtId="165" fontId="216" fillId="71" borderId="101" xfId="12422" applyNumberFormat="1" applyFont="1" applyFill="1" applyBorder="1"/>
    <xf numFmtId="165" fontId="216" fillId="71" borderId="120" xfId="12422" applyNumberFormat="1" applyFont="1" applyFill="1" applyBorder="1"/>
    <xf numFmtId="165" fontId="216" fillId="71" borderId="13" xfId="12422" applyNumberFormat="1" applyFont="1" applyFill="1" applyBorder="1"/>
    <xf numFmtId="164" fontId="228" fillId="0" borderId="0" xfId="0" applyNumberFormat="1" applyFont="1" applyAlignment="1">
      <alignment horizontal="right"/>
    </xf>
    <xf numFmtId="14" fontId="233" fillId="0" borderId="0" xfId="0" applyNumberFormat="1" applyFont="1" applyAlignment="1">
      <alignment horizontal="right"/>
    </xf>
    <xf numFmtId="0" fontId="222" fillId="0" borderId="0" xfId="0" applyFont="1" applyAlignment="1">
      <alignment horizontal="right" wrapText="1"/>
    </xf>
    <xf numFmtId="0" fontId="233" fillId="0" borderId="0" xfId="0" applyFont="1" applyAlignment="1">
      <alignment horizontal="right" wrapText="1"/>
    </xf>
    <xf numFmtId="192" fontId="233" fillId="0" borderId="0" xfId="0" applyNumberFormat="1" applyFont="1" applyAlignment="1">
      <alignment horizontal="right"/>
    </xf>
    <xf numFmtId="192" fontId="215" fillId="0" borderId="0" xfId="0" applyNumberFormat="1" applyFont="1" applyAlignment="1">
      <alignment horizontal="right"/>
    </xf>
    <xf numFmtId="342" fontId="233" fillId="0" borderId="0" xfId="0" applyNumberFormat="1" applyFont="1" applyAlignment="1">
      <alignment horizontal="right"/>
    </xf>
    <xf numFmtId="165" fontId="228" fillId="0" borderId="0" xfId="12422" applyNumberFormat="1" applyFont="1" applyAlignment="1">
      <alignment horizontal="right"/>
    </xf>
    <xf numFmtId="165" fontId="233" fillId="0" borderId="0" xfId="12422" applyNumberFormat="1" applyFont="1" applyAlignment="1">
      <alignment horizontal="right"/>
    </xf>
    <xf numFmtId="0" fontId="242" fillId="0" borderId="0" xfId="0" applyFont="1"/>
    <xf numFmtId="191" fontId="228" fillId="0" borderId="0" xfId="0" applyNumberFormat="1" applyFont="1" applyAlignment="1">
      <alignment horizontal="right"/>
    </xf>
    <xf numFmtId="191" fontId="233" fillId="0" borderId="0" xfId="0" applyNumberFormat="1" applyFont="1" applyAlignment="1">
      <alignment horizontal="right"/>
    </xf>
    <xf numFmtId="9" fontId="233" fillId="0" borderId="0" xfId="12422" applyFont="1" applyAlignment="1">
      <alignment horizontal="right"/>
    </xf>
    <xf numFmtId="243" fontId="233" fillId="0" borderId="0" xfId="20305" applyNumberFormat="1" applyFont="1" applyAlignment="1">
      <alignment horizontal="right"/>
    </xf>
    <xf numFmtId="1" fontId="232" fillId="0" borderId="69" xfId="0" applyNumberFormat="1" applyFont="1" applyBorder="1" applyAlignment="1">
      <alignment horizontal="right" wrapText="1"/>
    </xf>
    <xf numFmtId="0" fontId="263" fillId="0" borderId="104" xfId="0" applyFont="1" applyBorder="1" applyAlignment="1">
      <alignment horizontal="centerContinuous"/>
    </xf>
    <xf numFmtId="169" fontId="216" fillId="0" borderId="105" xfId="0" applyNumberFormat="1" applyFont="1" applyBorder="1" applyAlignment="1">
      <alignment horizontal="centerContinuous"/>
    </xf>
    <xf numFmtId="0" fontId="263" fillId="0" borderId="105" xfId="0" applyFont="1" applyBorder="1" applyAlignment="1">
      <alignment horizontal="centerContinuous"/>
    </xf>
    <xf numFmtId="169" fontId="216" fillId="0" borderId="106" xfId="0" applyNumberFormat="1" applyFont="1" applyBorder="1" applyAlignment="1">
      <alignment horizontal="centerContinuous"/>
    </xf>
    <xf numFmtId="41" fontId="233" fillId="0" borderId="0" xfId="0" applyNumberFormat="1" applyFont="1" applyAlignment="1">
      <alignment horizontal="right"/>
    </xf>
    <xf numFmtId="0" fontId="227" fillId="72" borderId="7" xfId="0" applyFont="1" applyFill="1" applyBorder="1" applyAlignment="1">
      <alignment horizontal="left"/>
    </xf>
    <xf numFmtId="0" fontId="227" fillId="72" borderId="8" xfId="0" applyFont="1" applyFill="1" applyBorder="1" applyAlignment="1">
      <alignment horizontal="centerContinuous"/>
    </xf>
    <xf numFmtId="0" fontId="227" fillId="72" borderId="9" xfId="0" applyFont="1" applyFill="1" applyBorder="1" applyAlignment="1">
      <alignment horizontal="right"/>
    </xf>
    <xf numFmtId="0" fontId="216" fillId="0" borderId="35" xfId="0" applyFont="1" applyBorder="1" applyAlignment="1">
      <alignment horizontal="right"/>
    </xf>
    <xf numFmtId="0" fontId="216" fillId="0" borderId="42" xfId="0" applyFont="1" applyBorder="1" applyAlignment="1">
      <alignment horizontal="right"/>
    </xf>
    <xf numFmtId="0" fontId="216" fillId="0" borderId="12" xfId="0" applyFont="1" applyBorder="1"/>
    <xf numFmtId="43" fontId="215" fillId="0" borderId="0" xfId="1" applyFont="1"/>
    <xf numFmtId="165" fontId="215" fillId="0" borderId="0" xfId="2" applyNumberFormat="1" applyFont="1"/>
    <xf numFmtId="165" fontId="215" fillId="0" borderId="13" xfId="2" applyNumberFormat="1" applyFont="1" applyBorder="1"/>
    <xf numFmtId="166" fontId="215" fillId="0" borderId="0" xfId="3" applyNumberFormat="1" applyFont="1"/>
    <xf numFmtId="167" fontId="215" fillId="0" borderId="0" xfId="1" applyNumberFormat="1" applyFont="1"/>
    <xf numFmtId="165" fontId="215" fillId="0" borderId="13" xfId="2" applyNumberFormat="1" applyFont="1" applyBorder="1" applyAlignment="1">
      <alignment horizontal="right"/>
    </xf>
    <xf numFmtId="165" fontId="215" fillId="0" borderId="3" xfId="2" applyNumberFormat="1" applyFont="1" applyBorder="1"/>
    <xf numFmtId="165" fontId="215" fillId="0" borderId="11" xfId="2" applyNumberFormat="1" applyFont="1" applyBorder="1"/>
    <xf numFmtId="0" fontId="216" fillId="0" borderId="12" xfId="0" applyFont="1" applyBorder="1" applyAlignment="1">
      <alignment horizontal="left" indent="7"/>
    </xf>
    <xf numFmtId="165" fontId="216" fillId="0" borderId="14" xfId="2" applyNumberFormat="1" applyFont="1" applyBorder="1"/>
    <xf numFmtId="0" fontId="216" fillId="0" borderId="0" xfId="0" applyFont="1" applyAlignment="1">
      <alignment horizontal="left" indent="7"/>
    </xf>
    <xf numFmtId="165" fontId="216" fillId="0" borderId="15" xfId="2" applyNumberFormat="1" applyFont="1" applyBorder="1"/>
    <xf numFmtId="0" fontId="215" fillId="0" borderId="11" xfId="0" applyFont="1" applyBorder="1"/>
    <xf numFmtId="0" fontId="232" fillId="0" borderId="4" xfId="0" applyFont="1" applyBorder="1" applyAlignment="1">
      <alignment wrapText="1"/>
    </xf>
    <xf numFmtId="0" fontId="232" fillId="0" borderId="5" xfId="0" applyFont="1" applyBorder="1" applyAlignment="1">
      <alignment horizontal="center" wrapText="1"/>
    </xf>
    <xf numFmtId="0" fontId="232" fillId="0" borderId="6" xfId="0" applyFont="1" applyBorder="1" applyAlignment="1">
      <alignment horizontal="center" wrapText="1"/>
    </xf>
    <xf numFmtId="0" fontId="216" fillId="71" borderId="8" xfId="0" applyFont="1" applyFill="1" applyBorder="1"/>
    <xf numFmtId="165" fontId="216" fillId="71" borderId="9" xfId="0" applyNumberFormat="1" applyFont="1" applyFill="1" applyBorder="1"/>
    <xf numFmtId="0" fontId="232" fillId="0" borderId="4" xfId="0" applyFont="1" applyBorder="1" applyAlignment="1">
      <alignment horizontal="left" wrapText="1"/>
    </xf>
    <xf numFmtId="0" fontId="232" fillId="0" borderId="5" xfId="0" applyFont="1" applyBorder="1" applyAlignment="1">
      <alignment horizontal="centerContinuous" wrapText="1"/>
    </xf>
    <xf numFmtId="0" fontId="232" fillId="0" borderId="6" xfId="0" applyFont="1" applyBorder="1" applyAlignment="1">
      <alignment horizontal="centerContinuous" wrapText="1"/>
    </xf>
    <xf numFmtId="0" fontId="220" fillId="68" borderId="57" xfId="11155" quotePrefix="1" applyNumberFormat="1" applyFont="1" applyFill="1" applyBorder="1" applyAlignment="1">
      <alignment horizontal="center"/>
    </xf>
    <xf numFmtId="43" fontId="220" fillId="68" borderId="57" xfId="11155" quotePrefix="1" applyFont="1" applyFill="1" applyBorder="1" applyAlignment="1">
      <alignment horizontal="left"/>
    </xf>
    <xf numFmtId="43" fontId="220" fillId="68" borderId="57" xfId="11155" quotePrefix="1" applyFont="1" applyFill="1" applyBorder="1" applyAlignment="1">
      <alignment horizontal="center"/>
    </xf>
    <xf numFmtId="43" fontId="218" fillId="68" borderId="57" xfId="11155" quotePrefix="1" applyFont="1" applyFill="1" applyBorder="1" applyAlignment="1">
      <alignment horizontal="center"/>
    </xf>
    <xf numFmtId="43" fontId="218" fillId="0" borderId="56" xfId="11155" applyFont="1" applyBorder="1"/>
    <xf numFmtId="43" fontId="218" fillId="0" borderId="57" xfId="11155" applyFont="1" applyBorder="1" applyAlignment="1">
      <alignment horizontal="right"/>
    </xf>
    <xf numFmtId="43" fontId="218" fillId="74" borderId="57" xfId="11155" applyFont="1" applyFill="1" applyBorder="1"/>
    <xf numFmtId="0" fontId="235" fillId="0" borderId="0" xfId="12421" applyFont="1"/>
    <xf numFmtId="0" fontId="216" fillId="69" borderId="56" xfId="12421" applyFont="1" applyFill="1" applyBorder="1"/>
    <xf numFmtId="0" fontId="215" fillId="69" borderId="56" xfId="12421" applyFont="1" applyFill="1" applyBorder="1" applyAlignment="1">
      <alignment horizontal="center"/>
    </xf>
    <xf numFmtId="0" fontId="216" fillId="69" borderId="0" xfId="12421" applyFont="1" applyFill="1"/>
    <xf numFmtId="0" fontId="216" fillId="69" borderId="57" xfId="12421" applyFont="1" applyFill="1" applyBorder="1"/>
    <xf numFmtId="0" fontId="238" fillId="69" borderId="0" xfId="12421" applyFont="1" applyFill="1" applyAlignment="1">
      <alignment horizontal="center"/>
    </xf>
    <xf numFmtId="0" fontId="215" fillId="69" borderId="57" xfId="12421" applyFont="1" applyFill="1" applyBorder="1" applyAlignment="1">
      <alignment horizontal="center"/>
    </xf>
    <xf numFmtId="0" fontId="265" fillId="69" borderId="57" xfId="12421" applyFont="1" applyFill="1" applyBorder="1" applyAlignment="1">
      <alignment horizontal="center"/>
    </xf>
    <xf numFmtId="0" fontId="265" fillId="69" borderId="56" xfId="12421" applyFont="1" applyFill="1" applyBorder="1" applyAlignment="1">
      <alignment horizontal="center"/>
    </xf>
    <xf numFmtId="0" fontId="266" fillId="0" borderId="0" xfId="12421" applyFont="1" applyAlignment="1">
      <alignment horizontal="center"/>
    </xf>
    <xf numFmtId="43" fontId="267" fillId="68" borderId="56" xfId="11155" applyFont="1" applyFill="1" applyBorder="1"/>
    <xf numFmtId="43" fontId="267" fillId="68" borderId="56" xfId="11155" applyFont="1" applyFill="1" applyBorder="1" applyAlignment="1">
      <alignment horizontal="center"/>
    </xf>
    <xf numFmtId="43" fontId="267" fillId="68" borderId="57" xfId="11155" applyFont="1" applyFill="1" applyBorder="1"/>
    <xf numFmtId="43" fontId="267" fillId="68" borderId="57" xfId="11155" applyFont="1" applyFill="1" applyBorder="1" applyAlignment="1">
      <alignment horizontal="center"/>
    </xf>
    <xf numFmtId="0" fontId="227" fillId="72" borderId="59" xfId="0" applyFont="1" applyFill="1" applyBorder="1" applyAlignment="1">
      <alignment horizontal="center"/>
    </xf>
    <xf numFmtId="0" fontId="227" fillId="72" borderId="60" xfId="0" applyFont="1" applyFill="1" applyBorder="1" applyAlignment="1">
      <alignment horizontal="center"/>
    </xf>
    <xf numFmtId="0" fontId="215" fillId="0" borderId="0" xfId="0" quotePrefix="1" applyFont="1" applyAlignment="1">
      <alignment vertical="top" wrapText="1"/>
    </xf>
    <xf numFmtId="0" fontId="268" fillId="0" borderId="0" xfId="20406" applyFont="1" applyAlignment="1">
      <alignment horizontal="left"/>
    </xf>
    <xf numFmtId="0" fontId="269" fillId="0" borderId="0" xfId="20406" applyFont="1"/>
    <xf numFmtId="0" fontId="270" fillId="0" borderId="0" xfId="20406" applyFont="1" applyAlignment="1">
      <alignment horizontal="left"/>
    </xf>
    <xf numFmtId="49" fontId="271" fillId="0" borderId="0" xfId="20406" applyNumberFormat="1" applyFont="1" applyAlignment="1">
      <alignment horizontal="left" vertical="top"/>
    </xf>
    <xf numFmtId="0" fontId="269" fillId="0" borderId="0" xfId="20406" applyFont="1" applyAlignment="1">
      <alignment horizontal="left"/>
    </xf>
    <xf numFmtId="0" fontId="271" fillId="0" borderId="188" xfId="20406" applyFont="1" applyBorder="1" applyAlignment="1">
      <alignment horizontal="centerContinuous"/>
    </xf>
    <xf numFmtId="0" fontId="271" fillId="0" borderId="189" xfId="20406" applyFont="1" applyBorder="1" applyAlignment="1">
      <alignment horizontal="centerContinuous"/>
    </xf>
    <xf numFmtId="0" fontId="269" fillId="0" borderId="0" xfId="20406" applyFont="1" applyAlignment="1">
      <alignment horizontal="left" indent="1"/>
    </xf>
    <xf numFmtId="0" fontId="271" fillId="0" borderId="188" xfId="20406" quotePrefix="1" applyFont="1" applyBorder="1" applyAlignment="1">
      <alignment horizontal="right"/>
    </xf>
    <xf numFmtId="0" fontId="271" fillId="0" borderId="189" xfId="20406" quotePrefix="1" applyFont="1" applyBorder="1" applyAlignment="1">
      <alignment horizontal="right"/>
    </xf>
    <xf numFmtId="0" fontId="272" fillId="0" borderId="0" xfId="20406" applyFont="1" applyAlignment="1">
      <alignment horizontal="left" indent="1"/>
    </xf>
    <xf numFmtId="0" fontId="271" fillId="0" borderId="0" xfId="20406" applyFont="1" applyAlignment="1">
      <alignment horizontal="left" indent="1"/>
    </xf>
    <xf numFmtId="41" fontId="269" fillId="0" borderId="0" xfId="20406" applyNumberFormat="1" applyFont="1"/>
    <xf numFmtId="0" fontId="271" fillId="0" borderId="190" xfId="20406" applyFont="1" applyBorder="1" applyAlignment="1">
      <alignment horizontal="left" indent="1"/>
    </xf>
    <xf numFmtId="0" fontId="269" fillId="0" borderId="190" xfId="20406" applyFont="1" applyBorder="1"/>
    <xf numFmtId="41" fontId="271" fillId="0" borderId="190" xfId="20406" applyNumberFormat="1" applyFont="1" applyBorder="1"/>
    <xf numFmtId="41" fontId="271" fillId="0" borderId="0" xfId="20406" applyNumberFormat="1" applyFont="1"/>
    <xf numFmtId="0" fontId="271" fillId="0" borderId="191" xfId="20406" applyFont="1" applyBorder="1" applyAlignment="1">
      <alignment horizontal="left" indent="1"/>
    </xf>
    <xf numFmtId="0" fontId="269" fillId="0" borderId="191" xfId="20406" applyFont="1" applyBorder="1"/>
    <xf numFmtId="41" fontId="271" fillId="0" borderId="191" xfId="20406" applyNumberFormat="1" applyFont="1" applyBorder="1"/>
    <xf numFmtId="0" fontId="269" fillId="0" borderId="0" xfId="20406" applyFont="1" applyAlignment="1">
      <alignment horizontal="left" vertical="top" wrapText="1"/>
    </xf>
    <xf numFmtId="0" fontId="271" fillId="0" borderId="0" xfId="20406" applyFont="1"/>
    <xf numFmtId="0" fontId="269" fillId="0" borderId="0" xfId="20406" applyFont="1" applyAlignment="1">
      <alignment horizontal="left" wrapText="1"/>
    </xf>
    <xf numFmtId="0" fontId="269" fillId="0" borderId="0" xfId="20406" applyFont="1" applyAlignment="1">
      <alignment horizontal="left" wrapText="1" indent="1"/>
    </xf>
    <xf numFmtId="0" fontId="269" fillId="0" borderId="0" xfId="20406" applyFont="1" applyAlignment="1">
      <alignment horizontal="left" vertical="top" indent="2"/>
    </xf>
    <xf numFmtId="0" fontId="269" fillId="0" borderId="0" xfId="20406" applyFont="1" applyAlignment="1">
      <alignment wrapText="1"/>
    </xf>
    <xf numFmtId="0" fontId="269" fillId="0" borderId="0" xfId="20406" applyFont="1" applyAlignment="1">
      <alignment vertical="top" wrapText="1"/>
    </xf>
    <xf numFmtId="0" fontId="148" fillId="0" borderId="0" xfId="20407" applyFont="1"/>
    <xf numFmtId="0" fontId="2" fillId="0" borderId="0" xfId="20407"/>
    <xf numFmtId="0" fontId="273" fillId="69" borderId="0" xfId="20407" applyFont="1" applyFill="1"/>
    <xf numFmtId="0" fontId="2" fillId="69" borderId="0" xfId="20407" applyFill="1"/>
    <xf numFmtId="0" fontId="2" fillId="0" borderId="45" xfId="20407" applyBorder="1"/>
    <xf numFmtId="0" fontId="2" fillId="0" borderId="192" xfId="20407" applyBorder="1"/>
    <xf numFmtId="343" fontId="148" fillId="0" borderId="0" xfId="20407" quotePrefix="1" applyNumberFormat="1" applyFont="1" applyAlignment="1">
      <alignment horizontal="left"/>
    </xf>
    <xf numFmtId="0" fontId="2" fillId="0" borderId="190" xfId="20407" applyBorder="1"/>
    <xf numFmtId="0" fontId="2" fillId="0" borderId="193" xfId="20407" applyBorder="1"/>
    <xf numFmtId="0" fontId="0" fillId="69" borderId="0" xfId="20408" applyNumberFormat="1" applyFont="1" applyFill="1"/>
    <xf numFmtId="0" fontId="2" fillId="0" borderId="64" xfId="20407" applyBorder="1"/>
    <xf numFmtId="0" fontId="2" fillId="0" borderId="0" xfId="20407" applyAlignment="1">
      <alignment horizontal="center"/>
    </xf>
    <xf numFmtId="0" fontId="2" fillId="0" borderId="13" xfId="20407" applyBorder="1"/>
    <xf numFmtId="248" fontId="0" fillId="69" borderId="0" xfId="20409" applyNumberFormat="1" applyFont="1" applyFill="1"/>
    <xf numFmtId="165" fontId="2" fillId="69" borderId="0" xfId="20407" applyNumberFormat="1" applyFill="1"/>
    <xf numFmtId="0" fontId="148" fillId="76" borderId="18" xfId="20407" applyFont="1" applyFill="1" applyBorder="1" applyAlignment="1">
      <alignment horizontal="center"/>
    </xf>
    <xf numFmtId="0" fontId="148" fillId="75" borderId="18" xfId="20407" applyFont="1" applyFill="1" applyBorder="1" applyAlignment="1">
      <alignment horizontal="center"/>
    </xf>
    <xf numFmtId="0" fontId="148" fillId="75" borderId="18" xfId="20407" applyFont="1" applyFill="1" applyBorder="1" applyAlignment="1">
      <alignment horizontal="center" wrapText="1"/>
    </xf>
    <xf numFmtId="0" fontId="148" fillId="95" borderId="194" xfId="20407" applyFont="1" applyFill="1" applyBorder="1" applyAlignment="1">
      <alignment horizontal="center" wrapText="1"/>
    </xf>
    <xf numFmtId="0" fontId="148" fillId="95" borderId="40" xfId="20407" applyFont="1" applyFill="1" applyBorder="1" applyAlignment="1">
      <alignment horizontal="center" wrapText="1"/>
    </xf>
    <xf numFmtId="0" fontId="148" fillId="95" borderId="195" xfId="20407" applyFont="1" applyFill="1" applyBorder="1" applyAlignment="1">
      <alignment horizontal="center" wrapText="1"/>
    </xf>
    <xf numFmtId="0" fontId="148" fillId="0" borderId="0" xfId="20407" applyFont="1" applyAlignment="1">
      <alignment horizontal="center" wrapText="1"/>
    </xf>
    <xf numFmtId="0" fontId="148" fillId="95" borderId="18" xfId="20407" applyFont="1" applyFill="1" applyBorder="1" applyAlignment="1">
      <alignment horizontal="center" wrapText="1"/>
    </xf>
    <xf numFmtId="0" fontId="148" fillId="94" borderId="18" xfId="20407" applyFont="1" applyFill="1" applyBorder="1" applyAlignment="1">
      <alignment horizontal="center" wrapText="1"/>
    </xf>
    <xf numFmtId="0" fontId="2" fillId="96" borderId="196" xfId="20407" applyFill="1" applyBorder="1"/>
    <xf numFmtId="0" fontId="2" fillId="96" borderId="0" xfId="20407" applyFill="1"/>
    <xf numFmtId="0" fontId="2" fillId="96" borderId="197" xfId="20407" applyFill="1" applyBorder="1"/>
    <xf numFmtId="0" fontId="274" fillId="0" borderId="0" xfId="20407" applyFont="1"/>
    <xf numFmtId="38" fontId="2" fillId="0" borderId="0" xfId="20407" applyNumberFormat="1"/>
    <xf numFmtId="165" fontId="0" fillId="0" borderId="0" xfId="20410" applyNumberFormat="1" applyFont="1"/>
    <xf numFmtId="248" fontId="0" fillId="96" borderId="196" xfId="20409" applyNumberFormat="1" applyFont="1" applyFill="1" applyBorder="1"/>
    <xf numFmtId="248" fontId="0" fillId="96" borderId="0" xfId="20409" applyNumberFormat="1" applyFont="1" applyFill="1"/>
    <xf numFmtId="0" fontId="0" fillId="96" borderId="197" xfId="20408" applyNumberFormat="1" applyFont="1" applyFill="1" applyBorder="1"/>
    <xf numFmtId="9" fontId="0" fillId="0" borderId="0" xfId="20410" applyFont="1"/>
    <xf numFmtId="6" fontId="2" fillId="69" borderId="0" xfId="20407" applyNumberFormat="1" applyFill="1"/>
    <xf numFmtId="10" fontId="0" fillId="69" borderId="0" xfId="20410" applyNumberFormat="1" applyFont="1" applyFill="1"/>
    <xf numFmtId="8" fontId="2" fillId="0" borderId="0" xfId="20407" applyNumberFormat="1"/>
    <xf numFmtId="6" fontId="274" fillId="69" borderId="0" xfId="20407" applyNumberFormat="1" applyFont="1" applyFill="1"/>
    <xf numFmtId="0" fontId="2" fillId="0" borderId="0" xfId="20407" applyAlignment="1">
      <alignment horizontal="left" indent="1"/>
    </xf>
    <xf numFmtId="0" fontId="274" fillId="69" borderId="0" xfId="20410" applyNumberFormat="1" applyFont="1" applyFill="1"/>
    <xf numFmtId="248" fontId="0" fillId="69" borderId="0" xfId="20410" applyNumberFormat="1" applyFont="1" applyFill="1"/>
    <xf numFmtId="248" fontId="2" fillId="69" borderId="0" xfId="20407" applyNumberFormat="1" applyFill="1"/>
    <xf numFmtId="0" fontId="274" fillId="69" borderId="45" xfId="20410" applyNumberFormat="1" applyFont="1" applyFill="1" applyBorder="1"/>
    <xf numFmtId="0" fontId="2" fillId="0" borderId="0" xfId="20407" applyAlignment="1">
      <alignment horizontal="left"/>
    </xf>
    <xf numFmtId="273" fontId="274" fillId="69" borderId="0" xfId="20410" applyNumberFormat="1" applyFont="1" applyFill="1"/>
    <xf numFmtId="248" fontId="2" fillId="96" borderId="196" xfId="20407" applyNumberFormat="1" applyFill="1" applyBorder="1"/>
    <xf numFmtId="38" fontId="2" fillId="96" borderId="0" xfId="20407" applyNumberFormat="1" applyFill="1"/>
    <xf numFmtId="38" fontId="2" fillId="96" borderId="196" xfId="20407" applyNumberFormat="1" applyFill="1" applyBorder="1"/>
    <xf numFmtId="38" fontId="2" fillId="0" borderId="45" xfId="20407" applyNumberFormat="1" applyBorder="1"/>
    <xf numFmtId="165" fontId="0" fillId="0" borderId="45" xfId="20410" applyNumberFormat="1" applyFont="1" applyBorder="1"/>
    <xf numFmtId="38" fontId="2" fillId="96" borderId="198" xfId="20407" applyNumberFormat="1" applyFill="1" applyBorder="1"/>
    <xf numFmtId="0" fontId="0" fillId="96" borderId="199" xfId="20408" applyNumberFormat="1" applyFont="1" applyFill="1" applyBorder="1"/>
    <xf numFmtId="38" fontId="148" fillId="0" borderId="0" xfId="20407" applyNumberFormat="1" applyFont="1"/>
    <xf numFmtId="165" fontId="148" fillId="0" borderId="0" xfId="20410" applyNumberFormat="1" applyFont="1"/>
    <xf numFmtId="38" fontId="148" fillId="96" borderId="196" xfId="20407" applyNumberFormat="1" applyFont="1" applyFill="1" applyBorder="1"/>
    <xf numFmtId="38" fontId="148" fillId="96" borderId="0" xfId="20407" applyNumberFormat="1" applyFont="1" applyFill="1"/>
    <xf numFmtId="0" fontId="148" fillId="96" borderId="197" xfId="20408" applyNumberFormat="1" applyFont="1" applyFill="1" applyBorder="1"/>
    <xf numFmtId="0" fontId="2" fillId="0" borderId="138" xfId="20407" applyBorder="1"/>
    <xf numFmtId="0" fontId="148" fillId="0" borderId="45" xfId="20407" applyFont="1" applyBorder="1"/>
    <xf numFmtId="38" fontId="2" fillId="96" borderId="200" xfId="20407" applyNumberFormat="1" applyFill="1" applyBorder="1"/>
    <xf numFmtId="38" fontId="2" fillId="96" borderId="18" xfId="20407" applyNumberFormat="1" applyFill="1" applyBorder="1"/>
    <xf numFmtId="38" fontId="2" fillId="96" borderId="201" xfId="20407" applyNumberFormat="1" applyFill="1" applyBorder="1"/>
    <xf numFmtId="0" fontId="2" fillId="0" borderId="98" xfId="20407" applyBorder="1"/>
    <xf numFmtId="0" fontId="275" fillId="0" borderId="0" xfId="20407" quotePrefix="1" applyFont="1"/>
    <xf numFmtId="0" fontId="148" fillId="69" borderId="0" xfId="20407" applyFont="1" applyFill="1"/>
    <xf numFmtId="0" fontId="148" fillId="69" borderId="0" xfId="20407" applyFont="1" applyFill="1" applyAlignment="1">
      <alignment horizontal="left" indent="1"/>
    </xf>
    <xf numFmtId="44" fontId="2" fillId="0" borderId="0" xfId="20407" applyNumberFormat="1"/>
    <xf numFmtId="6" fontId="2" fillId="0" borderId="0" xfId="20407" applyNumberFormat="1"/>
    <xf numFmtId="9" fontId="0" fillId="69" borderId="0" xfId="20410" applyFont="1" applyFill="1"/>
    <xf numFmtId="14" fontId="2" fillId="0" borderId="0" xfId="20407" applyNumberFormat="1"/>
    <xf numFmtId="248" fontId="2" fillId="69" borderId="45" xfId="20407" applyNumberFormat="1" applyFill="1" applyBorder="1"/>
    <xf numFmtId="0" fontId="0" fillId="69" borderId="45" xfId="20408" applyNumberFormat="1" applyFont="1" applyFill="1" applyBorder="1"/>
    <xf numFmtId="6" fontId="148" fillId="0" borderId="0" xfId="20407" applyNumberFormat="1" applyFont="1"/>
    <xf numFmtId="273" fontId="0" fillId="69" borderId="0" xfId="20410" applyNumberFormat="1" applyFont="1" applyFill="1"/>
    <xf numFmtId="273" fontId="2" fillId="69" borderId="0" xfId="20407" applyNumberFormat="1" applyFill="1"/>
    <xf numFmtId="166" fontId="0" fillId="69" borderId="0" xfId="20408" applyNumberFormat="1" applyFont="1" applyFill="1"/>
    <xf numFmtId="10" fontId="0" fillId="0" borderId="0" xfId="20410" applyNumberFormat="1" applyFont="1"/>
    <xf numFmtId="0" fontId="2" fillId="0" borderId="0" xfId="20407" applyAlignment="1">
      <alignment horizontal="right"/>
    </xf>
    <xf numFmtId="0" fontId="0" fillId="0" borderId="0" xfId="20408" applyNumberFormat="1" applyFont="1"/>
    <xf numFmtId="248" fontId="2" fillId="0" borderId="0" xfId="20407" applyNumberFormat="1"/>
    <xf numFmtId="0" fontId="277" fillId="0" borderId="0" xfId="20408" applyNumberFormat="1" applyFont="1"/>
    <xf numFmtId="248" fontId="0" fillId="0" borderId="0" xfId="20409" applyNumberFormat="1" applyFont="1"/>
    <xf numFmtId="0" fontId="148" fillId="0" borderId="0" xfId="20411" applyFont="1"/>
    <xf numFmtId="248" fontId="148" fillId="0" borderId="0" xfId="20412" applyNumberFormat="1" applyFont="1"/>
    <xf numFmtId="14" fontId="148" fillId="0" borderId="0" xfId="20411" quotePrefix="1" applyNumberFormat="1" applyFont="1" applyAlignment="1">
      <alignment horizontal="left"/>
    </xf>
    <xf numFmtId="9" fontId="148" fillId="0" borderId="0" xfId="20411" applyNumberFormat="1" applyFont="1"/>
    <xf numFmtId="0" fontId="148" fillId="0" borderId="0" xfId="20411" applyFont="1" applyAlignment="1">
      <alignment wrapText="1"/>
    </xf>
    <xf numFmtId="248" fontId="148" fillId="0" borderId="0" xfId="20412" applyNumberFormat="1" applyFont="1" applyAlignment="1">
      <alignment wrapText="1"/>
    </xf>
    <xf numFmtId="0" fontId="2" fillId="0" borderId="0" xfId="20411"/>
    <xf numFmtId="14" fontId="2" fillId="0" borderId="0" xfId="20411" applyNumberFormat="1" applyAlignment="1">
      <alignment wrapText="1"/>
    </xf>
    <xf numFmtId="0" fontId="2" fillId="0" borderId="0" xfId="20411" applyAlignment="1">
      <alignment wrapText="1"/>
    </xf>
    <xf numFmtId="248" fontId="2" fillId="0" borderId="0" xfId="20412" applyNumberFormat="1" applyAlignment="1">
      <alignment wrapText="1"/>
    </xf>
    <xf numFmtId="248" fontId="2" fillId="0" borderId="0" xfId="20411" applyNumberFormat="1" applyAlignment="1">
      <alignment wrapText="1"/>
    </xf>
    <xf numFmtId="14" fontId="2" fillId="0" borderId="0" xfId="20411" applyNumberFormat="1"/>
    <xf numFmtId="248" fontId="2" fillId="0" borderId="0" xfId="20412" applyNumberFormat="1"/>
    <xf numFmtId="248" fontId="2" fillId="0" borderId="0" xfId="20411" applyNumberFormat="1"/>
    <xf numFmtId="248" fontId="2" fillId="0" borderId="202" xfId="20411" applyNumberFormat="1" applyBorder="1"/>
    <xf numFmtId="248" fontId="2" fillId="0" borderId="203" xfId="20411" applyNumberFormat="1" applyBorder="1"/>
    <xf numFmtId="248" fontId="2" fillId="0" borderId="45" xfId="20412" applyNumberFormat="1" applyBorder="1"/>
    <xf numFmtId="248" fontId="2" fillId="0" borderId="45" xfId="20411" applyNumberFormat="1" applyBorder="1" applyAlignment="1">
      <alignment wrapText="1"/>
    </xf>
    <xf numFmtId="0" fontId="2" fillId="0" borderId="0" xfId="20413"/>
    <xf numFmtId="0" fontId="148" fillId="0" borderId="0" xfId="20413" applyFont="1" applyAlignment="1">
      <alignment horizontal="center"/>
    </xf>
    <xf numFmtId="0" fontId="148" fillId="0" borderId="18" xfId="20413" applyFont="1" applyBorder="1" applyAlignment="1">
      <alignment horizontal="center"/>
    </xf>
    <xf numFmtId="0" fontId="2" fillId="0" borderId="0" xfId="20413" applyAlignment="1">
      <alignment horizontal="center"/>
    </xf>
    <xf numFmtId="38" fontId="2" fillId="0" borderId="0" xfId="20413" applyNumberFormat="1"/>
    <xf numFmtId="14" fontId="2" fillId="0" borderId="0" xfId="20413" applyNumberFormat="1"/>
    <xf numFmtId="8" fontId="2" fillId="0" borderId="0" xfId="20413" applyNumberFormat="1"/>
    <xf numFmtId="165" fontId="0" fillId="0" borderId="0" xfId="20414" applyNumberFormat="1" applyFont="1"/>
    <xf numFmtId="0" fontId="278" fillId="0" borderId="0" xfId="20413" applyFont="1"/>
    <xf numFmtId="0" fontId="279" fillId="0" borderId="0" xfId="20413" applyFont="1"/>
    <xf numFmtId="0" fontId="2" fillId="0" borderId="0" xfId="20413" applyAlignment="1">
      <alignment horizontal="left"/>
    </xf>
    <xf numFmtId="0" fontId="278" fillId="0" borderId="0" xfId="20413" applyFont="1" applyAlignment="1">
      <alignment horizontal="center"/>
    </xf>
    <xf numFmtId="3" fontId="279" fillId="0" borderId="0" xfId="20413" applyNumberFormat="1" applyFont="1"/>
    <xf numFmtId="10" fontId="0" fillId="0" borderId="0" xfId="20414" applyNumberFormat="1" applyFont="1"/>
    <xf numFmtId="0" fontId="280" fillId="0" borderId="0" xfId="20413" applyFont="1"/>
    <xf numFmtId="0" fontId="281" fillId="0" borderId="0" xfId="20413" applyFont="1"/>
    <xf numFmtId="248" fontId="0" fillId="0" borderId="0" xfId="20415" applyNumberFormat="1" applyFont="1"/>
    <xf numFmtId="41" fontId="2" fillId="0" borderId="0" xfId="20413" applyNumberFormat="1"/>
    <xf numFmtId="0" fontId="2" fillId="0" borderId="45" xfId="20413" applyBorder="1"/>
    <xf numFmtId="0" fontId="148" fillId="0" borderId="0" xfId="20413" applyFont="1"/>
    <xf numFmtId="38" fontId="2" fillId="0" borderId="45" xfId="20413" applyNumberFormat="1" applyBorder="1"/>
    <xf numFmtId="38" fontId="2" fillId="74" borderId="0" xfId="20413" applyNumberFormat="1" applyFill="1"/>
    <xf numFmtId="38" fontId="148" fillId="0" borderId="0" xfId="20413" applyNumberFormat="1" applyFont="1"/>
    <xf numFmtId="0" fontId="232" fillId="0" borderId="188" xfId="0" applyFont="1" applyBorder="1" applyAlignment="1">
      <alignment horizontal="right" wrapText="1"/>
    </xf>
    <xf numFmtId="0" fontId="232" fillId="0" borderId="191" xfId="0" applyFont="1" applyBorder="1" applyAlignment="1">
      <alignment horizontal="right" wrapText="1"/>
    </xf>
    <xf numFmtId="0" fontId="232" fillId="0" borderId="204" xfId="0" applyFont="1" applyBorder="1" applyAlignment="1">
      <alignment horizontal="right" wrapText="1"/>
    </xf>
    <xf numFmtId="344" fontId="215" fillId="0" borderId="0" xfId="0" applyNumberFormat="1" applyFont="1" applyAlignment="1">
      <alignment horizontal="right"/>
    </xf>
    <xf numFmtId="270" fontId="233" fillId="0" borderId="0" xfId="0" applyNumberFormat="1" applyFont="1" applyAlignment="1">
      <alignment horizontal="right"/>
    </xf>
    <xf numFmtId="0" fontId="215" fillId="0" borderId="188" xfId="0" applyFont="1" applyBorder="1"/>
    <xf numFmtId="0" fontId="215" fillId="0" borderId="189" xfId="0" applyFont="1" applyBorder="1"/>
    <xf numFmtId="0" fontId="216" fillId="0" borderId="188" xfId="0" applyFont="1" applyBorder="1"/>
    <xf numFmtId="0" fontId="216" fillId="0" borderId="189" xfId="0" applyFont="1" applyBorder="1"/>
    <xf numFmtId="8" fontId="234" fillId="0" borderId="189" xfId="0" applyNumberFormat="1" applyFont="1" applyBorder="1"/>
    <xf numFmtId="0" fontId="215" fillId="0" borderId="99" xfId="0" applyFont="1" applyBorder="1" applyAlignment="1">
      <alignment horizontal="justify" vertical="top" wrapText="1"/>
    </xf>
    <xf numFmtId="0" fontId="227" fillId="72" borderId="34" xfId="0" applyFont="1" applyFill="1" applyBorder="1" applyAlignment="1">
      <alignment horizontal="centerContinuous" wrapText="1"/>
    </xf>
    <xf numFmtId="0" fontId="227" fillId="72" borderId="35" xfId="0" applyFont="1" applyFill="1" applyBorder="1" applyAlignment="1">
      <alignment horizontal="centerContinuous" wrapText="1"/>
    </xf>
    <xf numFmtId="8" fontId="229" fillId="0" borderId="0" xfId="0" applyNumberFormat="1" applyFont="1"/>
    <xf numFmtId="243" fontId="215" fillId="0" borderId="45" xfId="0" applyNumberFormat="1" applyFont="1" applyBorder="1"/>
    <xf numFmtId="243" fontId="216" fillId="0" borderId="0" xfId="0" applyNumberFormat="1" applyFont="1"/>
    <xf numFmtId="0" fontId="232" fillId="0" borderId="189" xfId="0" applyFont="1" applyBorder="1" applyAlignment="1">
      <alignment horizontal="centerContinuous"/>
    </xf>
    <xf numFmtId="0" fontId="227" fillId="72" borderId="189" xfId="0" applyFont="1" applyFill="1" applyBorder="1" applyAlignment="1">
      <alignment horizontal="right" wrapText="1"/>
    </xf>
    <xf numFmtId="0" fontId="227" fillId="72" borderId="189" xfId="0" applyFont="1" applyFill="1" applyBorder="1"/>
    <xf numFmtId="0" fontId="241" fillId="72" borderId="189" xfId="0" applyFont="1" applyFill="1" applyBorder="1" applyAlignment="1">
      <alignment horizontal="center" wrapText="1"/>
    </xf>
    <xf numFmtId="0" fontId="241" fillId="72" borderId="189" xfId="0" applyFont="1" applyFill="1" applyBorder="1"/>
    <xf numFmtId="0" fontId="241" fillId="72" borderId="0" xfId="0" applyFont="1" applyFill="1"/>
    <xf numFmtId="0" fontId="217" fillId="0" borderId="0" xfId="0" applyFont="1" applyAlignment="1">
      <alignment horizontal="center"/>
    </xf>
    <xf numFmtId="0" fontId="227" fillId="72" borderId="193" xfId="0" applyFont="1" applyFill="1" applyBorder="1" applyAlignment="1">
      <alignment horizontal="centerContinuous"/>
    </xf>
    <xf numFmtId="43" fontId="215" fillId="0" borderId="189" xfId="0" applyNumberFormat="1" applyFont="1" applyBorder="1" applyAlignment="1">
      <alignment horizontal="right"/>
    </xf>
    <xf numFmtId="43" fontId="215" fillId="0" borderId="64" xfId="0" applyNumberFormat="1" applyFont="1" applyBorder="1"/>
    <xf numFmtId="43" fontId="215" fillId="0" borderId="13" xfId="0" applyNumberFormat="1" applyFont="1" applyBorder="1"/>
    <xf numFmtId="43" fontId="215" fillId="0" borderId="138" xfId="0" applyNumberFormat="1" applyFont="1" applyBorder="1"/>
    <xf numFmtId="43" fontId="215" fillId="0" borderId="45" xfId="0" applyNumberFormat="1" applyFont="1" applyBorder="1"/>
    <xf numFmtId="43" fontId="215" fillId="0" borderId="98" xfId="0" applyNumberFormat="1" applyFont="1" applyBorder="1"/>
    <xf numFmtId="0" fontId="215" fillId="0" borderId="191" xfId="0" applyFont="1" applyBorder="1"/>
    <xf numFmtId="0" fontId="228" fillId="0" borderId="189" xfId="0" applyFont="1" applyBorder="1"/>
    <xf numFmtId="0" fontId="215" fillId="0" borderId="205" xfId="0" applyFont="1" applyBorder="1"/>
    <xf numFmtId="167" fontId="228" fillId="0" borderId="32" xfId="12427" applyNumberFormat="1" applyFont="1" applyBorder="1"/>
    <xf numFmtId="8" fontId="215" fillId="0" borderId="204" xfId="0" applyNumberFormat="1" applyFont="1" applyBorder="1"/>
    <xf numFmtId="272" fontId="234" fillId="0" borderId="189" xfId="0" applyNumberFormat="1" applyFont="1" applyBorder="1"/>
    <xf numFmtId="165" fontId="215" fillId="0" borderId="189" xfId="12422" applyNumberFormat="1" applyFont="1" applyBorder="1"/>
    <xf numFmtId="8" fontId="228" fillId="0" borderId="204" xfId="0" applyNumberFormat="1" applyFont="1" applyBorder="1"/>
    <xf numFmtId="342" fontId="215" fillId="0" borderId="190" xfId="0" applyNumberFormat="1" applyFont="1" applyBorder="1" applyAlignment="1">
      <alignment horizontal="right"/>
    </xf>
    <xf numFmtId="165" fontId="215" fillId="0" borderId="45" xfId="12422" applyNumberFormat="1" applyFont="1" applyBorder="1"/>
    <xf numFmtId="0" fontId="232" fillId="0" borderId="193" xfId="0" applyFont="1" applyBorder="1" applyAlignment="1">
      <alignment horizontal="centerContinuous"/>
    </xf>
    <xf numFmtId="0" fontId="241" fillId="72" borderId="0" xfId="0" applyFont="1" applyFill="1" applyAlignment="1">
      <alignment horizontal="center" wrapText="1"/>
    </xf>
    <xf numFmtId="272" fontId="241" fillId="72" borderId="174" xfId="0" applyNumberFormat="1" applyFont="1" applyFill="1" applyBorder="1" applyAlignment="1">
      <alignment horizontal="center" wrapText="1"/>
    </xf>
    <xf numFmtId="272" fontId="241" fillId="72" borderId="175" xfId="0" applyNumberFormat="1" applyFont="1" applyFill="1" applyBorder="1" applyAlignment="1">
      <alignment horizontal="center" wrapText="1"/>
    </xf>
    <xf numFmtId="272" fontId="241" fillId="72" borderId="189" xfId="0" applyNumberFormat="1" applyFont="1" applyFill="1" applyBorder="1" applyAlignment="1">
      <alignment horizontal="center" wrapText="1"/>
    </xf>
    <xf numFmtId="243" fontId="215" fillId="0" borderId="191" xfId="12422" applyNumberFormat="1" applyFont="1" applyBorder="1"/>
    <xf numFmtId="243" fontId="215" fillId="0" borderId="189" xfId="12422" applyNumberFormat="1" applyFont="1" applyBorder="1"/>
    <xf numFmtId="0" fontId="217" fillId="0" borderId="191" xfId="0" applyFont="1" applyBorder="1"/>
    <xf numFmtId="0" fontId="217" fillId="0" borderId="189" xfId="0" applyFont="1" applyBorder="1"/>
    <xf numFmtId="0" fontId="282" fillId="0" borderId="191" xfId="0" applyFont="1" applyBorder="1" applyAlignment="1">
      <alignment horizontal="centerContinuous" wrapText="1"/>
    </xf>
    <xf numFmtId="0" fontId="282" fillId="0" borderId="189" xfId="0" applyFont="1" applyBorder="1" applyAlignment="1">
      <alignment horizontal="centerContinuous" wrapText="1"/>
    </xf>
    <xf numFmtId="0" fontId="233" fillId="0" borderId="13" xfId="0" applyFont="1" applyBorder="1"/>
    <xf numFmtId="0" fontId="215" fillId="0" borderId="0" xfId="0" applyFont="1" applyAlignment="1">
      <alignment horizontal="left" vertical="top"/>
    </xf>
    <xf numFmtId="0" fontId="215" fillId="0" borderId="13" xfId="0" applyFont="1" applyBorder="1" applyAlignment="1">
      <alignment horizontal="left" vertical="top"/>
    </xf>
    <xf numFmtId="0" fontId="215" fillId="0" borderId="0" xfId="0" applyFont="1" applyAlignment="1">
      <alignment horizontal="left" vertical="top" wrapText="1"/>
    </xf>
    <xf numFmtId="0" fontId="215" fillId="0" borderId="45" xfId="0" applyFont="1" applyBorder="1" applyAlignment="1">
      <alignment horizontal="left" vertical="top" wrapText="1"/>
    </xf>
    <xf numFmtId="0" fontId="215" fillId="0" borderId="98" xfId="0" applyFont="1" applyBorder="1" applyAlignment="1">
      <alignment horizontal="left" vertical="top"/>
    </xf>
    <xf numFmtId="0" fontId="282" fillId="0" borderId="204" xfId="0" applyFont="1" applyBorder="1" applyAlignment="1">
      <alignment horizontal="centerContinuous" wrapText="1"/>
    </xf>
    <xf numFmtId="0" fontId="233" fillId="0" borderId="51" xfId="0" applyFont="1" applyBorder="1"/>
    <xf numFmtId="0" fontId="215" fillId="0" borderId="51" xfId="0" applyFont="1" applyBorder="1" applyAlignment="1">
      <alignment horizontal="justify" vertical="top"/>
    </xf>
    <xf numFmtId="0" fontId="215" fillId="0" borderId="51" xfId="0" applyFont="1" applyBorder="1" applyAlignment="1">
      <alignment horizontal="justify" vertical="top" wrapText="1"/>
    </xf>
    <xf numFmtId="0" fontId="215" fillId="0" borderId="32" xfId="0" applyFont="1" applyBorder="1" applyAlignment="1">
      <alignment horizontal="justify" vertical="top" wrapText="1"/>
    </xf>
    <xf numFmtId="272" fontId="234" fillId="71" borderId="5" xfId="0" applyNumberFormat="1" applyFont="1" applyFill="1" applyBorder="1"/>
    <xf numFmtId="43" fontId="234" fillId="71" borderId="5" xfId="0" applyNumberFormat="1" applyFont="1" applyFill="1" applyBorder="1"/>
    <xf numFmtId="165" fontId="215" fillId="73" borderId="0" xfId="0" applyNumberFormat="1" applyFont="1" applyFill="1" applyAlignment="1">
      <alignment horizontal="right"/>
    </xf>
    <xf numFmtId="0" fontId="227" fillId="72" borderId="189" xfId="0" applyFont="1" applyFill="1" applyBorder="1" applyAlignment="1">
      <alignment horizontal="centerContinuous"/>
    </xf>
    <xf numFmtId="168" fontId="232" fillId="0" borderId="189" xfId="0" applyNumberFormat="1" applyFont="1" applyBorder="1" applyAlignment="1">
      <alignment horizontal="center"/>
    </xf>
    <xf numFmtId="165" fontId="216" fillId="71" borderId="193" xfId="0" applyNumberFormat="1" applyFont="1" applyFill="1" applyBorder="1"/>
    <xf numFmtId="0" fontId="215" fillId="0" borderId="190" xfId="0" applyFont="1" applyBorder="1" applyAlignment="1">
      <alignment horizontal="left" indent="1"/>
    </xf>
    <xf numFmtId="0" fontId="215" fillId="0" borderId="190" xfId="0" applyFont="1" applyBorder="1"/>
    <xf numFmtId="169" fontId="215" fillId="0" borderId="190" xfId="0" applyNumberFormat="1" applyFont="1" applyBorder="1"/>
    <xf numFmtId="0" fontId="216" fillId="0" borderId="190" xfId="0" applyFont="1" applyBorder="1" applyAlignment="1">
      <alignment horizontal="left" indent="1"/>
    </xf>
    <xf numFmtId="0" fontId="216" fillId="0" borderId="190" xfId="0" applyFont="1" applyBorder="1"/>
    <xf numFmtId="169" fontId="216" fillId="0" borderId="190" xfId="0" applyNumberFormat="1" applyFont="1" applyBorder="1"/>
    <xf numFmtId="169" fontId="215" fillId="92" borderId="0" xfId="0" applyNumberFormat="1" applyFont="1" applyFill="1"/>
    <xf numFmtId="43" fontId="215" fillId="0" borderId="0" xfId="0" applyNumberFormat="1" applyFont="1" applyAlignment="1">
      <alignment horizontal="left"/>
    </xf>
    <xf numFmtId="8" fontId="215" fillId="0" borderId="190" xfId="0" applyNumberFormat="1" applyFont="1" applyBorder="1" applyAlignment="1">
      <alignment horizontal="right"/>
    </xf>
    <xf numFmtId="165" fontId="283" fillId="0" borderId="0" xfId="12422" applyNumberFormat="1" applyFont="1" applyAlignment="1">
      <alignment horizontal="right"/>
    </xf>
    <xf numFmtId="309" fontId="215" fillId="0" borderId="0" xfId="0" applyNumberFormat="1" applyFont="1" applyAlignment="1">
      <alignment horizontal="right"/>
    </xf>
    <xf numFmtId="0" fontId="215" fillId="0" borderId="191" xfId="0" applyFont="1" applyBorder="1" applyAlignment="1">
      <alignment horizontal="right"/>
    </xf>
    <xf numFmtId="0" fontId="215" fillId="0" borderId="191" xfId="0" applyFont="1" applyBorder="1" applyAlignment="1">
      <alignment horizontal="center"/>
    </xf>
    <xf numFmtId="165" fontId="215" fillId="0" borderId="189" xfId="0" applyNumberFormat="1" applyFont="1" applyBorder="1"/>
    <xf numFmtId="169" fontId="228" fillId="0" borderId="45" xfId="0" applyNumberFormat="1" applyFont="1" applyBorder="1"/>
    <xf numFmtId="167" fontId="215" fillId="0" borderId="158" xfId="12427" applyNumberFormat="1" applyFont="1" applyBorder="1"/>
    <xf numFmtId="0" fontId="215" fillId="0" borderId="193" xfId="0" applyFont="1" applyBorder="1"/>
    <xf numFmtId="8" fontId="231" fillId="0" borderId="64" xfId="0" applyNumberFormat="1" applyFont="1" applyBorder="1" applyAlignment="1">
      <alignment horizontal="right"/>
    </xf>
    <xf numFmtId="169" fontId="231" fillId="0" borderId="138" xfId="0" applyNumberFormat="1" applyFont="1" applyBorder="1"/>
    <xf numFmtId="165" fontId="215" fillId="0" borderId="98" xfId="12422" applyNumberFormat="1" applyFont="1" applyBorder="1"/>
    <xf numFmtId="0" fontId="216" fillId="0" borderId="192" xfId="0" applyFont="1" applyBorder="1"/>
    <xf numFmtId="0" fontId="216" fillId="0" borderId="204" xfId="0" applyFont="1" applyBorder="1"/>
    <xf numFmtId="0" fontId="216" fillId="0" borderId="204" xfId="0" applyFont="1" applyBorder="1" applyAlignment="1">
      <alignment horizontal="right"/>
    </xf>
    <xf numFmtId="243" fontId="215" fillId="0" borderId="160" xfId="0" applyNumberFormat="1" applyFont="1" applyBorder="1"/>
    <xf numFmtId="272" fontId="215" fillId="0" borderId="160" xfId="0" applyNumberFormat="1" applyFont="1" applyBorder="1"/>
    <xf numFmtId="0" fontId="227" fillId="72" borderId="204" xfId="0" applyFont="1" applyFill="1" applyBorder="1" applyAlignment="1">
      <alignment horizontal="left"/>
    </xf>
    <xf numFmtId="0" fontId="227" fillId="72" borderId="204" xfId="0" applyFont="1" applyFill="1" applyBorder="1" applyAlignment="1">
      <alignment horizontal="right"/>
    </xf>
    <xf numFmtId="0" fontId="227" fillId="72" borderId="204" xfId="0" applyFont="1" applyFill="1" applyBorder="1" applyAlignment="1">
      <alignment horizontal="center"/>
    </xf>
    <xf numFmtId="0" fontId="216" fillId="71" borderId="188" xfId="0" applyFont="1" applyFill="1" applyBorder="1"/>
    <xf numFmtId="0" fontId="216" fillId="71" borderId="191" xfId="0" applyFont="1" applyFill="1" applyBorder="1"/>
    <xf numFmtId="8" fontId="216" fillId="71" borderId="189" xfId="0" applyNumberFormat="1" applyFont="1" applyFill="1" applyBorder="1"/>
    <xf numFmtId="0" fontId="226" fillId="0" borderId="0" xfId="0" applyFont="1"/>
    <xf numFmtId="0" fontId="227" fillId="72" borderId="0" xfId="0" applyFont="1" applyFill="1" applyAlignment="1">
      <alignment horizontal="center"/>
    </xf>
    <xf numFmtId="243" fontId="222" fillId="0" borderId="71" xfId="0" applyNumberFormat="1" applyFont="1" applyBorder="1"/>
    <xf numFmtId="0" fontId="217" fillId="0" borderId="204" xfId="0" applyFont="1" applyBorder="1"/>
    <xf numFmtId="0" fontId="216" fillId="0" borderId="188" xfId="0" applyFont="1" applyBorder="1" applyAlignment="1">
      <alignment horizontal="right"/>
    </xf>
    <xf numFmtId="0" fontId="222" fillId="0" borderId="0" xfId="0" applyFont="1" applyAlignment="1">
      <alignment horizontal="right"/>
    </xf>
    <xf numFmtId="243" fontId="215" fillId="0" borderId="0" xfId="12427" applyNumberFormat="1" applyFont="1" applyAlignment="1">
      <alignment horizontal="right"/>
    </xf>
    <xf numFmtId="243" fontId="216" fillId="71" borderId="101" xfId="0" applyNumberFormat="1" applyFont="1" applyFill="1" applyBorder="1"/>
    <xf numFmtId="243" fontId="216" fillId="71" borderId="0" xfId="0" applyNumberFormat="1" applyFont="1" applyFill="1"/>
    <xf numFmtId="243" fontId="216" fillId="71" borderId="45" xfId="0" applyNumberFormat="1" applyFont="1" applyFill="1" applyBorder="1"/>
    <xf numFmtId="272" fontId="228" fillId="0" borderId="160" xfId="0" applyNumberFormat="1" applyFont="1" applyBorder="1"/>
    <xf numFmtId="0" fontId="228" fillId="0" borderId="0" xfId="0" applyFont="1"/>
    <xf numFmtId="243" fontId="228" fillId="0" borderId="160" xfId="0" applyNumberFormat="1" applyFont="1" applyBorder="1"/>
    <xf numFmtId="165" fontId="233" fillId="0" borderId="52" xfId="12422" applyNumberFormat="1" applyFont="1" applyBorder="1"/>
    <xf numFmtId="165" fontId="233" fillId="0" borderId="0" xfId="12422" applyNumberFormat="1" applyFont="1"/>
    <xf numFmtId="0" fontId="232" fillId="0" borderId="191" xfId="0" applyFont="1" applyBorder="1"/>
    <xf numFmtId="14" fontId="228" fillId="0" borderId="0" xfId="0" applyNumberFormat="1" applyFont="1"/>
    <xf numFmtId="0" fontId="227" fillId="72" borderId="188" xfId="0" applyFont="1" applyFill="1" applyBorder="1" applyAlignment="1">
      <alignment horizontal="right" wrapText="1"/>
    </xf>
    <xf numFmtId="0" fontId="232" fillId="0" borderId="166" xfId="0" applyFont="1" applyBorder="1" applyAlignment="1">
      <alignment horizontal="left" wrapText="1"/>
    </xf>
    <xf numFmtId="0" fontId="216" fillId="0" borderId="188" xfId="0" applyFont="1" applyBorder="1" applyAlignment="1">
      <alignment horizontal="centerContinuous"/>
    </xf>
    <xf numFmtId="0" fontId="216" fillId="0" borderId="191" xfId="0" applyFont="1" applyBorder="1" applyAlignment="1">
      <alignment horizontal="centerContinuous"/>
    </xf>
    <xf numFmtId="0" fontId="216" fillId="0" borderId="189" xfId="0" applyFont="1" applyBorder="1" applyAlignment="1">
      <alignment horizontal="centerContinuous"/>
    </xf>
    <xf numFmtId="0" fontId="232" fillId="0" borderId="189" xfId="0" applyFont="1" applyBorder="1" applyAlignment="1">
      <alignment horizontal="right" wrapText="1"/>
    </xf>
    <xf numFmtId="0" fontId="227" fillId="72" borderId="204" xfId="0" applyFont="1" applyFill="1" applyBorder="1" applyAlignment="1">
      <alignment horizontal="centerContinuous"/>
    </xf>
    <xf numFmtId="169" fontId="216" fillId="71" borderId="193" xfId="0" applyNumberFormat="1" applyFont="1" applyFill="1" applyBorder="1"/>
    <xf numFmtId="0" fontId="227" fillId="72" borderId="188" xfId="0" applyFont="1" applyFill="1" applyBorder="1" applyAlignment="1">
      <alignment horizontal="centerContinuous"/>
    </xf>
    <xf numFmtId="0" fontId="227" fillId="72" borderId="191" xfId="0" applyFont="1" applyFill="1" applyBorder="1" applyAlignment="1">
      <alignment horizontal="centerContinuous"/>
    </xf>
    <xf numFmtId="0" fontId="227" fillId="72" borderId="191" xfId="0" applyFont="1" applyFill="1" applyBorder="1" applyAlignment="1">
      <alignment horizontal="right" wrapText="1"/>
    </xf>
    <xf numFmtId="0" fontId="216" fillId="0" borderId="191" xfId="0" applyFont="1" applyBorder="1"/>
    <xf numFmtId="0" fontId="215" fillId="73" borderId="158" xfId="0" applyFont="1" applyFill="1" applyBorder="1" applyAlignment="1">
      <alignment horizontal="center"/>
    </xf>
    <xf numFmtId="0" fontId="232" fillId="0" borderId="188" xfId="0" applyFont="1" applyBorder="1"/>
    <xf numFmtId="0" fontId="232" fillId="0" borderId="189" xfId="0" applyFont="1" applyBorder="1"/>
    <xf numFmtId="169" fontId="215" fillId="0" borderId="206" xfId="0" applyNumberFormat="1" applyFont="1" applyBorder="1"/>
    <xf numFmtId="167" fontId="233" fillId="0" borderId="206" xfId="12427" applyNumberFormat="1" applyFont="1" applyBorder="1"/>
    <xf numFmtId="10" fontId="228" fillId="0" borderId="13" xfId="0" applyNumberFormat="1" applyFont="1" applyBorder="1"/>
    <xf numFmtId="165" fontId="228" fillId="0" borderId="13" xfId="0" applyNumberFormat="1" applyFont="1" applyBorder="1"/>
    <xf numFmtId="164" fontId="150" fillId="0" borderId="0" xfId="0" applyNumberFormat="1" applyFont="1"/>
    <xf numFmtId="164" fontId="231" fillId="0" borderId="0" xfId="0" applyNumberFormat="1" applyFont="1" applyAlignment="1">
      <alignment horizontal="right"/>
    </xf>
    <xf numFmtId="0" fontId="227" fillId="72" borderId="207" xfId="0" applyFont="1" applyFill="1" applyBorder="1" applyAlignment="1">
      <alignment horizontal="right"/>
    </xf>
    <xf numFmtId="0" fontId="216" fillId="71" borderId="208" xfId="0" applyFont="1" applyFill="1" applyBorder="1"/>
    <xf numFmtId="0" fontId="216" fillId="71" borderId="209" xfId="0" applyFont="1" applyFill="1" applyBorder="1"/>
    <xf numFmtId="165" fontId="232" fillId="71" borderId="210" xfId="12422" applyNumberFormat="1" applyFont="1" applyFill="1" applyBorder="1"/>
    <xf numFmtId="165" fontId="231" fillId="71" borderId="210" xfId="12422" applyNumberFormat="1" applyFont="1" applyFill="1" applyBorder="1"/>
    <xf numFmtId="8" fontId="215" fillId="0" borderId="211" xfId="0" applyNumberFormat="1" applyFont="1" applyBorder="1"/>
    <xf numFmtId="0" fontId="216" fillId="0" borderId="213" xfId="0" applyFont="1" applyBorder="1"/>
    <xf numFmtId="0" fontId="216" fillId="0" borderId="214" xfId="0" applyFont="1" applyBorder="1"/>
    <xf numFmtId="0" fontId="215" fillId="0" borderId="215" xfId="0" applyFont="1" applyBorder="1"/>
    <xf numFmtId="164" fontId="222" fillId="0" borderId="208" xfId="0" applyNumberFormat="1" applyFont="1" applyBorder="1"/>
    <xf numFmtId="164" fontId="222" fillId="0" borderId="64" xfId="0" applyNumberFormat="1" applyFont="1" applyBorder="1"/>
    <xf numFmtId="167" fontId="222" fillId="0" borderId="208" xfId="12426" applyNumberFormat="1" applyFont="1" applyBorder="1"/>
    <xf numFmtId="167" fontId="222" fillId="0" borderId="64" xfId="12426" applyNumberFormat="1" applyFont="1" applyBorder="1"/>
    <xf numFmtId="165" fontId="228" fillId="0" borderId="208" xfId="12049" applyNumberFormat="1" applyFont="1" applyBorder="1" applyAlignment="1">
      <alignment horizontal="right"/>
    </xf>
    <xf numFmtId="165" fontId="228" fillId="0" borderId="64" xfId="12049" applyNumberFormat="1" applyFont="1" applyBorder="1" applyAlignment="1">
      <alignment horizontal="right"/>
    </xf>
    <xf numFmtId="0" fontId="216" fillId="0" borderId="210" xfId="0" applyFont="1" applyBorder="1"/>
    <xf numFmtId="164" fontId="222" fillId="0" borderId="215" xfId="0" applyNumberFormat="1" applyFont="1" applyBorder="1"/>
    <xf numFmtId="167" fontId="222" fillId="0" borderId="215" xfId="12426" applyNumberFormat="1" applyFont="1" applyBorder="1"/>
    <xf numFmtId="165" fontId="233" fillId="0" borderId="215" xfId="12049" applyNumberFormat="1" applyFont="1" applyBorder="1" applyAlignment="1">
      <alignment horizontal="right"/>
    </xf>
    <xf numFmtId="0" fontId="227" fillId="72" borderId="208" xfId="0" applyFont="1" applyFill="1" applyBorder="1" applyAlignment="1">
      <alignment horizontal="left"/>
    </xf>
    <xf numFmtId="0" fontId="227" fillId="72" borderId="209" xfId="0" applyFont="1" applyFill="1" applyBorder="1" applyAlignment="1">
      <alignment horizontal="centerContinuous"/>
    </xf>
    <xf numFmtId="0" fontId="227" fillId="72" borderId="210" xfId="0" applyFont="1" applyFill="1" applyBorder="1" applyAlignment="1">
      <alignment horizontal="right" wrapText="1"/>
    </xf>
    <xf numFmtId="0" fontId="227" fillId="72" borderId="215" xfId="0" applyFont="1" applyFill="1" applyBorder="1" applyAlignment="1">
      <alignment horizontal="center"/>
    </xf>
    <xf numFmtId="0" fontId="215" fillId="0" borderId="214" xfId="0" applyFont="1" applyBorder="1"/>
    <xf numFmtId="169" fontId="232" fillId="0" borderId="209" xfId="0" applyNumberFormat="1" applyFont="1" applyBorder="1"/>
    <xf numFmtId="0" fontId="215" fillId="73" borderId="0" xfId="0" applyFont="1" applyFill="1"/>
    <xf numFmtId="169" fontId="233" fillId="0" borderId="158" xfId="0" applyNumberFormat="1" applyFont="1" applyBorder="1"/>
    <xf numFmtId="169" fontId="233" fillId="0" borderId="162" xfId="0" applyNumberFormat="1" applyFont="1" applyBorder="1"/>
    <xf numFmtId="14" fontId="215" fillId="0" borderId="0" xfId="0" applyNumberFormat="1" applyFont="1"/>
    <xf numFmtId="0" fontId="27" fillId="0" borderId="213" xfId="11828" applyFont="1" applyBorder="1" applyAlignment="1">
      <alignment horizontal="right"/>
    </xf>
    <xf numFmtId="14" fontId="27" fillId="0" borderId="211" xfId="11828" applyNumberFormat="1" applyFont="1" applyBorder="1" applyAlignment="1">
      <alignment horizontal="right"/>
    </xf>
    <xf numFmtId="0" fontId="152" fillId="0" borderId="215" xfId="11826" applyFont="1" applyBorder="1" applyAlignment="1">
      <alignment horizontal="left"/>
    </xf>
    <xf numFmtId="0" fontId="152" fillId="0" borderId="215" xfId="11826" applyFont="1" applyBorder="1" applyAlignment="1">
      <alignment horizontal="right"/>
    </xf>
    <xf numFmtId="0" fontId="152" fillId="0" borderId="208" xfId="11826" applyFont="1" applyBorder="1" applyAlignment="1">
      <alignment horizontal="right"/>
    </xf>
    <xf numFmtId="0" fontId="152" fillId="0" borderId="208" xfId="11826" applyFont="1" applyBorder="1" applyAlignment="1">
      <alignment horizontal="centerContinuous"/>
    </xf>
    <xf numFmtId="0" fontId="152" fillId="0" borderId="209" xfId="11826" applyFont="1" applyBorder="1" applyAlignment="1">
      <alignment horizontal="centerContinuous"/>
    </xf>
    <xf numFmtId="0" fontId="27" fillId="0" borderId="209" xfId="11828" applyFont="1" applyBorder="1" applyAlignment="1">
      <alignment horizontal="centerContinuous"/>
    </xf>
    <xf numFmtId="0" fontId="27" fillId="0" borderId="210" xfId="11828" applyFont="1" applyBorder="1" applyAlignment="1">
      <alignment horizontal="centerContinuous"/>
    </xf>
    <xf numFmtId="0" fontId="22" fillId="0" borderId="212" xfId="20308" applyFont="1" applyBorder="1" applyAlignment="1">
      <alignment horizontal="left"/>
    </xf>
    <xf numFmtId="2" fontId="22" fillId="0" borderId="212" xfId="11826" applyNumberFormat="1" applyFont="1" applyBorder="1" applyAlignment="1">
      <alignment horizontal="right"/>
    </xf>
    <xf numFmtId="10" fontId="22" fillId="0" borderId="213" xfId="20309" applyNumberFormat="1" applyFont="1" applyBorder="1" applyAlignment="1">
      <alignment horizontal="right"/>
    </xf>
    <xf numFmtId="14" fontId="150" fillId="0" borderId="215" xfId="16168" applyNumberFormat="1" applyFont="1" applyBorder="1" applyAlignment="1">
      <alignment horizontal="left"/>
    </xf>
    <xf numFmtId="10" fontId="27" fillId="0" borderId="215" xfId="12424" applyNumberFormat="1" applyFont="1" applyBorder="1" applyAlignment="1">
      <alignment horizontal="right"/>
    </xf>
    <xf numFmtId="0" fontId="27" fillId="0" borderId="209" xfId="11828" applyFont="1" applyBorder="1" applyAlignment="1">
      <alignment horizontal="left"/>
    </xf>
    <xf numFmtId="0" fontId="27" fillId="0" borderId="209" xfId="11828" applyFont="1" applyBorder="1" applyAlignment="1">
      <alignment horizontal="right"/>
    </xf>
    <xf numFmtId="0" fontId="27" fillId="0" borderId="210" xfId="11828" applyFont="1" applyBorder="1" applyAlignment="1">
      <alignment horizontal="right"/>
    </xf>
    <xf numFmtId="0" fontId="150" fillId="0" borderId="213" xfId="0" applyFont="1" applyBorder="1"/>
    <xf numFmtId="14" fontId="150" fillId="0" borderId="211" xfId="0" applyNumberFormat="1" applyFont="1" applyBorder="1" applyAlignment="1">
      <alignment horizontal="right"/>
    </xf>
    <xf numFmtId="0" fontId="193" fillId="0" borderId="0" xfId="0" applyFont="1"/>
    <xf numFmtId="0" fontId="156" fillId="72" borderId="208" xfId="0" applyFont="1" applyFill="1" applyBorder="1" applyAlignment="1">
      <alignment horizontal="centerContinuous"/>
    </xf>
    <xf numFmtId="0" fontId="156" fillId="72" borderId="209" xfId="0" applyFont="1" applyFill="1" applyBorder="1" applyAlignment="1">
      <alignment horizontal="centerContinuous"/>
    </xf>
    <xf numFmtId="0" fontId="156" fillId="72" borderId="210" xfId="0" applyFont="1" applyFill="1" applyBorder="1" applyAlignment="1">
      <alignment horizontal="centerContinuous"/>
    </xf>
    <xf numFmtId="0" fontId="156" fillId="72" borderId="215" xfId="0" applyFont="1" applyFill="1" applyBorder="1" applyAlignment="1">
      <alignment horizontal="centerContinuous"/>
    </xf>
    <xf numFmtId="0" fontId="152" fillId="0" borderId="208" xfId="0" applyFont="1" applyBorder="1" applyAlignment="1">
      <alignment horizontal="center" wrapText="1"/>
    </xf>
    <xf numFmtId="0" fontId="152" fillId="0" borderId="209" xfId="0" applyFont="1" applyBorder="1" applyAlignment="1">
      <alignment horizontal="center" wrapText="1"/>
    </xf>
    <xf numFmtId="0" fontId="152" fillId="0" borderId="210" xfId="0" applyFont="1" applyBorder="1" applyAlignment="1">
      <alignment horizontal="center" wrapText="1"/>
    </xf>
    <xf numFmtId="0" fontId="151" fillId="0" borderId="0" xfId="0" applyFont="1" applyAlignment="1">
      <alignment horizontal="center" wrapText="1"/>
    </xf>
    <xf numFmtId="0" fontId="150" fillId="0" borderId="0" xfId="0" applyFont="1" applyAlignment="1">
      <alignment vertical="top"/>
    </xf>
    <xf numFmtId="0" fontId="151" fillId="71" borderId="213" xfId="0" applyFont="1" applyFill="1" applyBorder="1"/>
    <xf numFmtId="0" fontId="150" fillId="71" borderId="214" xfId="0" applyFont="1" applyFill="1" applyBorder="1"/>
    <xf numFmtId="169" fontId="151" fillId="71" borderId="214" xfId="0" applyNumberFormat="1" applyFont="1" applyFill="1" applyBorder="1"/>
    <xf numFmtId="0" fontId="150" fillId="71" borderId="211" xfId="0" applyFont="1" applyFill="1" applyBorder="1"/>
    <xf numFmtId="234" fontId="151" fillId="71" borderId="214" xfId="0" applyNumberFormat="1" applyFont="1" applyFill="1" applyBorder="1"/>
    <xf numFmtId="165" fontId="151" fillId="71" borderId="214" xfId="0" applyNumberFormat="1" applyFont="1" applyFill="1" applyBorder="1"/>
    <xf numFmtId="165" fontId="151" fillId="71" borderId="211" xfId="0" applyNumberFormat="1" applyFont="1" applyFill="1" applyBorder="1"/>
    <xf numFmtId="0" fontId="151" fillId="71" borderId="64" xfId="0" applyFont="1" applyFill="1" applyBorder="1"/>
    <xf numFmtId="165" fontId="151" fillId="71" borderId="98" xfId="0" applyNumberFormat="1" applyFont="1" applyFill="1" applyBorder="1"/>
    <xf numFmtId="272" fontId="233" fillId="0" borderId="0" xfId="0" applyNumberFormat="1" applyFont="1"/>
    <xf numFmtId="272" fontId="233" fillId="0" borderId="0" xfId="0" applyNumberFormat="1" applyFont="1" applyAlignment="1">
      <alignment horizontal="right"/>
    </xf>
    <xf numFmtId="272" fontId="232" fillId="0" borderId="0" xfId="0" applyNumberFormat="1" applyFont="1" applyAlignment="1">
      <alignment horizontal="right"/>
    </xf>
    <xf numFmtId="272" fontId="233" fillId="0" borderId="45" xfId="0" applyNumberFormat="1" applyFont="1" applyBorder="1" applyAlignment="1">
      <alignment horizontal="right"/>
    </xf>
    <xf numFmtId="0" fontId="233" fillId="0" borderId="45" xfId="0" applyFont="1" applyBorder="1" applyAlignment="1">
      <alignment horizontal="right"/>
    </xf>
    <xf numFmtId="1" fontId="232" fillId="0" borderId="215" xfId="0" applyNumberFormat="1" applyFont="1" applyBorder="1" applyAlignment="1">
      <alignment horizontal="right"/>
    </xf>
    <xf numFmtId="0" fontId="227" fillId="72" borderId="215" xfId="0" applyFont="1" applyFill="1" applyBorder="1" applyAlignment="1">
      <alignment horizontal="centerContinuous"/>
    </xf>
    <xf numFmtId="0" fontId="227" fillId="72" borderId="215" xfId="0" applyFont="1" applyFill="1" applyBorder="1" applyAlignment="1">
      <alignment horizontal="right"/>
    </xf>
    <xf numFmtId="0" fontId="227" fillId="0" borderId="0" xfId="0" applyFont="1" applyAlignment="1">
      <alignment horizontal="centerContinuous"/>
    </xf>
    <xf numFmtId="1" fontId="232" fillId="0" borderId="0" xfId="0" applyNumberFormat="1" applyFont="1" applyAlignment="1">
      <alignment horizontal="right"/>
    </xf>
    <xf numFmtId="0" fontId="227" fillId="72" borderId="216" xfId="0" applyFont="1" applyFill="1" applyBorder="1" applyAlignment="1">
      <alignment horizontal="centerContinuous"/>
    </xf>
    <xf numFmtId="1" fontId="232" fillId="0" borderId="216" xfId="0" applyNumberFormat="1" applyFont="1" applyBorder="1" applyAlignment="1">
      <alignment horizontal="right"/>
    </xf>
    <xf numFmtId="164" fontId="232" fillId="0" borderId="215" xfId="0" applyNumberFormat="1" applyFont="1" applyBorder="1" applyAlignment="1">
      <alignment horizontal="right"/>
    </xf>
    <xf numFmtId="0" fontId="255" fillId="72" borderId="215" xfId="0" applyFont="1" applyFill="1" applyBorder="1" applyAlignment="1">
      <alignment horizontal="center"/>
    </xf>
    <xf numFmtId="7" fontId="215" fillId="0" borderId="0" xfId="0" applyNumberFormat="1" applyFont="1" applyAlignment="1">
      <alignment horizontal="right"/>
    </xf>
    <xf numFmtId="243" fontId="228" fillId="0" borderId="0" xfId="20305" applyNumberFormat="1" applyFont="1" applyAlignment="1">
      <alignment horizontal="right"/>
    </xf>
    <xf numFmtId="272" fontId="222" fillId="0" borderId="0" xfId="0" applyNumberFormat="1" applyFont="1" applyAlignment="1">
      <alignment horizontal="right"/>
    </xf>
    <xf numFmtId="191" fontId="222" fillId="0" borderId="0" xfId="0" applyNumberFormat="1" applyFont="1" applyAlignment="1">
      <alignment horizontal="right"/>
    </xf>
    <xf numFmtId="9" fontId="215" fillId="0" borderId="0" xfId="12422" applyFont="1" applyAlignment="1">
      <alignment horizontal="right"/>
    </xf>
    <xf numFmtId="0" fontId="228" fillId="0" borderId="0" xfId="0" applyFont="1" applyAlignment="1">
      <alignment horizontal="right"/>
    </xf>
    <xf numFmtId="243" fontId="222" fillId="0" borderId="0" xfId="20305" applyNumberFormat="1" applyFont="1" applyAlignment="1">
      <alignment horizontal="right"/>
    </xf>
    <xf numFmtId="9" fontId="222" fillId="0" borderId="0" xfId="12422" applyFont="1" applyAlignment="1">
      <alignment horizontal="right"/>
    </xf>
    <xf numFmtId="0" fontId="222" fillId="0" borderId="0" xfId="0" applyFont="1" applyAlignment="1">
      <alignment horizontal="right" vertical="top"/>
    </xf>
    <xf numFmtId="310" fontId="228" fillId="0" borderId="0" xfId="12427" applyNumberFormat="1" applyFont="1" applyAlignment="1">
      <alignment horizontal="right"/>
    </xf>
    <xf numFmtId="310" fontId="222" fillId="0" borderId="0" xfId="12427" applyNumberFormat="1" applyFont="1" applyAlignment="1">
      <alignment horizontal="right"/>
    </xf>
    <xf numFmtId="310" fontId="233" fillId="0" borderId="0" xfId="12427" applyNumberFormat="1" applyFont="1" applyAlignment="1">
      <alignment horizontal="right"/>
    </xf>
    <xf numFmtId="310" fontId="228" fillId="0" borderId="0" xfId="0" applyNumberFormat="1" applyFont="1" applyAlignment="1">
      <alignment horizontal="right"/>
    </xf>
    <xf numFmtId="310" fontId="222" fillId="0" borderId="0" xfId="0" applyNumberFormat="1" applyFont="1" applyAlignment="1">
      <alignment horizontal="right"/>
    </xf>
    <xf numFmtId="243" fontId="228" fillId="0" borderId="0" xfId="0" applyNumberFormat="1" applyFont="1" applyAlignment="1">
      <alignment horizontal="right"/>
    </xf>
    <xf numFmtId="243" fontId="222" fillId="0" borderId="0" xfId="0" applyNumberFormat="1" applyFont="1" applyAlignment="1">
      <alignment horizontal="right"/>
    </xf>
    <xf numFmtId="243" fontId="231" fillId="0" borderId="64" xfId="0" applyNumberFormat="1" applyFont="1" applyBorder="1" applyAlignment="1">
      <alignment horizontal="right"/>
    </xf>
    <xf numFmtId="243" fontId="231" fillId="0" borderId="64" xfId="0" applyNumberFormat="1" applyFont="1" applyBorder="1"/>
    <xf numFmtId="272" fontId="231" fillId="0" borderId="64" xfId="0" applyNumberFormat="1" applyFont="1" applyBorder="1"/>
    <xf numFmtId="243" fontId="222" fillId="0" borderId="64" xfId="0" applyNumberFormat="1" applyFont="1" applyBorder="1" applyAlignment="1">
      <alignment horizontal="right"/>
    </xf>
    <xf numFmtId="165" fontId="215" fillId="0" borderId="13" xfId="12422" applyNumberFormat="1" applyFont="1" applyBorder="1" applyAlignment="1">
      <alignment horizontal="right"/>
    </xf>
    <xf numFmtId="165" fontId="217" fillId="0" borderId="215" xfId="0" applyNumberFormat="1" applyFont="1" applyBorder="1"/>
    <xf numFmtId="243" fontId="222" fillId="0" borderId="0" xfId="0" applyNumberFormat="1" applyFont="1"/>
    <xf numFmtId="0" fontId="217" fillId="0" borderId="215" xfId="0" applyFont="1" applyBorder="1"/>
    <xf numFmtId="7" fontId="215" fillId="0" borderId="0" xfId="20305" applyNumberFormat="1" applyFont="1" applyAlignment="1">
      <alignment horizontal="right"/>
    </xf>
    <xf numFmtId="167" fontId="222" fillId="0" borderId="0" xfId="12427" applyNumberFormat="1" applyFont="1" applyAlignment="1">
      <alignment horizontal="right"/>
    </xf>
    <xf numFmtId="270" fontId="222" fillId="0" borderId="0" xfId="0" applyNumberFormat="1" applyFont="1"/>
    <xf numFmtId="0" fontId="215" fillId="65" borderId="0" xfId="0" quotePrefix="1" applyFont="1" applyFill="1" applyAlignment="1">
      <alignment horizontal="left"/>
    </xf>
    <xf numFmtId="0" fontId="215" fillId="93" borderId="45" xfId="0" applyFont="1" applyFill="1" applyBorder="1" applyAlignment="1">
      <alignment horizontal="left" indent="1"/>
    </xf>
    <xf numFmtId="0" fontId="215" fillId="0" borderId="222" xfId="0" applyFont="1" applyBorder="1"/>
    <xf numFmtId="0" fontId="216" fillId="71" borderId="230" xfId="0" applyFont="1" applyFill="1" applyBorder="1"/>
    <xf numFmtId="169" fontId="215" fillId="0" borderId="0" xfId="0" applyNumberFormat="1" applyFont="1" applyAlignment="1">
      <alignment vertical="top"/>
    </xf>
    <xf numFmtId="0" fontId="227" fillId="72" borderId="188" xfId="0" applyFont="1" applyFill="1" applyBorder="1" applyAlignment="1">
      <alignment horizontal="center" wrapText="1"/>
    </xf>
    <xf numFmtId="0" fontId="227" fillId="72" borderId="191" xfId="0" applyFont="1" applyFill="1" applyBorder="1" applyAlignment="1">
      <alignment horizontal="center" wrapText="1"/>
    </xf>
    <xf numFmtId="0" fontId="227" fillId="72" borderId="189" xfId="0" applyFont="1" applyFill="1" applyBorder="1" applyAlignment="1">
      <alignment horizontal="center" wrapText="1"/>
    </xf>
    <xf numFmtId="0" fontId="215" fillId="0" borderId="0" xfId="0" applyFont="1" applyAlignment="1">
      <alignment horizontal="justify" vertical="top" wrapText="1"/>
    </xf>
    <xf numFmtId="0" fontId="227" fillId="72" borderId="212" xfId="0" applyFont="1" applyFill="1" applyBorder="1" applyAlignment="1">
      <alignment horizontal="center" vertical="center" wrapText="1"/>
    </xf>
    <xf numFmtId="0" fontId="227" fillId="72" borderId="32" xfId="0" applyFont="1" applyFill="1" applyBorder="1" applyAlignment="1">
      <alignment horizontal="center" vertical="center" wrapText="1"/>
    </xf>
    <xf numFmtId="0" fontId="215" fillId="0" borderId="0" xfId="0" quotePrefix="1" applyFont="1" applyAlignment="1">
      <alignment horizontal="justify" vertical="top" wrapText="1"/>
    </xf>
    <xf numFmtId="0" fontId="215" fillId="0" borderId="0" xfId="0" applyFont="1" applyAlignment="1">
      <alignment horizontal="left" vertical="top" wrapText="1"/>
    </xf>
    <xf numFmtId="0" fontId="215" fillId="0" borderId="0" xfId="20402" quotePrefix="1" applyFont="1" applyAlignment="1">
      <alignment horizontal="left" vertical="top" wrapText="1"/>
    </xf>
    <xf numFmtId="0" fontId="233" fillId="0" borderId="0" xfId="0" quotePrefix="1" applyFont="1" applyAlignment="1">
      <alignment horizontal="justify" vertical="top" wrapText="1"/>
    </xf>
    <xf numFmtId="0" fontId="215" fillId="0" borderId="0" xfId="0" applyFont="1"/>
    <xf numFmtId="0" fontId="216" fillId="92" borderId="0" xfId="20397" applyFont="1" applyFill="1" applyAlignment="1">
      <alignment horizontal="center" wrapText="1"/>
    </xf>
    <xf numFmtId="0" fontId="216" fillId="91" borderId="0" xfId="20397" applyFont="1" applyFill="1" applyAlignment="1">
      <alignment horizontal="center" wrapText="1"/>
    </xf>
    <xf numFmtId="0" fontId="216" fillId="91" borderId="170" xfId="20397" applyFont="1" applyFill="1" applyBorder="1" applyAlignment="1">
      <alignment horizontal="center" wrapText="1"/>
    </xf>
    <xf numFmtId="0" fontId="216" fillId="91" borderId="45" xfId="20397" applyFont="1" applyFill="1" applyBorder="1" applyAlignment="1">
      <alignment horizontal="center" wrapText="1"/>
    </xf>
    <xf numFmtId="0" fontId="216" fillId="91" borderId="170" xfId="20397" applyFont="1" applyFill="1" applyBorder="1" applyAlignment="1">
      <alignment horizontal="right" wrapText="1"/>
    </xf>
    <xf numFmtId="0" fontId="216" fillId="91" borderId="45" xfId="20397" applyFont="1" applyFill="1" applyBorder="1" applyAlignment="1">
      <alignment horizontal="right" wrapText="1"/>
    </xf>
    <xf numFmtId="0" fontId="216" fillId="91" borderId="171" xfId="20397" applyFont="1" applyFill="1" applyBorder="1" applyAlignment="1">
      <alignment horizontal="right" wrapText="1"/>
    </xf>
    <xf numFmtId="0" fontId="216" fillId="91" borderId="98" xfId="20397" applyFont="1" applyFill="1" applyBorder="1" applyAlignment="1">
      <alignment horizontal="right" wrapText="1"/>
    </xf>
    <xf numFmtId="0" fontId="2" fillId="0" borderId="190" xfId="20407" applyBorder="1" applyAlignment="1">
      <alignment horizontal="center"/>
    </xf>
    <xf numFmtId="0" fontId="148" fillId="75" borderId="0" xfId="20407" applyFont="1" applyFill="1" applyAlignment="1">
      <alignment horizontal="center"/>
    </xf>
    <xf numFmtId="0" fontId="148" fillId="94" borderId="0" xfId="20407" applyFont="1" applyFill="1" applyAlignment="1">
      <alignment horizontal="center"/>
    </xf>
    <xf numFmtId="0" fontId="276" fillId="0" borderId="0" xfId="20407" applyFont="1" applyAlignment="1">
      <alignment horizontal="center"/>
    </xf>
    <xf numFmtId="0" fontId="156" fillId="72" borderId="0" xfId="0" applyFont="1" applyFill="1" applyAlignment="1">
      <alignment horizontal="center" vertical="top"/>
    </xf>
    <xf numFmtId="0" fontId="216" fillId="0" borderId="0" xfId="0" applyFont="1" applyAlignment="1">
      <alignment horizontal="right" vertical="center" textRotation="90"/>
    </xf>
    <xf numFmtId="0" fontId="233" fillId="74" borderId="0" xfId="20391" applyFont="1" applyFill="1" applyAlignment="1">
      <alignment horizontal="justify" vertical="top"/>
    </xf>
    <xf numFmtId="0" fontId="215" fillId="0" borderId="0" xfId="20382" applyFont="1" applyAlignment="1">
      <alignment horizontal="justify" vertical="top"/>
    </xf>
    <xf numFmtId="0" fontId="215" fillId="0" borderId="0" xfId="20382" quotePrefix="1" applyFont="1" applyAlignment="1">
      <alignment horizontal="justify" vertical="top"/>
    </xf>
    <xf numFmtId="0" fontId="216" fillId="91" borderId="187" xfId="20397" applyFont="1" applyFill="1" applyBorder="1" applyAlignment="1">
      <alignment horizontal="right" wrapText="1"/>
    </xf>
    <xf numFmtId="0" fontId="216" fillId="91" borderId="187" xfId="20397" applyFont="1" applyFill="1" applyBorder="1" applyAlignment="1">
      <alignment horizontal="center" wrapText="1"/>
    </xf>
    <xf numFmtId="0" fontId="216" fillId="0" borderId="0" xfId="20397" applyFont="1" applyAlignment="1">
      <alignment horizontal="center" wrapText="1"/>
    </xf>
    <xf numFmtId="0" fontId="216" fillId="91" borderId="186" xfId="20397" applyFont="1" applyFill="1" applyBorder="1" applyAlignment="1">
      <alignment horizontal="right" wrapText="1"/>
    </xf>
    <xf numFmtId="0" fontId="216" fillId="91" borderId="152" xfId="20397" applyFont="1" applyFill="1" applyBorder="1" applyAlignment="1">
      <alignment horizontal="right" wrapText="1"/>
    </xf>
    <xf numFmtId="0" fontId="216" fillId="91" borderId="165" xfId="20397" applyFont="1" applyFill="1" applyBorder="1" applyAlignment="1">
      <alignment horizontal="center" wrapText="1"/>
    </xf>
    <xf numFmtId="0" fontId="216" fillId="91" borderId="165" xfId="20397" applyFont="1" applyFill="1" applyBorder="1" applyAlignment="1">
      <alignment horizontal="right" wrapText="1"/>
    </xf>
    <xf numFmtId="0" fontId="216" fillId="91" borderId="163" xfId="20397" applyFont="1" applyFill="1" applyBorder="1" applyAlignment="1">
      <alignment horizontal="right" wrapText="1"/>
    </xf>
    <xf numFmtId="0" fontId="215" fillId="74" borderId="0" xfId="0" quotePrefix="1" applyFont="1" applyFill="1" applyAlignment="1">
      <alignment horizontal="left" wrapText="1"/>
    </xf>
    <xf numFmtId="0" fontId="227" fillId="72" borderId="81" xfId="0" applyFont="1" applyFill="1" applyBorder="1" applyAlignment="1">
      <alignment horizontal="center" wrapText="1"/>
    </xf>
    <xf numFmtId="0" fontId="227" fillId="72" borderId="82" xfId="0" applyFont="1" applyFill="1" applyBorder="1" applyAlignment="1">
      <alignment horizontal="center" wrapText="1"/>
    </xf>
    <xf numFmtId="0" fontId="227" fillId="72" borderId="69" xfId="0" applyFont="1" applyFill="1" applyBorder="1" applyAlignment="1">
      <alignment horizontal="center" wrapText="1"/>
    </xf>
  </cellXfs>
  <cellStyles count="31979">
    <cellStyle name="-" xfId="4" xr:uid="{00000000-0005-0000-0000-000000000000}"/>
    <cellStyle name="------------------" xfId="5" xr:uid="{00000000-0005-0000-0000-000001000000}"/>
    <cellStyle name=" 1" xfId="6" xr:uid="{00000000-0005-0000-0000-000002000000}"/>
    <cellStyle name=" 1 2" xfId="7" xr:uid="{00000000-0005-0000-0000-000003000000}"/>
    <cellStyle name=" 1 3" xfId="8" xr:uid="{00000000-0005-0000-0000-000004000000}"/>
    <cellStyle name=" 1_Volatility" xfId="9" xr:uid="{00000000-0005-0000-0000-000005000000}"/>
    <cellStyle name=" 10" xfId="10" xr:uid="{00000000-0005-0000-0000-000006000000}"/>
    <cellStyle name=" 11" xfId="11" xr:uid="{00000000-0005-0000-0000-000007000000}"/>
    <cellStyle name=" 12" xfId="12" xr:uid="{00000000-0005-0000-0000-000008000000}"/>
    <cellStyle name=" 13" xfId="13" xr:uid="{00000000-0005-0000-0000-000009000000}"/>
    <cellStyle name=" 14" xfId="14" xr:uid="{00000000-0005-0000-0000-00000A000000}"/>
    <cellStyle name=" 15" xfId="15" xr:uid="{00000000-0005-0000-0000-00000B000000}"/>
    <cellStyle name=" 16" xfId="16" xr:uid="{00000000-0005-0000-0000-00000C000000}"/>
    <cellStyle name=" 17" xfId="17" xr:uid="{00000000-0005-0000-0000-00000D000000}"/>
    <cellStyle name=" 18" xfId="18" xr:uid="{00000000-0005-0000-0000-00000E000000}"/>
    <cellStyle name=" 19" xfId="19" xr:uid="{00000000-0005-0000-0000-00000F000000}"/>
    <cellStyle name=" 2" xfId="20" xr:uid="{00000000-0005-0000-0000-000010000000}"/>
    <cellStyle name=" 20" xfId="21" xr:uid="{00000000-0005-0000-0000-000011000000}"/>
    <cellStyle name=" 21" xfId="22" xr:uid="{00000000-0005-0000-0000-000012000000}"/>
    <cellStyle name=" 22" xfId="23" xr:uid="{00000000-0005-0000-0000-000013000000}"/>
    <cellStyle name=" 23" xfId="24" xr:uid="{00000000-0005-0000-0000-000014000000}"/>
    <cellStyle name=" 24" xfId="25" xr:uid="{00000000-0005-0000-0000-000015000000}"/>
    <cellStyle name=" 25" xfId="26" xr:uid="{00000000-0005-0000-0000-000016000000}"/>
    <cellStyle name=" 26" xfId="27" xr:uid="{00000000-0005-0000-0000-000017000000}"/>
    <cellStyle name=" 27" xfId="28" xr:uid="{00000000-0005-0000-0000-000018000000}"/>
    <cellStyle name=" 28" xfId="29" xr:uid="{00000000-0005-0000-0000-000019000000}"/>
    <cellStyle name=" 29" xfId="30" xr:uid="{00000000-0005-0000-0000-00001A000000}"/>
    <cellStyle name=" 3" xfId="31" xr:uid="{00000000-0005-0000-0000-00001B000000}"/>
    <cellStyle name=" 30" xfId="32" xr:uid="{00000000-0005-0000-0000-00001C000000}"/>
    <cellStyle name=" 31" xfId="33" xr:uid="{00000000-0005-0000-0000-00001D000000}"/>
    <cellStyle name=" 32" xfId="34" xr:uid="{00000000-0005-0000-0000-00001E000000}"/>
    <cellStyle name=" 33" xfId="35" xr:uid="{00000000-0005-0000-0000-00001F000000}"/>
    <cellStyle name=" 34" xfId="36" xr:uid="{00000000-0005-0000-0000-000020000000}"/>
    <cellStyle name=" 35" xfId="37" xr:uid="{00000000-0005-0000-0000-000021000000}"/>
    <cellStyle name=" 36" xfId="38" xr:uid="{00000000-0005-0000-0000-000022000000}"/>
    <cellStyle name=" 37" xfId="39" xr:uid="{00000000-0005-0000-0000-000023000000}"/>
    <cellStyle name=" 38" xfId="40" xr:uid="{00000000-0005-0000-0000-000024000000}"/>
    <cellStyle name=" 39" xfId="41" xr:uid="{00000000-0005-0000-0000-000025000000}"/>
    <cellStyle name=" 4" xfId="42" xr:uid="{00000000-0005-0000-0000-000026000000}"/>
    <cellStyle name=" 40" xfId="43" xr:uid="{00000000-0005-0000-0000-000027000000}"/>
    <cellStyle name=" 41" xfId="44" xr:uid="{00000000-0005-0000-0000-000028000000}"/>
    <cellStyle name=" 42" xfId="45" xr:uid="{00000000-0005-0000-0000-000029000000}"/>
    <cellStyle name=" 43" xfId="46" xr:uid="{00000000-0005-0000-0000-00002A000000}"/>
    <cellStyle name=" 44" xfId="47" xr:uid="{00000000-0005-0000-0000-00002B000000}"/>
    <cellStyle name=" 45" xfId="48" xr:uid="{00000000-0005-0000-0000-00002C000000}"/>
    <cellStyle name=" 46" xfId="49" xr:uid="{00000000-0005-0000-0000-00002D000000}"/>
    <cellStyle name=" 47" xfId="50" xr:uid="{00000000-0005-0000-0000-00002E000000}"/>
    <cellStyle name=" 48" xfId="51" xr:uid="{00000000-0005-0000-0000-00002F000000}"/>
    <cellStyle name=" 49" xfId="52" xr:uid="{00000000-0005-0000-0000-000030000000}"/>
    <cellStyle name=" 5" xfId="53" xr:uid="{00000000-0005-0000-0000-000031000000}"/>
    <cellStyle name=" 50" xfId="54" xr:uid="{00000000-0005-0000-0000-000032000000}"/>
    <cellStyle name=" 51" xfId="55" xr:uid="{00000000-0005-0000-0000-000033000000}"/>
    <cellStyle name=" 52" xfId="56" xr:uid="{00000000-0005-0000-0000-000034000000}"/>
    <cellStyle name=" 53" xfId="57" xr:uid="{00000000-0005-0000-0000-000035000000}"/>
    <cellStyle name=" 54" xfId="58" xr:uid="{00000000-0005-0000-0000-000036000000}"/>
    <cellStyle name=" 55" xfId="59" xr:uid="{00000000-0005-0000-0000-000037000000}"/>
    <cellStyle name=" 56" xfId="60" xr:uid="{00000000-0005-0000-0000-000038000000}"/>
    <cellStyle name=" 57" xfId="61" xr:uid="{00000000-0005-0000-0000-000039000000}"/>
    <cellStyle name=" 58" xfId="62" xr:uid="{00000000-0005-0000-0000-00003A000000}"/>
    <cellStyle name=" 59" xfId="63" xr:uid="{00000000-0005-0000-0000-00003B000000}"/>
    <cellStyle name=" 6" xfId="64" xr:uid="{00000000-0005-0000-0000-00003C000000}"/>
    <cellStyle name=" 60" xfId="65" xr:uid="{00000000-0005-0000-0000-00003D000000}"/>
    <cellStyle name=" 61" xfId="66" xr:uid="{00000000-0005-0000-0000-00003E000000}"/>
    <cellStyle name=" 62" xfId="67" xr:uid="{00000000-0005-0000-0000-00003F000000}"/>
    <cellStyle name=" 63" xfId="68" xr:uid="{00000000-0005-0000-0000-000040000000}"/>
    <cellStyle name=" 64" xfId="69" xr:uid="{00000000-0005-0000-0000-000041000000}"/>
    <cellStyle name=" 65" xfId="70" xr:uid="{00000000-0005-0000-0000-000042000000}"/>
    <cellStyle name=" 66" xfId="71" xr:uid="{00000000-0005-0000-0000-000043000000}"/>
    <cellStyle name=" 67" xfId="72" xr:uid="{00000000-0005-0000-0000-000044000000}"/>
    <cellStyle name=" 68" xfId="73" xr:uid="{00000000-0005-0000-0000-000045000000}"/>
    <cellStyle name=" 69" xfId="74" xr:uid="{00000000-0005-0000-0000-000046000000}"/>
    <cellStyle name=" 7" xfId="75" xr:uid="{00000000-0005-0000-0000-000047000000}"/>
    <cellStyle name=" 70" xfId="76" xr:uid="{00000000-0005-0000-0000-000048000000}"/>
    <cellStyle name=" 8" xfId="77" xr:uid="{00000000-0005-0000-0000-000049000000}"/>
    <cellStyle name=" 9" xfId="78" xr:uid="{00000000-0005-0000-0000-00004A000000}"/>
    <cellStyle name="_x000a_386grabber=M" xfId="79" xr:uid="{00000000-0005-0000-0000-00004B000000}"/>
    <cellStyle name="_x000a_386grabber=M 2" xfId="80" xr:uid="{00000000-0005-0000-0000-00004C000000}"/>
    <cellStyle name="_x0007__x000b_" xfId="81" xr:uid="{00000000-0005-0000-0000-00004D000000}"/>
    <cellStyle name=" ✀ⰀఀĀ" xfId="82" xr:uid="{00000000-0005-0000-0000-00004E000000}"/>
    <cellStyle name="&quot;X&quot; MEN" xfId="83" xr:uid="{00000000-0005-0000-0000-00004F000000}"/>
    <cellStyle name="&quot;X&quot; MEN 2" xfId="84" xr:uid="{00000000-0005-0000-0000-000050000000}"/>
    <cellStyle name="&quot;X&quot; MEN 2 2" xfId="85" xr:uid="{00000000-0005-0000-0000-000051000000}"/>
    <cellStyle name="&quot;X&quot; MEN 3" xfId="86" xr:uid="{00000000-0005-0000-0000-000052000000}"/>
    <cellStyle name="&quot;X&quot; MEN 4" xfId="87" xr:uid="{00000000-0005-0000-0000-000053000000}"/>
    <cellStyle name="&quot;X&quot; MEN 5" xfId="88" xr:uid="{00000000-0005-0000-0000-000054000000}"/>
    <cellStyle name="#" xfId="89" xr:uid="{00000000-0005-0000-0000-000055000000}"/>
    <cellStyle name="#-" xfId="90" xr:uid="{00000000-0005-0000-0000-000056000000}"/>
    <cellStyle name="#,##0" xfId="91" xr:uid="{00000000-0005-0000-0000-000057000000}"/>
    <cellStyle name="#,##0 3 spaces" xfId="16220" xr:uid="{00000000-0005-0000-0000-000058000000}"/>
    <cellStyle name="#_Latam Comps_12.20.07" xfId="92" xr:uid="{00000000-0005-0000-0000-000059000000}"/>
    <cellStyle name="#_Latam Comps_12.20.07_Medley_Financial_Model_v5" xfId="93" xr:uid="{00000000-0005-0000-0000-00005A000000}"/>
    <cellStyle name="#_Latam Comps_2.5.08_HC" xfId="94" xr:uid="{00000000-0005-0000-0000-00005B000000}"/>
    <cellStyle name="#_Latam Comps_2.5.08_HC_Medley_Financial_Model_v5" xfId="95" xr:uid="{00000000-0005-0000-0000-00005C000000}"/>
    <cellStyle name="#_Modelo Puerto 2007 Management Case DB 14-11 (DB) v20" xfId="96" xr:uid="{00000000-0005-0000-0000-00005D000000}"/>
    <cellStyle name="$" xfId="97" xr:uid="{00000000-0005-0000-0000-00005E000000}"/>
    <cellStyle name="$-" xfId="98" xr:uid="{00000000-0005-0000-0000-00005F000000}"/>
    <cellStyle name="$ &amp; ¢" xfId="99" xr:uid="{00000000-0005-0000-0000-000060000000}"/>
    <cellStyle name="$ 0 decimal" xfId="16221" xr:uid="{00000000-0005-0000-0000-000061000000}"/>
    <cellStyle name="$ 2" xfId="100" xr:uid="{00000000-0005-0000-0000-000062000000}"/>
    <cellStyle name="$ 2 decimals" xfId="16222" xr:uid="{00000000-0005-0000-0000-000063000000}"/>
    <cellStyle name="$_12.20.04 Analysis v14" xfId="16223" xr:uid="{00000000-0005-0000-0000-000064000000}"/>
    <cellStyle name="$_56 Centra FO 10.4.05" xfId="16224" xr:uid="{00000000-0005-0000-0000-000065000000}"/>
    <cellStyle name="$_ANF Assignment 1.5" xfId="16225" xr:uid="{00000000-0005-0000-0000-000066000000}"/>
    <cellStyle name="$_Cheddars_IPO Model_Final_v7" xfId="16226" xr:uid="{00000000-0005-0000-0000-000067000000}"/>
    <cellStyle name="$_EPL LBO 5.16.05 - Mgmt IPO v6" xfId="16227" xr:uid="{00000000-0005-0000-0000-000068000000}"/>
    <cellStyle name="$_IPO Model_v01.0" xfId="16228" xr:uid="{00000000-0005-0000-0000-000069000000}"/>
    <cellStyle name="$_Model v14 (IPO)" xfId="16229" xr:uid="{00000000-0005-0000-0000-00006A000000}"/>
    <cellStyle name="$_Model v14 (IPO) brooke" xfId="16230" xr:uid="{00000000-0005-0000-0000-00006B000000}"/>
    <cellStyle name="$_Store Buildup v6" xfId="16231" xr:uid="{00000000-0005-0000-0000-00006C000000}"/>
    <cellStyle name="$_YRK_LBO" xfId="16232" xr:uid="{00000000-0005-0000-0000-00006D000000}"/>
    <cellStyle name="$0.0;($0.0)" xfId="101" xr:uid="{00000000-0005-0000-0000-00006E000000}"/>
    <cellStyle name="$0.0;($0.0) 2" xfId="102" xr:uid="{00000000-0005-0000-0000-00006F000000}"/>
    <cellStyle name="$000s1Place" xfId="103" xr:uid="{00000000-0005-0000-0000-000070000000}"/>
    <cellStyle name="$m" xfId="16233" xr:uid="{00000000-0005-0000-0000-000071000000}"/>
    <cellStyle name="$MMs1Place" xfId="104" xr:uid="{00000000-0005-0000-0000-000072000000}"/>
    <cellStyle name="$MMs2Places" xfId="105" xr:uid="{00000000-0005-0000-0000-000073000000}"/>
    <cellStyle name="$q" xfId="16234" xr:uid="{00000000-0005-0000-0000-000074000000}"/>
    <cellStyle name="$q*" xfId="16235" xr:uid="{00000000-0005-0000-0000-000075000000}"/>
    <cellStyle name="$q_AVP" xfId="16236" xr:uid="{00000000-0005-0000-0000-000076000000}"/>
    <cellStyle name="$qA" xfId="16237" xr:uid="{00000000-0005-0000-0000-000077000000}"/>
    <cellStyle name="$qRange" xfId="16238" xr:uid="{00000000-0005-0000-0000-000078000000}"/>
    <cellStyle name="$sign" xfId="16239" xr:uid="{00000000-0005-0000-0000-000079000000}"/>
    <cellStyle name="%" xfId="106" xr:uid="{00000000-0005-0000-0000-00007A000000}"/>
    <cellStyle name="%-" xfId="107" xr:uid="{00000000-0005-0000-0000-00007B000000}"/>
    <cellStyle name="% [2]" xfId="108" xr:uid="{00000000-0005-0000-0000-00007C000000}"/>
    <cellStyle name="% Input" xfId="109" xr:uid="{00000000-0005-0000-0000-00007D000000}"/>
    <cellStyle name="% Input 2" xfId="110" xr:uid="{00000000-0005-0000-0000-00007E000000}"/>
    <cellStyle name="% Presentation" xfId="111" xr:uid="{00000000-0005-0000-0000-00007F000000}"/>
    <cellStyle name="% Presentation 2" xfId="112" xr:uid="{00000000-0005-0000-0000-000080000000}"/>
    <cellStyle name="% Presentation 2 2" xfId="113" xr:uid="{00000000-0005-0000-0000-000081000000}"/>
    <cellStyle name="% Presentation 3" xfId="114" xr:uid="{00000000-0005-0000-0000-000082000000}"/>
    <cellStyle name="% Presentation 4" xfId="115" xr:uid="{00000000-0005-0000-0000-000083000000}"/>
    <cellStyle name="% Presentation 5" xfId="116" xr:uid="{00000000-0005-0000-0000-000084000000}"/>
    <cellStyle name="%.00" xfId="117" xr:uid="{00000000-0005-0000-0000-000085000000}"/>
    <cellStyle name="%_Detailed Cap Table 6 9 08" xfId="16240" xr:uid="{00000000-0005-0000-0000-000086000000}"/>
    <cellStyle name="%_V.C.3 2006 Forecast 4-19-06" xfId="16241" xr:uid="{00000000-0005-0000-0000-000087000000}"/>
    <cellStyle name="%20 - Vurgu1" xfId="16242" xr:uid="{00000000-0005-0000-0000-000088000000}"/>
    <cellStyle name="%20 - Vurgu2" xfId="16243" xr:uid="{00000000-0005-0000-0000-000089000000}"/>
    <cellStyle name="%20 - Vurgu3" xfId="16244" xr:uid="{00000000-0005-0000-0000-00008A000000}"/>
    <cellStyle name="%20 - Vurgu4" xfId="16245" xr:uid="{00000000-0005-0000-0000-00008B000000}"/>
    <cellStyle name="%20 - Vurgu5" xfId="16246" xr:uid="{00000000-0005-0000-0000-00008C000000}"/>
    <cellStyle name="%20 - Vurgu6" xfId="16247" xr:uid="{00000000-0005-0000-0000-00008D000000}"/>
    <cellStyle name="%40 - Vurgu1" xfId="16248" xr:uid="{00000000-0005-0000-0000-00008E000000}"/>
    <cellStyle name="%40 - Vurgu2" xfId="16249" xr:uid="{00000000-0005-0000-0000-00008F000000}"/>
    <cellStyle name="%40 - Vurgu3" xfId="16250" xr:uid="{00000000-0005-0000-0000-000090000000}"/>
    <cellStyle name="%40 - Vurgu4" xfId="16251" xr:uid="{00000000-0005-0000-0000-000091000000}"/>
    <cellStyle name="%40 - Vurgu5" xfId="16252" xr:uid="{00000000-0005-0000-0000-000092000000}"/>
    <cellStyle name="%40 - Vurgu6" xfId="16253" xr:uid="{00000000-0005-0000-0000-000093000000}"/>
    <cellStyle name="%60 - Vurgu1" xfId="16254" xr:uid="{00000000-0005-0000-0000-000094000000}"/>
    <cellStyle name="%60 - Vurgu2" xfId="16255" xr:uid="{00000000-0005-0000-0000-000095000000}"/>
    <cellStyle name="%60 - Vurgu3" xfId="16256" xr:uid="{00000000-0005-0000-0000-000096000000}"/>
    <cellStyle name="%60 - Vurgu4" xfId="16257" xr:uid="{00000000-0005-0000-0000-000097000000}"/>
    <cellStyle name="%60 - Vurgu5" xfId="16258" xr:uid="{00000000-0005-0000-0000-000098000000}"/>
    <cellStyle name="%60 - Vurgu6" xfId="16259" xr:uid="{00000000-0005-0000-0000-000099000000}"/>
    <cellStyle name="&amp;U" xfId="16260" xr:uid="{00000000-0005-0000-0000-00009A000000}"/>
    <cellStyle name=")_מעגלים 12.95" xfId="118" xr:uid="{00000000-0005-0000-0000-00009B000000}"/>
    <cellStyle name=")_מעגלים 12.95 2" xfId="119" xr:uid="{00000000-0005-0000-0000-00009C000000}"/>
    <cellStyle name="******************************************" xfId="120" xr:uid="{00000000-0005-0000-0000-00009D000000}"/>
    <cellStyle name="****************************************** 2" xfId="121" xr:uid="{00000000-0005-0000-0000-00009E000000}"/>
    <cellStyle name="," xfId="16261" xr:uid="{00000000-0005-0000-0000-00009F000000}"/>
    <cellStyle name=";;;" xfId="122" xr:uid="{00000000-0005-0000-0000-0000A0000000}"/>
    <cellStyle name=";;; 2" xfId="123" xr:uid="{00000000-0005-0000-0000-0000A1000000}"/>
    <cellStyle name=";;; 2 2" xfId="124" xr:uid="{00000000-0005-0000-0000-0000A2000000}"/>
    <cellStyle name=";;; 3" xfId="125" xr:uid="{00000000-0005-0000-0000-0000A3000000}"/>
    <cellStyle name=";;; 4" xfId="126" xr:uid="{00000000-0005-0000-0000-0000A4000000}"/>
    <cellStyle name=";;; 5" xfId="127" xr:uid="{00000000-0005-0000-0000-0000A5000000}"/>
    <cellStyle name="?? [0]_??" xfId="16262" xr:uid="{00000000-0005-0000-0000-0000A6000000}"/>
    <cellStyle name="???[0]_RESULTS" xfId="128" xr:uid="{00000000-0005-0000-0000-0000A7000000}"/>
    <cellStyle name="???_RESULTS" xfId="129" xr:uid="{00000000-0005-0000-0000-0000A8000000}"/>
    <cellStyle name="??_?.????" xfId="16263" xr:uid="{00000000-0005-0000-0000-0000A9000000}"/>
    <cellStyle name="\" xfId="16264" xr:uid="{00000000-0005-0000-0000-0000AA000000}"/>
    <cellStyle name="_$accounting" xfId="130" xr:uid="{00000000-0005-0000-0000-0000AB000000}"/>
    <cellStyle name="_$accounting 2" xfId="131" xr:uid="{00000000-0005-0000-0000-0000AC000000}"/>
    <cellStyle name="_%(SignOnly)" xfId="132" xr:uid="{00000000-0005-0000-0000-0000AD000000}"/>
    <cellStyle name="_%(SignOnly)_Model and Valuation - Aros 6 30 08" xfId="16265" xr:uid="{00000000-0005-0000-0000-0000AE000000}"/>
    <cellStyle name="_%(SignSpaceOnly)" xfId="133" xr:uid="{00000000-0005-0000-0000-0000AF000000}"/>
    <cellStyle name="_%(SignSpaceOnly)_Model and Valuation - Aros 6 30 08" xfId="16266" xr:uid="{00000000-0005-0000-0000-0000B0000000}"/>
    <cellStyle name="___æ_Ø_è [0.00]_Affiliate Fcst Inputs" xfId="134" xr:uid="{00000000-0005-0000-0000-0000B1000000}"/>
    <cellStyle name="___æ_Ø_è [0.00]_Affiliate Fcst Inputs 2" xfId="135" xr:uid="{00000000-0005-0000-0000-0000B2000000}"/>
    <cellStyle name="___æ_Ø_è [0.00]_Affiliate Fcst Inputs 2 2" xfId="136" xr:uid="{00000000-0005-0000-0000-0000B3000000}"/>
    <cellStyle name="___æ_Ø_è [0.00]_Affiliate Fcst Inputs 3" xfId="137" xr:uid="{00000000-0005-0000-0000-0000B4000000}"/>
    <cellStyle name="___æ_Ø_è [0.00]_Affiliate Fcst Inputs 4" xfId="138" xr:uid="{00000000-0005-0000-0000-0000B5000000}"/>
    <cellStyle name="___æ_Ø_è [0.00]_Affiliate Fcst Inputs 5" xfId="139" xr:uid="{00000000-0005-0000-0000-0000B6000000}"/>
    <cellStyle name="_~0910772" xfId="16267" xr:uid="{00000000-0005-0000-0000-0000B7000000}"/>
    <cellStyle name="_~1072145" xfId="16268" xr:uid="{00000000-0005-0000-0000-0000B8000000}"/>
    <cellStyle name="_~7037329" xfId="16269" xr:uid="{00000000-0005-0000-0000-0000B9000000}"/>
    <cellStyle name="_03 Seahawk Status Report - 1.08.07" xfId="16270" xr:uid="{00000000-0005-0000-0000-0000BA000000}"/>
    <cellStyle name="_2007 M06 On Hold On Watch Svcs Maint Jun  06-14-07" xfId="16271" xr:uid="{00000000-0005-0000-0000-0000BB000000}"/>
    <cellStyle name="_56 Centra FO 10.4.05" xfId="16272" xr:uid="{00000000-0005-0000-0000-0000BC000000}"/>
    <cellStyle name="_accounting" xfId="140" xr:uid="{00000000-0005-0000-0000-0000BD000000}"/>
    <cellStyle name="_accounting 2" xfId="141" xr:uid="{00000000-0005-0000-0000-0000BE000000}"/>
    <cellStyle name="_APT 141 101603 ver 51" xfId="142" xr:uid="{00000000-0005-0000-0000-0000BF000000}"/>
    <cellStyle name="_Backup for FY2005" xfId="16273" xr:uid="{00000000-0005-0000-0000-0000C0000000}"/>
    <cellStyle name="_Balance Sheet to E&amp;Y - HH &amp; SP" xfId="143" xr:uid="{00000000-0005-0000-0000-0000C1000000}"/>
    <cellStyle name="_Balance Sheet to E&amp;Y - HH &amp; SP_Panasas Cap Table by Investor June and Dec 2008 - updated analysis" xfId="144" xr:uid="{00000000-0005-0000-0000-0000C2000000}"/>
    <cellStyle name="_Base Valuation3.xls Chart 69_4" xfId="16274" xr:uid="{00000000-0005-0000-0000-0000C3000000}"/>
    <cellStyle name="_Base Valuation7-13" xfId="16275" xr:uid="{00000000-0005-0000-0000-0000C4000000}"/>
    <cellStyle name="_Book1" xfId="16276" xr:uid="{00000000-0005-0000-0000-0000C5000000}"/>
    <cellStyle name="-_Cash Flow" xfId="145" xr:uid="{00000000-0005-0000-0000-0000C6000000}"/>
    <cellStyle name="-_Cash Flow_EBITDA template v2" xfId="146" xr:uid="{00000000-0005-0000-0000-0000C7000000}"/>
    <cellStyle name="_Cheddars_IPO valuation v1" xfId="16277" xr:uid="{00000000-0005-0000-0000-0000C8000000}"/>
    <cellStyle name="_Column1" xfId="16278" xr:uid="{00000000-0005-0000-0000-0000C9000000}"/>
    <cellStyle name="_Column2" xfId="16279" xr:uid="{00000000-0005-0000-0000-0000CA000000}"/>
    <cellStyle name="_Column3" xfId="16280" xr:uid="{00000000-0005-0000-0000-0000CB000000}"/>
    <cellStyle name="_Column4" xfId="16281" xr:uid="{00000000-0005-0000-0000-0000CC000000}"/>
    <cellStyle name="_Column5" xfId="16282" xr:uid="{00000000-0005-0000-0000-0000CD000000}"/>
    <cellStyle name="_Column6" xfId="16283" xr:uid="{00000000-0005-0000-0000-0000CE000000}"/>
    <cellStyle name="_Comma" xfId="147" xr:uid="{00000000-0005-0000-0000-0000CF000000}"/>
    <cellStyle name="_Comma__DCF Template" xfId="148" xr:uid="{00000000-0005-0000-0000-0000D0000000}"/>
    <cellStyle name="_Comma_04 Alaska Model 2002-05-31 GS" xfId="149" xr:uid="{00000000-0005-0000-0000-0000D1000000}"/>
    <cellStyle name="_Comma_Control" xfId="150" xr:uid="{00000000-0005-0000-0000-0000D2000000}"/>
    <cellStyle name="_Comma_Dividend Template" xfId="151" xr:uid="{00000000-0005-0000-0000-0000D3000000}"/>
    <cellStyle name="_Comma_Eric CapIQ unlinked v1" xfId="152" xr:uid="{00000000-0005-0000-0000-0000D4000000}"/>
    <cellStyle name="_Comma_H-G Holdings race car v5 (change dep)" xfId="153" xr:uid="{00000000-0005-0000-0000-0000D5000000}"/>
    <cellStyle name="_Comma_lbo_long_model" xfId="154" xr:uid="{00000000-0005-0000-0000-0000D6000000}"/>
    <cellStyle name="_Comma_lbo_long_model 2" xfId="155" xr:uid="{00000000-0005-0000-0000-0000D7000000}"/>
    <cellStyle name="_Comma_Medicis WACC" xfId="156" xr:uid="{00000000-0005-0000-0000-0000D8000000}"/>
    <cellStyle name="_Comma_Meggitt AirDynamics WACC" xfId="157" xr:uid="{00000000-0005-0000-0000-0000D9000000}"/>
    <cellStyle name="_Comma_Pro-Forma Financials" xfId="158" xr:uid="{00000000-0005-0000-0000-0000DA000000}"/>
    <cellStyle name="_Comma_Pro-Forma Spin-off" xfId="159" xr:uid="{00000000-0005-0000-0000-0000DB000000}"/>
    <cellStyle name="_Comma_Revised Basic Modelv2.4" xfId="160" xr:uid="{00000000-0005-0000-0000-0000DC000000}"/>
    <cellStyle name="_Comma_Rider Henning" xfId="161" xr:uid="{00000000-0005-0000-0000-0000DD000000}"/>
    <cellStyle name="_Comma_Updated Model - CapitalIQ6 -04.20.06" xfId="162" xr:uid="{00000000-0005-0000-0000-0000DE000000}"/>
    <cellStyle name="_Comma_WACCv2" xfId="163" xr:uid="{00000000-0005-0000-0000-0000DF000000}"/>
    <cellStyle name="_Copy of Culinary Concepts 9_30_08" xfId="16284" xr:uid="{00000000-0005-0000-0000-0000E0000000}"/>
    <cellStyle name="_Currency" xfId="164" xr:uid="{00000000-0005-0000-0000-0000E1000000}"/>
    <cellStyle name="_Currency__DCF Template" xfId="165" xr:uid="{00000000-0005-0000-0000-0000E2000000}"/>
    <cellStyle name="_Currency_04 Alaska Model 2002-05-31 GS" xfId="166" xr:uid="{00000000-0005-0000-0000-0000E3000000}"/>
    <cellStyle name="_Currency_12.20.04 Analysis v14" xfId="16285" xr:uid="{00000000-0005-0000-0000-0000E4000000}"/>
    <cellStyle name="_Currency_BASF" xfId="167" xr:uid="{00000000-0005-0000-0000-0000E5000000}"/>
    <cellStyle name="_Currency_Book1" xfId="168" xr:uid="{00000000-0005-0000-0000-0000E6000000}"/>
    <cellStyle name="_Currency_Book3" xfId="169" xr:uid="{00000000-0005-0000-0000-0000E7000000}"/>
    <cellStyle name="_Currency_com_sel_bro_Eagle" xfId="170" xr:uid="{00000000-0005-0000-0000-0000E8000000}"/>
    <cellStyle name="_Currency_Control" xfId="171" xr:uid="{00000000-0005-0000-0000-0000E9000000}"/>
    <cellStyle name="_Currency_Dividend Template" xfId="172" xr:uid="{00000000-0005-0000-0000-0000EA000000}"/>
    <cellStyle name="_Currency_Eagle Financial Model" xfId="173" xr:uid="{00000000-0005-0000-0000-0000EB000000}"/>
    <cellStyle name="_Currency_Eagle-NewCastle Model 20Mar2001" xfId="174" xr:uid="{00000000-0005-0000-0000-0000EC000000}"/>
    <cellStyle name="_Currency_Eric CapIQ unlinked v1" xfId="175" xr:uid="{00000000-0005-0000-0000-0000ED000000}"/>
    <cellStyle name="_Currency_H-G Holdings race car v5 (change dep)" xfId="176" xr:uid="{00000000-0005-0000-0000-0000EE000000}"/>
    <cellStyle name="_Currency_Hokuriku Financials" xfId="177" xr:uid="{00000000-0005-0000-0000-0000EF000000}"/>
    <cellStyle name="_Currency_Indicative Valuation Summary" xfId="178" xr:uid="{00000000-0005-0000-0000-0000F0000000}"/>
    <cellStyle name="_Currency_Indicative Valuation Summary DCF Valuation" xfId="179" xr:uid="{00000000-0005-0000-0000-0000F1000000}"/>
    <cellStyle name="_Currency_INTU Comps v2" xfId="16286" xr:uid="{00000000-0005-0000-0000-0000F2000000}"/>
    <cellStyle name="_Currency_lbo_long_model" xfId="180" xr:uid="{00000000-0005-0000-0000-0000F3000000}"/>
    <cellStyle name="_Currency_lbo_long_model 2" xfId="181" xr:uid="{00000000-0005-0000-0000-0000F4000000}"/>
    <cellStyle name="_Currency_Medicis WACC" xfId="182" xr:uid="{00000000-0005-0000-0000-0000F5000000}"/>
    <cellStyle name="_Currency_Meggitt AirDynamics WACC" xfId="183" xr:uid="{00000000-0005-0000-0000-0000F6000000}"/>
    <cellStyle name="_Currency_Model 2000-09-04" xfId="184" xr:uid="{00000000-0005-0000-0000-0000F7000000}"/>
    <cellStyle name="_Currency_NK104 US Output" xfId="185" xr:uid="{00000000-0005-0000-0000-0000F8000000}"/>
    <cellStyle name="_Currency_Preliminary Valuation Summary of Seahawk" xfId="186" xr:uid="{00000000-0005-0000-0000-0000F9000000}"/>
    <cellStyle name="_Currency_Preliminary Valuation Summary of Seahawk b" xfId="187" xr:uid="{00000000-0005-0000-0000-0000FA000000}"/>
    <cellStyle name="_Currency_Pro-Forma Financials" xfId="188" xr:uid="{00000000-0005-0000-0000-0000FB000000}"/>
    <cellStyle name="_Currency_Pro-Forma Spin-off" xfId="189" xr:uid="{00000000-0005-0000-0000-0000FC000000}"/>
    <cellStyle name="_Currency_Proposed Cost Structure" xfId="190" xr:uid="{00000000-0005-0000-0000-0000FD000000}"/>
    <cellStyle name="_Currency_Revised Basic Modelv2.4" xfId="191" xr:uid="{00000000-0005-0000-0000-0000FE000000}"/>
    <cellStyle name="_Currency_Rider Henning" xfId="192" xr:uid="{00000000-0005-0000-0000-0000FF000000}"/>
    <cellStyle name="_Currency_Scaled Synergies Analysis - Mathematical Illustration - Gem as Target" xfId="193" xr:uid="{00000000-0005-0000-0000-000000010000}"/>
    <cellStyle name="_Currency_Scaled Synergies Analysis - Mathematical Illustration - Gem as Target_Value_Sharing" xfId="194" xr:uid="{00000000-0005-0000-0000-000001010000}"/>
    <cellStyle name="_Currency_Updated Model - CapitalIQ6 -04.20.06" xfId="195" xr:uid="{00000000-0005-0000-0000-000002010000}"/>
    <cellStyle name="_Currency_Valuation Overview" xfId="196" xr:uid="{00000000-0005-0000-0000-000003010000}"/>
    <cellStyle name="_Currency_valuation summary for ASP" xfId="197" xr:uid="{00000000-0005-0000-0000-000004010000}"/>
    <cellStyle name="_Currency_WACCv2" xfId="198" xr:uid="{00000000-0005-0000-0000-000005010000}"/>
    <cellStyle name="_CurrencySpace" xfId="199" xr:uid="{00000000-0005-0000-0000-000006010000}"/>
    <cellStyle name="_CurrencySpace__DCF Template" xfId="200" xr:uid="{00000000-0005-0000-0000-000007010000}"/>
    <cellStyle name="_CurrencySpace_04 Alaska Model 2002-05-31 GS" xfId="201" xr:uid="{00000000-0005-0000-0000-000008010000}"/>
    <cellStyle name="_CurrencySpace_Control" xfId="202" xr:uid="{00000000-0005-0000-0000-000009010000}"/>
    <cellStyle name="_CurrencySpace_Dividend Template" xfId="203" xr:uid="{00000000-0005-0000-0000-00000A010000}"/>
    <cellStyle name="_CurrencySpace_Eric CapIQ unlinked v1" xfId="204" xr:uid="{00000000-0005-0000-0000-00000B010000}"/>
    <cellStyle name="_CurrencySpace_H-G Holdings race car v5 (change dep)" xfId="205" xr:uid="{00000000-0005-0000-0000-00000C010000}"/>
    <cellStyle name="_CurrencySpace_IPO Model_v01.0" xfId="16287" xr:uid="{00000000-0005-0000-0000-00000D010000}"/>
    <cellStyle name="_CurrencySpace_lbo_long_model" xfId="206" xr:uid="{00000000-0005-0000-0000-00000E010000}"/>
    <cellStyle name="_CurrencySpace_lbo_long_model 2" xfId="207" xr:uid="{00000000-0005-0000-0000-00000F010000}"/>
    <cellStyle name="_CurrencySpace_MA Kinko's Model v5.5" xfId="16288" xr:uid="{00000000-0005-0000-0000-000010010000}"/>
    <cellStyle name="_CurrencySpace_Medicis WACC" xfId="208" xr:uid="{00000000-0005-0000-0000-000011010000}"/>
    <cellStyle name="_CurrencySpace_Meggitt AirDynamics WACC" xfId="209" xr:uid="{00000000-0005-0000-0000-000012010000}"/>
    <cellStyle name="_CurrencySpace_Pro-Forma Financials" xfId="210" xr:uid="{00000000-0005-0000-0000-000013010000}"/>
    <cellStyle name="_CurrencySpace_Pro-Forma Spin-off" xfId="211" xr:uid="{00000000-0005-0000-0000-000014010000}"/>
    <cellStyle name="_CurrencySpace_Revised Basic Modelv2.4" xfId="212" xr:uid="{00000000-0005-0000-0000-000015010000}"/>
    <cellStyle name="_CurrencySpace_Rider Henning" xfId="213" xr:uid="{00000000-0005-0000-0000-000016010000}"/>
    <cellStyle name="_CurrencySpace_RUBY DCF Model v42" xfId="16289" xr:uid="{00000000-0005-0000-0000-000017010000}"/>
    <cellStyle name="_CurrencySpace_RUBY merger v64" xfId="16290" xr:uid="{00000000-0005-0000-0000-000018010000}"/>
    <cellStyle name="_CurrencySpace_Updated Model - CapitalIQ6 -04.20.06" xfId="214" xr:uid="{00000000-0005-0000-0000-000019010000}"/>
    <cellStyle name="_CurrencySpace_valuation" xfId="16291" xr:uid="{00000000-0005-0000-0000-00001A010000}"/>
    <cellStyle name="_CurrencySpace_WACCv2" xfId="215" xr:uid="{00000000-0005-0000-0000-00001B010000}"/>
    <cellStyle name="_Data" xfId="16292" xr:uid="{00000000-0005-0000-0000-00001C010000}"/>
    <cellStyle name="_date" xfId="216" xr:uid="{00000000-0005-0000-0000-00001D010000}"/>
    <cellStyle name="_date 2" xfId="217" xr:uid="{00000000-0005-0000-0000-00001E010000}"/>
    <cellStyle name="_DCF (G2)" xfId="218" xr:uid="{00000000-0005-0000-0000-00001F010000}"/>
    <cellStyle name="_DCF (G2) 2" xfId="219" xr:uid="{00000000-0005-0000-0000-000020010000}"/>
    <cellStyle name="_DCF (G2) 3" xfId="220" xr:uid="{00000000-0005-0000-0000-000021010000}"/>
    <cellStyle name="_DTAs 2007 Post-Acq 3-19-08" xfId="221" xr:uid="{00000000-0005-0000-0000-000022010000}"/>
    <cellStyle name="_Epsilon IPO Model NEW v3" xfId="16293" xr:uid="{00000000-0005-0000-0000-000023010000}"/>
    <cellStyle name="_Epsilon Model 3.21.05 v.4" xfId="16294" xr:uid="{00000000-0005-0000-0000-000024010000}"/>
    <cellStyle name="_Epsilon Model 3.21.05 v.4_1" xfId="16295" xr:uid="{00000000-0005-0000-0000-000025010000}"/>
    <cellStyle name="_Epsilon Model 3.21.05 v.4_2" xfId="16296" xr:uid="{00000000-0005-0000-0000-000026010000}"/>
    <cellStyle name="_Epsilon Model 3.21.05 v.4_3" xfId="16297" xr:uid="{00000000-0005-0000-0000-000027010000}"/>
    <cellStyle name="_Epsilon Model 3.30.05 v7" xfId="16298" xr:uid="{00000000-0005-0000-0000-000028010000}"/>
    <cellStyle name="_Epsilon Model 3.30.05 v7_1" xfId="16299" xr:uid="{00000000-0005-0000-0000-000029010000}"/>
    <cellStyle name="_Epsilon Model 3.30.05 v7_2" xfId="16300" xr:uid="{00000000-0005-0000-0000-00002A010000}"/>
    <cellStyle name="_Epsilon Model 3.30.05 v7_3" xfId="16301" xr:uid="{00000000-0005-0000-0000-00002B010000}"/>
    <cellStyle name="_Epsilon Model 3.30.05 v7_4" xfId="16302" xr:uid="{00000000-0005-0000-0000-00002C010000}"/>
    <cellStyle name="_Euro" xfId="222" xr:uid="{00000000-0005-0000-0000-00002D010000}"/>
    <cellStyle name="_Euro 2" xfId="223" xr:uid="{00000000-0005-0000-0000-00002E010000}"/>
    <cellStyle name="_Euro 2 2" xfId="224" xr:uid="{00000000-0005-0000-0000-00002F010000}"/>
    <cellStyle name="_Euro 3" xfId="225" xr:uid="{00000000-0005-0000-0000-000030010000}"/>
    <cellStyle name="_Euro 4" xfId="226" xr:uid="{00000000-0005-0000-0000-000031010000}"/>
    <cellStyle name="_Euro 5" xfId="227" xr:uid="{00000000-0005-0000-0000-000032010000}"/>
    <cellStyle name="_Euro_Cable_Industry Overview5" xfId="228" xr:uid="{00000000-0005-0000-0000-000033010000}"/>
    <cellStyle name="_Euro_Cable_Industry Overview5 2" xfId="229" xr:uid="{00000000-0005-0000-0000-000034010000}"/>
    <cellStyle name="_Euro_Cable_Industry Overview5 2 2" xfId="230" xr:uid="{00000000-0005-0000-0000-000035010000}"/>
    <cellStyle name="_Euro_Cable_Industry Overview5 3" xfId="231" xr:uid="{00000000-0005-0000-0000-000036010000}"/>
    <cellStyle name="_Euro_Cable_Industry Overview5 4" xfId="232" xr:uid="{00000000-0005-0000-0000-000037010000}"/>
    <cellStyle name="_Euro_Cable_Industry Overview5 5" xfId="233" xr:uid="{00000000-0005-0000-0000-000038010000}"/>
    <cellStyle name="_Euro_Gelco Model" xfId="234" xr:uid="{00000000-0005-0000-0000-000039010000}"/>
    <cellStyle name="_Euro_Model and Valuation - Aros 6 30 08" xfId="16303" xr:uid="{00000000-0005-0000-0000-00003A010000}"/>
    <cellStyle name="_Euro_Summary" xfId="235" xr:uid="{00000000-0005-0000-0000-00003B010000}"/>
    <cellStyle name="_G2 Comps v4" xfId="236" xr:uid="{00000000-0005-0000-0000-00003C010000}"/>
    <cellStyle name="_GBP" xfId="237" xr:uid="{00000000-0005-0000-0000-00003D010000}"/>
    <cellStyle name="_GBP 2" xfId="238" xr:uid="{00000000-0005-0000-0000-00003E010000}"/>
    <cellStyle name="_Header" xfId="16304" xr:uid="{00000000-0005-0000-0000-00003F010000}"/>
    <cellStyle name="_HeaderBlue" xfId="239" xr:uid="{00000000-0005-0000-0000-000040010000}"/>
    <cellStyle name="_Heading" xfId="240" xr:uid="{00000000-0005-0000-0000-000041010000}"/>
    <cellStyle name="_Heading 2" xfId="241" xr:uid="{00000000-0005-0000-0000-000042010000}"/>
    <cellStyle name="_Heading_lbo_long_model" xfId="242" xr:uid="{00000000-0005-0000-0000-000043010000}"/>
    <cellStyle name="_Heading_lbo_long_model 2" xfId="243" xr:uid="{00000000-0005-0000-0000-000044010000}"/>
    <cellStyle name="_Heading_lbo_long_model 2 2" xfId="244" xr:uid="{00000000-0005-0000-0000-000045010000}"/>
    <cellStyle name="_Heading_lbo_long_model 3" xfId="245" xr:uid="{00000000-0005-0000-0000-000046010000}"/>
    <cellStyle name="_Heading_lbo_long_model 4" xfId="246" xr:uid="{00000000-0005-0000-0000-000047010000}"/>
    <cellStyle name="_Heading_lbo_long_model 5" xfId="247" xr:uid="{00000000-0005-0000-0000-000048010000}"/>
    <cellStyle name="_Heading_lbo_long_model_Anaphore 12 31 2008 Draft Analysis 02 19 2009" xfId="248" xr:uid="{00000000-0005-0000-0000-000049010000}"/>
    <cellStyle name="_Heading_lbo_long_model_Anaphore 12 31 2008 Draft Analysis 02 20 2009 - DM REVISED" xfId="249" xr:uid="{00000000-0005-0000-0000-00004A010000}"/>
    <cellStyle name="_Heading_lbo_long_model_Book2" xfId="250" xr:uid="{00000000-0005-0000-0000-00004B010000}"/>
    <cellStyle name="_Heading_lbo_long_model_Book2 2" xfId="251" xr:uid="{00000000-0005-0000-0000-00004C010000}"/>
    <cellStyle name="_Heading_lbo_long_model_Boston Power VD 01 31 2008 Model 02 26 2008" xfId="252" xr:uid="{00000000-0005-0000-0000-00004D010000}"/>
    <cellStyle name="_Heading_lbo_long_model_Boston Power VD 01 31 2008 Model 02 26 2008 2" xfId="253" xr:uid="{00000000-0005-0000-0000-00004E010000}"/>
    <cellStyle name="_Heading_lbo_long_model_Boston Power VD 01 31 2008 Model 02 26 2008 2 2" xfId="254" xr:uid="{00000000-0005-0000-0000-00004F010000}"/>
    <cellStyle name="_Heading_lbo_long_model_Boston Power VD 01 31 2008 Model 02 26 2008 3" xfId="255" xr:uid="{00000000-0005-0000-0000-000050010000}"/>
    <cellStyle name="_Heading_lbo_long_model_Boston Power VD 01 31 2008 Model 02 26 2008 4" xfId="256" xr:uid="{00000000-0005-0000-0000-000051010000}"/>
    <cellStyle name="_Heading_lbo_long_model_Boston Power VD 01 31 2008 Model 02 26 2008 5" xfId="257" xr:uid="{00000000-0005-0000-0000-000052010000}"/>
    <cellStyle name="_Heading_lbo_long_model_Boston Power VD 01 31 2008 Model 02 26 2008_CompanyABC Valuation Draft Model 04 21 2009" xfId="258" xr:uid="{00000000-0005-0000-0000-000053010000}"/>
    <cellStyle name="_Heading_lbo_long_model_Boston Power VD 01 31 2008 Model 02 26 2008_CompanyABC Valuation Draft Model 04 21 2009 2" xfId="259" xr:uid="{00000000-0005-0000-0000-000054010000}"/>
    <cellStyle name="_Heading_lbo_long_model_Boston Power VD 01 31 2008 Model 02 26 2008_DB" xfId="260" xr:uid="{00000000-0005-0000-0000-000055010000}"/>
    <cellStyle name="_Heading_lbo_long_model_Boston Power VD 01 31 2008 Model 02 26 2008_DB 2" xfId="261" xr:uid="{00000000-0005-0000-0000-000056010000}"/>
    <cellStyle name="_Heading_lbo_long_model_Boston Power VD 01 31 2008 Model 02 26 2008_DB 2 2" xfId="262" xr:uid="{00000000-0005-0000-0000-000057010000}"/>
    <cellStyle name="_Heading_lbo_long_model_Boston Power VD 01 31 2008 Model 02 26 2008_FAS 157 Model Template 04 26 2009" xfId="263" xr:uid="{00000000-0005-0000-0000-000058010000}"/>
    <cellStyle name="_Heading_lbo_long_model_Boston Power VD 01 31 2008 Model 02 26 2008_FAS 157 Model Template 04 26 2009 2" xfId="264" xr:uid="{00000000-0005-0000-0000-000059010000}"/>
    <cellStyle name="_Heading_lbo_long_model_Boston Power VD 01 31 2008 Model 02 26 2008_Miragen VD 05 31 2008 Model 05 22 2009" xfId="265" xr:uid="{00000000-0005-0000-0000-00005A010000}"/>
    <cellStyle name="_Heading_lbo_long_model_Cap Table Inputs" xfId="266" xr:uid="{00000000-0005-0000-0000-00005B010000}"/>
    <cellStyle name="_Heading_lbo_long_model_Cap Table Inputs 2" xfId="267" xr:uid="{00000000-0005-0000-0000-00005C010000}"/>
    <cellStyle name="_Heading_lbo_long_model_Cap Table Inputs 2 2" xfId="268" xr:uid="{00000000-0005-0000-0000-00005D010000}"/>
    <cellStyle name="_Heading_lbo_long_model_Cap Table Inputs 3" xfId="269" xr:uid="{00000000-0005-0000-0000-00005E010000}"/>
    <cellStyle name="_Heading_lbo_long_model_Cap Table Inputs 4" xfId="270" xr:uid="{00000000-0005-0000-0000-00005F010000}"/>
    <cellStyle name="_Heading_lbo_long_model_Cap Table Inputs 5" xfId="271" xr:uid="{00000000-0005-0000-0000-000060010000}"/>
    <cellStyle name="_Heading_lbo_long_model_Cap Table Inputs_CompanyABC Valuation Draft Model 04 21 2009" xfId="272" xr:uid="{00000000-0005-0000-0000-000061010000}"/>
    <cellStyle name="_Heading_lbo_long_model_Cap Table Inputs_CompanyABC Valuation Draft Model 04 21 2009 2" xfId="273" xr:uid="{00000000-0005-0000-0000-000062010000}"/>
    <cellStyle name="_Heading_lbo_long_model_Cap Table Inputs_DB" xfId="274" xr:uid="{00000000-0005-0000-0000-000063010000}"/>
    <cellStyle name="_Heading_lbo_long_model_Cap Table Inputs_DB 2" xfId="275" xr:uid="{00000000-0005-0000-0000-000064010000}"/>
    <cellStyle name="_Heading_lbo_long_model_Cap Table Inputs_DB 2 2" xfId="276" xr:uid="{00000000-0005-0000-0000-000065010000}"/>
    <cellStyle name="_Heading_lbo_long_model_Cap Table Inputs_FAS 157 Model Template 04 26 2009" xfId="277" xr:uid="{00000000-0005-0000-0000-000066010000}"/>
    <cellStyle name="_Heading_lbo_long_model_Cap Table Inputs_FAS 157 Model Template 04 26 2009 2" xfId="278" xr:uid="{00000000-0005-0000-0000-000067010000}"/>
    <cellStyle name="_Heading_lbo_long_model_Cap Table Inputs_Miragen VD 05 31 2008 Model 05 22 2009" xfId="279" xr:uid="{00000000-0005-0000-0000-000068010000}"/>
    <cellStyle name="_Heading_lbo_long_model_CardioSolutions 05 31 2007 Final Model 09 27 2007" xfId="280" xr:uid="{00000000-0005-0000-0000-000069010000}"/>
    <cellStyle name="_Heading_lbo_long_model_CardioSolutions 05 31 2007 Final Model 09 27 2007 2" xfId="281" xr:uid="{00000000-0005-0000-0000-00006A010000}"/>
    <cellStyle name="_Heading_lbo_long_model_CardioSolutions 05 31 2007 Final Model 09 27 2007 2 2" xfId="282" xr:uid="{00000000-0005-0000-0000-00006B010000}"/>
    <cellStyle name="_Heading_lbo_long_model_CardioSolutions 05 31 2007 Final Model 09 27 2007 3" xfId="283" xr:uid="{00000000-0005-0000-0000-00006C010000}"/>
    <cellStyle name="_Heading_lbo_long_model_CardioSolutions 05 31 2007 Final Model 09 27 2007 4" xfId="284" xr:uid="{00000000-0005-0000-0000-00006D010000}"/>
    <cellStyle name="_Heading_lbo_long_model_CardioSolutions 05 31 2007 Final Model 09 27 2007 5" xfId="285" xr:uid="{00000000-0005-0000-0000-00006E010000}"/>
    <cellStyle name="_Heading_lbo_long_model_CardioSolutions 05 31 2007 Final Model 09 27 2007_CompanyABC Valuation Draft Model 04 21 2009" xfId="286" xr:uid="{00000000-0005-0000-0000-00006F010000}"/>
    <cellStyle name="_Heading_lbo_long_model_CardioSolutions 05 31 2007 Final Model 09 27 2007_CompanyABC Valuation Draft Model 04 21 2009 2" xfId="287" xr:uid="{00000000-0005-0000-0000-000070010000}"/>
    <cellStyle name="_Heading_lbo_long_model_CardioSolutions 05 31 2007 Final Model 09 27 2007_DB" xfId="288" xr:uid="{00000000-0005-0000-0000-000071010000}"/>
    <cellStyle name="_Heading_lbo_long_model_CardioSolutions 05 31 2007 Final Model 09 27 2007_DB 2" xfId="289" xr:uid="{00000000-0005-0000-0000-000072010000}"/>
    <cellStyle name="_Heading_lbo_long_model_CardioSolutions 05 31 2007 Final Model 09 27 2007_DB 2 2" xfId="290" xr:uid="{00000000-0005-0000-0000-000073010000}"/>
    <cellStyle name="_Heading_lbo_long_model_CardioSolutions 05 31 2007 Final Model 09 27 2007_FAS 157 Model Template 04 26 2009" xfId="291" xr:uid="{00000000-0005-0000-0000-000074010000}"/>
    <cellStyle name="_Heading_lbo_long_model_CardioSolutions 05 31 2007 Final Model 09 27 2007_FAS 157 Model Template 04 26 2009 2" xfId="292" xr:uid="{00000000-0005-0000-0000-000075010000}"/>
    <cellStyle name="_Heading_lbo_long_model_CardioSolutions 05 31 2007 Final Model 09 27 2007_Miragen VD 05 31 2008 Model 05 22 2009" xfId="293" xr:uid="{00000000-0005-0000-0000-000076010000}"/>
    <cellStyle name="_Heading_lbo_long_model_CardioSolutions VD 05 31 08 Draft Model 07 15 2008" xfId="294" xr:uid="{00000000-0005-0000-0000-000077010000}"/>
    <cellStyle name="_Heading_lbo_long_model_CardioSolutions VD 05 31 08 Draft Model 07 15 2008 2" xfId="295" xr:uid="{00000000-0005-0000-0000-000078010000}"/>
    <cellStyle name="_Heading_lbo_long_model_CardioSolutions VD 05 31 08 Draft Model 08 06 08-u" xfId="296" xr:uid="{00000000-0005-0000-0000-000079010000}"/>
    <cellStyle name="_Heading_lbo_long_model_CardioSolutions VD 05 31 08 Draft Model 08 06 08-u 2" xfId="297" xr:uid="{00000000-0005-0000-0000-00007A010000}"/>
    <cellStyle name="_Heading_lbo_long_model_CompanyABC Valuation Draft Model 04 21 2009" xfId="298" xr:uid="{00000000-0005-0000-0000-00007B010000}"/>
    <cellStyle name="_Heading_lbo_long_model_CompanyABC Valuation Draft Model 04 21 2009 2" xfId="299" xr:uid="{00000000-0005-0000-0000-00007C010000}"/>
    <cellStyle name="_Heading_lbo_long_model_CompanyABC Valuation Model Draft 07 07 2008" xfId="300" xr:uid="{00000000-0005-0000-0000-00007D010000}"/>
    <cellStyle name="_Heading_lbo_long_model_CompanyABC Valuation Model Draft 07 07 2008 2" xfId="301" xr:uid="{00000000-0005-0000-0000-00007E010000}"/>
    <cellStyle name="_Heading_lbo_long_model_CompanyABC Valuation Model Draft 08 07 2008" xfId="302" xr:uid="{00000000-0005-0000-0000-00007F010000}"/>
    <cellStyle name="_Heading_lbo_long_model_CompanyABC Valuation Model Draft 08 07 2008 2" xfId="303" xr:uid="{00000000-0005-0000-0000-000080010000}"/>
    <cellStyle name="_Heading_lbo_long_model_CompanyABC Valuation Model Draft 08 25 2008" xfId="304" xr:uid="{00000000-0005-0000-0000-000081010000}"/>
    <cellStyle name="_Heading_lbo_long_model_CompanyABC Valuation Model Draft 08 25 2008 2" xfId="305" xr:uid="{00000000-0005-0000-0000-000082010000}"/>
    <cellStyle name="_Heading_lbo_long_model_CompanyABC Valuation Model Draft 09 25 2008-Team Liquidity" xfId="306" xr:uid="{00000000-0005-0000-0000-000083010000}"/>
    <cellStyle name="_Heading_lbo_long_model_CompanyABC Valuation Model Draft 09 25 2008-Team Liquidity 2" xfId="307" xr:uid="{00000000-0005-0000-0000-000084010000}"/>
    <cellStyle name="_Heading_lbo_long_model_CompanyABC Valuation Model Draft 10 01 2008" xfId="308" xr:uid="{00000000-0005-0000-0000-000085010000}"/>
    <cellStyle name="_Heading_lbo_long_model_CompanyABC Valuation Model Draft 10 01 2008 2" xfId="309" xr:uid="{00000000-0005-0000-0000-000086010000}"/>
    <cellStyle name="_Heading_lbo_long_model_CompanyABC Valuation Model Draft 10 27 2008" xfId="310" xr:uid="{00000000-0005-0000-0000-000087010000}"/>
    <cellStyle name="_Heading_lbo_long_model_CompanyABC Valuation Model Draft 10 27 2008 2" xfId="311" xr:uid="{00000000-0005-0000-0000-000088010000}"/>
    <cellStyle name="_Heading_lbo_long_model_DB" xfId="312" xr:uid="{00000000-0005-0000-0000-000089010000}"/>
    <cellStyle name="_Heading_lbo_long_model_DB 2" xfId="313" xr:uid="{00000000-0005-0000-0000-00008A010000}"/>
    <cellStyle name="_Heading_lbo_long_model_EXAMPLE model C-5" xfId="314" xr:uid="{00000000-0005-0000-0000-00008B010000}"/>
    <cellStyle name="_Heading_lbo_long_model_EXAMPLE model C-5 2" xfId="315" xr:uid="{00000000-0005-0000-0000-00008C010000}"/>
    <cellStyle name="_Heading_lbo_long_model_FAS 157 Model Template 04 26 2009" xfId="316" xr:uid="{00000000-0005-0000-0000-00008D010000}"/>
    <cellStyle name="_Heading_lbo_long_model_FAS 157 Model Template 04 26 2009 2" xfId="317" xr:uid="{00000000-0005-0000-0000-00008E010000}"/>
    <cellStyle name="_Heading_lbo_long_model_Great Call VD 09 30 08 Draft Model 11 20 08" xfId="318" xr:uid="{00000000-0005-0000-0000-00008F010000}"/>
    <cellStyle name="_Heading_lbo_long_model_Great Call VD 09 30 08 Draft Model 11 20 08 2" xfId="319" xr:uid="{00000000-0005-0000-0000-000090010000}"/>
    <cellStyle name="_Heading_lbo_long_model_Intermedia, Inc. VD 05 31 08 Draft Model 07 16 2008" xfId="320" xr:uid="{00000000-0005-0000-0000-000091010000}"/>
    <cellStyle name="_Heading_lbo_long_model_Intermedia, Inc. VD 05 31 08 Draft Model 07 16 2008 2" xfId="321" xr:uid="{00000000-0005-0000-0000-000092010000}"/>
    <cellStyle name="_Heading_lbo_long_model_Island Data Corporatin VD 06 30 08 Projections and Comparables 08 11 2008" xfId="322" xr:uid="{00000000-0005-0000-0000-000093010000}"/>
    <cellStyle name="_Heading_lbo_long_model_Island Data Corporatin VD 06 30 08 Projections and Comparables 08 11 2008 2" xfId="323" xr:uid="{00000000-0005-0000-0000-000094010000}"/>
    <cellStyle name="_Heading_lbo_long_model_Jentro Tech VD 03 31 2008 Model 04 10 2008" xfId="324" xr:uid="{00000000-0005-0000-0000-000095010000}"/>
    <cellStyle name="_Heading_lbo_long_model_Jentro Tech VD 03 31 2008 Model 04 10 2008 2" xfId="325" xr:uid="{00000000-0005-0000-0000-000096010000}"/>
    <cellStyle name="_Heading_lbo_long_model_Kythera Biopharmaceuticals VD 05 16 08 Draft Analysis 07 01 08" xfId="326" xr:uid="{00000000-0005-0000-0000-000097010000}"/>
    <cellStyle name="_Heading_lbo_long_model_Kythera Biopharmaceuticals VD 05 16 08 Draft Analysis 07 01 08 2" xfId="327" xr:uid="{00000000-0005-0000-0000-000098010000}"/>
    <cellStyle name="_Heading_lbo_long_model_Kythera Biopharmaceuticals VD 05 16 08 Final Model 07 20 08" xfId="328" xr:uid="{00000000-0005-0000-0000-000099010000}"/>
    <cellStyle name="_Heading_lbo_long_model_Kythera Biopharmaceuticals VD 05 16 08 Final Model 07 20 08 2" xfId="329" xr:uid="{00000000-0005-0000-0000-00009A010000}"/>
    <cellStyle name="_Heading_lbo_long_model_Kythera Biopharmaceuticals, Inc. VD 5 16 2008 Draft 5 24 2008" xfId="330" xr:uid="{00000000-0005-0000-0000-00009B010000}"/>
    <cellStyle name="_Heading_lbo_long_model_Kythera Biopharmaceuticals, Inc. VD 5 16 2008 Draft 5 24 2008 2" xfId="331" xr:uid="{00000000-0005-0000-0000-00009C010000}"/>
    <cellStyle name="_Heading_lbo_long_model_Miragen VD 05 31 2008 Model 05 22 2009" xfId="332" xr:uid="{00000000-0005-0000-0000-00009D010000}"/>
    <cellStyle name="_Heading_lbo_long_model_Notes" xfId="333" xr:uid="{00000000-0005-0000-0000-00009E010000}"/>
    <cellStyle name="_Heading_lbo_long_model_Notes 2" xfId="334" xr:uid="{00000000-0005-0000-0000-00009F010000}"/>
    <cellStyle name="_Heading_lbo_long_model_OMT VD 10 15 2008 Draft Analysis 12 17 2008.xls" xfId="335" xr:uid="{00000000-0005-0000-0000-0000A0010000}"/>
    <cellStyle name="_Heading_lbo_long_model_PubComps IPO -C-7" xfId="336" xr:uid="{00000000-0005-0000-0000-0000A1010000}"/>
    <cellStyle name="_Heading_lbo_long_model_PubComps IPO -C-7 2" xfId="337" xr:uid="{00000000-0005-0000-0000-0000A2010000}"/>
    <cellStyle name="_Heading_lbo_long_model_Tmax Soft VD 07 31 2008 Draft Model 08 20 2008" xfId="338" xr:uid="{00000000-0005-0000-0000-0000A3010000}"/>
    <cellStyle name="_Heading_lbo_long_model_Tmax Soft VD 07 31 2008 Draft Model 08 20 2008 2" xfId="339" xr:uid="{00000000-0005-0000-0000-0000A4010000}"/>
    <cellStyle name="_Heading_lbo_long_model_WACC -E-2" xfId="340" xr:uid="{00000000-0005-0000-0000-0000A5010000}"/>
    <cellStyle name="_Heading_lbo_long_model_WACC -E-2 2" xfId="341" xr:uid="{00000000-0005-0000-0000-0000A6010000}"/>
    <cellStyle name="_Heading_lbo_long_model_Xmos Limited VD 05 13 2008  Model 06 04 08" xfId="342" xr:uid="{00000000-0005-0000-0000-0000A7010000}"/>
    <cellStyle name="_Heading_lbo_long_model_Xmos Limited VD 05 13 2008  Model 06 04 08 2" xfId="343" xr:uid="{00000000-0005-0000-0000-0000A8010000}"/>
    <cellStyle name="_Heading_prestemp" xfId="344" xr:uid="{00000000-0005-0000-0000-0000A9010000}"/>
    <cellStyle name="_Heading_prestemp 2" xfId="345" xr:uid="{00000000-0005-0000-0000-0000AA010000}"/>
    <cellStyle name="_Heading_prestemp 2 2" xfId="346" xr:uid="{00000000-0005-0000-0000-0000AB010000}"/>
    <cellStyle name="_Heading_prestemp 3" xfId="347" xr:uid="{00000000-0005-0000-0000-0000AC010000}"/>
    <cellStyle name="_Heading_prestemp 4" xfId="348" xr:uid="{00000000-0005-0000-0000-0000AD010000}"/>
    <cellStyle name="_Heading_prestemp 5" xfId="349" xr:uid="{00000000-0005-0000-0000-0000AE010000}"/>
    <cellStyle name="_Heading_prestemp_Anaphore 12 31 2008 Draft Analysis 02 19 2009" xfId="350" xr:uid="{00000000-0005-0000-0000-0000AF010000}"/>
    <cellStyle name="_Heading_prestemp_Anaphore 12 31 2008 Draft Analysis 02 20 2009 - DM REVISED" xfId="351" xr:uid="{00000000-0005-0000-0000-0000B0010000}"/>
    <cellStyle name="_Heading_prestemp_Book2" xfId="352" xr:uid="{00000000-0005-0000-0000-0000B1010000}"/>
    <cellStyle name="_Heading_prestemp_Book2 2" xfId="353" xr:uid="{00000000-0005-0000-0000-0000B2010000}"/>
    <cellStyle name="_Heading_prestemp_Boston Power VD 01 31 2008 Model 02 26 2008" xfId="354" xr:uid="{00000000-0005-0000-0000-0000B3010000}"/>
    <cellStyle name="_Heading_prestemp_Boston Power VD 01 31 2008 Model 02 26 2008 2" xfId="355" xr:uid="{00000000-0005-0000-0000-0000B4010000}"/>
    <cellStyle name="_Heading_prestemp_Boston Power VD 01 31 2008 Model 02 26 2008 2 2" xfId="356" xr:uid="{00000000-0005-0000-0000-0000B5010000}"/>
    <cellStyle name="_Heading_prestemp_Boston Power VD 01 31 2008 Model 02 26 2008 3" xfId="357" xr:uid="{00000000-0005-0000-0000-0000B6010000}"/>
    <cellStyle name="_Heading_prestemp_Boston Power VD 01 31 2008 Model 02 26 2008 4" xfId="358" xr:uid="{00000000-0005-0000-0000-0000B7010000}"/>
    <cellStyle name="_Heading_prestemp_Boston Power VD 01 31 2008 Model 02 26 2008 5" xfId="359" xr:uid="{00000000-0005-0000-0000-0000B8010000}"/>
    <cellStyle name="_Heading_prestemp_Boston Power VD 01 31 2008 Model 02 26 2008_CompanyABC Valuation Draft Model 04 21 2009" xfId="360" xr:uid="{00000000-0005-0000-0000-0000B9010000}"/>
    <cellStyle name="_Heading_prestemp_Boston Power VD 01 31 2008 Model 02 26 2008_CompanyABC Valuation Draft Model 04 21 2009 2" xfId="361" xr:uid="{00000000-0005-0000-0000-0000BA010000}"/>
    <cellStyle name="_Heading_prestemp_Boston Power VD 01 31 2008 Model 02 26 2008_DB" xfId="362" xr:uid="{00000000-0005-0000-0000-0000BB010000}"/>
    <cellStyle name="_Heading_prestemp_Boston Power VD 01 31 2008 Model 02 26 2008_DB 2" xfId="363" xr:uid="{00000000-0005-0000-0000-0000BC010000}"/>
    <cellStyle name="_Heading_prestemp_Boston Power VD 01 31 2008 Model 02 26 2008_DB 2 2" xfId="364" xr:uid="{00000000-0005-0000-0000-0000BD010000}"/>
    <cellStyle name="_Heading_prestemp_Boston Power VD 01 31 2008 Model 02 26 2008_FAS 157 Model Template 04 26 2009" xfId="365" xr:uid="{00000000-0005-0000-0000-0000BE010000}"/>
    <cellStyle name="_Heading_prestemp_Boston Power VD 01 31 2008 Model 02 26 2008_FAS 157 Model Template 04 26 2009 2" xfId="366" xr:uid="{00000000-0005-0000-0000-0000BF010000}"/>
    <cellStyle name="_Heading_prestemp_Boston Power VD 01 31 2008 Model 02 26 2008_Miragen VD 05 31 2008 Model 05 22 2009" xfId="367" xr:uid="{00000000-0005-0000-0000-0000C0010000}"/>
    <cellStyle name="_Heading_prestemp_Cap Table Inputs" xfId="368" xr:uid="{00000000-0005-0000-0000-0000C1010000}"/>
    <cellStyle name="_Heading_prestemp_Cap Table Inputs 2" xfId="369" xr:uid="{00000000-0005-0000-0000-0000C2010000}"/>
    <cellStyle name="_Heading_prestemp_Cap Table Inputs 2 2" xfId="370" xr:uid="{00000000-0005-0000-0000-0000C3010000}"/>
    <cellStyle name="_Heading_prestemp_Cap Table Inputs 3" xfId="371" xr:uid="{00000000-0005-0000-0000-0000C4010000}"/>
    <cellStyle name="_Heading_prestemp_Cap Table Inputs 4" xfId="372" xr:uid="{00000000-0005-0000-0000-0000C5010000}"/>
    <cellStyle name="_Heading_prestemp_Cap Table Inputs 5" xfId="373" xr:uid="{00000000-0005-0000-0000-0000C6010000}"/>
    <cellStyle name="_Heading_prestemp_Cap Table Inputs_CompanyABC Valuation Draft Model 04 21 2009" xfId="374" xr:uid="{00000000-0005-0000-0000-0000C7010000}"/>
    <cellStyle name="_Heading_prestemp_Cap Table Inputs_CompanyABC Valuation Draft Model 04 21 2009 2" xfId="375" xr:uid="{00000000-0005-0000-0000-0000C8010000}"/>
    <cellStyle name="_Heading_prestemp_Cap Table Inputs_DB" xfId="376" xr:uid="{00000000-0005-0000-0000-0000C9010000}"/>
    <cellStyle name="_Heading_prestemp_Cap Table Inputs_DB 2" xfId="377" xr:uid="{00000000-0005-0000-0000-0000CA010000}"/>
    <cellStyle name="_Heading_prestemp_Cap Table Inputs_DB 2 2" xfId="378" xr:uid="{00000000-0005-0000-0000-0000CB010000}"/>
    <cellStyle name="_Heading_prestemp_Cap Table Inputs_FAS 157 Model Template 04 26 2009" xfId="379" xr:uid="{00000000-0005-0000-0000-0000CC010000}"/>
    <cellStyle name="_Heading_prestemp_Cap Table Inputs_FAS 157 Model Template 04 26 2009 2" xfId="380" xr:uid="{00000000-0005-0000-0000-0000CD010000}"/>
    <cellStyle name="_Heading_prestemp_Cap Table Inputs_Miragen VD 05 31 2008 Model 05 22 2009" xfId="381" xr:uid="{00000000-0005-0000-0000-0000CE010000}"/>
    <cellStyle name="_Heading_prestemp_CardioSolutions 05 31 2007 Final Model 09 27 2007" xfId="382" xr:uid="{00000000-0005-0000-0000-0000CF010000}"/>
    <cellStyle name="_Heading_prestemp_CardioSolutions 05 31 2007 Final Model 09 27 2007 2" xfId="383" xr:uid="{00000000-0005-0000-0000-0000D0010000}"/>
    <cellStyle name="_Heading_prestemp_CardioSolutions 05 31 2007 Final Model 09 27 2007 2 2" xfId="384" xr:uid="{00000000-0005-0000-0000-0000D1010000}"/>
    <cellStyle name="_Heading_prestemp_CardioSolutions 05 31 2007 Final Model 09 27 2007 3" xfId="385" xr:uid="{00000000-0005-0000-0000-0000D2010000}"/>
    <cellStyle name="_Heading_prestemp_CardioSolutions 05 31 2007 Final Model 09 27 2007 4" xfId="386" xr:uid="{00000000-0005-0000-0000-0000D3010000}"/>
    <cellStyle name="_Heading_prestemp_CardioSolutions 05 31 2007 Final Model 09 27 2007 5" xfId="387" xr:uid="{00000000-0005-0000-0000-0000D4010000}"/>
    <cellStyle name="_Heading_prestemp_CardioSolutions 05 31 2007 Final Model 09 27 2007_CompanyABC Valuation Draft Model 04 21 2009" xfId="388" xr:uid="{00000000-0005-0000-0000-0000D5010000}"/>
    <cellStyle name="_Heading_prestemp_CardioSolutions 05 31 2007 Final Model 09 27 2007_CompanyABC Valuation Draft Model 04 21 2009 2" xfId="389" xr:uid="{00000000-0005-0000-0000-0000D6010000}"/>
    <cellStyle name="_Heading_prestemp_CardioSolutions 05 31 2007 Final Model 09 27 2007_DB" xfId="390" xr:uid="{00000000-0005-0000-0000-0000D7010000}"/>
    <cellStyle name="_Heading_prestemp_CardioSolutions 05 31 2007 Final Model 09 27 2007_DB 2" xfId="391" xr:uid="{00000000-0005-0000-0000-0000D8010000}"/>
    <cellStyle name="_Heading_prestemp_CardioSolutions 05 31 2007 Final Model 09 27 2007_DB 2 2" xfId="392" xr:uid="{00000000-0005-0000-0000-0000D9010000}"/>
    <cellStyle name="_Heading_prestemp_CardioSolutions 05 31 2007 Final Model 09 27 2007_FAS 157 Model Template 04 26 2009" xfId="393" xr:uid="{00000000-0005-0000-0000-0000DA010000}"/>
    <cellStyle name="_Heading_prestemp_CardioSolutions 05 31 2007 Final Model 09 27 2007_FAS 157 Model Template 04 26 2009 2" xfId="394" xr:uid="{00000000-0005-0000-0000-0000DB010000}"/>
    <cellStyle name="_Heading_prestemp_CardioSolutions 05 31 2007 Final Model 09 27 2007_Miragen VD 05 31 2008 Model 05 22 2009" xfId="395" xr:uid="{00000000-0005-0000-0000-0000DC010000}"/>
    <cellStyle name="_Heading_prestemp_CardioSolutions VD 05 31 08 Draft Model 07 15 2008" xfId="396" xr:uid="{00000000-0005-0000-0000-0000DD010000}"/>
    <cellStyle name="_Heading_prestemp_CardioSolutions VD 05 31 08 Draft Model 07 15 2008 2" xfId="397" xr:uid="{00000000-0005-0000-0000-0000DE010000}"/>
    <cellStyle name="_Heading_prestemp_CardioSolutions VD 05 31 08 Draft Model 08 06 08-u" xfId="398" xr:uid="{00000000-0005-0000-0000-0000DF010000}"/>
    <cellStyle name="_Heading_prestemp_CardioSolutions VD 05 31 08 Draft Model 08 06 08-u 2" xfId="399" xr:uid="{00000000-0005-0000-0000-0000E0010000}"/>
    <cellStyle name="_Heading_prestemp_CompanyABC Valuation Draft Model 04 21 2009" xfId="400" xr:uid="{00000000-0005-0000-0000-0000E1010000}"/>
    <cellStyle name="_Heading_prestemp_CompanyABC Valuation Draft Model 04 21 2009 2" xfId="401" xr:uid="{00000000-0005-0000-0000-0000E2010000}"/>
    <cellStyle name="_Heading_prestemp_CompanyABC Valuation Model Draft 07 07 2008" xfId="402" xr:uid="{00000000-0005-0000-0000-0000E3010000}"/>
    <cellStyle name="_Heading_prestemp_CompanyABC Valuation Model Draft 07 07 2008 2" xfId="403" xr:uid="{00000000-0005-0000-0000-0000E4010000}"/>
    <cellStyle name="_Heading_prestemp_CompanyABC Valuation Model Draft 08 07 2008" xfId="404" xr:uid="{00000000-0005-0000-0000-0000E5010000}"/>
    <cellStyle name="_Heading_prestemp_CompanyABC Valuation Model Draft 08 07 2008 2" xfId="405" xr:uid="{00000000-0005-0000-0000-0000E6010000}"/>
    <cellStyle name="_Heading_prestemp_CompanyABC Valuation Model Draft 08 25 2008" xfId="406" xr:uid="{00000000-0005-0000-0000-0000E7010000}"/>
    <cellStyle name="_Heading_prestemp_CompanyABC Valuation Model Draft 08 25 2008 2" xfId="407" xr:uid="{00000000-0005-0000-0000-0000E8010000}"/>
    <cellStyle name="_Heading_prestemp_CompanyABC Valuation Model Draft 09 25 2008-Team Liquidity" xfId="408" xr:uid="{00000000-0005-0000-0000-0000E9010000}"/>
    <cellStyle name="_Heading_prestemp_CompanyABC Valuation Model Draft 09 25 2008-Team Liquidity 2" xfId="409" xr:uid="{00000000-0005-0000-0000-0000EA010000}"/>
    <cellStyle name="_Heading_prestemp_CompanyABC Valuation Model Draft 10 01 2008" xfId="410" xr:uid="{00000000-0005-0000-0000-0000EB010000}"/>
    <cellStyle name="_Heading_prestemp_CompanyABC Valuation Model Draft 10 01 2008 2" xfId="411" xr:uid="{00000000-0005-0000-0000-0000EC010000}"/>
    <cellStyle name="_Heading_prestemp_CompanyABC Valuation Model Draft 10 27 2008" xfId="412" xr:uid="{00000000-0005-0000-0000-0000ED010000}"/>
    <cellStyle name="_Heading_prestemp_CompanyABC Valuation Model Draft 10 27 2008 2" xfId="413" xr:uid="{00000000-0005-0000-0000-0000EE010000}"/>
    <cellStyle name="_Heading_prestemp_Cyrela - Goldzstein - Financial Model - v1" xfId="414" xr:uid="{00000000-0005-0000-0000-0000EF010000}"/>
    <cellStyle name="_Heading_prestemp_Cyrela - Goldzstein - Financial Model - v5" xfId="415" xr:uid="{00000000-0005-0000-0000-0000F0010000}"/>
    <cellStyle name="_Heading_prestemp_DB" xfId="416" xr:uid="{00000000-0005-0000-0000-0000F1010000}"/>
    <cellStyle name="_Heading_prestemp_DB 2" xfId="417" xr:uid="{00000000-0005-0000-0000-0000F2010000}"/>
    <cellStyle name="_Heading_prestemp_EXAMPLE model C-5" xfId="418" xr:uid="{00000000-0005-0000-0000-0000F3010000}"/>
    <cellStyle name="_Heading_prestemp_EXAMPLE model C-5 2" xfId="419" xr:uid="{00000000-0005-0000-0000-0000F4010000}"/>
    <cellStyle name="_Heading_prestemp_FAS 157 Model Template 04 26 2009" xfId="420" xr:uid="{00000000-0005-0000-0000-0000F5010000}"/>
    <cellStyle name="_Heading_prestemp_FAS 157 Model Template 04 26 2009 2" xfId="421" xr:uid="{00000000-0005-0000-0000-0000F6010000}"/>
    <cellStyle name="_Heading_prestemp_Gas Natural - Financial Model - April 18 2008 - v1" xfId="422" xr:uid="{00000000-0005-0000-0000-0000F7010000}"/>
    <cellStyle name="_Heading_prestemp_Gas Natural - Financial Model - April 18 2008 - v2" xfId="423" xr:uid="{00000000-0005-0000-0000-0000F8010000}"/>
    <cellStyle name="_Heading_prestemp_Gas Natural - Financial Model - May 20, 2009" xfId="424" xr:uid="{00000000-0005-0000-0000-0000F9010000}"/>
    <cellStyle name="_Heading_prestemp_Goldzstein Cyrela - Financial Model - v7" xfId="425" xr:uid="{00000000-0005-0000-0000-0000FA010000}"/>
    <cellStyle name="_Heading_prestemp_Great Call VD 09 30 08 Draft Model 11 20 08" xfId="426" xr:uid="{00000000-0005-0000-0000-0000FB010000}"/>
    <cellStyle name="_Heading_prestemp_Great Call VD 09 30 08 Draft Model 11 20 08 2" xfId="427" xr:uid="{00000000-0005-0000-0000-0000FC010000}"/>
    <cellStyle name="_Heading_prestemp_Grupo Ibmec - Financial Model - v2" xfId="428" xr:uid="{00000000-0005-0000-0000-0000FD010000}"/>
    <cellStyle name="_Heading_prestemp_Grupo Ibmec - Financial Model - v5" xfId="429" xr:uid="{00000000-0005-0000-0000-0000FE010000}"/>
    <cellStyle name="_Heading_prestemp_Independencia - Financial Model - Dec 02 2008 - v3" xfId="430" xr:uid="{00000000-0005-0000-0000-0000FF010000}"/>
    <cellStyle name="_Heading_prestemp_Independencia - Financial Model - Nov 24 2008" xfId="431" xr:uid="{00000000-0005-0000-0000-000000020000}"/>
    <cellStyle name="_Heading_prestemp_Intermedia, Inc. VD 05 31 08 Draft Model 07 16 2008" xfId="432" xr:uid="{00000000-0005-0000-0000-000001020000}"/>
    <cellStyle name="_Heading_prestemp_Intermedia, Inc. VD 05 31 08 Draft Model 07 16 2008 2" xfId="433" xr:uid="{00000000-0005-0000-0000-000002020000}"/>
    <cellStyle name="_Heading_prestemp_Island Data Corporatin VD 06 30 08 Projections and Comparables 08 11 2008" xfId="434" xr:uid="{00000000-0005-0000-0000-000003020000}"/>
    <cellStyle name="_Heading_prestemp_Island Data Corporatin VD 06 30 08 Projections and Comparables 08 11 2008 2" xfId="435" xr:uid="{00000000-0005-0000-0000-000004020000}"/>
    <cellStyle name="_Heading_prestemp_Jentro Tech VD 03 31 2008 Model 04 10 2008" xfId="436" xr:uid="{00000000-0005-0000-0000-000005020000}"/>
    <cellStyle name="_Heading_prestemp_Jentro Tech VD 03 31 2008 Model 04 10 2008 2" xfId="437" xr:uid="{00000000-0005-0000-0000-000006020000}"/>
    <cellStyle name="_Heading_prestemp_Kythera Biopharmaceuticals VD 05 16 08 Draft Analysis 07 01 08" xfId="438" xr:uid="{00000000-0005-0000-0000-000007020000}"/>
    <cellStyle name="_Heading_prestemp_Kythera Biopharmaceuticals VD 05 16 08 Draft Analysis 07 01 08 2" xfId="439" xr:uid="{00000000-0005-0000-0000-000008020000}"/>
    <cellStyle name="_Heading_prestemp_Kythera Biopharmaceuticals VD 05 16 08 Final Model 07 20 08" xfId="440" xr:uid="{00000000-0005-0000-0000-000009020000}"/>
    <cellStyle name="_Heading_prestemp_Kythera Biopharmaceuticals VD 05 16 08 Final Model 07 20 08 2" xfId="441" xr:uid="{00000000-0005-0000-0000-00000A020000}"/>
    <cellStyle name="_Heading_prestemp_Kythera Biopharmaceuticals, Inc. VD 5 16 2008 Draft 5 24 2008" xfId="442" xr:uid="{00000000-0005-0000-0000-00000B020000}"/>
    <cellStyle name="_Heading_prestemp_Kythera Biopharmaceuticals, Inc. VD 5 16 2008 Draft 5 24 2008 2" xfId="443" xr:uid="{00000000-0005-0000-0000-00000C020000}"/>
    <cellStyle name="_Heading_prestemp_Medley_Financial_Model_v5" xfId="444" xr:uid="{00000000-0005-0000-0000-00000D020000}"/>
    <cellStyle name="_Heading_prestemp_Medley_Financial_Model_v5_Ubiquiti Ownership Table" xfId="445" xr:uid="{00000000-0005-0000-0000-00000E020000}"/>
    <cellStyle name="_Heading_prestemp_Miragen VD 05 31 2008 Model 05 22 2009" xfId="446" xr:uid="{00000000-0005-0000-0000-00000F020000}"/>
    <cellStyle name="_Heading_prestemp_Notes" xfId="447" xr:uid="{00000000-0005-0000-0000-000010020000}"/>
    <cellStyle name="_Heading_prestemp_Notes 2" xfId="448" xr:uid="{00000000-0005-0000-0000-000011020000}"/>
    <cellStyle name="_Heading_prestemp_OMT VD 10 15 2008 Draft Analysis 12 17 2008.xls" xfId="449" xr:uid="{00000000-0005-0000-0000-000012020000}"/>
    <cellStyle name="_Heading_prestemp_Project Emet - Forecasts" xfId="450" xr:uid="{00000000-0005-0000-0000-000013020000}"/>
    <cellStyle name="_Heading_prestemp_PubComps IPO -C-7" xfId="451" xr:uid="{00000000-0005-0000-0000-000014020000}"/>
    <cellStyle name="_Heading_prestemp_PubComps IPO -C-7 2" xfId="452" xr:uid="{00000000-0005-0000-0000-000015020000}"/>
    <cellStyle name="_Heading_prestemp_Rumo_Financial_Model_05jun2009_v1" xfId="453" xr:uid="{00000000-0005-0000-0000-000016020000}"/>
    <cellStyle name="_Heading_prestemp_Rumo_Financial_Model_05jun2009_v4" xfId="454" xr:uid="{00000000-0005-0000-0000-000017020000}"/>
    <cellStyle name="_Heading_prestemp_Rumo_Financial_Model_05jun2009_v5" xfId="455" xr:uid="{00000000-0005-0000-0000-000018020000}"/>
    <cellStyle name="_Heading_prestemp_Rumo_Financial_Model_05jun2009_v6" xfId="456" xr:uid="{00000000-0005-0000-0000-000019020000}"/>
    <cellStyle name="_Heading_prestemp_SCPC_Financial_Model_10jun2009_v2" xfId="457" xr:uid="{00000000-0005-0000-0000-00001A020000}"/>
    <cellStyle name="_Heading_prestemp_SCPC_Financial_Model_17jun2009_v5" xfId="458" xr:uid="{00000000-0005-0000-0000-00001B020000}"/>
    <cellStyle name="_Heading_prestemp_Tmax Soft VD 07 31 2008 Draft Model 08 20 2008" xfId="459" xr:uid="{00000000-0005-0000-0000-00001C020000}"/>
    <cellStyle name="_Heading_prestemp_Tmax Soft VD 07 31 2008 Draft Model 08 20 2008 2" xfId="460" xr:uid="{00000000-0005-0000-0000-00001D020000}"/>
    <cellStyle name="_Heading_prestemp_WACC -E-2" xfId="461" xr:uid="{00000000-0005-0000-0000-00001E020000}"/>
    <cellStyle name="_Heading_prestemp_WACC -E-2 2" xfId="462" xr:uid="{00000000-0005-0000-0000-00001F020000}"/>
    <cellStyle name="_Heading_prestemp_Xmos Limited VD 05 13 2008  Model 06 04 08" xfId="463" xr:uid="{00000000-0005-0000-0000-000020020000}"/>
    <cellStyle name="_Heading_prestemp_Xmos Limited VD 05 13 2008  Model 06 04 08 2" xfId="464" xr:uid="{00000000-0005-0000-0000-000021020000}"/>
    <cellStyle name="_Headline" xfId="16305" xr:uid="{00000000-0005-0000-0000-000022020000}"/>
    <cellStyle name="_Hea_x0010_line" xfId="16306" xr:uid="{00000000-0005-0000-0000-000023020000}"/>
    <cellStyle name="_Highlight" xfId="465" xr:uid="{00000000-0005-0000-0000-000024020000}"/>
    <cellStyle name="_Highlight 2" xfId="466" xr:uid="{00000000-0005-0000-0000-000025020000}"/>
    <cellStyle name="_IPO Val 08.01.05 v1.1" xfId="16307" xr:uid="{00000000-0005-0000-0000-000026020000}"/>
    <cellStyle name="_laroux_2000 Reforecast Summary 6-00" xfId="16308" xr:uid="{00000000-0005-0000-0000-000027020000}"/>
    <cellStyle name="_laroux_April 2000 Review_Property Disclosure 2000 Reforecast 8-00" xfId="16309" xr:uid="{00000000-0005-0000-0000-000028020000}"/>
    <cellStyle name="_LIBOR" xfId="467" xr:uid="{00000000-0005-0000-0000-000029020000}"/>
    <cellStyle name="_LIBOR 2" xfId="468" xr:uid="{00000000-0005-0000-0000-00002A020000}"/>
    <cellStyle name="_LIBOR_IRR Model" xfId="469" xr:uid="{00000000-0005-0000-0000-00002B020000}"/>
    <cellStyle name="_LIBOR_IRR Model 2" xfId="470" xr:uid="{00000000-0005-0000-0000-00002C020000}"/>
    <cellStyle name="_LIBOR_Mesa_Irr Grid" xfId="471" xr:uid="{00000000-0005-0000-0000-00002D020000}"/>
    <cellStyle name="_LIBOR_Mesa_Irr Grid 2" xfId="472" xr:uid="{00000000-0005-0000-0000-00002E020000}"/>
    <cellStyle name="_Luxury Goods Comps latest" xfId="473" xr:uid="{00000000-0005-0000-0000-00002F020000}"/>
    <cellStyle name="_Luxury Goods Comps latest_Medley_Financial_Model_v5" xfId="474" xr:uid="{00000000-0005-0000-0000-000030020000}"/>
    <cellStyle name="_Luxury Goods Comps latest_Medley_Financial_Model_v5_Ubiquiti Ownership Table" xfId="475" xr:uid="{00000000-0005-0000-0000-000031020000}"/>
    <cellStyle name="_MemoHead" xfId="476" xr:uid="{00000000-0005-0000-0000-000032020000}"/>
    <cellStyle name="_MemoHead 2" xfId="477" xr:uid="{00000000-0005-0000-0000-000033020000}"/>
    <cellStyle name="_MemoSubHead" xfId="478" xr:uid="{00000000-0005-0000-0000-000034020000}"/>
    <cellStyle name="_MemoSubHead 2" xfId="479" xr:uid="{00000000-0005-0000-0000-000035020000}"/>
    <cellStyle name="-_Merger Overview Paste-ins" xfId="480" xr:uid="{00000000-0005-0000-0000-000036020000}"/>
    <cellStyle name="-_Merger Overview Paste-ins_EBITDA template v2" xfId="481" xr:uid="{00000000-0005-0000-0000-000037020000}"/>
    <cellStyle name="-_Merger Overview Paste-ins_Ranpak Model (10-27-05) v1.1" xfId="482" xr:uid="{00000000-0005-0000-0000-000038020000}"/>
    <cellStyle name="-_Merger Overview Paste-ins_Ranpak Model (10-27-05) v1.1_EBITDA template v2" xfId="483" xr:uid="{00000000-0005-0000-0000-000039020000}"/>
    <cellStyle name="_Model and Valuation - Aros 6 30 08" xfId="16310" xr:uid="{00000000-0005-0000-0000-00003A020000}"/>
    <cellStyle name="_Modelo Puerto 2007 Management Case DB 14-11 (DB) v20" xfId="484" xr:uid="{00000000-0005-0000-0000-00003B020000}"/>
    <cellStyle name="_Modelo Puerto 2007 Management Case DB 14-11 (DB) v20_Medley_Financial_Model_v5" xfId="485" xr:uid="{00000000-0005-0000-0000-00003C020000}"/>
    <cellStyle name="_Multiple" xfId="486" xr:uid="{00000000-0005-0000-0000-00003D020000}"/>
    <cellStyle name="_Multiple__DCF Template" xfId="487" xr:uid="{00000000-0005-0000-0000-00003E020000}"/>
    <cellStyle name="_Multiple_04 Alaska Model 2002-05-31 GS" xfId="488" xr:uid="{00000000-0005-0000-0000-00003F020000}"/>
    <cellStyle name="_Multiple_Cable_Industry Overview5" xfId="489" xr:uid="{00000000-0005-0000-0000-000040020000}"/>
    <cellStyle name="_Multiple_Control" xfId="490" xr:uid="{00000000-0005-0000-0000-000041020000}"/>
    <cellStyle name="_Multiple_Dividend Template" xfId="491" xr:uid="{00000000-0005-0000-0000-000042020000}"/>
    <cellStyle name="_Multiple_Eric CapIQ unlinked v1" xfId="492" xr:uid="{00000000-0005-0000-0000-000043020000}"/>
    <cellStyle name="_Multiple_Gelco Model" xfId="493" xr:uid="{00000000-0005-0000-0000-000044020000}"/>
    <cellStyle name="_Multiple_H-G Holdings race car v5 (change dep)" xfId="494" xr:uid="{00000000-0005-0000-0000-000045020000}"/>
    <cellStyle name="_Multiple_INTU Comps v2" xfId="16311" xr:uid="{00000000-0005-0000-0000-000046020000}"/>
    <cellStyle name="_Multiple_lbo_long_model" xfId="495" xr:uid="{00000000-0005-0000-0000-000047020000}"/>
    <cellStyle name="_Multiple_lbo_long_model 2" xfId="496" xr:uid="{00000000-0005-0000-0000-000048020000}"/>
    <cellStyle name="_Multiple_Medicis WACC" xfId="497" xr:uid="{00000000-0005-0000-0000-000049020000}"/>
    <cellStyle name="_Multiple_Meggitt AirDynamics WACC" xfId="498" xr:uid="{00000000-0005-0000-0000-00004A020000}"/>
    <cellStyle name="_Multiple_Pro-Forma Financials" xfId="499" xr:uid="{00000000-0005-0000-0000-00004B020000}"/>
    <cellStyle name="_Multiple_Pro-Forma Spin-off" xfId="500" xr:uid="{00000000-0005-0000-0000-00004C020000}"/>
    <cellStyle name="_Multiple_Revised Basic Modelv2.4" xfId="501" xr:uid="{00000000-0005-0000-0000-00004D020000}"/>
    <cellStyle name="_Multiple_Rider Henning" xfId="502" xr:uid="{00000000-0005-0000-0000-00004E020000}"/>
    <cellStyle name="_Multiple_Summary" xfId="503" xr:uid="{00000000-0005-0000-0000-00004F020000}"/>
    <cellStyle name="_Multiple_Updated Model - CapitalIQ6 -04.20.06" xfId="504" xr:uid="{00000000-0005-0000-0000-000050020000}"/>
    <cellStyle name="_Multiple_WACCv2" xfId="505" xr:uid="{00000000-0005-0000-0000-000051020000}"/>
    <cellStyle name="_Multiple_Yield Tables" xfId="506" xr:uid="{00000000-0005-0000-0000-000052020000}"/>
    <cellStyle name="_MultipleSpace" xfId="507" xr:uid="{00000000-0005-0000-0000-000053020000}"/>
    <cellStyle name="_MultipleSpace__DCF Template" xfId="508" xr:uid="{00000000-0005-0000-0000-000054020000}"/>
    <cellStyle name="_MultipleSpace_04 Alaska Model 2002-05-31 GS" xfId="509" xr:uid="{00000000-0005-0000-0000-000055020000}"/>
    <cellStyle name="_MultipleSpace_Control" xfId="510" xr:uid="{00000000-0005-0000-0000-000056020000}"/>
    <cellStyle name="_MultipleSpace_Dividend Template" xfId="511" xr:uid="{00000000-0005-0000-0000-000057020000}"/>
    <cellStyle name="_MultipleSpace_EPL LBO 5.16.05 - Mgmt IPO v6" xfId="16312" xr:uid="{00000000-0005-0000-0000-000058020000}"/>
    <cellStyle name="_MultipleSpace_Epsilon IPO Model NEW v3" xfId="16313" xr:uid="{00000000-0005-0000-0000-000059020000}"/>
    <cellStyle name="_MultipleSpace_Epsilon Model 3.30.05 v7" xfId="16314" xr:uid="{00000000-0005-0000-0000-00005A020000}"/>
    <cellStyle name="_MultipleSpace_Eric CapIQ unlinked v1" xfId="512" xr:uid="{00000000-0005-0000-0000-00005B020000}"/>
    <cellStyle name="_MultipleSpace_H-G Holdings race car v5 (change dep)" xfId="513" xr:uid="{00000000-0005-0000-0000-00005C020000}"/>
    <cellStyle name="_MultipleSpace_Hist_Rev1" xfId="16315" xr:uid="{00000000-0005-0000-0000-00005D020000}"/>
    <cellStyle name="_MultipleSpace_lbo_long_model" xfId="514" xr:uid="{00000000-0005-0000-0000-00005E020000}"/>
    <cellStyle name="_MultipleSpace_lbo_long_model 2" xfId="515" xr:uid="{00000000-0005-0000-0000-00005F020000}"/>
    <cellStyle name="_MultipleSpace_Medicis WACC" xfId="516" xr:uid="{00000000-0005-0000-0000-000060020000}"/>
    <cellStyle name="_MultipleSpace_Meggitt AirDynamics WACC" xfId="517" xr:uid="{00000000-0005-0000-0000-000061020000}"/>
    <cellStyle name="_MultipleSpace_Pro-Forma Financials" xfId="518" xr:uid="{00000000-0005-0000-0000-000062020000}"/>
    <cellStyle name="_MultipleSpace_Pro-Forma Spin-off" xfId="519" xr:uid="{00000000-0005-0000-0000-000063020000}"/>
    <cellStyle name="_MultipleSpace_Revised Basic Modelv2.4" xfId="520" xr:uid="{00000000-0005-0000-0000-000064020000}"/>
    <cellStyle name="_MultipleSpace_Rider Henning" xfId="521" xr:uid="{00000000-0005-0000-0000-000065020000}"/>
    <cellStyle name="_MultipleSpace_RJB Long LBO LTM" xfId="16316" xr:uid="{00000000-0005-0000-0000-000066020000}"/>
    <cellStyle name="_MultipleSpace_Updated Model - CapitalIQ6 -04.20.06" xfId="522" xr:uid="{00000000-0005-0000-0000-000067020000}"/>
    <cellStyle name="_MultipleSpace_WACCv2" xfId="523" xr:uid="{00000000-0005-0000-0000-000068020000}"/>
    <cellStyle name="_Nomos WACC" xfId="524" xr:uid="{00000000-0005-0000-0000-000069020000}"/>
    <cellStyle name="_Percent" xfId="525" xr:uid="{00000000-0005-0000-0000-00006A020000}"/>
    <cellStyle name="_Percent_Control" xfId="526" xr:uid="{00000000-0005-0000-0000-00006B020000}"/>
    <cellStyle name="_Percent_Rider Henning" xfId="527" xr:uid="{00000000-0005-0000-0000-00006C020000}"/>
    <cellStyle name="_PercentReal" xfId="528" xr:uid="{00000000-0005-0000-0000-00006D020000}"/>
    <cellStyle name="_PercentReal 2" xfId="529" xr:uid="{00000000-0005-0000-0000-00006E020000}"/>
    <cellStyle name="_PercentReal_Gelco Model" xfId="530" xr:uid="{00000000-0005-0000-0000-00006F020000}"/>
    <cellStyle name="_PercentReal_Gelco Model 2" xfId="531" xr:uid="{00000000-0005-0000-0000-000070020000}"/>
    <cellStyle name="_PercentReal_Gelco Overview_3-11-04" xfId="532" xr:uid="{00000000-0005-0000-0000-000071020000}"/>
    <cellStyle name="_PercentReal_Gelco Overview_3-11-04 2" xfId="533" xr:uid="{00000000-0005-0000-0000-000072020000}"/>
    <cellStyle name="_PercentReal_Indicative Term Sheet" xfId="534" xr:uid="{00000000-0005-0000-0000-000073020000}"/>
    <cellStyle name="_PercentReal_Indicative Term Sheet 2" xfId="535" xr:uid="{00000000-0005-0000-0000-000074020000}"/>
    <cellStyle name="_PercentReal_IRR Summary" xfId="536" xr:uid="{00000000-0005-0000-0000-000075020000}"/>
    <cellStyle name="_PercentReal_IRR Summary 2" xfId="537" xr:uid="{00000000-0005-0000-0000-000076020000}"/>
    <cellStyle name="_PercentReal_PADD" xfId="538" xr:uid="{00000000-0005-0000-0000-000077020000}"/>
    <cellStyle name="_PercentReal_PADD 2" xfId="539" xr:uid="{00000000-0005-0000-0000-000078020000}"/>
    <cellStyle name="_PercentSpace" xfId="540" xr:uid="{00000000-0005-0000-0000-000079020000}"/>
    <cellStyle name="_PercentSpace_Control" xfId="541" xr:uid="{00000000-0005-0000-0000-00007A020000}"/>
    <cellStyle name="_PercentSpace_Rider Henning" xfId="542" xr:uid="{00000000-0005-0000-0000-00007B020000}"/>
    <cellStyle name="_PMR_Val_v3" xfId="16317" xr:uid="{00000000-0005-0000-0000-00007C020000}"/>
    <cellStyle name="_PMR_Val_v4" xfId="16318" xr:uid="{00000000-0005-0000-0000-00007D020000}"/>
    <cellStyle name="_Projection IS  BS 2007-2010" xfId="543" xr:uid="{00000000-0005-0000-0000-00007E020000}"/>
    <cellStyle name="_Public Equity Analysis - v1" xfId="544" xr:uid="{00000000-0005-0000-0000-00007F020000}"/>
    <cellStyle name="_Public Equity Analysis - v1_Medley_Financial_Model_v5" xfId="545" xr:uid="{00000000-0005-0000-0000-000080020000}"/>
    <cellStyle name="_Pulpo 01.30.07 v.2" xfId="16319" xr:uid="{00000000-0005-0000-0000-000081020000}"/>
    <cellStyle name="_RangeColumns" xfId="546" xr:uid="{00000000-0005-0000-0000-000082020000}"/>
    <cellStyle name="_RangeColumns_East Coast Bulk Caustic 2+10" xfId="547" xr:uid="{00000000-0005-0000-0000-000083020000}"/>
    <cellStyle name="_RangeColumns_East Coast Bulk Caustic 2+10 2" xfId="12431" xr:uid="{00000000-0005-0000-0000-000084020000}"/>
    <cellStyle name="_RangeColumns_East Coast Bulk Caustic 2+10 2 2" xfId="24288" xr:uid="{00000000-0005-0000-0000-000085020000}"/>
    <cellStyle name="_RangeColumns_East Coast Bulk Caustic 2+10 3" xfId="20424" xr:uid="{00000000-0005-0000-0000-000086020000}"/>
    <cellStyle name="_RangeColumns_East Profit  Loss 1Q Review" xfId="548" xr:uid="{00000000-0005-0000-0000-000087020000}"/>
    <cellStyle name="_RangeColumns_East Profit  Loss 1Q Review 2" xfId="12432" xr:uid="{00000000-0005-0000-0000-000088020000}"/>
    <cellStyle name="_RangeColumns_East Profit  Loss 1Q Review 2 2" xfId="24289" xr:uid="{00000000-0005-0000-0000-000089020000}"/>
    <cellStyle name="_RangeColumns_East Profit  Loss 1Q Review 3" xfId="20425" xr:uid="{00000000-0005-0000-0000-00008A020000}"/>
    <cellStyle name="_RangeData" xfId="549" xr:uid="{00000000-0005-0000-0000-00008B020000}"/>
    <cellStyle name="_RangeData 2" xfId="12433" xr:uid="{00000000-0005-0000-0000-00008C020000}"/>
    <cellStyle name="_RangeData 2 2" xfId="24290" xr:uid="{00000000-0005-0000-0000-00008D020000}"/>
    <cellStyle name="_RangeData 3" xfId="20426" xr:uid="{00000000-0005-0000-0000-00008E020000}"/>
    <cellStyle name="_RangeData_East Coast Bulk Caustic 2+10" xfId="550" xr:uid="{00000000-0005-0000-0000-00008F020000}"/>
    <cellStyle name="_RangeData_East Coast Bulk Caustic 2+10 2" xfId="12434" xr:uid="{00000000-0005-0000-0000-000090020000}"/>
    <cellStyle name="_RangeData_East Coast Bulk Caustic 2+10 2 2" xfId="24291" xr:uid="{00000000-0005-0000-0000-000091020000}"/>
    <cellStyle name="_RangeData_East Coast Bulk Caustic 2+10 3" xfId="20427" xr:uid="{00000000-0005-0000-0000-000092020000}"/>
    <cellStyle name="_RangeData_East Profit  Loss 1Q Review" xfId="551" xr:uid="{00000000-0005-0000-0000-000093020000}"/>
    <cellStyle name="_RangeData_East Profit  Loss 1Q Review 2" xfId="12435" xr:uid="{00000000-0005-0000-0000-000094020000}"/>
    <cellStyle name="_RangeData_East Profit  Loss 1Q Review 2 2" xfId="24292" xr:uid="{00000000-0005-0000-0000-000095020000}"/>
    <cellStyle name="_RangeData_East Profit  Loss 1Q Review 3" xfId="20428" xr:uid="{00000000-0005-0000-0000-000096020000}"/>
    <cellStyle name="_RangeProperties" xfId="552" xr:uid="{00000000-0005-0000-0000-000097020000}"/>
    <cellStyle name="_RangeProperties 2" xfId="12436" xr:uid="{00000000-0005-0000-0000-000098020000}"/>
    <cellStyle name="_RangeProperties 2 2" xfId="24293" xr:uid="{00000000-0005-0000-0000-000099020000}"/>
    <cellStyle name="_RangeProperties 3" xfId="20429" xr:uid="{00000000-0005-0000-0000-00009A020000}"/>
    <cellStyle name="_RangePropertiesColumns" xfId="553" xr:uid="{00000000-0005-0000-0000-00009B020000}"/>
    <cellStyle name="_RangePropertiesColumns 2" xfId="12437" xr:uid="{00000000-0005-0000-0000-00009C020000}"/>
    <cellStyle name="_RangePropertiesColumns 2 2" xfId="24294" xr:uid="{00000000-0005-0000-0000-00009D020000}"/>
    <cellStyle name="_RangePropertiesColumns 3" xfId="20430" xr:uid="{00000000-0005-0000-0000-00009E020000}"/>
    <cellStyle name="_RangeRows" xfId="554" xr:uid="{00000000-0005-0000-0000-00009F020000}"/>
    <cellStyle name="_RangeRows_East Coast Bulk Caustic 2+10" xfId="555" xr:uid="{00000000-0005-0000-0000-0000A0020000}"/>
    <cellStyle name="_RangeRows_East Coast Bulk Caustic 2+10 2" xfId="12438" xr:uid="{00000000-0005-0000-0000-0000A1020000}"/>
    <cellStyle name="_RangeRows_East Coast Bulk Caustic 2+10 2 2" xfId="24295" xr:uid="{00000000-0005-0000-0000-0000A2020000}"/>
    <cellStyle name="_RangeRows_East Coast Bulk Caustic 2+10 3" xfId="20431" xr:uid="{00000000-0005-0000-0000-0000A3020000}"/>
    <cellStyle name="_RangeRows_East Profit  Loss 1Q Review" xfId="556" xr:uid="{00000000-0005-0000-0000-0000A4020000}"/>
    <cellStyle name="_RangeRows_East Profit  Loss 1Q Review 2" xfId="12439" xr:uid="{00000000-0005-0000-0000-0000A5020000}"/>
    <cellStyle name="_RangeRows_East Profit  Loss 1Q Review 2 2" xfId="24296" xr:uid="{00000000-0005-0000-0000-0000A6020000}"/>
    <cellStyle name="_RangeRows_East Profit  Loss 1Q Review 3" xfId="20432" xr:uid="{00000000-0005-0000-0000-0000A7020000}"/>
    <cellStyle name="_RangeSlicer" xfId="557" xr:uid="{00000000-0005-0000-0000-0000A8020000}"/>
    <cellStyle name="_Revised BP 2007-2010" xfId="558" xr:uid="{00000000-0005-0000-0000-0000A9020000}"/>
    <cellStyle name="_Roster with Salary and Bonus v2" xfId="16320" xr:uid="{00000000-0005-0000-0000-0000AA020000}"/>
    <cellStyle name="_Store Buildup v6" xfId="16321" xr:uid="{00000000-0005-0000-0000-0000AB020000}"/>
    <cellStyle name="_Store Buildup v6_1" xfId="16322" xr:uid="{00000000-0005-0000-0000-0000AC020000}"/>
    <cellStyle name="_Store Buildup v6_2" xfId="16323" xr:uid="{00000000-0005-0000-0000-0000AD020000}"/>
    <cellStyle name="_Store Buildup v6_3" xfId="16324" xr:uid="{00000000-0005-0000-0000-0000AE020000}"/>
    <cellStyle name="_Store Buildup v6_4" xfId="16325" xr:uid="{00000000-0005-0000-0000-0000AF020000}"/>
    <cellStyle name="_SubHeading" xfId="559" xr:uid="{00000000-0005-0000-0000-0000B0020000}"/>
    <cellStyle name="_SubHeading 2" xfId="560" xr:uid="{00000000-0005-0000-0000-0000B1020000}"/>
    <cellStyle name="_SubHeading_lbo_long_model" xfId="561" xr:uid="{00000000-0005-0000-0000-0000B2020000}"/>
    <cellStyle name="_SubHeading_lbo_long_model 2" xfId="562" xr:uid="{00000000-0005-0000-0000-0000B3020000}"/>
    <cellStyle name="_SubHeading_lbo_long_model 2 2" xfId="563" xr:uid="{00000000-0005-0000-0000-0000B4020000}"/>
    <cellStyle name="_SubHeading_lbo_long_model 3" xfId="564" xr:uid="{00000000-0005-0000-0000-0000B5020000}"/>
    <cellStyle name="_SubHeading_lbo_long_model 4" xfId="565" xr:uid="{00000000-0005-0000-0000-0000B6020000}"/>
    <cellStyle name="_SubHeading_lbo_long_model 5" xfId="566" xr:uid="{00000000-0005-0000-0000-0000B7020000}"/>
    <cellStyle name="_SubHeading_lbo_long_model_Anaphore 12 31 2008 Draft Analysis 02 19 2009" xfId="567" xr:uid="{00000000-0005-0000-0000-0000B8020000}"/>
    <cellStyle name="_SubHeading_lbo_long_model_Anaphore 12 31 2008 Draft Analysis 02 20 2009 - DM REVISED" xfId="568" xr:uid="{00000000-0005-0000-0000-0000B9020000}"/>
    <cellStyle name="_SubHeading_lbo_long_model_Book2" xfId="569" xr:uid="{00000000-0005-0000-0000-0000BA020000}"/>
    <cellStyle name="_SubHeading_lbo_long_model_Book2 2" xfId="570" xr:uid="{00000000-0005-0000-0000-0000BB020000}"/>
    <cellStyle name="_SubHeading_lbo_long_model_Boston Power VD 01 31 2008 Model 02 26 2008" xfId="571" xr:uid="{00000000-0005-0000-0000-0000BC020000}"/>
    <cellStyle name="_SubHeading_lbo_long_model_Boston Power VD 01 31 2008 Model 02 26 2008 2" xfId="572" xr:uid="{00000000-0005-0000-0000-0000BD020000}"/>
    <cellStyle name="_SubHeading_lbo_long_model_Boston Power VD 01 31 2008 Model 02 26 2008 2 2" xfId="573" xr:uid="{00000000-0005-0000-0000-0000BE020000}"/>
    <cellStyle name="_SubHeading_lbo_long_model_Boston Power VD 01 31 2008 Model 02 26 2008 3" xfId="574" xr:uid="{00000000-0005-0000-0000-0000BF020000}"/>
    <cellStyle name="_SubHeading_lbo_long_model_Boston Power VD 01 31 2008 Model 02 26 2008 4" xfId="575" xr:uid="{00000000-0005-0000-0000-0000C0020000}"/>
    <cellStyle name="_SubHeading_lbo_long_model_Boston Power VD 01 31 2008 Model 02 26 2008 5" xfId="576" xr:uid="{00000000-0005-0000-0000-0000C1020000}"/>
    <cellStyle name="_SubHeading_lbo_long_model_Boston Power VD 01 31 2008 Model 02 26 2008_CompanyABC Valuation Draft Model 04 21 2009" xfId="577" xr:uid="{00000000-0005-0000-0000-0000C2020000}"/>
    <cellStyle name="_SubHeading_lbo_long_model_Boston Power VD 01 31 2008 Model 02 26 2008_CompanyABC Valuation Draft Model 04 21 2009 2" xfId="578" xr:uid="{00000000-0005-0000-0000-0000C3020000}"/>
    <cellStyle name="_SubHeading_lbo_long_model_Boston Power VD 01 31 2008 Model 02 26 2008_DB" xfId="579" xr:uid="{00000000-0005-0000-0000-0000C4020000}"/>
    <cellStyle name="_SubHeading_lbo_long_model_Boston Power VD 01 31 2008 Model 02 26 2008_DB 2" xfId="580" xr:uid="{00000000-0005-0000-0000-0000C5020000}"/>
    <cellStyle name="_SubHeading_lbo_long_model_Boston Power VD 01 31 2008 Model 02 26 2008_DB 2 2" xfId="581" xr:uid="{00000000-0005-0000-0000-0000C6020000}"/>
    <cellStyle name="_SubHeading_lbo_long_model_Boston Power VD 01 31 2008 Model 02 26 2008_FAS 157 Model Template 04 26 2009" xfId="582" xr:uid="{00000000-0005-0000-0000-0000C7020000}"/>
    <cellStyle name="_SubHeading_lbo_long_model_Boston Power VD 01 31 2008 Model 02 26 2008_FAS 157 Model Template 04 26 2009 2" xfId="583" xr:uid="{00000000-0005-0000-0000-0000C8020000}"/>
    <cellStyle name="_SubHeading_lbo_long_model_Boston Power VD 01 31 2008 Model 02 26 2008_Miragen VD 05 31 2008 Model 05 22 2009" xfId="584" xr:uid="{00000000-0005-0000-0000-0000C9020000}"/>
    <cellStyle name="_SubHeading_lbo_long_model_Cap Table Inputs" xfId="585" xr:uid="{00000000-0005-0000-0000-0000CA020000}"/>
    <cellStyle name="_SubHeading_lbo_long_model_Cap Table Inputs 2" xfId="586" xr:uid="{00000000-0005-0000-0000-0000CB020000}"/>
    <cellStyle name="_SubHeading_lbo_long_model_Cap Table Inputs 2 2" xfId="587" xr:uid="{00000000-0005-0000-0000-0000CC020000}"/>
    <cellStyle name="_SubHeading_lbo_long_model_Cap Table Inputs 3" xfId="588" xr:uid="{00000000-0005-0000-0000-0000CD020000}"/>
    <cellStyle name="_SubHeading_lbo_long_model_Cap Table Inputs 4" xfId="589" xr:uid="{00000000-0005-0000-0000-0000CE020000}"/>
    <cellStyle name="_SubHeading_lbo_long_model_Cap Table Inputs 5" xfId="590" xr:uid="{00000000-0005-0000-0000-0000CF020000}"/>
    <cellStyle name="_SubHeading_lbo_long_model_Cap Table Inputs_CompanyABC Valuation Draft Model 04 21 2009" xfId="591" xr:uid="{00000000-0005-0000-0000-0000D0020000}"/>
    <cellStyle name="_SubHeading_lbo_long_model_Cap Table Inputs_CompanyABC Valuation Draft Model 04 21 2009 2" xfId="592" xr:uid="{00000000-0005-0000-0000-0000D1020000}"/>
    <cellStyle name="_SubHeading_lbo_long_model_Cap Table Inputs_DB" xfId="593" xr:uid="{00000000-0005-0000-0000-0000D2020000}"/>
    <cellStyle name="_SubHeading_lbo_long_model_Cap Table Inputs_DB 2" xfId="594" xr:uid="{00000000-0005-0000-0000-0000D3020000}"/>
    <cellStyle name="_SubHeading_lbo_long_model_Cap Table Inputs_DB 2 2" xfId="595" xr:uid="{00000000-0005-0000-0000-0000D4020000}"/>
    <cellStyle name="_SubHeading_lbo_long_model_Cap Table Inputs_FAS 157 Model Template 04 26 2009" xfId="596" xr:uid="{00000000-0005-0000-0000-0000D5020000}"/>
    <cellStyle name="_SubHeading_lbo_long_model_Cap Table Inputs_FAS 157 Model Template 04 26 2009 2" xfId="597" xr:uid="{00000000-0005-0000-0000-0000D6020000}"/>
    <cellStyle name="_SubHeading_lbo_long_model_Cap Table Inputs_Miragen VD 05 31 2008 Model 05 22 2009" xfId="598" xr:uid="{00000000-0005-0000-0000-0000D7020000}"/>
    <cellStyle name="_SubHeading_lbo_long_model_CardioSolutions 05 31 2007 Final Model 09 27 2007" xfId="599" xr:uid="{00000000-0005-0000-0000-0000D8020000}"/>
    <cellStyle name="_SubHeading_lbo_long_model_CardioSolutions 05 31 2007 Final Model 09 27 2007 2" xfId="600" xr:uid="{00000000-0005-0000-0000-0000D9020000}"/>
    <cellStyle name="_SubHeading_lbo_long_model_CardioSolutions 05 31 2007 Final Model 09 27 2007 2 2" xfId="601" xr:uid="{00000000-0005-0000-0000-0000DA020000}"/>
    <cellStyle name="_SubHeading_lbo_long_model_CardioSolutions 05 31 2007 Final Model 09 27 2007 3" xfId="602" xr:uid="{00000000-0005-0000-0000-0000DB020000}"/>
    <cellStyle name="_SubHeading_lbo_long_model_CardioSolutions 05 31 2007 Final Model 09 27 2007 4" xfId="603" xr:uid="{00000000-0005-0000-0000-0000DC020000}"/>
    <cellStyle name="_SubHeading_lbo_long_model_CardioSolutions 05 31 2007 Final Model 09 27 2007 5" xfId="604" xr:uid="{00000000-0005-0000-0000-0000DD020000}"/>
    <cellStyle name="_SubHeading_lbo_long_model_CardioSolutions 05 31 2007 Final Model 09 27 2007_CompanyABC Valuation Draft Model 04 21 2009" xfId="605" xr:uid="{00000000-0005-0000-0000-0000DE020000}"/>
    <cellStyle name="_SubHeading_lbo_long_model_CardioSolutions 05 31 2007 Final Model 09 27 2007_CompanyABC Valuation Draft Model 04 21 2009 2" xfId="606" xr:uid="{00000000-0005-0000-0000-0000DF020000}"/>
    <cellStyle name="_SubHeading_lbo_long_model_CardioSolutions 05 31 2007 Final Model 09 27 2007_DB" xfId="607" xr:uid="{00000000-0005-0000-0000-0000E0020000}"/>
    <cellStyle name="_SubHeading_lbo_long_model_CardioSolutions 05 31 2007 Final Model 09 27 2007_DB 2" xfId="608" xr:uid="{00000000-0005-0000-0000-0000E1020000}"/>
    <cellStyle name="_SubHeading_lbo_long_model_CardioSolutions 05 31 2007 Final Model 09 27 2007_DB 2 2" xfId="609" xr:uid="{00000000-0005-0000-0000-0000E2020000}"/>
    <cellStyle name="_SubHeading_lbo_long_model_CardioSolutions 05 31 2007 Final Model 09 27 2007_FAS 157 Model Template 04 26 2009" xfId="610" xr:uid="{00000000-0005-0000-0000-0000E3020000}"/>
    <cellStyle name="_SubHeading_lbo_long_model_CardioSolutions 05 31 2007 Final Model 09 27 2007_FAS 157 Model Template 04 26 2009 2" xfId="611" xr:uid="{00000000-0005-0000-0000-0000E4020000}"/>
    <cellStyle name="_SubHeading_lbo_long_model_CardioSolutions 05 31 2007 Final Model 09 27 2007_Miragen VD 05 31 2008 Model 05 22 2009" xfId="612" xr:uid="{00000000-0005-0000-0000-0000E5020000}"/>
    <cellStyle name="_SubHeading_lbo_long_model_CardioSolutions VD 05 31 08 Draft Model 07 15 2008" xfId="613" xr:uid="{00000000-0005-0000-0000-0000E6020000}"/>
    <cellStyle name="_SubHeading_lbo_long_model_CardioSolutions VD 05 31 08 Draft Model 07 15 2008 2" xfId="614" xr:uid="{00000000-0005-0000-0000-0000E7020000}"/>
    <cellStyle name="_SubHeading_lbo_long_model_CardioSolutions VD 05 31 08 Draft Model 08 06 08-u" xfId="615" xr:uid="{00000000-0005-0000-0000-0000E8020000}"/>
    <cellStyle name="_SubHeading_lbo_long_model_CardioSolutions VD 05 31 08 Draft Model 08 06 08-u 2" xfId="616" xr:uid="{00000000-0005-0000-0000-0000E9020000}"/>
    <cellStyle name="_SubHeading_lbo_long_model_CompanyABC Valuation Draft Model 04 21 2009" xfId="617" xr:uid="{00000000-0005-0000-0000-0000EA020000}"/>
    <cellStyle name="_SubHeading_lbo_long_model_CompanyABC Valuation Draft Model 04 21 2009 2" xfId="618" xr:uid="{00000000-0005-0000-0000-0000EB020000}"/>
    <cellStyle name="_SubHeading_lbo_long_model_CompanyABC Valuation Model Draft 07 07 2008" xfId="619" xr:uid="{00000000-0005-0000-0000-0000EC020000}"/>
    <cellStyle name="_SubHeading_lbo_long_model_CompanyABC Valuation Model Draft 07 07 2008 2" xfId="620" xr:uid="{00000000-0005-0000-0000-0000ED020000}"/>
    <cellStyle name="_SubHeading_lbo_long_model_CompanyABC Valuation Model Draft 08 07 2008" xfId="621" xr:uid="{00000000-0005-0000-0000-0000EE020000}"/>
    <cellStyle name="_SubHeading_lbo_long_model_CompanyABC Valuation Model Draft 08 07 2008 2" xfId="622" xr:uid="{00000000-0005-0000-0000-0000EF020000}"/>
    <cellStyle name="_SubHeading_lbo_long_model_CompanyABC Valuation Model Draft 08 25 2008" xfId="623" xr:uid="{00000000-0005-0000-0000-0000F0020000}"/>
    <cellStyle name="_SubHeading_lbo_long_model_CompanyABC Valuation Model Draft 08 25 2008 2" xfId="624" xr:uid="{00000000-0005-0000-0000-0000F1020000}"/>
    <cellStyle name="_SubHeading_lbo_long_model_CompanyABC Valuation Model Draft 09 25 2008-Team Liquidity" xfId="625" xr:uid="{00000000-0005-0000-0000-0000F2020000}"/>
    <cellStyle name="_SubHeading_lbo_long_model_CompanyABC Valuation Model Draft 09 25 2008-Team Liquidity 2" xfId="626" xr:uid="{00000000-0005-0000-0000-0000F3020000}"/>
    <cellStyle name="_SubHeading_lbo_long_model_CompanyABC Valuation Model Draft 10 01 2008" xfId="627" xr:uid="{00000000-0005-0000-0000-0000F4020000}"/>
    <cellStyle name="_SubHeading_lbo_long_model_CompanyABC Valuation Model Draft 10 01 2008 2" xfId="628" xr:uid="{00000000-0005-0000-0000-0000F5020000}"/>
    <cellStyle name="_SubHeading_lbo_long_model_CompanyABC Valuation Model Draft 10 27 2008" xfId="629" xr:uid="{00000000-0005-0000-0000-0000F6020000}"/>
    <cellStyle name="_SubHeading_lbo_long_model_CompanyABC Valuation Model Draft 10 27 2008 2" xfId="630" xr:uid="{00000000-0005-0000-0000-0000F7020000}"/>
    <cellStyle name="_SubHeading_lbo_long_model_DB" xfId="631" xr:uid="{00000000-0005-0000-0000-0000F8020000}"/>
    <cellStyle name="_SubHeading_lbo_long_model_DB 2" xfId="632" xr:uid="{00000000-0005-0000-0000-0000F9020000}"/>
    <cellStyle name="_SubHeading_lbo_long_model_EXAMPLE model C-5" xfId="633" xr:uid="{00000000-0005-0000-0000-0000FA020000}"/>
    <cellStyle name="_SubHeading_lbo_long_model_EXAMPLE model C-5 2" xfId="634" xr:uid="{00000000-0005-0000-0000-0000FB020000}"/>
    <cellStyle name="_SubHeading_lbo_long_model_FAS 157 Model Template 04 26 2009" xfId="635" xr:uid="{00000000-0005-0000-0000-0000FC020000}"/>
    <cellStyle name="_SubHeading_lbo_long_model_FAS 157 Model Template 04 26 2009 2" xfId="636" xr:uid="{00000000-0005-0000-0000-0000FD020000}"/>
    <cellStyle name="_SubHeading_lbo_long_model_Great Call VD 09 30 08 Draft Model 11 20 08" xfId="637" xr:uid="{00000000-0005-0000-0000-0000FE020000}"/>
    <cellStyle name="_SubHeading_lbo_long_model_Great Call VD 09 30 08 Draft Model 11 20 08 2" xfId="638" xr:uid="{00000000-0005-0000-0000-0000FF020000}"/>
    <cellStyle name="_SubHeading_lbo_long_model_Intermedia, Inc. VD 05 31 08 Draft Model 07 16 2008" xfId="639" xr:uid="{00000000-0005-0000-0000-000000030000}"/>
    <cellStyle name="_SubHeading_lbo_long_model_Intermedia, Inc. VD 05 31 08 Draft Model 07 16 2008 2" xfId="640" xr:uid="{00000000-0005-0000-0000-000001030000}"/>
    <cellStyle name="_SubHeading_lbo_long_model_Island Data Corporatin VD 06 30 08 Projections and Comparables 08 11 2008" xfId="641" xr:uid="{00000000-0005-0000-0000-000002030000}"/>
    <cellStyle name="_SubHeading_lbo_long_model_Island Data Corporatin VD 06 30 08 Projections and Comparables 08 11 2008 2" xfId="642" xr:uid="{00000000-0005-0000-0000-000003030000}"/>
    <cellStyle name="_SubHeading_lbo_long_model_Jentro Tech VD 03 31 2008 Model 04 10 2008" xfId="643" xr:uid="{00000000-0005-0000-0000-000004030000}"/>
    <cellStyle name="_SubHeading_lbo_long_model_Jentro Tech VD 03 31 2008 Model 04 10 2008 2" xfId="644" xr:uid="{00000000-0005-0000-0000-000005030000}"/>
    <cellStyle name="_SubHeading_lbo_long_model_Kythera Biopharmaceuticals VD 05 16 08 Draft Analysis 07 01 08" xfId="645" xr:uid="{00000000-0005-0000-0000-000006030000}"/>
    <cellStyle name="_SubHeading_lbo_long_model_Kythera Biopharmaceuticals VD 05 16 08 Draft Analysis 07 01 08 2" xfId="646" xr:uid="{00000000-0005-0000-0000-000007030000}"/>
    <cellStyle name="_SubHeading_lbo_long_model_Kythera Biopharmaceuticals VD 05 16 08 Final Model 07 20 08" xfId="647" xr:uid="{00000000-0005-0000-0000-000008030000}"/>
    <cellStyle name="_SubHeading_lbo_long_model_Kythera Biopharmaceuticals VD 05 16 08 Final Model 07 20 08 2" xfId="648" xr:uid="{00000000-0005-0000-0000-000009030000}"/>
    <cellStyle name="_SubHeading_lbo_long_model_Kythera Biopharmaceuticals, Inc. VD 5 16 2008 Draft 5 24 2008" xfId="649" xr:uid="{00000000-0005-0000-0000-00000A030000}"/>
    <cellStyle name="_SubHeading_lbo_long_model_Kythera Biopharmaceuticals, Inc. VD 5 16 2008 Draft 5 24 2008 2" xfId="650" xr:uid="{00000000-0005-0000-0000-00000B030000}"/>
    <cellStyle name="_SubHeading_lbo_long_model_Miragen VD 05 31 2008 Model 05 22 2009" xfId="651" xr:uid="{00000000-0005-0000-0000-00000C030000}"/>
    <cellStyle name="_SubHeading_lbo_long_model_Notes" xfId="652" xr:uid="{00000000-0005-0000-0000-00000D030000}"/>
    <cellStyle name="_SubHeading_lbo_long_model_Notes 2" xfId="653" xr:uid="{00000000-0005-0000-0000-00000E030000}"/>
    <cellStyle name="_SubHeading_lbo_long_model_OMT VD 10 15 2008 Draft Analysis 12 17 2008.xls" xfId="654" xr:uid="{00000000-0005-0000-0000-00000F030000}"/>
    <cellStyle name="_SubHeading_lbo_long_model_PubComps IPO -C-7" xfId="655" xr:uid="{00000000-0005-0000-0000-000010030000}"/>
    <cellStyle name="_SubHeading_lbo_long_model_PubComps IPO -C-7 2" xfId="656" xr:uid="{00000000-0005-0000-0000-000011030000}"/>
    <cellStyle name="_SubHeading_lbo_long_model_Tmax Soft VD 07 31 2008 Draft Model 08 20 2008" xfId="657" xr:uid="{00000000-0005-0000-0000-000012030000}"/>
    <cellStyle name="_SubHeading_lbo_long_model_Tmax Soft VD 07 31 2008 Draft Model 08 20 2008 2" xfId="658" xr:uid="{00000000-0005-0000-0000-000013030000}"/>
    <cellStyle name="_SubHeading_lbo_long_model_WACC -E-2" xfId="659" xr:uid="{00000000-0005-0000-0000-000014030000}"/>
    <cellStyle name="_SubHeading_lbo_long_model_WACC -E-2 2" xfId="660" xr:uid="{00000000-0005-0000-0000-000015030000}"/>
    <cellStyle name="_SubHeading_lbo_long_model_Xmos Limited VD 05 13 2008  Model 06 04 08" xfId="661" xr:uid="{00000000-0005-0000-0000-000016030000}"/>
    <cellStyle name="_SubHeading_lbo_long_model_Xmos Limited VD 05 13 2008  Model 06 04 08 2" xfId="662" xr:uid="{00000000-0005-0000-0000-000017030000}"/>
    <cellStyle name="_SubHeading_prestemp" xfId="663" xr:uid="{00000000-0005-0000-0000-000018030000}"/>
    <cellStyle name="_SubHeading_prestemp 2" xfId="664" xr:uid="{00000000-0005-0000-0000-000019030000}"/>
    <cellStyle name="_SubHeading_prestemp 2 2" xfId="665" xr:uid="{00000000-0005-0000-0000-00001A030000}"/>
    <cellStyle name="_SubHeading_prestemp 3" xfId="666" xr:uid="{00000000-0005-0000-0000-00001B030000}"/>
    <cellStyle name="_SubHeading_prestemp 4" xfId="667" xr:uid="{00000000-0005-0000-0000-00001C030000}"/>
    <cellStyle name="_SubHeading_prestemp 5" xfId="668" xr:uid="{00000000-0005-0000-0000-00001D030000}"/>
    <cellStyle name="_SubHeading_prestemp_1" xfId="669" xr:uid="{00000000-0005-0000-0000-00001E030000}"/>
    <cellStyle name="_SubHeading_prestemp_1_Cyrela - Goldzstein - Financial Model - v1" xfId="670" xr:uid="{00000000-0005-0000-0000-00001F030000}"/>
    <cellStyle name="_SubHeading_prestemp_1_Cyrela - Goldzstein - Financial Model - v5" xfId="671" xr:uid="{00000000-0005-0000-0000-000020030000}"/>
    <cellStyle name="_SubHeading_prestemp_1_Gas Natural - Financial Model - April 18 2008 - v1" xfId="672" xr:uid="{00000000-0005-0000-0000-000021030000}"/>
    <cellStyle name="_SubHeading_prestemp_1_Gas Natural - Financial Model - April 18 2008 - v2" xfId="673" xr:uid="{00000000-0005-0000-0000-000022030000}"/>
    <cellStyle name="_SubHeading_prestemp_1_Gas Natural - Financial Model - May 20, 2009" xfId="674" xr:uid="{00000000-0005-0000-0000-000023030000}"/>
    <cellStyle name="_SubHeading_prestemp_1_Goldzstein Cyrela - Financial Model - v7" xfId="675" xr:uid="{00000000-0005-0000-0000-000024030000}"/>
    <cellStyle name="_SubHeading_prestemp_1_Grupo Ibmec - Financial Model - v2" xfId="676" xr:uid="{00000000-0005-0000-0000-000025030000}"/>
    <cellStyle name="_SubHeading_prestemp_1_Grupo Ibmec - Financial Model - v5" xfId="677" xr:uid="{00000000-0005-0000-0000-000026030000}"/>
    <cellStyle name="_SubHeading_prestemp_1_Independencia - Financial Model - Dec 02 2008 - v3" xfId="678" xr:uid="{00000000-0005-0000-0000-000027030000}"/>
    <cellStyle name="_SubHeading_prestemp_1_Independencia - Financial Model - Nov 24 2008" xfId="679" xr:uid="{00000000-0005-0000-0000-000028030000}"/>
    <cellStyle name="_SubHeading_prestemp_1_Medley_Financial_Model_v5" xfId="680" xr:uid="{00000000-0005-0000-0000-000029030000}"/>
    <cellStyle name="_SubHeading_prestemp_1_Medley_Financial_Model_v5_Ubiquiti Ownership Table" xfId="681" xr:uid="{00000000-0005-0000-0000-00002A030000}"/>
    <cellStyle name="_SubHeading_prestemp_1_Project Emet - Forecasts" xfId="682" xr:uid="{00000000-0005-0000-0000-00002B030000}"/>
    <cellStyle name="_SubHeading_prestemp_1_Rumo_Financial_Model_05jun2009_v1" xfId="683" xr:uid="{00000000-0005-0000-0000-00002C030000}"/>
    <cellStyle name="_SubHeading_prestemp_1_Rumo_Financial_Model_05jun2009_v4" xfId="684" xr:uid="{00000000-0005-0000-0000-00002D030000}"/>
    <cellStyle name="_SubHeading_prestemp_1_Rumo_Financial_Model_05jun2009_v5" xfId="685" xr:uid="{00000000-0005-0000-0000-00002E030000}"/>
    <cellStyle name="_SubHeading_prestemp_1_Rumo_Financial_Model_05jun2009_v6" xfId="686" xr:uid="{00000000-0005-0000-0000-00002F030000}"/>
    <cellStyle name="_SubHeading_prestemp_1_SCPC_Financial_Model_10jun2009_v2" xfId="687" xr:uid="{00000000-0005-0000-0000-000030030000}"/>
    <cellStyle name="_SubHeading_prestemp_1_SCPC_Financial_Model_17jun2009_v5" xfId="688" xr:uid="{00000000-0005-0000-0000-000031030000}"/>
    <cellStyle name="_SubHeading_prestemp_Anaphore 12 31 2008 Draft Analysis 02 19 2009" xfId="689" xr:uid="{00000000-0005-0000-0000-000032030000}"/>
    <cellStyle name="_SubHeading_prestemp_Anaphore 12 31 2008 Draft Analysis 02 20 2009 - DM REVISED" xfId="690" xr:uid="{00000000-0005-0000-0000-000033030000}"/>
    <cellStyle name="_SubHeading_prestemp_Book2" xfId="691" xr:uid="{00000000-0005-0000-0000-000034030000}"/>
    <cellStyle name="_SubHeading_prestemp_Book2 2" xfId="692" xr:uid="{00000000-0005-0000-0000-000035030000}"/>
    <cellStyle name="_SubHeading_prestemp_Boston Power VD 01 31 2008 Model 02 26 2008" xfId="693" xr:uid="{00000000-0005-0000-0000-000036030000}"/>
    <cellStyle name="_SubHeading_prestemp_Boston Power VD 01 31 2008 Model 02 26 2008 2" xfId="694" xr:uid="{00000000-0005-0000-0000-000037030000}"/>
    <cellStyle name="_SubHeading_prestemp_Boston Power VD 01 31 2008 Model 02 26 2008 2 2" xfId="695" xr:uid="{00000000-0005-0000-0000-000038030000}"/>
    <cellStyle name="_SubHeading_prestemp_Boston Power VD 01 31 2008 Model 02 26 2008 3" xfId="696" xr:uid="{00000000-0005-0000-0000-000039030000}"/>
    <cellStyle name="_SubHeading_prestemp_Boston Power VD 01 31 2008 Model 02 26 2008 4" xfId="697" xr:uid="{00000000-0005-0000-0000-00003A030000}"/>
    <cellStyle name="_SubHeading_prestemp_Boston Power VD 01 31 2008 Model 02 26 2008 5" xfId="698" xr:uid="{00000000-0005-0000-0000-00003B030000}"/>
    <cellStyle name="_SubHeading_prestemp_Boston Power VD 01 31 2008 Model 02 26 2008_CompanyABC Valuation Draft Model 04 21 2009" xfId="699" xr:uid="{00000000-0005-0000-0000-00003C030000}"/>
    <cellStyle name="_SubHeading_prestemp_Boston Power VD 01 31 2008 Model 02 26 2008_CompanyABC Valuation Draft Model 04 21 2009 2" xfId="700" xr:uid="{00000000-0005-0000-0000-00003D030000}"/>
    <cellStyle name="_SubHeading_prestemp_Boston Power VD 01 31 2008 Model 02 26 2008_DB" xfId="701" xr:uid="{00000000-0005-0000-0000-00003E030000}"/>
    <cellStyle name="_SubHeading_prestemp_Boston Power VD 01 31 2008 Model 02 26 2008_DB 2" xfId="702" xr:uid="{00000000-0005-0000-0000-00003F030000}"/>
    <cellStyle name="_SubHeading_prestemp_Boston Power VD 01 31 2008 Model 02 26 2008_DB 2 2" xfId="703" xr:uid="{00000000-0005-0000-0000-000040030000}"/>
    <cellStyle name="_SubHeading_prestemp_Boston Power VD 01 31 2008 Model 02 26 2008_FAS 157 Model Template 04 26 2009" xfId="704" xr:uid="{00000000-0005-0000-0000-000041030000}"/>
    <cellStyle name="_SubHeading_prestemp_Boston Power VD 01 31 2008 Model 02 26 2008_FAS 157 Model Template 04 26 2009 2" xfId="705" xr:uid="{00000000-0005-0000-0000-000042030000}"/>
    <cellStyle name="_SubHeading_prestemp_Boston Power VD 01 31 2008 Model 02 26 2008_Miragen VD 05 31 2008 Model 05 22 2009" xfId="706" xr:uid="{00000000-0005-0000-0000-000043030000}"/>
    <cellStyle name="_SubHeading_prestemp_Cap Table Inputs" xfId="707" xr:uid="{00000000-0005-0000-0000-000044030000}"/>
    <cellStyle name="_SubHeading_prestemp_Cap Table Inputs 2" xfId="708" xr:uid="{00000000-0005-0000-0000-000045030000}"/>
    <cellStyle name="_SubHeading_prestemp_Cap Table Inputs 2 2" xfId="709" xr:uid="{00000000-0005-0000-0000-000046030000}"/>
    <cellStyle name="_SubHeading_prestemp_Cap Table Inputs 3" xfId="710" xr:uid="{00000000-0005-0000-0000-000047030000}"/>
    <cellStyle name="_SubHeading_prestemp_Cap Table Inputs 4" xfId="711" xr:uid="{00000000-0005-0000-0000-000048030000}"/>
    <cellStyle name="_SubHeading_prestemp_Cap Table Inputs 5" xfId="712" xr:uid="{00000000-0005-0000-0000-000049030000}"/>
    <cellStyle name="_SubHeading_prestemp_Cap Table Inputs_CompanyABC Valuation Draft Model 04 21 2009" xfId="713" xr:uid="{00000000-0005-0000-0000-00004A030000}"/>
    <cellStyle name="_SubHeading_prestemp_Cap Table Inputs_CompanyABC Valuation Draft Model 04 21 2009 2" xfId="714" xr:uid="{00000000-0005-0000-0000-00004B030000}"/>
    <cellStyle name="_SubHeading_prestemp_Cap Table Inputs_DB" xfId="715" xr:uid="{00000000-0005-0000-0000-00004C030000}"/>
    <cellStyle name="_SubHeading_prestemp_Cap Table Inputs_DB 2" xfId="716" xr:uid="{00000000-0005-0000-0000-00004D030000}"/>
    <cellStyle name="_SubHeading_prestemp_Cap Table Inputs_DB 2 2" xfId="717" xr:uid="{00000000-0005-0000-0000-00004E030000}"/>
    <cellStyle name="_SubHeading_prestemp_Cap Table Inputs_FAS 157 Model Template 04 26 2009" xfId="718" xr:uid="{00000000-0005-0000-0000-00004F030000}"/>
    <cellStyle name="_SubHeading_prestemp_Cap Table Inputs_FAS 157 Model Template 04 26 2009 2" xfId="719" xr:uid="{00000000-0005-0000-0000-000050030000}"/>
    <cellStyle name="_SubHeading_prestemp_Cap Table Inputs_Miragen VD 05 31 2008 Model 05 22 2009" xfId="720" xr:uid="{00000000-0005-0000-0000-000051030000}"/>
    <cellStyle name="_SubHeading_prestemp_CardioSolutions 05 31 2007 Final Model 09 27 2007" xfId="721" xr:uid="{00000000-0005-0000-0000-000052030000}"/>
    <cellStyle name="_SubHeading_prestemp_CardioSolutions 05 31 2007 Final Model 09 27 2007 2" xfId="722" xr:uid="{00000000-0005-0000-0000-000053030000}"/>
    <cellStyle name="_SubHeading_prestemp_CardioSolutions 05 31 2007 Final Model 09 27 2007 2 2" xfId="723" xr:uid="{00000000-0005-0000-0000-000054030000}"/>
    <cellStyle name="_SubHeading_prestemp_CardioSolutions 05 31 2007 Final Model 09 27 2007 3" xfId="724" xr:uid="{00000000-0005-0000-0000-000055030000}"/>
    <cellStyle name="_SubHeading_prestemp_CardioSolutions 05 31 2007 Final Model 09 27 2007 4" xfId="725" xr:uid="{00000000-0005-0000-0000-000056030000}"/>
    <cellStyle name="_SubHeading_prestemp_CardioSolutions 05 31 2007 Final Model 09 27 2007 5" xfId="726" xr:uid="{00000000-0005-0000-0000-000057030000}"/>
    <cellStyle name="_SubHeading_prestemp_CardioSolutions 05 31 2007 Final Model 09 27 2007_CompanyABC Valuation Draft Model 04 21 2009" xfId="727" xr:uid="{00000000-0005-0000-0000-000058030000}"/>
    <cellStyle name="_SubHeading_prestemp_CardioSolutions 05 31 2007 Final Model 09 27 2007_CompanyABC Valuation Draft Model 04 21 2009 2" xfId="728" xr:uid="{00000000-0005-0000-0000-000059030000}"/>
    <cellStyle name="_SubHeading_prestemp_CardioSolutions 05 31 2007 Final Model 09 27 2007_DB" xfId="729" xr:uid="{00000000-0005-0000-0000-00005A030000}"/>
    <cellStyle name="_SubHeading_prestemp_CardioSolutions 05 31 2007 Final Model 09 27 2007_DB 2" xfId="730" xr:uid="{00000000-0005-0000-0000-00005B030000}"/>
    <cellStyle name="_SubHeading_prestemp_CardioSolutions 05 31 2007 Final Model 09 27 2007_DB 2 2" xfId="731" xr:uid="{00000000-0005-0000-0000-00005C030000}"/>
    <cellStyle name="_SubHeading_prestemp_CardioSolutions 05 31 2007 Final Model 09 27 2007_FAS 157 Model Template 04 26 2009" xfId="732" xr:uid="{00000000-0005-0000-0000-00005D030000}"/>
    <cellStyle name="_SubHeading_prestemp_CardioSolutions 05 31 2007 Final Model 09 27 2007_FAS 157 Model Template 04 26 2009 2" xfId="733" xr:uid="{00000000-0005-0000-0000-00005E030000}"/>
    <cellStyle name="_SubHeading_prestemp_CardioSolutions 05 31 2007 Final Model 09 27 2007_Miragen VD 05 31 2008 Model 05 22 2009" xfId="734" xr:uid="{00000000-0005-0000-0000-00005F030000}"/>
    <cellStyle name="_SubHeading_prestemp_CardioSolutions VD 05 31 08 Draft Model 07 15 2008" xfId="735" xr:uid="{00000000-0005-0000-0000-000060030000}"/>
    <cellStyle name="_SubHeading_prestemp_CardioSolutions VD 05 31 08 Draft Model 07 15 2008 2" xfId="736" xr:uid="{00000000-0005-0000-0000-000061030000}"/>
    <cellStyle name="_SubHeading_prestemp_CardioSolutions VD 05 31 08 Draft Model 08 06 08-u" xfId="737" xr:uid="{00000000-0005-0000-0000-000062030000}"/>
    <cellStyle name="_SubHeading_prestemp_CardioSolutions VD 05 31 08 Draft Model 08 06 08-u 2" xfId="738" xr:uid="{00000000-0005-0000-0000-000063030000}"/>
    <cellStyle name="_SubHeading_prestemp_CompanyABC Valuation Draft Model 04 21 2009" xfId="739" xr:uid="{00000000-0005-0000-0000-000064030000}"/>
    <cellStyle name="_SubHeading_prestemp_CompanyABC Valuation Draft Model 04 21 2009 2" xfId="740" xr:uid="{00000000-0005-0000-0000-000065030000}"/>
    <cellStyle name="_SubHeading_prestemp_CompanyABC Valuation Model Draft 07 07 2008" xfId="741" xr:uid="{00000000-0005-0000-0000-000066030000}"/>
    <cellStyle name="_SubHeading_prestemp_CompanyABC Valuation Model Draft 07 07 2008 2" xfId="742" xr:uid="{00000000-0005-0000-0000-000067030000}"/>
    <cellStyle name="_SubHeading_prestemp_CompanyABC Valuation Model Draft 08 07 2008" xfId="743" xr:uid="{00000000-0005-0000-0000-000068030000}"/>
    <cellStyle name="_SubHeading_prestemp_CompanyABC Valuation Model Draft 08 07 2008 2" xfId="744" xr:uid="{00000000-0005-0000-0000-000069030000}"/>
    <cellStyle name="_SubHeading_prestemp_CompanyABC Valuation Model Draft 08 25 2008" xfId="745" xr:uid="{00000000-0005-0000-0000-00006A030000}"/>
    <cellStyle name="_SubHeading_prestemp_CompanyABC Valuation Model Draft 08 25 2008 2" xfId="746" xr:uid="{00000000-0005-0000-0000-00006B030000}"/>
    <cellStyle name="_SubHeading_prestemp_CompanyABC Valuation Model Draft 09 25 2008-Team Liquidity" xfId="747" xr:uid="{00000000-0005-0000-0000-00006C030000}"/>
    <cellStyle name="_SubHeading_prestemp_CompanyABC Valuation Model Draft 09 25 2008-Team Liquidity 2" xfId="748" xr:uid="{00000000-0005-0000-0000-00006D030000}"/>
    <cellStyle name="_SubHeading_prestemp_CompanyABC Valuation Model Draft 10 01 2008" xfId="749" xr:uid="{00000000-0005-0000-0000-00006E030000}"/>
    <cellStyle name="_SubHeading_prestemp_CompanyABC Valuation Model Draft 10 01 2008 2" xfId="750" xr:uid="{00000000-0005-0000-0000-00006F030000}"/>
    <cellStyle name="_SubHeading_prestemp_CompanyABC Valuation Model Draft 10 27 2008" xfId="751" xr:uid="{00000000-0005-0000-0000-000070030000}"/>
    <cellStyle name="_SubHeading_prestemp_CompanyABC Valuation Model Draft 10 27 2008 2" xfId="752" xr:uid="{00000000-0005-0000-0000-000071030000}"/>
    <cellStyle name="_SubHeading_prestemp_DB" xfId="753" xr:uid="{00000000-0005-0000-0000-000072030000}"/>
    <cellStyle name="_SubHeading_prestemp_DB 2" xfId="754" xr:uid="{00000000-0005-0000-0000-000073030000}"/>
    <cellStyle name="_SubHeading_prestemp_EXAMPLE model C-5" xfId="755" xr:uid="{00000000-0005-0000-0000-000074030000}"/>
    <cellStyle name="_SubHeading_prestemp_EXAMPLE model C-5 2" xfId="756" xr:uid="{00000000-0005-0000-0000-000075030000}"/>
    <cellStyle name="_SubHeading_prestemp_FAS 157 Model Template 04 26 2009" xfId="757" xr:uid="{00000000-0005-0000-0000-000076030000}"/>
    <cellStyle name="_SubHeading_prestemp_FAS 157 Model Template 04 26 2009 2" xfId="758" xr:uid="{00000000-0005-0000-0000-000077030000}"/>
    <cellStyle name="_SubHeading_prestemp_Great Call VD 09 30 08 Draft Model 11 20 08" xfId="759" xr:uid="{00000000-0005-0000-0000-000078030000}"/>
    <cellStyle name="_SubHeading_prestemp_Great Call VD 09 30 08 Draft Model 11 20 08 2" xfId="760" xr:uid="{00000000-0005-0000-0000-000079030000}"/>
    <cellStyle name="_SubHeading_prestemp_Intermedia, Inc. VD 05 31 08 Draft Model 07 16 2008" xfId="761" xr:uid="{00000000-0005-0000-0000-00007A030000}"/>
    <cellStyle name="_SubHeading_prestemp_Intermedia, Inc. VD 05 31 08 Draft Model 07 16 2008 2" xfId="762" xr:uid="{00000000-0005-0000-0000-00007B030000}"/>
    <cellStyle name="_SubHeading_prestemp_Island Data Corporatin VD 06 30 08 Projections and Comparables 08 11 2008" xfId="763" xr:uid="{00000000-0005-0000-0000-00007C030000}"/>
    <cellStyle name="_SubHeading_prestemp_Island Data Corporatin VD 06 30 08 Projections and Comparables 08 11 2008 2" xfId="764" xr:uid="{00000000-0005-0000-0000-00007D030000}"/>
    <cellStyle name="_SubHeading_prestemp_Jentro Tech VD 03 31 2008 Model 04 10 2008" xfId="765" xr:uid="{00000000-0005-0000-0000-00007E030000}"/>
    <cellStyle name="_SubHeading_prestemp_Jentro Tech VD 03 31 2008 Model 04 10 2008 2" xfId="766" xr:uid="{00000000-0005-0000-0000-00007F030000}"/>
    <cellStyle name="_SubHeading_prestemp_Kythera Biopharmaceuticals VD 05 16 08 Draft Analysis 07 01 08" xfId="767" xr:uid="{00000000-0005-0000-0000-000080030000}"/>
    <cellStyle name="_SubHeading_prestemp_Kythera Biopharmaceuticals VD 05 16 08 Draft Analysis 07 01 08 2" xfId="768" xr:uid="{00000000-0005-0000-0000-000081030000}"/>
    <cellStyle name="_SubHeading_prestemp_Kythera Biopharmaceuticals VD 05 16 08 Final Model 07 20 08" xfId="769" xr:uid="{00000000-0005-0000-0000-000082030000}"/>
    <cellStyle name="_SubHeading_prestemp_Kythera Biopharmaceuticals VD 05 16 08 Final Model 07 20 08 2" xfId="770" xr:uid="{00000000-0005-0000-0000-000083030000}"/>
    <cellStyle name="_SubHeading_prestemp_Kythera Biopharmaceuticals, Inc. VD 5 16 2008 Draft 5 24 2008" xfId="771" xr:uid="{00000000-0005-0000-0000-000084030000}"/>
    <cellStyle name="_SubHeading_prestemp_Kythera Biopharmaceuticals, Inc. VD 5 16 2008 Draft 5 24 2008 2" xfId="772" xr:uid="{00000000-0005-0000-0000-000085030000}"/>
    <cellStyle name="_SubHeading_prestemp_Miragen VD 05 31 2008 Model 05 22 2009" xfId="773" xr:uid="{00000000-0005-0000-0000-000086030000}"/>
    <cellStyle name="_SubHeading_prestemp_Notes" xfId="774" xr:uid="{00000000-0005-0000-0000-000087030000}"/>
    <cellStyle name="_SubHeading_prestemp_Notes 2" xfId="775" xr:uid="{00000000-0005-0000-0000-000088030000}"/>
    <cellStyle name="_SubHeading_prestemp_OMT VD 10 15 2008 Draft Analysis 12 17 2008.xls" xfId="776" xr:uid="{00000000-0005-0000-0000-000089030000}"/>
    <cellStyle name="_SubHeading_prestemp_PubComps IPO -C-7" xfId="777" xr:uid="{00000000-0005-0000-0000-00008A030000}"/>
    <cellStyle name="_SubHeading_prestemp_PubComps IPO -C-7 2" xfId="778" xr:uid="{00000000-0005-0000-0000-00008B030000}"/>
    <cellStyle name="_SubHeading_prestemp_Tmax Soft VD 07 31 2008 Draft Model 08 20 2008" xfId="779" xr:uid="{00000000-0005-0000-0000-00008C030000}"/>
    <cellStyle name="_SubHeading_prestemp_Tmax Soft VD 07 31 2008 Draft Model 08 20 2008 2" xfId="780" xr:uid="{00000000-0005-0000-0000-00008D030000}"/>
    <cellStyle name="_SubHeading_prestemp_WACC -E-2" xfId="781" xr:uid="{00000000-0005-0000-0000-00008E030000}"/>
    <cellStyle name="_SubHeading_prestemp_WACC -E-2 2" xfId="782" xr:uid="{00000000-0005-0000-0000-00008F030000}"/>
    <cellStyle name="_SubHeading_prestemp_Xmos Limited VD 05 13 2008  Model 06 04 08" xfId="783" xr:uid="{00000000-0005-0000-0000-000090030000}"/>
    <cellStyle name="_SubHeading_prestemp_Xmos Limited VD 05 13 2008  Model 06 04 08 2" xfId="784" xr:uid="{00000000-0005-0000-0000-000091030000}"/>
    <cellStyle name="_Table" xfId="785" xr:uid="{00000000-0005-0000-0000-000092030000}"/>
    <cellStyle name="_Table 2" xfId="786" xr:uid="{00000000-0005-0000-0000-000093030000}"/>
    <cellStyle name="_Table__DCF Template" xfId="787" xr:uid="{00000000-0005-0000-0000-000094030000}"/>
    <cellStyle name="_Table__DCF Template 2" xfId="788" xr:uid="{00000000-0005-0000-0000-000095030000}"/>
    <cellStyle name="_Table__DCF Template 2 2" xfId="16388" xr:uid="{00000000-0005-0000-0000-000096030000}"/>
    <cellStyle name="_Table__DCF Template 2 2 2" xfId="28080" xr:uid="{00000000-0005-0000-0000-000097030000}"/>
    <cellStyle name="_Table__DCF Template 2 3" xfId="20434" xr:uid="{00000000-0005-0000-0000-000098030000}"/>
    <cellStyle name="_Table__DCF Template 3" xfId="16387" xr:uid="{00000000-0005-0000-0000-000099030000}"/>
    <cellStyle name="_Table__DCF Template 3 2" xfId="28079" xr:uid="{00000000-0005-0000-0000-00009A030000}"/>
    <cellStyle name="_Table__DCF Template 4" xfId="20433" xr:uid="{00000000-0005-0000-0000-00009B030000}"/>
    <cellStyle name="_Table_04 Alaska Model 2002-05-31 GS" xfId="789" xr:uid="{00000000-0005-0000-0000-00009C030000}"/>
    <cellStyle name="_Table_04 Alaska Model 2002-05-31 GS 2" xfId="790" xr:uid="{00000000-0005-0000-0000-00009D030000}"/>
    <cellStyle name="_Table_04 Alaska Model 2002-05-31 GS 2 2" xfId="16390" xr:uid="{00000000-0005-0000-0000-00009E030000}"/>
    <cellStyle name="_Table_04 Alaska Model 2002-05-31 GS 2 2 2" xfId="28082" xr:uid="{00000000-0005-0000-0000-00009F030000}"/>
    <cellStyle name="_Table_04 Alaska Model 2002-05-31 GS 2 3" xfId="20436" xr:uid="{00000000-0005-0000-0000-0000A0030000}"/>
    <cellStyle name="_Table_04 Alaska Model 2002-05-31 GS 3" xfId="16389" xr:uid="{00000000-0005-0000-0000-0000A1030000}"/>
    <cellStyle name="_Table_04 Alaska Model 2002-05-31 GS 3 2" xfId="28081" xr:uid="{00000000-0005-0000-0000-0000A2030000}"/>
    <cellStyle name="_Table_04 Alaska Model 2002-05-31 GS 4" xfId="20435" xr:uid="{00000000-0005-0000-0000-0000A3030000}"/>
    <cellStyle name="_Table_Book3" xfId="791" xr:uid="{00000000-0005-0000-0000-0000A4030000}"/>
    <cellStyle name="_Table_Dividend Template" xfId="792" xr:uid="{00000000-0005-0000-0000-0000A5030000}"/>
    <cellStyle name="_Table_Pro-Forma Financials" xfId="793" xr:uid="{00000000-0005-0000-0000-0000A6030000}"/>
    <cellStyle name="_Table_Pro-Forma Spin-off" xfId="794" xr:uid="{00000000-0005-0000-0000-0000A7030000}"/>
    <cellStyle name="_TableHead" xfId="795" xr:uid="{00000000-0005-0000-0000-0000A8030000}"/>
    <cellStyle name="_TableHead 2" xfId="796" xr:uid="{00000000-0005-0000-0000-0000A9030000}"/>
    <cellStyle name="_TableHead_Cable_Industry Overview5" xfId="797" xr:uid="{00000000-0005-0000-0000-0000AA030000}"/>
    <cellStyle name="_TableHead_Cable_Industry Overview5 2" xfId="798" xr:uid="{00000000-0005-0000-0000-0000AB030000}"/>
    <cellStyle name="_TableHead_Gelco Model" xfId="799" xr:uid="{00000000-0005-0000-0000-0000AC030000}"/>
    <cellStyle name="_TableHead_Gelco Model 2" xfId="800" xr:uid="{00000000-0005-0000-0000-0000AD030000}"/>
    <cellStyle name="_TableHead_Summary" xfId="801" xr:uid="{00000000-0005-0000-0000-0000AE030000}"/>
    <cellStyle name="_TableHead_Summary 2" xfId="802" xr:uid="{00000000-0005-0000-0000-0000AF030000}"/>
    <cellStyle name="_TableHead_Yield Tables" xfId="803" xr:uid="{00000000-0005-0000-0000-0000B0030000}"/>
    <cellStyle name="_TableHead_Yield Tables 2" xfId="804" xr:uid="{00000000-0005-0000-0000-0000B1030000}"/>
    <cellStyle name="_TableHeading" xfId="16326" xr:uid="{00000000-0005-0000-0000-0000B2030000}"/>
    <cellStyle name="_TableRowBorder" xfId="16327" xr:uid="{00000000-0005-0000-0000-0000B3030000}"/>
    <cellStyle name="_TableRowHead" xfId="805" xr:uid="{00000000-0005-0000-0000-0000B4030000}"/>
    <cellStyle name="_TableRowHead 2" xfId="806" xr:uid="{00000000-0005-0000-0000-0000B5030000}"/>
    <cellStyle name="_TableRowHead_Gelco Model" xfId="807" xr:uid="{00000000-0005-0000-0000-0000B6030000}"/>
    <cellStyle name="_TableRowHead_Gelco Model 2" xfId="808" xr:uid="{00000000-0005-0000-0000-0000B7030000}"/>
    <cellStyle name="_TableRowHead_Summary" xfId="809" xr:uid="{00000000-0005-0000-0000-0000B8030000}"/>
    <cellStyle name="_TableRowHead_Summary 2" xfId="810" xr:uid="{00000000-0005-0000-0000-0000B9030000}"/>
    <cellStyle name="_TableRowHeading" xfId="16328" xr:uid="{00000000-0005-0000-0000-0000BA030000}"/>
    <cellStyle name="_TableSuperHead" xfId="811" xr:uid="{00000000-0005-0000-0000-0000BB030000}"/>
    <cellStyle name="_TableSuperHead 2" xfId="812" xr:uid="{00000000-0005-0000-0000-0000BC030000}"/>
    <cellStyle name="_TableSuperHead__DCF Template" xfId="813" xr:uid="{00000000-0005-0000-0000-0000BD030000}"/>
    <cellStyle name="_TableSuperHead_04 Alaska Model 2002-05-31 GS" xfId="814" xr:uid="{00000000-0005-0000-0000-0000BE030000}"/>
    <cellStyle name="_TableSuperHead_Book3" xfId="815" xr:uid="{00000000-0005-0000-0000-0000BF030000}"/>
    <cellStyle name="_TableSuperHead_Cable_Industry Overview5" xfId="816" xr:uid="{00000000-0005-0000-0000-0000C0030000}"/>
    <cellStyle name="_TableSuperHead_Cable_Industry Overview5 2" xfId="817" xr:uid="{00000000-0005-0000-0000-0000C1030000}"/>
    <cellStyle name="_TableSuperHead_Dividend Template" xfId="818" xr:uid="{00000000-0005-0000-0000-0000C2030000}"/>
    <cellStyle name="_TableSuperHead_Gelco Model" xfId="819" xr:uid="{00000000-0005-0000-0000-0000C3030000}"/>
    <cellStyle name="_TableSuperHead_Gelco Model 2" xfId="820" xr:uid="{00000000-0005-0000-0000-0000C4030000}"/>
    <cellStyle name="_TableSuperHead_Pro-Forma Financials" xfId="821" xr:uid="{00000000-0005-0000-0000-0000C5030000}"/>
    <cellStyle name="_TableSuperHead_Pro-Forma Spin-off" xfId="822" xr:uid="{00000000-0005-0000-0000-0000C6030000}"/>
    <cellStyle name="_TableSuperHead_Summary" xfId="823" xr:uid="{00000000-0005-0000-0000-0000C7030000}"/>
    <cellStyle name="_TableSuperHead_Summary 2" xfId="824" xr:uid="{00000000-0005-0000-0000-0000C8030000}"/>
    <cellStyle name="_TableSuperHead_Yield Tables" xfId="825" xr:uid="{00000000-0005-0000-0000-0000C9030000}"/>
    <cellStyle name="_TableSuperHead_Yield Tables 2" xfId="826" xr:uid="{00000000-0005-0000-0000-0000CA030000}"/>
    <cellStyle name="_TableSuperHeading" xfId="16329" xr:uid="{00000000-0005-0000-0000-0000CB030000}"/>
    <cellStyle name="_TableText" xfId="16330" xr:uid="{00000000-0005-0000-0000-0000CC030000}"/>
    <cellStyle name="_Tax Provision 2-1-07 sent to KPMG" xfId="827" xr:uid="{00000000-0005-0000-0000-0000CD030000}"/>
    <cellStyle name="_TDI1602 Non-Food Retail Historic Transactions 060428" xfId="828" xr:uid="{00000000-0005-0000-0000-0000CE030000}"/>
    <cellStyle name="_TDI1602 Non-Food Retail Historic Transactions 060428_Medley_Financial_Model_v5" xfId="829" xr:uid="{00000000-0005-0000-0000-0000CF030000}"/>
    <cellStyle name="_TDI2246 Chemical Comps 061019" xfId="830" xr:uid="{00000000-0005-0000-0000-0000D0030000}"/>
    <cellStyle name="_TDI2246 Chemical Comps 061019_Medley_Financial_Model_v5" xfId="831" xr:uid="{00000000-0005-0000-0000-0000D1030000}"/>
    <cellStyle name="_TDU757 Fintech Comps 070227" xfId="832" xr:uid="{00000000-0005-0000-0000-0000D2030000}"/>
    <cellStyle name="_TDU757 Fintech Comps 070227_Cyrela - Goldzstein - Financial Model - v1" xfId="833" xr:uid="{00000000-0005-0000-0000-0000D3030000}"/>
    <cellStyle name="_TDU757 Fintech Comps 070227_Cyrela - Goldzstein - Financial Model - v5" xfId="834" xr:uid="{00000000-0005-0000-0000-0000D4030000}"/>
    <cellStyle name="_TDU757 Fintech Comps 070227_Gas Natural - Financial Model - April 18 2008 - v1" xfId="835" xr:uid="{00000000-0005-0000-0000-0000D5030000}"/>
    <cellStyle name="_TDU757 Fintech Comps 070227_Gas Natural - Financial Model - April 18 2008 - v2" xfId="836" xr:uid="{00000000-0005-0000-0000-0000D6030000}"/>
    <cellStyle name="_TDU757 Fintech Comps 070227_Gas Natural - Financial Model - May 20, 2009" xfId="837" xr:uid="{00000000-0005-0000-0000-0000D7030000}"/>
    <cellStyle name="_TDU757 Fintech Comps 070227_Goldzstein Cyrela - Financial Model - v7" xfId="838" xr:uid="{00000000-0005-0000-0000-0000D8030000}"/>
    <cellStyle name="_TDU757 Fintech Comps 070227_Grupo Ibmec - Financial Model - v2" xfId="839" xr:uid="{00000000-0005-0000-0000-0000D9030000}"/>
    <cellStyle name="_TDU757 Fintech Comps 070227_Grupo Ibmec - Financial Model - v5" xfId="840" xr:uid="{00000000-0005-0000-0000-0000DA030000}"/>
    <cellStyle name="_TDU757 Fintech Comps 070227_Independencia - Financial Model - Dec 02 2008 - v3" xfId="841" xr:uid="{00000000-0005-0000-0000-0000DB030000}"/>
    <cellStyle name="_TDU757 Fintech Comps 070227_Independencia - Financial Model - Nov 24 2008" xfId="842" xr:uid="{00000000-0005-0000-0000-0000DC030000}"/>
    <cellStyle name="_TDU757 Fintech Comps 070227_Medley_Financial_Model_v5" xfId="843" xr:uid="{00000000-0005-0000-0000-0000DD030000}"/>
    <cellStyle name="_TDU757 Fintech Comps 070227_Project Emet - Forecasts" xfId="844" xr:uid="{00000000-0005-0000-0000-0000DE030000}"/>
    <cellStyle name="_TDU757 Fintech Comps 070227_Rumo_Financial_Model_05jun2009_v1" xfId="845" xr:uid="{00000000-0005-0000-0000-0000DF030000}"/>
    <cellStyle name="_TDU757 Fintech Comps 070227_Rumo_Financial_Model_05jun2009_v4" xfId="846" xr:uid="{00000000-0005-0000-0000-0000E0030000}"/>
    <cellStyle name="_TDU757 Fintech Comps 070227_Rumo_Financial_Model_05jun2009_v5" xfId="847" xr:uid="{00000000-0005-0000-0000-0000E1030000}"/>
    <cellStyle name="_TDU757 Fintech Comps 070227_Rumo_Financial_Model_05jun2009_v6" xfId="848" xr:uid="{00000000-0005-0000-0000-0000E2030000}"/>
    <cellStyle name="_TDU757 Fintech Comps 070227_SCPC_Financial_Model_10jun2009_v2" xfId="849" xr:uid="{00000000-0005-0000-0000-0000E3030000}"/>
    <cellStyle name="_TDU757 Fintech Comps 070227_SCPC_Financial_Model_17jun2009_v5" xfId="850" xr:uid="{00000000-0005-0000-0000-0000E4030000}"/>
    <cellStyle name="_TDU769 Aluminium Comps Database 070303" xfId="851" xr:uid="{00000000-0005-0000-0000-0000E5030000}"/>
    <cellStyle name="_TDU769 Aluminium Comps Database 070303_Medley_Financial_Model_v5" xfId="852" xr:uid="{00000000-0005-0000-0000-0000E6030000}"/>
    <cellStyle name="_Veeco SFAS 142 &amp; 144 - Oct 2004 - v11" xfId="853" xr:uid="{00000000-0005-0000-0000-0000E7030000}"/>
    <cellStyle name="_הלוואות" xfId="854" xr:uid="{00000000-0005-0000-0000-0000E8030000}"/>
    <cellStyle name="_הלוואות 2" xfId="855" xr:uid="{00000000-0005-0000-0000-0000E9030000}"/>
    <cellStyle name="_התחיבות שכ&quot;ד" xfId="856" xr:uid="{00000000-0005-0000-0000-0000EA030000}"/>
    <cellStyle name="_התחיבות שכ&quot;ד 2" xfId="857" xr:uid="{00000000-0005-0000-0000-0000EB030000}"/>
    <cellStyle name="_מדדים" xfId="858" xr:uid="{00000000-0005-0000-0000-0000EC030000}"/>
    <cellStyle name="_מדדים 2" xfId="859" xr:uid="{00000000-0005-0000-0000-0000ED030000}"/>
    <cellStyle name="£ BP" xfId="860" xr:uid="{00000000-0005-0000-0000-0000EE030000}"/>
    <cellStyle name="£ BP 2" xfId="861" xr:uid="{00000000-0005-0000-0000-0000EF030000}"/>
    <cellStyle name="£/GJ" xfId="16331" xr:uid="{00000000-0005-0000-0000-0000F0030000}"/>
    <cellStyle name="£/t" xfId="16332" xr:uid="{00000000-0005-0000-0000-0000F1030000}"/>
    <cellStyle name="£Currency [0]" xfId="862" xr:uid="{00000000-0005-0000-0000-0000F2030000}"/>
    <cellStyle name="£Currency [0] 2" xfId="863" xr:uid="{00000000-0005-0000-0000-0000F3030000}"/>
    <cellStyle name="£Currency [1]" xfId="864" xr:uid="{00000000-0005-0000-0000-0000F4030000}"/>
    <cellStyle name="£Currency [1] 2" xfId="865" xr:uid="{00000000-0005-0000-0000-0000F5030000}"/>
    <cellStyle name="£Currency [2]" xfId="866" xr:uid="{00000000-0005-0000-0000-0000F6030000}"/>
    <cellStyle name="£Currency [2] 2" xfId="867" xr:uid="{00000000-0005-0000-0000-0000F7030000}"/>
    <cellStyle name="£Currency [p]" xfId="868" xr:uid="{00000000-0005-0000-0000-0000F8030000}"/>
    <cellStyle name="£Currency [p] 2" xfId="869" xr:uid="{00000000-0005-0000-0000-0000F9030000}"/>
    <cellStyle name="£Currency [p2]" xfId="870" xr:uid="{00000000-0005-0000-0000-0000FA030000}"/>
    <cellStyle name="£Currency [p2] 2" xfId="871" xr:uid="{00000000-0005-0000-0000-0000FB030000}"/>
    <cellStyle name="£Pounds" xfId="872" xr:uid="{00000000-0005-0000-0000-0000FC030000}"/>
    <cellStyle name="£Pounds 2" xfId="873" xr:uid="{00000000-0005-0000-0000-0000FD030000}"/>
    <cellStyle name="¤@¯ë_P721-Spd" xfId="874" xr:uid="{00000000-0005-0000-0000-0000FE030000}"/>
    <cellStyle name="¤d¤À¦ì[0]_P721-Spd" xfId="875" xr:uid="{00000000-0005-0000-0000-0000FF030000}"/>
    <cellStyle name="¤d¤À¦ì_P721-Spd" xfId="876" xr:uid="{00000000-0005-0000-0000-000000040000}"/>
    <cellStyle name="¥ JY" xfId="877" xr:uid="{00000000-0005-0000-0000-000001040000}"/>
    <cellStyle name="¥ JY 2" xfId="878" xr:uid="{00000000-0005-0000-0000-000002040000}"/>
    <cellStyle name="=C:\WINNT\SYSTEM32\COMMAND.COM" xfId="879" xr:uid="{00000000-0005-0000-0000-000003040000}"/>
    <cellStyle name="=C:\WINNT35\SYSTEM32\COMMAND.COM" xfId="16333" xr:uid="{00000000-0005-0000-0000-000004040000}"/>
    <cellStyle name="°" xfId="16334" xr:uid="{00000000-0005-0000-0000-000005040000}"/>
    <cellStyle name="°_ENS Economic Model 070802 v4" xfId="16335" xr:uid="{00000000-0005-0000-0000-000006040000}"/>
    <cellStyle name="•W?_Sheet1" xfId="880" xr:uid="{00000000-0005-0000-0000-000007040000}"/>
    <cellStyle name="•W€_Capital Structure" xfId="881" xr:uid="{00000000-0005-0000-0000-000008040000}"/>
    <cellStyle name="•W_Sheet1" xfId="882" xr:uid="{00000000-0005-0000-0000-000009040000}"/>
    <cellStyle name="\¦ÏÝÌnCp[N" xfId="883" xr:uid="{00000000-0005-0000-0000-00000A040000}"/>
    <cellStyle name="æØè [0.00]_Affiliate Fcst Inputs" xfId="884" xr:uid="{00000000-0005-0000-0000-00000B040000}"/>
    <cellStyle name="W_Sheet1" xfId="885" xr:uid="{00000000-0005-0000-0000-00000C040000}"/>
    <cellStyle name="0" xfId="886" xr:uid="{00000000-0005-0000-0000-00000D040000}"/>
    <cellStyle name="0 2" xfId="887" xr:uid="{00000000-0005-0000-0000-00000E040000}"/>
    <cellStyle name="0%" xfId="888" xr:uid="{00000000-0005-0000-0000-00000F040000}"/>
    <cellStyle name="0,0" xfId="889" xr:uid="{00000000-0005-0000-0000-000010040000}"/>
    <cellStyle name="0,0 F" xfId="890" xr:uid="{00000000-0005-0000-0000-000011040000}"/>
    <cellStyle name="0,0%" xfId="891" xr:uid="{00000000-0005-0000-0000-000012040000}"/>
    <cellStyle name="0,0_Co&amp;Lo180800" xfId="892" xr:uid="{00000000-0005-0000-0000-000013040000}"/>
    <cellStyle name="0,00x" xfId="893" xr:uid="{00000000-0005-0000-0000-000014040000}"/>
    <cellStyle name="0,0x" xfId="894" xr:uid="{00000000-0005-0000-0000-000015040000}"/>
    <cellStyle name="0.0" xfId="895" xr:uid="{00000000-0005-0000-0000-000016040000}"/>
    <cellStyle name="0.0 NORMAL" xfId="16336" xr:uid="{00000000-0005-0000-0000-000017040000}"/>
    <cellStyle name="0.0 PERCENT" xfId="16337" xr:uid="{00000000-0005-0000-0000-000018040000}"/>
    <cellStyle name="0.0 x" xfId="896" xr:uid="{00000000-0005-0000-0000-000019040000}"/>
    <cellStyle name="0.0%" xfId="897" xr:uid="{00000000-0005-0000-0000-00001A040000}"/>
    <cellStyle name="0.0_Crystal Model final" xfId="16338" xr:uid="{00000000-0005-0000-0000-00001B040000}"/>
    <cellStyle name="0.00" xfId="898" xr:uid="{00000000-0005-0000-0000-00001C040000}"/>
    <cellStyle name="0.00%" xfId="899" xr:uid="{00000000-0005-0000-0000-00001D040000}"/>
    <cellStyle name="0.00_Medley_Financial_Model_v5" xfId="900" xr:uid="{00000000-0005-0000-0000-00001E040000}"/>
    <cellStyle name="0_APT 141 101603 ver 51" xfId="901" xr:uid="{00000000-0005-0000-0000-00001F040000}"/>
    <cellStyle name="0_APT 141 101603 ver 51 2" xfId="902" xr:uid="{00000000-0005-0000-0000-000020040000}"/>
    <cellStyle name="0_Medley_Financial_Model_v5" xfId="903" xr:uid="{00000000-0005-0000-0000-000021040000}"/>
    <cellStyle name="0_Medley_Financial_Model_v5_Ubiquiti Ownership Table" xfId="904" xr:uid="{00000000-0005-0000-0000-000022040000}"/>
    <cellStyle name="0_Nomos WACC" xfId="905" xr:uid="{00000000-0005-0000-0000-000023040000}"/>
    <cellStyle name="0_Nomos WACC 2" xfId="906" xr:uid="{00000000-0005-0000-0000-000024040000}"/>
    <cellStyle name="0_Nomos WACC_Boston Power VD 01 31 2008 Model 02 26 2008" xfId="907" xr:uid="{00000000-0005-0000-0000-000025040000}"/>
    <cellStyle name="0_Nomos WACC_Boston Power VD 01 31 2008 Model 02 26 2008 2" xfId="908" xr:uid="{00000000-0005-0000-0000-000026040000}"/>
    <cellStyle name="0_Nomos WACC_Boston Power VD 01 31 2008 Model 02 26 2008 2 2" xfId="909" xr:uid="{00000000-0005-0000-0000-000027040000}"/>
    <cellStyle name="0_Nomos WACC_Boston Power VD 01 31 2008 Model 02 26 2008 3" xfId="910" xr:uid="{00000000-0005-0000-0000-000028040000}"/>
    <cellStyle name="0_Nomos WACC_Boston Power VD 01 31 2008 Model 02 26 2008 4" xfId="911" xr:uid="{00000000-0005-0000-0000-000029040000}"/>
    <cellStyle name="0_Nomos WACC_Boston Power VD 01 31 2008 Model 02 26 2008 5" xfId="912" xr:uid="{00000000-0005-0000-0000-00002A040000}"/>
    <cellStyle name="0_Nomos WACC_Boston Power VD 01 31 2008 Model 02 26 2008_CompanyABC Valuation Draft Model 04 21 2009" xfId="913" xr:uid="{00000000-0005-0000-0000-00002B040000}"/>
    <cellStyle name="0_Nomos WACC_Boston Power VD 01 31 2008 Model 02 26 2008_CompanyABC Valuation Draft Model 04 21 2009 2" xfId="914" xr:uid="{00000000-0005-0000-0000-00002C040000}"/>
    <cellStyle name="0_Nomos WACC_Boston Power VD 01 31 2008 Model 02 26 2008_DB" xfId="915" xr:uid="{00000000-0005-0000-0000-00002D040000}"/>
    <cellStyle name="0_Nomos WACC_Boston Power VD 01 31 2008 Model 02 26 2008_DB 2" xfId="916" xr:uid="{00000000-0005-0000-0000-00002E040000}"/>
    <cellStyle name="0_Nomos WACC_Boston Power VD 01 31 2008 Model 02 26 2008_DB 2 2" xfId="917" xr:uid="{00000000-0005-0000-0000-00002F040000}"/>
    <cellStyle name="0_Nomos WACC_Boston Power VD 01 31 2008 Model 02 26 2008_FAS 157 Model Template 04 26 2009" xfId="918" xr:uid="{00000000-0005-0000-0000-000030040000}"/>
    <cellStyle name="0_Nomos WACC_Boston Power VD 01 31 2008 Model 02 26 2008_FAS 157 Model Template 04 26 2009 2" xfId="919" xr:uid="{00000000-0005-0000-0000-000031040000}"/>
    <cellStyle name="0_Nomos WACC_Boston Power VD 01 31 2008 Model 02 26 2008_Miragen VD 05 31 2008 Model 05 22 2009" xfId="920" xr:uid="{00000000-0005-0000-0000-000032040000}"/>
    <cellStyle name="0_Nomos WACC_Cap Table Inputs" xfId="921" xr:uid="{00000000-0005-0000-0000-000033040000}"/>
    <cellStyle name="0_Nomos WACC_Cap Table Inputs 2" xfId="922" xr:uid="{00000000-0005-0000-0000-000034040000}"/>
    <cellStyle name="0_Nomos WACC_Cap Table Inputs 2 2" xfId="923" xr:uid="{00000000-0005-0000-0000-000035040000}"/>
    <cellStyle name="0_Nomos WACC_Cap Table Inputs 3" xfId="924" xr:uid="{00000000-0005-0000-0000-000036040000}"/>
    <cellStyle name="0_Nomos WACC_Cap Table Inputs 4" xfId="925" xr:uid="{00000000-0005-0000-0000-000037040000}"/>
    <cellStyle name="0_Nomos WACC_Cap Table Inputs 5" xfId="926" xr:uid="{00000000-0005-0000-0000-000038040000}"/>
    <cellStyle name="0_Nomos WACC_Cap Table Inputs_CompanyABC Valuation Draft Model 04 21 2009" xfId="927" xr:uid="{00000000-0005-0000-0000-000039040000}"/>
    <cellStyle name="0_Nomos WACC_Cap Table Inputs_CompanyABC Valuation Draft Model 04 21 2009 2" xfId="928" xr:uid="{00000000-0005-0000-0000-00003A040000}"/>
    <cellStyle name="0_Nomos WACC_Cap Table Inputs_DB" xfId="929" xr:uid="{00000000-0005-0000-0000-00003B040000}"/>
    <cellStyle name="0_Nomos WACC_Cap Table Inputs_DB 2" xfId="930" xr:uid="{00000000-0005-0000-0000-00003C040000}"/>
    <cellStyle name="0_Nomos WACC_Cap Table Inputs_DB 2 2" xfId="931" xr:uid="{00000000-0005-0000-0000-00003D040000}"/>
    <cellStyle name="0_Nomos WACC_Cap Table Inputs_FAS 157 Model Template 04 26 2009" xfId="932" xr:uid="{00000000-0005-0000-0000-00003E040000}"/>
    <cellStyle name="0_Nomos WACC_Cap Table Inputs_FAS 157 Model Template 04 26 2009 2" xfId="933" xr:uid="{00000000-0005-0000-0000-00003F040000}"/>
    <cellStyle name="0_Nomos WACC_Cap Table Inputs_Miragen VD 05 31 2008 Model 05 22 2009" xfId="934" xr:uid="{00000000-0005-0000-0000-000040040000}"/>
    <cellStyle name="0_Nomos WACC_CardioSolutions 05 31 2007 Final Model 09 27 2007" xfId="935" xr:uid="{00000000-0005-0000-0000-000041040000}"/>
    <cellStyle name="0_Nomos WACC_CardioSolutions 05 31 2007 Final Model 09 27 2007 2" xfId="936" xr:uid="{00000000-0005-0000-0000-000042040000}"/>
    <cellStyle name="0_Nomos WACC_CardioSolutions 05 31 2007 Final Model 09 27 2007 2 2" xfId="937" xr:uid="{00000000-0005-0000-0000-000043040000}"/>
    <cellStyle name="0_Nomos WACC_CardioSolutions 05 31 2007 Final Model 09 27 2007 3" xfId="938" xr:uid="{00000000-0005-0000-0000-000044040000}"/>
    <cellStyle name="0_Nomos WACC_CardioSolutions 05 31 2007 Final Model 09 27 2007 4" xfId="939" xr:uid="{00000000-0005-0000-0000-000045040000}"/>
    <cellStyle name="0_Nomos WACC_CardioSolutions 05 31 2007 Final Model 09 27 2007 5" xfId="940" xr:uid="{00000000-0005-0000-0000-000046040000}"/>
    <cellStyle name="0_Nomos WACC_CardioSolutions 05 31 2007 Final Model 09 27 2007_CompanyABC Valuation Draft Model 04 21 2009" xfId="941" xr:uid="{00000000-0005-0000-0000-000047040000}"/>
    <cellStyle name="0_Nomos WACC_CardioSolutions 05 31 2007 Final Model 09 27 2007_CompanyABC Valuation Draft Model 04 21 2009 2" xfId="942" xr:uid="{00000000-0005-0000-0000-000048040000}"/>
    <cellStyle name="0_Nomos WACC_CardioSolutions 05 31 2007 Final Model 09 27 2007_DB" xfId="943" xr:uid="{00000000-0005-0000-0000-000049040000}"/>
    <cellStyle name="0_Nomos WACC_CardioSolutions 05 31 2007 Final Model 09 27 2007_DB 2" xfId="944" xr:uid="{00000000-0005-0000-0000-00004A040000}"/>
    <cellStyle name="0_Nomos WACC_CardioSolutions 05 31 2007 Final Model 09 27 2007_DB 2 2" xfId="945" xr:uid="{00000000-0005-0000-0000-00004B040000}"/>
    <cellStyle name="0_Nomos WACC_CardioSolutions 05 31 2007 Final Model 09 27 2007_FAS 157 Model Template 04 26 2009" xfId="946" xr:uid="{00000000-0005-0000-0000-00004C040000}"/>
    <cellStyle name="0_Nomos WACC_CardioSolutions 05 31 2007 Final Model 09 27 2007_FAS 157 Model Template 04 26 2009 2" xfId="947" xr:uid="{00000000-0005-0000-0000-00004D040000}"/>
    <cellStyle name="0_Nomos WACC_CardioSolutions 05 31 2007 Final Model 09 27 2007_Miragen VD 05 31 2008 Model 05 22 2009" xfId="948" xr:uid="{00000000-0005-0000-0000-00004E040000}"/>
    <cellStyle name="0_Veeco SFAS 142 &amp; 144 - Oct 2004 - v11" xfId="949" xr:uid="{00000000-0005-0000-0000-00004F040000}"/>
    <cellStyle name="0_Veeco SFAS 142 &amp; 144 - Oct 2004 - v11 2" xfId="950" xr:uid="{00000000-0005-0000-0000-000050040000}"/>
    <cellStyle name="0_Veeco SFAS 142 &amp; 144 - Oct 2004 - v11_Boston Power VD 01 31 2008 Model 02 26 2008" xfId="951" xr:uid="{00000000-0005-0000-0000-000051040000}"/>
    <cellStyle name="0_Veeco SFAS 142 &amp; 144 - Oct 2004 - v11_Boston Power VD 01 31 2008 Model 02 26 2008 2" xfId="952" xr:uid="{00000000-0005-0000-0000-000052040000}"/>
    <cellStyle name="0_Veeco SFAS 142 &amp; 144 - Oct 2004 - v11_Boston Power VD 01 31 2008 Model 02 26 2008 2 2" xfId="953" xr:uid="{00000000-0005-0000-0000-000053040000}"/>
    <cellStyle name="0_Veeco SFAS 142 &amp; 144 - Oct 2004 - v11_Boston Power VD 01 31 2008 Model 02 26 2008 3" xfId="954" xr:uid="{00000000-0005-0000-0000-000054040000}"/>
    <cellStyle name="0_Veeco SFAS 142 &amp; 144 - Oct 2004 - v11_Boston Power VD 01 31 2008 Model 02 26 2008 4" xfId="955" xr:uid="{00000000-0005-0000-0000-000055040000}"/>
    <cellStyle name="0_Veeco SFAS 142 &amp; 144 - Oct 2004 - v11_Boston Power VD 01 31 2008 Model 02 26 2008 5" xfId="956" xr:uid="{00000000-0005-0000-0000-000056040000}"/>
    <cellStyle name="0_Veeco SFAS 142 &amp; 144 - Oct 2004 - v11_Boston Power VD 01 31 2008 Model 02 26 2008_CompanyABC Valuation Draft Model 04 21 2009" xfId="957" xr:uid="{00000000-0005-0000-0000-000057040000}"/>
    <cellStyle name="0_Veeco SFAS 142 &amp; 144 - Oct 2004 - v11_Boston Power VD 01 31 2008 Model 02 26 2008_CompanyABC Valuation Draft Model 04 21 2009 2" xfId="958" xr:uid="{00000000-0005-0000-0000-000058040000}"/>
    <cellStyle name="0_Veeco SFAS 142 &amp; 144 - Oct 2004 - v11_Boston Power VD 01 31 2008 Model 02 26 2008_DB" xfId="959" xr:uid="{00000000-0005-0000-0000-000059040000}"/>
    <cellStyle name="0_Veeco SFAS 142 &amp; 144 - Oct 2004 - v11_Boston Power VD 01 31 2008 Model 02 26 2008_DB 2" xfId="960" xr:uid="{00000000-0005-0000-0000-00005A040000}"/>
    <cellStyle name="0_Veeco SFAS 142 &amp; 144 - Oct 2004 - v11_Boston Power VD 01 31 2008 Model 02 26 2008_DB 2 2" xfId="961" xr:uid="{00000000-0005-0000-0000-00005B040000}"/>
    <cellStyle name="0_Veeco SFAS 142 &amp; 144 - Oct 2004 - v11_Boston Power VD 01 31 2008 Model 02 26 2008_FAS 157 Model Template 04 26 2009" xfId="962" xr:uid="{00000000-0005-0000-0000-00005C040000}"/>
    <cellStyle name="0_Veeco SFAS 142 &amp; 144 - Oct 2004 - v11_Boston Power VD 01 31 2008 Model 02 26 2008_FAS 157 Model Template 04 26 2009 2" xfId="963" xr:uid="{00000000-0005-0000-0000-00005D040000}"/>
    <cellStyle name="0_Veeco SFAS 142 &amp; 144 - Oct 2004 - v11_Boston Power VD 01 31 2008 Model 02 26 2008_Miragen VD 05 31 2008 Model 05 22 2009" xfId="964" xr:uid="{00000000-0005-0000-0000-00005E040000}"/>
    <cellStyle name="0_Veeco SFAS 142 &amp; 144 - Oct 2004 - v11_Cap Table Inputs" xfId="965" xr:uid="{00000000-0005-0000-0000-00005F040000}"/>
    <cellStyle name="0_Veeco SFAS 142 &amp; 144 - Oct 2004 - v11_Cap Table Inputs 2" xfId="966" xr:uid="{00000000-0005-0000-0000-000060040000}"/>
    <cellStyle name="0_Veeco SFAS 142 &amp; 144 - Oct 2004 - v11_Cap Table Inputs 2 2" xfId="967" xr:uid="{00000000-0005-0000-0000-000061040000}"/>
    <cellStyle name="0_Veeco SFAS 142 &amp; 144 - Oct 2004 - v11_Cap Table Inputs 3" xfId="968" xr:uid="{00000000-0005-0000-0000-000062040000}"/>
    <cellStyle name="0_Veeco SFAS 142 &amp; 144 - Oct 2004 - v11_Cap Table Inputs 4" xfId="969" xr:uid="{00000000-0005-0000-0000-000063040000}"/>
    <cellStyle name="0_Veeco SFAS 142 &amp; 144 - Oct 2004 - v11_Cap Table Inputs 5" xfId="970" xr:uid="{00000000-0005-0000-0000-000064040000}"/>
    <cellStyle name="0_Veeco SFAS 142 &amp; 144 - Oct 2004 - v11_Cap Table Inputs_CompanyABC Valuation Draft Model 04 21 2009" xfId="971" xr:uid="{00000000-0005-0000-0000-000065040000}"/>
    <cellStyle name="0_Veeco SFAS 142 &amp; 144 - Oct 2004 - v11_Cap Table Inputs_CompanyABC Valuation Draft Model 04 21 2009 2" xfId="972" xr:uid="{00000000-0005-0000-0000-000066040000}"/>
    <cellStyle name="0_Veeco SFAS 142 &amp; 144 - Oct 2004 - v11_Cap Table Inputs_DB" xfId="973" xr:uid="{00000000-0005-0000-0000-000067040000}"/>
    <cellStyle name="0_Veeco SFAS 142 &amp; 144 - Oct 2004 - v11_Cap Table Inputs_DB 2" xfId="974" xr:uid="{00000000-0005-0000-0000-000068040000}"/>
    <cellStyle name="0_Veeco SFAS 142 &amp; 144 - Oct 2004 - v11_Cap Table Inputs_DB 2 2" xfId="975" xr:uid="{00000000-0005-0000-0000-000069040000}"/>
    <cellStyle name="0_Veeco SFAS 142 &amp; 144 - Oct 2004 - v11_Cap Table Inputs_FAS 157 Model Template 04 26 2009" xfId="976" xr:uid="{00000000-0005-0000-0000-00006A040000}"/>
    <cellStyle name="0_Veeco SFAS 142 &amp; 144 - Oct 2004 - v11_Cap Table Inputs_FAS 157 Model Template 04 26 2009 2" xfId="977" xr:uid="{00000000-0005-0000-0000-00006B040000}"/>
    <cellStyle name="0_Veeco SFAS 142 &amp; 144 - Oct 2004 - v11_Cap Table Inputs_Miragen VD 05 31 2008 Model 05 22 2009" xfId="978" xr:uid="{00000000-0005-0000-0000-00006C040000}"/>
    <cellStyle name="0_Veeco SFAS 142 &amp; 144 - Oct 2004 - v11_CardioSolutions 05 31 2007 Final Model 09 27 2007" xfId="979" xr:uid="{00000000-0005-0000-0000-00006D040000}"/>
    <cellStyle name="0_Veeco SFAS 142 &amp; 144 - Oct 2004 - v11_CardioSolutions 05 31 2007 Final Model 09 27 2007 2" xfId="980" xr:uid="{00000000-0005-0000-0000-00006E040000}"/>
    <cellStyle name="0_Veeco SFAS 142 &amp; 144 - Oct 2004 - v11_CardioSolutions 05 31 2007 Final Model 09 27 2007 2 2" xfId="981" xr:uid="{00000000-0005-0000-0000-00006F040000}"/>
    <cellStyle name="0_Veeco SFAS 142 &amp; 144 - Oct 2004 - v11_CardioSolutions 05 31 2007 Final Model 09 27 2007 3" xfId="982" xr:uid="{00000000-0005-0000-0000-000070040000}"/>
    <cellStyle name="0_Veeco SFAS 142 &amp; 144 - Oct 2004 - v11_CardioSolutions 05 31 2007 Final Model 09 27 2007 4" xfId="983" xr:uid="{00000000-0005-0000-0000-000071040000}"/>
    <cellStyle name="0_Veeco SFAS 142 &amp; 144 - Oct 2004 - v11_CardioSolutions 05 31 2007 Final Model 09 27 2007 5" xfId="984" xr:uid="{00000000-0005-0000-0000-000072040000}"/>
    <cellStyle name="0_Veeco SFAS 142 &amp; 144 - Oct 2004 - v11_CardioSolutions 05 31 2007 Final Model 09 27 2007_CompanyABC Valuation Draft Model 04 21 2009" xfId="985" xr:uid="{00000000-0005-0000-0000-000073040000}"/>
    <cellStyle name="0_Veeco SFAS 142 &amp; 144 - Oct 2004 - v11_CardioSolutions 05 31 2007 Final Model 09 27 2007_CompanyABC Valuation Draft Model 04 21 2009 2" xfId="986" xr:uid="{00000000-0005-0000-0000-000074040000}"/>
    <cellStyle name="0_Veeco SFAS 142 &amp; 144 - Oct 2004 - v11_CardioSolutions 05 31 2007 Final Model 09 27 2007_DB" xfId="987" xr:uid="{00000000-0005-0000-0000-000075040000}"/>
    <cellStyle name="0_Veeco SFAS 142 &amp; 144 - Oct 2004 - v11_CardioSolutions 05 31 2007 Final Model 09 27 2007_DB 2" xfId="988" xr:uid="{00000000-0005-0000-0000-000076040000}"/>
    <cellStyle name="0_Veeco SFAS 142 &amp; 144 - Oct 2004 - v11_CardioSolutions 05 31 2007 Final Model 09 27 2007_DB 2 2" xfId="989" xr:uid="{00000000-0005-0000-0000-000077040000}"/>
    <cellStyle name="0_Veeco SFAS 142 &amp; 144 - Oct 2004 - v11_CardioSolutions 05 31 2007 Final Model 09 27 2007_FAS 157 Model Template 04 26 2009" xfId="990" xr:uid="{00000000-0005-0000-0000-000078040000}"/>
    <cellStyle name="0_Veeco SFAS 142 &amp; 144 - Oct 2004 - v11_CardioSolutions 05 31 2007 Final Model 09 27 2007_FAS 157 Model Template 04 26 2009 2" xfId="991" xr:uid="{00000000-0005-0000-0000-000079040000}"/>
    <cellStyle name="0_Veeco SFAS 142 &amp; 144 - Oct 2004 - v11_CardioSolutions 05 31 2007 Final Model 09 27 2007_Miragen VD 05 31 2008 Model 05 22 2009" xfId="992" xr:uid="{00000000-0005-0000-0000-00007A040000}"/>
    <cellStyle name="000" xfId="993" xr:uid="{00000000-0005-0000-0000-00007B040000}"/>
    <cellStyle name="000 MF" xfId="994" xr:uid="{00000000-0005-0000-0000-00007C040000}"/>
    <cellStyle name="000,0" xfId="995" xr:uid="{00000000-0005-0000-0000-00007D040000}"/>
    <cellStyle name="000_Halloween version SPV" xfId="996" xr:uid="{00000000-0005-0000-0000-00007E040000}"/>
    <cellStyle name="0000" xfId="997" xr:uid="{00000000-0005-0000-0000-00007F040000}"/>
    <cellStyle name="000000" xfId="998" xr:uid="{00000000-0005-0000-0000-000080040000}"/>
    <cellStyle name="1,comma" xfId="999" xr:uid="{00000000-0005-0000-0000-000081040000}"/>
    <cellStyle name="1.0 TITLE" xfId="16339" xr:uid="{00000000-0005-0000-0000-000082040000}"/>
    <cellStyle name="1.1 TITLE" xfId="16340" xr:uid="{00000000-0005-0000-0000-000083040000}"/>
    <cellStyle name="1000s1Place" xfId="1000" xr:uid="{00000000-0005-0000-0000-000084040000}"/>
    <cellStyle name="18.xls]Mgmt" xfId="16341" xr:uid="{00000000-0005-0000-0000-000085040000}"/>
    <cellStyle name="1Decimal" xfId="1001" xr:uid="{00000000-0005-0000-0000-000086040000}"/>
    <cellStyle name="1Decimal 2" xfId="1002" xr:uid="{00000000-0005-0000-0000-000087040000}"/>
    <cellStyle name="1Decimal 2 2" xfId="1003" xr:uid="{00000000-0005-0000-0000-000088040000}"/>
    <cellStyle name="1Decimal 3" xfId="1004" xr:uid="{00000000-0005-0000-0000-000089040000}"/>
    <cellStyle name="1Decimal 4" xfId="1005" xr:uid="{00000000-0005-0000-0000-00008A040000}"/>
    <cellStyle name="1Decimal 5" xfId="1006" xr:uid="{00000000-0005-0000-0000-00008B040000}"/>
    <cellStyle name="¹éºÐÀ²_±âÅ¸" xfId="16342" xr:uid="{00000000-0005-0000-0000-00008C040000}"/>
    <cellStyle name="1MMs1Place" xfId="1007" xr:uid="{00000000-0005-0000-0000-00008D040000}"/>
    <cellStyle name="1MMs2Places" xfId="1008" xr:uid="{00000000-0005-0000-0000-00008E040000}"/>
    <cellStyle name="1Normal" xfId="16343" xr:uid="{00000000-0005-0000-0000-00008F040000}"/>
    <cellStyle name="1place" xfId="1009" xr:uid="{00000000-0005-0000-0000-000090040000}"/>
    <cellStyle name="2" xfId="16344" xr:uid="{00000000-0005-0000-0000-000091040000}"/>
    <cellStyle name="2 Decimal Places" xfId="16345" xr:uid="{00000000-0005-0000-0000-000092040000}"/>
    <cellStyle name="20% - Accent1 10" xfId="1010" xr:uid="{00000000-0005-0000-0000-000093040000}"/>
    <cellStyle name="20% - Accent1 10 10" xfId="16391" xr:uid="{00000000-0005-0000-0000-000094040000}"/>
    <cellStyle name="20% - Accent1 10 10 2" xfId="28083" xr:uid="{00000000-0005-0000-0000-000095040000}"/>
    <cellStyle name="20% - Accent1 10 11" xfId="20437" xr:uid="{00000000-0005-0000-0000-000096040000}"/>
    <cellStyle name="20% - Accent1 10 2" xfId="1011" xr:uid="{00000000-0005-0000-0000-000097040000}"/>
    <cellStyle name="20% - Accent1 10 2 2" xfId="1012" xr:uid="{00000000-0005-0000-0000-000098040000}"/>
    <cellStyle name="20% - Accent1 10 2 2 2" xfId="1013" xr:uid="{00000000-0005-0000-0000-000099040000}"/>
    <cellStyle name="20% - Accent1 10 2 2 2 2" xfId="12443" xr:uid="{00000000-0005-0000-0000-00009A040000}"/>
    <cellStyle name="20% - Accent1 10 2 2 2 2 2" xfId="24300" xr:uid="{00000000-0005-0000-0000-00009B040000}"/>
    <cellStyle name="20% - Accent1 10 2 2 2 3" xfId="16394" xr:uid="{00000000-0005-0000-0000-00009C040000}"/>
    <cellStyle name="20% - Accent1 10 2 2 2 3 2" xfId="28086" xr:uid="{00000000-0005-0000-0000-00009D040000}"/>
    <cellStyle name="20% - Accent1 10 2 2 2 4" xfId="20440" xr:uid="{00000000-0005-0000-0000-00009E040000}"/>
    <cellStyle name="20% - Accent1 10 2 2 3" xfId="1014" xr:uid="{00000000-0005-0000-0000-00009F040000}"/>
    <cellStyle name="20% - Accent1 10 2 2 3 2" xfId="12444" xr:uid="{00000000-0005-0000-0000-0000A0040000}"/>
    <cellStyle name="20% - Accent1 10 2 2 3 2 2" xfId="24301" xr:uid="{00000000-0005-0000-0000-0000A1040000}"/>
    <cellStyle name="20% - Accent1 10 2 2 3 3" xfId="16395" xr:uid="{00000000-0005-0000-0000-0000A2040000}"/>
    <cellStyle name="20% - Accent1 10 2 2 3 3 2" xfId="28087" xr:uid="{00000000-0005-0000-0000-0000A3040000}"/>
    <cellStyle name="20% - Accent1 10 2 2 3 4" xfId="20441" xr:uid="{00000000-0005-0000-0000-0000A4040000}"/>
    <cellStyle name="20% - Accent1 10 2 2 4" xfId="12442" xr:uid="{00000000-0005-0000-0000-0000A5040000}"/>
    <cellStyle name="20% - Accent1 10 2 2 4 2" xfId="24299" xr:uid="{00000000-0005-0000-0000-0000A6040000}"/>
    <cellStyle name="20% - Accent1 10 2 2 5" xfId="16393" xr:uid="{00000000-0005-0000-0000-0000A7040000}"/>
    <cellStyle name="20% - Accent1 10 2 2 5 2" xfId="28085" xr:uid="{00000000-0005-0000-0000-0000A8040000}"/>
    <cellStyle name="20% - Accent1 10 2 2 6" xfId="20439" xr:uid="{00000000-0005-0000-0000-0000A9040000}"/>
    <cellStyle name="20% - Accent1 10 2 3" xfId="1015" xr:uid="{00000000-0005-0000-0000-0000AA040000}"/>
    <cellStyle name="20% - Accent1 10 2 3 2" xfId="1016" xr:uid="{00000000-0005-0000-0000-0000AB040000}"/>
    <cellStyle name="20% - Accent1 10 2 3 2 2" xfId="12446" xr:uid="{00000000-0005-0000-0000-0000AC040000}"/>
    <cellStyle name="20% - Accent1 10 2 3 2 2 2" xfId="24303" xr:uid="{00000000-0005-0000-0000-0000AD040000}"/>
    <cellStyle name="20% - Accent1 10 2 3 2 3" xfId="16397" xr:uid="{00000000-0005-0000-0000-0000AE040000}"/>
    <cellStyle name="20% - Accent1 10 2 3 2 3 2" xfId="28089" xr:uid="{00000000-0005-0000-0000-0000AF040000}"/>
    <cellStyle name="20% - Accent1 10 2 3 2 4" xfId="20443" xr:uid="{00000000-0005-0000-0000-0000B0040000}"/>
    <cellStyle name="20% - Accent1 10 2 3 3" xfId="1017" xr:uid="{00000000-0005-0000-0000-0000B1040000}"/>
    <cellStyle name="20% - Accent1 10 2 3 3 2" xfId="12447" xr:uid="{00000000-0005-0000-0000-0000B2040000}"/>
    <cellStyle name="20% - Accent1 10 2 3 3 2 2" xfId="24304" xr:uid="{00000000-0005-0000-0000-0000B3040000}"/>
    <cellStyle name="20% - Accent1 10 2 3 3 3" xfId="16398" xr:uid="{00000000-0005-0000-0000-0000B4040000}"/>
    <cellStyle name="20% - Accent1 10 2 3 3 3 2" xfId="28090" xr:uid="{00000000-0005-0000-0000-0000B5040000}"/>
    <cellStyle name="20% - Accent1 10 2 3 3 4" xfId="20444" xr:uid="{00000000-0005-0000-0000-0000B6040000}"/>
    <cellStyle name="20% - Accent1 10 2 3 4" xfId="12445" xr:uid="{00000000-0005-0000-0000-0000B7040000}"/>
    <cellStyle name="20% - Accent1 10 2 3 4 2" xfId="24302" xr:uid="{00000000-0005-0000-0000-0000B8040000}"/>
    <cellStyle name="20% - Accent1 10 2 3 5" xfId="16396" xr:uid="{00000000-0005-0000-0000-0000B9040000}"/>
    <cellStyle name="20% - Accent1 10 2 3 5 2" xfId="28088" xr:uid="{00000000-0005-0000-0000-0000BA040000}"/>
    <cellStyle name="20% - Accent1 10 2 3 6" xfId="20442" xr:uid="{00000000-0005-0000-0000-0000BB040000}"/>
    <cellStyle name="20% - Accent1 10 2 4" xfId="1018" xr:uid="{00000000-0005-0000-0000-0000BC040000}"/>
    <cellStyle name="20% - Accent1 10 2 4 2" xfId="1019" xr:uid="{00000000-0005-0000-0000-0000BD040000}"/>
    <cellStyle name="20% - Accent1 10 2 4 2 2" xfId="12449" xr:uid="{00000000-0005-0000-0000-0000BE040000}"/>
    <cellStyle name="20% - Accent1 10 2 4 2 2 2" xfId="24306" xr:uid="{00000000-0005-0000-0000-0000BF040000}"/>
    <cellStyle name="20% - Accent1 10 2 4 2 3" xfId="16400" xr:uid="{00000000-0005-0000-0000-0000C0040000}"/>
    <cellStyle name="20% - Accent1 10 2 4 2 3 2" xfId="28092" xr:uid="{00000000-0005-0000-0000-0000C1040000}"/>
    <cellStyle name="20% - Accent1 10 2 4 2 4" xfId="20446" xr:uid="{00000000-0005-0000-0000-0000C2040000}"/>
    <cellStyle name="20% - Accent1 10 2 4 3" xfId="1020" xr:uid="{00000000-0005-0000-0000-0000C3040000}"/>
    <cellStyle name="20% - Accent1 10 2 4 3 2" xfId="12450" xr:uid="{00000000-0005-0000-0000-0000C4040000}"/>
    <cellStyle name="20% - Accent1 10 2 4 3 2 2" xfId="24307" xr:uid="{00000000-0005-0000-0000-0000C5040000}"/>
    <cellStyle name="20% - Accent1 10 2 4 3 3" xfId="16401" xr:uid="{00000000-0005-0000-0000-0000C6040000}"/>
    <cellStyle name="20% - Accent1 10 2 4 3 3 2" xfId="28093" xr:uid="{00000000-0005-0000-0000-0000C7040000}"/>
    <cellStyle name="20% - Accent1 10 2 4 3 4" xfId="20447" xr:uid="{00000000-0005-0000-0000-0000C8040000}"/>
    <cellStyle name="20% - Accent1 10 2 4 4" xfId="12448" xr:uid="{00000000-0005-0000-0000-0000C9040000}"/>
    <cellStyle name="20% - Accent1 10 2 4 4 2" xfId="24305" xr:uid="{00000000-0005-0000-0000-0000CA040000}"/>
    <cellStyle name="20% - Accent1 10 2 4 5" xfId="16399" xr:uid="{00000000-0005-0000-0000-0000CB040000}"/>
    <cellStyle name="20% - Accent1 10 2 4 5 2" xfId="28091" xr:uid="{00000000-0005-0000-0000-0000CC040000}"/>
    <cellStyle name="20% - Accent1 10 2 4 6" xfId="20445" xr:uid="{00000000-0005-0000-0000-0000CD040000}"/>
    <cellStyle name="20% - Accent1 10 2 5" xfId="1021" xr:uid="{00000000-0005-0000-0000-0000CE040000}"/>
    <cellStyle name="20% - Accent1 10 2 5 2" xfId="12451" xr:uid="{00000000-0005-0000-0000-0000CF040000}"/>
    <cellStyle name="20% - Accent1 10 2 5 2 2" xfId="24308" xr:uid="{00000000-0005-0000-0000-0000D0040000}"/>
    <cellStyle name="20% - Accent1 10 2 5 3" xfId="16402" xr:uid="{00000000-0005-0000-0000-0000D1040000}"/>
    <cellStyle name="20% - Accent1 10 2 5 3 2" xfId="28094" xr:uid="{00000000-0005-0000-0000-0000D2040000}"/>
    <cellStyle name="20% - Accent1 10 2 5 4" xfId="20448" xr:uid="{00000000-0005-0000-0000-0000D3040000}"/>
    <cellStyle name="20% - Accent1 10 2 6" xfId="1022" xr:uid="{00000000-0005-0000-0000-0000D4040000}"/>
    <cellStyle name="20% - Accent1 10 2 6 2" xfId="12452" xr:uid="{00000000-0005-0000-0000-0000D5040000}"/>
    <cellStyle name="20% - Accent1 10 2 6 2 2" xfId="24309" xr:uid="{00000000-0005-0000-0000-0000D6040000}"/>
    <cellStyle name="20% - Accent1 10 2 6 3" xfId="16403" xr:uid="{00000000-0005-0000-0000-0000D7040000}"/>
    <cellStyle name="20% - Accent1 10 2 6 3 2" xfId="28095" xr:uid="{00000000-0005-0000-0000-0000D8040000}"/>
    <cellStyle name="20% - Accent1 10 2 6 4" xfId="20449" xr:uid="{00000000-0005-0000-0000-0000D9040000}"/>
    <cellStyle name="20% - Accent1 10 2 7" xfId="12441" xr:uid="{00000000-0005-0000-0000-0000DA040000}"/>
    <cellStyle name="20% - Accent1 10 2 7 2" xfId="24298" xr:uid="{00000000-0005-0000-0000-0000DB040000}"/>
    <cellStyle name="20% - Accent1 10 2 8" xfId="16392" xr:uid="{00000000-0005-0000-0000-0000DC040000}"/>
    <cellStyle name="20% - Accent1 10 2 8 2" xfId="28084" xr:uid="{00000000-0005-0000-0000-0000DD040000}"/>
    <cellStyle name="20% - Accent1 10 2 9" xfId="20438" xr:uid="{00000000-0005-0000-0000-0000DE040000}"/>
    <cellStyle name="20% - Accent1 10 2_Volatility" xfId="1023" xr:uid="{00000000-0005-0000-0000-0000DF040000}"/>
    <cellStyle name="20% - Accent1 10 3" xfId="1024" xr:uid="{00000000-0005-0000-0000-0000E0040000}"/>
    <cellStyle name="20% - Accent1 10 3 2" xfId="1025" xr:uid="{00000000-0005-0000-0000-0000E1040000}"/>
    <cellStyle name="20% - Accent1 10 3 2 2" xfId="1026" xr:uid="{00000000-0005-0000-0000-0000E2040000}"/>
    <cellStyle name="20% - Accent1 10 3 2 2 2" xfId="12455" xr:uid="{00000000-0005-0000-0000-0000E3040000}"/>
    <cellStyle name="20% - Accent1 10 3 2 2 2 2" xfId="24312" xr:uid="{00000000-0005-0000-0000-0000E4040000}"/>
    <cellStyle name="20% - Accent1 10 3 2 2 3" xfId="16406" xr:uid="{00000000-0005-0000-0000-0000E5040000}"/>
    <cellStyle name="20% - Accent1 10 3 2 2 3 2" xfId="28098" xr:uid="{00000000-0005-0000-0000-0000E6040000}"/>
    <cellStyle name="20% - Accent1 10 3 2 2 4" xfId="20452" xr:uid="{00000000-0005-0000-0000-0000E7040000}"/>
    <cellStyle name="20% - Accent1 10 3 2 3" xfId="1027" xr:uid="{00000000-0005-0000-0000-0000E8040000}"/>
    <cellStyle name="20% - Accent1 10 3 2 3 2" xfId="12456" xr:uid="{00000000-0005-0000-0000-0000E9040000}"/>
    <cellStyle name="20% - Accent1 10 3 2 3 2 2" xfId="24313" xr:uid="{00000000-0005-0000-0000-0000EA040000}"/>
    <cellStyle name="20% - Accent1 10 3 2 3 3" xfId="16407" xr:uid="{00000000-0005-0000-0000-0000EB040000}"/>
    <cellStyle name="20% - Accent1 10 3 2 3 3 2" xfId="28099" xr:uid="{00000000-0005-0000-0000-0000EC040000}"/>
    <cellStyle name="20% - Accent1 10 3 2 3 4" xfId="20453" xr:uid="{00000000-0005-0000-0000-0000ED040000}"/>
    <cellStyle name="20% - Accent1 10 3 2 4" xfId="12454" xr:uid="{00000000-0005-0000-0000-0000EE040000}"/>
    <cellStyle name="20% - Accent1 10 3 2 4 2" xfId="24311" xr:uid="{00000000-0005-0000-0000-0000EF040000}"/>
    <cellStyle name="20% - Accent1 10 3 2 5" xfId="16405" xr:uid="{00000000-0005-0000-0000-0000F0040000}"/>
    <cellStyle name="20% - Accent1 10 3 2 5 2" xfId="28097" xr:uid="{00000000-0005-0000-0000-0000F1040000}"/>
    <cellStyle name="20% - Accent1 10 3 2 6" xfId="20451" xr:uid="{00000000-0005-0000-0000-0000F2040000}"/>
    <cellStyle name="20% - Accent1 10 3 3" xfId="1028" xr:uid="{00000000-0005-0000-0000-0000F3040000}"/>
    <cellStyle name="20% - Accent1 10 3 3 2" xfId="1029" xr:uid="{00000000-0005-0000-0000-0000F4040000}"/>
    <cellStyle name="20% - Accent1 10 3 3 2 2" xfId="12458" xr:uid="{00000000-0005-0000-0000-0000F5040000}"/>
    <cellStyle name="20% - Accent1 10 3 3 2 2 2" xfId="24315" xr:uid="{00000000-0005-0000-0000-0000F6040000}"/>
    <cellStyle name="20% - Accent1 10 3 3 2 3" xfId="16409" xr:uid="{00000000-0005-0000-0000-0000F7040000}"/>
    <cellStyle name="20% - Accent1 10 3 3 2 3 2" xfId="28101" xr:uid="{00000000-0005-0000-0000-0000F8040000}"/>
    <cellStyle name="20% - Accent1 10 3 3 2 4" xfId="20455" xr:uid="{00000000-0005-0000-0000-0000F9040000}"/>
    <cellStyle name="20% - Accent1 10 3 3 3" xfId="1030" xr:uid="{00000000-0005-0000-0000-0000FA040000}"/>
    <cellStyle name="20% - Accent1 10 3 3 3 2" xfId="12459" xr:uid="{00000000-0005-0000-0000-0000FB040000}"/>
    <cellStyle name="20% - Accent1 10 3 3 3 2 2" xfId="24316" xr:uid="{00000000-0005-0000-0000-0000FC040000}"/>
    <cellStyle name="20% - Accent1 10 3 3 3 3" xfId="16410" xr:uid="{00000000-0005-0000-0000-0000FD040000}"/>
    <cellStyle name="20% - Accent1 10 3 3 3 3 2" xfId="28102" xr:uid="{00000000-0005-0000-0000-0000FE040000}"/>
    <cellStyle name="20% - Accent1 10 3 3 3 4" xfId="20456" xr:uid="{00000000-0005-0000-0000-0000FF040000}"/>
    <cellStyle name="20% - Accent1 10 3 3 4" xfId="12457" xr:uid="{00000000-0005-0000-0000-000000050000}"/>
    <cellStyle name="20% - Accent1 10 3 3 4 2" xfId="24314" xr:uid="{00000000-0005-0000-0000-000001050000}"/>
    <cellStyle name="20% - Accent1 10 3 3 5" xfId="16408" xr:uid="{00000000-0005-0000-0000-000002050000}"/>
    <cellStyle name="20% - Accent1 10 3 3 5 2" xfId="28100" xr:uid="{00000000-0005-0000-0000-000003050000}"/>
    <cellStyle name="20% - Accent1 10 3 3 6" xfId="20454" xr:uid="{00000000-0005-0000-0000-000004050000}"/>
    <cellStyle name="20% - Accent1 10 3 4" xfId="1031" xr:uid="{00000000-0005-0000-0000-000005050000}"/>
    <cellStyle name="20% - Accent1 10 3 4 2" xfId="12460" xr:uid="{00000000-0005-0000-0000-000006050000}"/>
    <cellStyle name="20% - Accent1 10 3 4 2 2" xfId="24317" xr:uid="{00000000-0005-0000-0000-000007050000}"/>
    <cellStyle name="20% - Accent1 10 3 4 3" xfId="16411" xr:uid="{00000000-0005-0000-0000-000008050000}"/>
    <cellStyle name="20% - Accent1 10 3 4 3 2" xfId="28103" xr:uid="{00000000-0005-0000-0000-000009050000}"/>
    <cellStyle name="20% - Accent1 10 3 4 4" xfId="20457" xr:uid="{00000000-0005-0000-0000-00000A050000}"/>
    <cellStyle name="20% - Accent1 10 3 5" xfId="1032" xr:uid="{00000000-0005-0000-0000-00000B050000}"/>
    <cellStyle name="20% - Accent1 10 3 5 2" xfId="12461" xr:uid="{00000000-0005-0000-0000-00000C050000}"/>
    <cellStyle name="20% - Accent1 10 3 5 2 2" xfId="24318" xr:uid="{00000000-0005-0000-0000-00000D050000}"/>
    <cellStyle name="20% - Accent1 10 3 5 3" xfId="16412" xr:uid="{00000000-0005-0000-0000-00000E050000}"/>
    <cellStyle name="20% - Accent1 10 3 5 3 2" xfId="28104" xr:uid="{00000000-0005-0000-0000-00000F050000}"/>
    <cellStyle name="20% - Accent1 10 3 5 4" xfId="20458" xr:uid="{00000000-0005-0000-0000-000010050000}"/>
    <cellStyle name="20% - Accent1 10 3 6" xfId="12453" xr:uid="{00000000-0005-0000-0000-000011050000}"/>
    <cellStyle name="20% - Accent1 10 3 6 2" xfId="24310" xr:uid="{00000000-0005-0000-0000-000012050000}"/>
    <cellStyle name="20% - Accent1 10 3 7" xfId="16404" xr:uid="{00000000-0005-0000-0000-000013050000}"/>
    <cellStyle name="20% - Accent1 10 3 7 2" xfId="28096" xr:uid="{00000000-0005-0000-0000-000014050000}"/>
    <cellStyle name="20% - Accent1 10 3 8" xfId="20450" xr:uid="{00000000-0005-0000-0000-000015050000}"/>
    <cellStyle name="20% - Accent1 10 3_Volatility" xfId="1033" xr:uid="{00000000-0005-0000-0000-000016050000}"/>
    <cellStyle name="20% - Accent1 10 4" xfId="1034" xr:uid="{00000000-0005-0000-0000-000017050000}"/>
    <cellStyle name="20% - Accent1 10 4 2" xfId="1035" xr:uid="{00000000-0005-0000-0000-000018050000}"/>
    <cellStyle name="20% - Accent1 10 4 2 2" xfId="12463" xr:uid="{00000000-0005-0000-0000-000019050000}"/>
    <cellStyle name="20% - Accent1 10 4 2 2 2" xfId="24320" xr:uid="{00000000-0005-0000-0000-00001A050000}"/>
    <cellStyle name="20% - Accent1 10 4 2 3" xfId="16414" xr:uid="{00000000-0005-0000-0000-00001B050000}"/>
    <cellStyle name="20% - Accent1 10 4 2 3 2" xfId="28106" xr:uid="{00000000-0005-0000-0000-00001C050000}"/>
    <cellStyle name="20% - Accent1 10 4 2 4" xfId="20460" xr:uid="{00000000-0005-0000-0000-00001D050000}"/>
    <cellStyle name="20% - Accent1 10 4 3" xfId="1036" xr:uid="{00000000-0005-0000-0000-00001E050000}"/>
    <cellStyle name="20% - Accent1 10 4 3 2" xfId="12464" xr:uid="{00000000-0005-0000-0000-00001F050000}"/>
    <cellStyle name="20% - Accent1 10 4 3 2 2" xfId="24321" xr:uid="{00000000-0005-0000-0000-000020050000}"/>
    <cellStyle name="20% - Accent1 10 4 3 3" xfId="16415" xr:uid="{00000000-0005-0000-0000-000021050000}"/>
    <cellStyle name="20% - Accent1 10 4 3 3 2" xfId="28107" xr:uid="{00000000-0005-0000-0000-000022050000}"/>
    <cellStyle name="20% - Accent1 10 4 3 4" xfId="20461" xr:uid="{00000000-0005-0000-0000-000023050000}"/>
    <cellStyle name="20% - Accent1 10 4 4" xfId="12462" xr:uid="{00000000-0005-0000-0000-000024050000}"/>
    <cellStyle name="20% - Accent1 10 4 4 2" xfId="24319" xr:uid="{00000000-0005-0000-0000-000025050000}"/>
    <cellStyle name="20% - Accent1 10 4 5" xfId="16413" xr:uid="{00000000-0005-0000-0000-000026050000}"/>
    <cellStyle name="20% - Accent1 10 4 5 2" xfId="28105" xr:uid="{00000000-0005-0000-0000-000027050000}"/>
    <cellStyle name="20% - Accent1 10 4 6" xfId="20459" xr:uid="{00000000-0005-0000-0000-000028050000}"/>
    <cellStyle name="20% - Accent1 10 5" xfId="1037" xr:uid="{00000000-0005-0000-0000-000029050000}"/>
    <cellStyle name="20% - Accent1 10 5 2" xfId="1038" xr:uid="{00000000-0005-0000-0000-00002A050000}"/>
    <cellStyle name="20% - Accent1 10 5 2 2" xfId="12466" xr:uid="{00000000-0005-0000-0000-00002B050000}"/>
    <cellStyle name="20% - Accent1 10 5 2 2 2" xfId="24323" xr:uid="{00000000-0005-0000-0000-00002C050000}"/>
    <cellStyle name="20% - Accent1 10 5 2 3" xfId="16417" xr:uid="{00000000-0005-0000-0000-00002D050000}"/>
    <cellStyle name="20% - Accent1 10 5 2 3 2" xfId="28109" xr:uid="{00000000-0005-0000-0000-00002E050000}"/>
    <cellStyle name="20% - Accent1 10 5 2 4" xfId="20463" xr:uid="{00000000-0005-0000-0000-00002F050000}"/>
    <cellStyle name="20% - Accent1 10 5 3" xfId="1039" xr:uid="{00000000-0005-0000-0000-000030050000}"/>
    <cellStyle name="20% - Accent1 10 5 3 2" xfId="12467" xr:uid="{00000000-0005-0000-0000-000031050000}"/>
    <cellStyle name="20% - Accent1 10 5 3 2 2" xfId="24324" xr:uid="{00000000-0005-0000-0000-000032050000}"/>
    <cellStyle name="20% - Accent1 10 5 3 3" xfId="16418" xr:uid="{00000000-0005-0000-0000-000033050000}"/>
    <cellStyle name="20% - Accent1 10 5 3 3 2" xfId="28110" xr:uid="{00000000-0005-0000-0000-000034050000}"/>
    <cellStyle name="20% - Accent1 10 5 3 4" xfId="20464" xr:uid="{00000000-0005-0000-0000-000035050000}"/>
    <cellStyle name="20% - Accent1 10 5 4" xfId="12465" xr:uid="{00000000-0005-0000-0000-000036050000}"/>
    <cellStyle name="20% - Accent1 10 5 4 2" xfId="24322" xr:uid="{00000000-0005-0000-0000-000037050000}"/>
    <cellStyle name="20% - Accent1 10 5 5" xfId="16416" xr:uid="{00000000-0005-0000-0000-000038050000}"/>
    <cellStyle name="20% - Accent1 10 5 5 2" xfId="28108" xr:uid="{00000000-0005-0000-0000-000039050000}"/>
    <cellStyle name="20% - Accent1 10 5 6" xfId="20462" xr:uid="{00000000-0005-0000-0000-00003A050000}"/>
    <cellStyle name="20% - Accent1 10 6" xfId="1040" xr:uid="{00000000-0005-0000-0000-00003B050000}"/>
    <cellStyle name="20% - Accent1 10 6 2" xfId="1041" xr:uid="{00000000-0005-0000-0000-00003C050000}"/>
    <cellStyle name="20% - Accent1 10 6 2 2" xfId="12469" xr:uid="{00000000-0005-0000-0000-00003D050000}"/>
    <cellStyle name="20% - Accent1 10 6 2 2 2" xfId="24326" xr:uid="{00000000-0005-0000-0000-00003E050000}"/>
    <cellStyle name="20% - Accent1 10 6 2 3" xfId="16420" xr:uid="{00000000-0005-0000-0000-00003F050000}"/>
    <cellStyle name="20% - Accent1 10 6 2 3 2" xfId="28112" xr:uid="{00000000-0005-0000-0000-000040050000}"/>
    <cellStyle name="20% - Accent1 10 6 2 4" xfId="20466" xr:uid="{00000000-0005-0000-0000-000041050000}"/>
    <cellStyle name="20% - Accent1 10 6 3" xfId="1042" xr:uid="{00000000-0005-0000-0000-000042050000}"/>
    <cellStyle name="20% - Accent1 10 6 3 2" xfId="12470" xr:uid="{00000000-0005-0000-0000-000043050000}"/>
    <cellStyle name="20% - Accent1 10 6 3 2 2" xfId="24327" xr:uid="{00000000-0005-0000-0000-000044050000}"/>
    <cellStyle name="20% - Accent1 10 6 3 3" xfId="16421" xr:uid="{00000000-0005-0000-0000-000045050000}"/>
    <cellStyle name="20% - Accent1 10 6 3 3 2" xfId="28113" xr:uid="{00000000-0005-0000-0000-000046050000}"/>
    <cellStyle name="20% - Accent1 10 6 3 4" xfId="20467" xr:uid="{00000000-0005-0000-0000-000047050000}"/>
    <cellStyle name="20% - Accent1 10 6 4" xfId="12468" xr:uid="{00000000-0005-0000-0000-000048050000}"/>
    <cellStyle name="20% - Accent1 10 6 4 2" xfId="24325" xr:uid="{00000000-0005-0000-0000-000049050000}"/>
    <cellStyle name="20% - Accent1 10 6 5" xfId="16419" xr:uid="{00000000-0005-0000-0000-00004A050000}"/>
    <cellStyle name="20% - Accent1 10 6 5 2" xfId="28111" xr:uid="{00000000-0005-0000-0000-00004B050000}"/>
    <cellStyle name="20% - Accent1 10 6 6" xfId="20465" xr:uid="{00000000-0005-0000-0000-00004C050000}"/>
    <cellStyle name="20% - Accent1 10 7" xfId="1043" xr:uid="{00000000-0005-0000-0000-00004D050000}"/>
    <cellStyle name="20% - Accent1 10 7 2" xfId="12471" xr:uid="{00000000-0005-0000-0000-00004E050000}"/>
    <cellStyle name="20% - Accent1 10 7 2 2" xfId="24328" xr:uid="{00000000-0005-0000-0000-00004F050000}"/>
    <cellStyle name="20% - Accent1 10 7 3" xfId="16422" xr:uid="{00000000-0005-0000-0000-000050050000}"/>
    <cellStyle name="20% - Accent1 10 7 3 2" xfId="28114" xr:uid="{00000000-0005-0000-0000-000051050000}"/>
    <cellStyle name="20% - Accent1 10 7 4" xfId="20468" xr:uid="{00000000-0005-0000-0000-000052050000}"/>
    <cellStyle name="20% - Accent1 10 8" xfId="1044" xr:uid="{00000000-0005-0000-0000-000053050000}"/>
    <cellStyle name="20% - Accent1 10 8 2" xfId="12472" xr:uid="{00000000-0005-0000-0000-000054050000}"/>
    <cellStyle name="20% - Accent1 10 8 2 2" xfId="24329" xr:uid="{00000000-0005-0000-0000-000055050000}"/>
    <cellStyle name="20% - Accent1 10 8 3" xfId="16423" xr:uid="{00000000-0005-0000-0000-000056050000}"/>
    <cellStyle name="20% - Accent1 10 8 3 2" xfId="28115" xr:uid="{00000000-0005-0000-0000-000057050000}"/>
    <cellStyle name="20% - Accent1 10 8 4" xfId="20469" xr:uid="{00000000-0005-0000-0000-000058050000}"/>
    <cellStyle name="20% - Accent1 10 9" xfId="12440" xr:uid="{00000000-0005-0000-0000-000059050000}"/>
    <cellStyle name="20% - Accent1 10 9 2" xfId="24297" xr:uid="{00000000-0005-0000-0000-00005A050000}"/>
    <cellStyle name="20% - Accent1 10_Volatility" xfId="1045" xr:uid="{00000000-0005-0000-0000-00005B050000}"/>
    <cellStyle name="20% - Accent1 11" xfId="1046" xr:uid="{00000000-0005-0000-0000-00005C050000}"/>
    <cellStyle name="20% - Accent1 11 10" xfId="16424" xr:uid="{00000000-0005-0000-0000-00005D050000}"/>
    <cellStyle name="20% - Accent1 11 10 2" xfId="28116" xr:uid="{00000000-0005-0000-0000-00005E050000}"/>
    <cellStyle name="20% - Accent1 11 11" xfId="20470" xr:uid="{00000000-0005-0000-0000-00005F050000}"/>
    <cellStyle name="20% - Accent1 11 2" xfId="1047" xr:uid="{00000000-0005-0000-0000-000060050000}"/>
    <cellStyle name="20% - Accent1 11 2 2" xfId="1048" xr:uid="{00000000-0005-0000-0000-000061050000}"/>
    <cellStyle name="20% - Accent1 11 2 2 2" xfId="1049" xr:uid="{00000000-0005-0000-0000-000062050000}"/>
    <cellStyle name="20% - Accent1 11 2 2 2 2" xfId="12476" xr:uid="{00000000-0005-0000-0000-000063050000}"/>
    <cellStyle name="20% - Accent1 11 2 2 2 2 2" xfId="24333" xr:uid="{00000000-0005-0000-0000-000064050000}"/>
    <cellStyle name="20% - Accent1 11 2 2 2 3" xfId="16427" xr:uid="{00000000-0005-0000-0000-000065050000}"/>
    <cellStyle name="20% - Accent1 11 2 2 2 3 2" xfId="28119" xr:uid="{00000000-0005-0000-0000-000066050000}"/>
    <cellStyle name="20% - Accent1 11 2 2 2 4" xfId="20473" xr:uid="{00000000-0005-0000-0000-000067050000}"/>
    <cellStyle name="20% - Accent1 11 2 2 3" xfId="1050" xr:uid="{00000000-0005-0000-0000-000068050000}"/>
    <cellStyle name="20% - Accent1 11 2 2 3 2" xfId="12477" xr:uid="{00000000-0005-0000-0000-000069050000}"/>
    <cellStyle name="20% - Accent1 11 2 2 3 2 2" xfId="24334" xr:uid="{00000000-0005-0000-0000-00006A050000}"/>
    <cellStyle name="20% - Accent1 11 2 2 3 3" xfId="16428" xr:uid="{00000000-0005-0000-0000-00006B050000}"/>
    <cellStyle name="20% - Accent1 11 2 2 3 3 2" xfId="28120" xr:uid="{00000000-0005-0000-0000-00006C050000}"/>
    <cellStyle name="20% - Accent1 11 2 2 3 4" xfId="20474" xr:uid="{00000000-0005-0000-0000-00006D050000}"/>
    <cellStyle name="20% - Accent1 11 2 2 4" xfId="12475" xr:uid="{00000000-0005-0000-0000-00006E050000}"/>
    <cellStyle name="20% - Accent1 11 2 2 4 2" xfId="24332" xr:uid="{00000000-0005-0000-0000-00006F050000}"/>
    <cellStyle name="20% - Accent1 11 2 2 5" xfId="16426" xr:uid="{00000000-0005-0000-0000-000070050000}"/>
    <cellStyle name="20% - Accent1 11 2 2 5 2" xfId="28118" xr:uid="{00000000-0005-0000-0000-000071050000}"/>
    <cellStyle name="20% - Accent1 11 2 2 6" xfId="20472" xr:uid="{00000000-0005-0000-0000-000072050000}"/>
    <cellStyle name="20% - Accent1 11 2 3" xfId="1051" xr:uid="{00000000-0005-0000-0000-000073050000}"/>
    <cellStyle name="20% - Accent1 11 2 3 2" xfId="1052" xr:uid="{00000000-0005-0000-0000-000074050000}"/>
    <cellStyle name="20% - Accent1 11 2 3 2 2" xfId="12479" xr:uid="{00000000-0005-0000-0000-000075050000}"/>
    <cellStyle name="20% - Accent1 11 2 3 2 2 2" xfId="24336" xr:uid="{00000000-0005-0000-0000-000076050000}"/>
    <cellStyle name="20% - Accent1 11 2 3 2 3" xfId="16430" xr:uid="{00000000-0005-0000-0000-000077050000}"/>
    <cellStyle name="20% - Accent1 11 2 3 2 3 2" xfId="28122" xr:uid="{00000000-0005-0000-0000-000078050000}"/>
    <cellStyle name="20% - Accent1 11 2 3 2 4" xfId="20476" xr:uid="{00000000-0005-0000-0000-000079050000}"/>
    <cellStyle name="20% - Accent1 11 2 3 3" xfId="1053" xr:uid="{00000000-0005-0000-0000-00007A050000}"/>
    <cellStyle name="20% - Accent1 11 2 3 3 2" xfId="12480" xr:uid="{00000000-0005-0000-0000-00007B050000}"/>
    <cellStyle name="20% - Accent1 11 2 3 3 2 2" xfId="24337" xr:uid="{00000000-0005-0000-0000-00007C050000}"/>
    <cellStyle name="20% - Accent1 11 2 3 3 3" xfId="16431" xr:uid="{00000000-0005-0000-0000-00007D050000}"/>
    <cellStyle name="20% - Accent1 11 2 3 3 3 2" xfId="28123" xr:uid="{00000000-0005-0000-0000-00007E050000}"/>
    <cellStyle name="20% - Accent1 11 2 3 3 4" xfId="20477" xr:uid="{00000000-0005-0000-0000-00007F050000}"/>
    <cellStyle name="20% - Accent1 11 2 3 4" xfId="12478" xr:uid="{00000000-0005-0000-0000-000080050000}"/>
    <cellStyle name="20% - Accent1 11 2 3 4 2" xfId="24335" xr:uid="{00000000-0005-0000-0000-000081050000}"/>
    <cellStyle name="20% - Accent1 11 2 3 5" xfId="16429" xr:uid="{00000000-0005-0000-0000-000082050000}"/>
    <cellStyle name="20% - Accent1 11 2 3 5 2" xfId="28121" xr:uid="{00000000-0005-0000-0000-000083050000}"/>
    <cellStyle name="20% - Accent1 11 2 3 6" xfId="20475" xr:uid="{00000000-0005-0000-0000-000084050000}"/>
    <cellStyle name="20% - Accent1 11 2 4" xfId="1054" xr:uid="{00000000-0005-0000-0000-000085050000}"/>
    <cellStyle name="20% - Accent1 11 2 4 2" xfId="1055" xr:uid="{00000000-0005-0000-0000-000086050000}"/>
    <cellStyle name="20% - Accent1 11 2 4 2 2" xfId="12482" xr:uid="{00000000-0005-0000-0000-000087050000}"/>
    <cellStyle name="20% - Accent1 11 2 4 2 2 2" xfId="24339" xr:uid="{00000000-0005-0000-0000-000088050000}"/>
    <cellStyle name="20% - Accent1 11 2 4 2 3" xfId="16433" xr:uid="{00000000-0005-0000-0000-000089050000}"/>
    <cellStyle name="20% - Accent1 11 2 4 2 3 2" xfId="28125" xr:uid="{00000000-0005-0000-0000-00008A050000}"/>
    <cellStyle name="20% - Accent1 11 2 4 2 4" xfId="20479" xr:uid="{00000000-0005-0000-0000-00008B050000}"/>
    <cellStyle name="20% - Accent1 11 2 4 3" xfId="1056" xr:uid="{00000000-0005-0000-0000-00008C050000}"/>
    <cellStyle name="20% - Accent1 11 2 4 3 2" xfId="12483" xr:uid="{00000000-0005-0000-0000-00008D050000}"/>
    <cellStyle name="20% - Accent1 11 2 4 3 2 2" xfId="24340" xr:uid="{00000000-0005-0000-0000-00008E050000}"/>
    <cellStyle name="20% - Accent1 11 2 4 3 3" xfId="16434" xr:uid="{00000000-0005-0000-0000-00008F050000}"/>
    <cellStyle name="20% - Accent1 11 2 4 3 3 2" xfId="28126" xr:uid="{00000000-0005-0000-0000-000090050000}"/>
    <cellStyle name="20% - Accent1 11 2 4 3 4" xfId="20480" xr:uid="{00000000-0005-0000-0000-000091050000}"/>
    <cellStyle name="20% - Accent1 11 2 4 4" xfId="12481" xr:uid="{00000000-0005-0000-0000-000092050000}"/>
    <cellStyle name="20% - Accent1 11 2 4 4 2" xfId="24338" xr:uid="{00000000-0005-0000-0000-000093050000}"/>
    <cellStyle name="20% - Accent1 11 2 4 5" xfId="16432" xr:uid="{00000000-0005-0000-0000-000094050000}"/>
    <cellStyle name="20% - Accent1 11 2 4 5 2" xfId="28124" xr:uid="{00000000-0005-0000-0000-000095050000}"/>
    <cellStyle name="20% - Accent1 11 2 4 6" xfId="20478" xr:uid="{00000000-0005-0000-0000-000096050000}"/>
    <cellStyle name="20% - Accent1 11 2 5" xfId="1057" xr:uid="{00000000-0005-0000-0000-000097050000}"/>
    <cellStyle name="20% - Accent1 11 2 5 2" xfId="12484" xr:uid="{00000000-0005-0000-0000-000098050000}"/>
    <cellStyle name="20% - Accent1 11 2 5 2 2" xfId="24341" xr:uid="{00000000-0005-0000-0000-000099050000}"/>
    <cellStyle name="20% - Accent1 11 2 5 3" xfId="16435" xr:uid="{00000000-0005-0000-0000-00009A050000}"/>
    <cellStyle name="20% - Accent1 11 2 5 3 2" xfId="28127" xr:uid="{00000000-0005-0000-0000-00009B050000}"/>
    <cellStyle name="20% - Accent1 11 2 5 4" xfId="20481" xr:uid="{00000000-0005-0000-0000-00009C050000}"/>
    <cellStyle name="20% - Accent1 11 2 6" xfId="1058" xr:uid="{00000000-0005-0000-0000-00009D050000}"/>
    <cellStyle name="20% - Accent1 11 2 6 2" xfId="12485" xr:uid="{00000000-0005-0000-0000-00009E050000}"/>
    <cellStyle name="20% - Accent1 11 2 6 2 2" xfId="24342" xr:uid="{00000000-0005-0000-0000-00009F050000}"/>
    <cellStyle name="20% - Accent1 11 2 6 3" xfId="16436" xr:uid="{00000000-0005-0000-0000-0000A0050000}"/>
    <cellStyle name="20% - Accent1 11 2 6 3 2" xfId="28128" xr:uid="{00000000-0005-0000-0000-0000A1050000}"/>
    <cellStyle name="20% - Accent1 11 2 6 4" xfId="20482" xr:uid="{00000000-0005-0000-0000-0000A2050000}"/>
    <cellStyle name="20% - Accent1 11 2 7" xfId="12474" xr:uid="{00000000-0005-0000-0000-0000A3050000}"/>
    <cellStyle name="20% - Accent1 11 2 7 2" xfId="24331" xr:uid="{00000000-0005-0000-0000-0000A4050000}"/>
    <cellStyle name="20% - Accent1 11 2 8" xfId="16425" xr:uid="{00000000-0005-0000-0000-0000A5050000}"/>
    <cellStyle name="20% - Accent1 11 2 8 2" xfId="28117" xr:uid="{00000000-0005-0000-0000-0000A6050000}"/>
    <cellStyle name="20% - Accent1 11 2 9" xfId="20471" xr:uid="{00000000-0005-0000-0000-0000A7050000}"/>
    <cellStyle name="20% - Accent1 11 2_Volatility" xfId="1059" xr:uid="{00000000-0005-0000-0000-0000A8050000}"/>
    <cellStyle name="20% - Accent1 11 3" xfId="1060" xr:uid="{00000000-0005-0000-0000-0000A9050000}"/>
    <cellStyle name="20% - Accent1 11 3 2" xfId="1061" xr:uid="{00000000-0005-0000-0000-0000AA050000}"/>
    <cellStyle name="20% - Accent1 11 3 2 2" xfId="1062" xr:uid="{00000000-0005-0000-0000-0000AB050000}"/>
    <cellStyle name="20% - Accent1 11 3 2 2 2" xfId="12488" xr:uid="{00000000-0005-0000-0000-0000AC050000}"/>
    <cellStyle name="20% - Accent1 11 3 2 2 2 2" xfId="24345" xr:uid="{00000000-0005-0000-0000-0000AD050000}"/>
    <cellStyle name="20% - Accent1 11 3 2 2 3" xfId="16439" xr:uid="{00000000-0005-0000-0000-0000AE050000}"/>
    <cellStyle name="20% - Accent1 11 3 2 2 3 2" xfId="28131" xr:uid="{00000000-0005-0000-0000-0000AF050000}"/>
    <cellStyle name="20% - Accent1 11 3 2 2 4" xfId="20485" xr:uid="{00000000-0005-0000-0000-0000B0050000}"/>
    <cellStyle name="20% - Accent1 11 3 2 3" xfId="1063" xr:uid="{00000000-0005-0000-0000-0000B1050000}"/>
    <cellStyle name="20% - Accent1 11 3 2 3 2" xfId="12489" xr:uid="{00000000-0005-0000-0000-0000B2050000}"/>
    <cellStyle name="20% - Accent1 11 3 2 3 2 2" xfId="24346" xr:uid="{00000000-0005-0000-0000-0000B3050000}"/>
    <cellStyle name="20% - Accent1 11 3 2 3 3" xfId="16440" xr:uid="{00000000-0005-0000-0000-0000B4050000}"/>
    <cellStyle name="20% - Accent1 11 3 2 3 3 2" xfId="28132" xr:uid="{00000000-0005-0000-0000-0000B5050000}"/>
    <cellStyle name="20% - Accent1 11 3 2 3 4" xfId="20486" xr:uid="{00000000-0005-0000-0000-0000B6050000}"/>
    <cellStyle name="20% - Accent1 11 3 2 4" xfId="12487" xr:uid="{00000000-0005-0000-0000-0000B7050000}"/>
    <cellStyle name="20% - Accent1 11 3 2 4 2" xfId="24344" xr:uid="{00000000-0005-0000-0000-0000B8050000}"/>
    <cellStyle name="20% - Accent1 11 3 2 5" xfId="16438" xr:uid="{00000000-0005-0000-0000-0000B9050000}"/>
    <cellStyle name="20% - Accent1 11 3 2 5 2" xfId="28130" xr:uid="{00000000-0005-0000-0000-0000BA050000}"/>
    <cellStyle name="20% - Accent1 11 3 2 6" xfId="20484" xr:uid="{00000000-0005-0000-0000-0000BB050000}"/>
    <cellStyle name="20% - Accent1 11 3 3" xfId="1064" xr:uid="{00000000-0005-0000-0000-0000BC050000}"/>
    <cellStyle name="20% - Accent1 11 3 3 2" xfId="1065" xr:uid="{00000000-0005-0000-0000-0000BD050000}"/>
    <cellStyle name="20% - Accent1 11 3 3 2 2" xfId="12491" xr:uid="{00000000-0005-0000-0000-0000BE050000}"/>
    <cellStyle name="20% - Accent1 11 3 3 2 2 2" xfId="24348" xr:uid="{00000000-0005-0000-0000-0000BF050000}"/>
    <cellStyle name="20% - Accent1 11 3 3 2 3" xfId="16442" xr:uid="{00000000-0005-0000-0000-0000C0050000}"/>
    <cellStyle name="20% - Accent1 11 3 3 2 3 2" xfId="28134" xr:uid="{00000000-0005-0000-0000-0000C1050000}"/>
    <cellStyle name="20% - Accent1 11 3 3 2 4" xfId="20488" xr:uid="{00000000-0005-0000-0000-0000C2050000}"/>
    <cellStyle name="20% - Accent1 11 3 3 3" xfId="1066" xr:uid="{00000000-0005-0000-0000-0000C3050000}"/>
    <cellStyle name="20% - Accent1 11 3 3 3 2" xfId="12492" xr:uid="{00000000-0005-0000-0000-0000C4050000}"/>
    <cellStyle name="20% - Accent1 11 3 3 3 2 2" xfId="24349" xr:uid="{00000000-0005-0000-0000-0000C5050000}"/>
    <cellStyle name="20% - Accent1 11 3 3 3 3" xfId="16443" xr:uid="{00000000-0005-0000-0000-0000C6050000}"/>
    <cellStyle name="20% - Accent1 11 3 3 3 3 2" xfId="28135" xr:uid="{00000000-0005-0000-0000-0000C7050000}"/>
    <cellStyle name="20% - Accent1 11 3 3 3 4" xfId="20489" xr:uid="{00000000-0005-0000-0000-0000C8050000}"/>
    <cellStyle name="20% - Accent1 11 3 3 4" xfId="12490" xr:uid="{00000000-0005-0000-0000-0000C9050000}"/>
    <cellStyle name="20% - Accent1 11 3 3 4 2" xfId="24347" xr:uid="{00000000-0005-0000-0000-0000CA050000}"/>
    <cellStyle name="20% - Accent1 11 3 3 5" xfId="16441" xr:uid="{00000000-0005-0000-0000-0000CB050000}"/>
    <cellStyle name="20% - Accent1 11 3 3 5 2" xfId="28133" xr:uid="{00000000-0005-0000-0000-0000CC050000}"/>
    <cellStyle name="20% - Accent1 11 3 3 6" xfId="20487" xr:uid="{00000000-0005-0000-0000-0000CD050000}"/>
    <cellStyle name="20% - Accent1 11 3 4" xfId="1067" xr:uid="{00000000-0005-0000-0000-0000CE050000}"/>
    <cellStyle name="20% - Accent1 11 3 4 2" xfId="12493" xr:uid="{00000000-0005-0000-0000-0000CF050000}"/>
    <cellStyle name="20% - Accent1 11 3 4 2 2" xfId="24350" xr:uid="{00000000-0005-0000-0000-0000D0050000}"/>
    <cellStyle name="20% - Accent1 11 3 4 3" xfId="16444" xr:uid="{00000000-0005-0000-0000-0000D1050000}"/>
    <cellStyle name="20% - Accent1 11 3 4 3 2" xfId="28136" xr:uid="{00000000-0005-0000-0000-0000D2050000}"/>
    <cellStyle name="20% - Accent1 11 3 4 4" xfId="20490" xr:uid="{00000000-0005-0000-0000-0000D3050000}"/>
    <cellStyle name="20% - Accent1 11 3 5" xfId="1068" xr:uid="{00000000-0005-0000-0000-0000D4050000}"/>
    <cellStyle name="20% - Accent1 11 3 5 2" xfId="12494" xr:uid="{00000000-0005-0000-0000-0000D5050000}"/>
    <cellStyle name="20% - Accent1 11 3 5 2 2" xfId="24351" xr:uid="{00000000-0005-0000-0000-0000D6050000}"/>
    <cellStyle name="20% - Accent1 11 3 5 3" xfId="16445" xr:uid="{00000000-0005-0000-0000-0000D7050000}"/>
    <cellStyle name="20% - Accent1 11 3 5 3 2" xfId="28137" xr:uid="{00000000-0005-0000-0000-0000D8050000}"/>
    <cellStyle name="20% - Accent1 11 3 5 4" xfId="20491" xr:uid="{00000000-0005-0000-0000-0000D9050000}"/>
    <cellStyle name="20% - Accent1 11 3 6" xfId="12486" xr:uid="{00000000-0005-0000-0000-0000DA050000}"/>
    <cellStyle name="20% - Accent1 11 3 6 2" xfId="24343" xr:uid="{00000000-0005-0000-0000-0000DB050000}"/>
    <cellStyle name="20% - Accent1 11 3 7" xfId="16437" xr:uid="{00000000-0005-0000-0000-0000DC050000}"/>
    <cellStyle name="20% - Accent1 11 3 7 2" xfId="28129" xr:uid="{00000000-0005-0000-0000-0000DD050000}"/>
    <cellStyle name="20% - Accent1 11 3 8" xfId="20483" xr:uid="{00000000-0005-0000-0000-0000DE050000}"/>
    <cellStyle name="20% - Accent1 11 3_Volatility" xfId="1069" xr:uid="{00000000-0005-0000-0000-0000DF050000}"/>
    <cellStyle name="20% - Accent1 11 4" xfId="1070" xr:uid="{00000000-0005-0000-0000-0000E0050000}"/>
    <cellStyle name="20% - Accent1 11 4 2" xfId="1071" xr:uid="{00000000-0005-0000-0000-0000E1050000}"/>
    <cellStyle name="20% - Accent1 11 4 2 2" xfId="12496" xr:uid="{00000000-0005-0000-0000-0000E2050000}"/>
    <cellStyle name="20% - Accent1 11 4 2 2 2" xfId="24353" xr:uid="{00000000-0005-0000-0000-0000E3050000}"/>
    <cellStyle name="20% - Accent1 11 4 2 3" xfId="16447" xr:uid="{00000000-0005-0000-0000-0000E4050000}"/>
    <cellStyle name="20% - Accent1 11 4 2 3 2" xfId="28139" xr:uid="{00000000-0005-0000-0000-0000E5050000}"/>
    <cellStyle name="20% - Accent1 11 4 2 4" xfId="20493" xr:uid="{00000000-0005-0000-0000-0000E6050000}"/>
    <cellStyle name="20% - Accent1 11 4 3" xfId="1072" xr:uid="{00000000-0005-0000-0000-0000E7050000}"/>
    <cellStyle name="20% - Accent1 11 4 3 2" xfId="12497" xr:uid="{00000000-0005-0000-0000-0000E8050000}"/>
    <cellStyle name="20% - Accent1 11 4 3 2 2" xfId="24354" xr:uid="{00000000-0005-0000-0000-0000E9050000}"/>
    <cellStyle name="20% - Accent1 11 4 3 3" xfId="16448" xr:uid="{00000000-0005-0000-0000-0000EA050000}"/>
    <cellStyle name="20% - Accent1 11 4 3 3 2" xfId="28140" xr:uid="{00000000-0005-0000-0000-0000EB050000}"/>
    <cellStyle name="20% - Accent1 11 4 3 4" xfId="20494" xr:uid="{00000000-0005-0000-0000-0000EC050000}"/>
    <cellStyle name="20% - Accent1 11 4 4" xfId="12495" xr:uid="{00000000-0005-0000-0000-0000ED050000}"/>
    <cellStyle name="20% - Accent1 11 4 4 2" xfId="24352" xr:uid="{00000000-0005-0000-0000-0000EE050000}"/>
    <cellStyle name="20% - Accent1 11 4 5" xfId="16446" xr:uid="{00000000-0005-0000-0000-0000EF050000}"/>
    <cellStyle name="20% - Accent1 11 4 5 2" xfId="28138" xr:uid="{00000000-0005-0000-0000-0000F0050000}"/>
    <cellStyle name="20% - Accent1 11 4 6" xfId="20492" xr:uid="{00000000-0005-0000-0000-0000F1050000}"/>
    <cellStyle name="20% - Accent1 11 5" xfId="1073" xr:uid="{00000000-0005-0000-0000-0000F2050000}"/>
    <cellStyle name="20% - Accent1 11 5 2" xfId="1074" xr:uid="{00000000-0005-0000-0000-0000F3050000}"/>
    <cellStyle name="20% - Accent1 11 5 2 2" xfId="12499" xr:uid="{00000000-0005-0000-0000-0000F4050000}"/>
    <cellStyle name="20% - Accent1 11 5 2 2 2" xfId="24356" xr:uid="{00000000-0005-0000-0000-0000F5050000}"/>
    <cellStyle name="20% - Accent1 11 5 2 3" xfId="16450" xr:uid="{00000000-0005-0000-0000-0000F6050000}"/>
    <cellStyle name="20% - Accent1 11 5 2 3 2" xfId="28142" xr:uid="{00000000-0005-0000-0000-0000F7050000}"/>
    <cellStyle name="20% - Accent1 11 5 2 4" xfId="20496" xr:uid="{00000000-0005-0000-0000-0000F8050000}"/>
    <cellStyle name="20% - Accent1 11 5 3" xfId="1075" xr:uid="{00000000-0005-0000-0000-0000F9050000}"/>
    <cellStyle name="20% - Accent1 11 5 3 2" xfId="12500" xr:uid="{00000000-0005-0000-0000-0000FA050000}"/>
    <cellStyle name="20% - Accent1 11 5 3 2 2" xfId="24357" xr:uid="{00000000-0005-0000-0000-0000FB050000}"/>
    <cellStyle name="20% - Accent1 11 5 3 3" xfId="16451" xr:uid="{00000000-0005-0000-0000-0000FC050000}"/>
    <cellStyle name="20% - Accent1 11 5 3 3 2" xfId="28143" xr:uid="{00000000-0005-0000-0000-0000FD050000}"/>
    <cellStyle name="20% - Accent1 11 5 3 4" xfId="20497" xr:uid="{00000000-0005-0000-0000-0000FE050000}"/>
    <cellStyle name="20% - Accent1 11 5 4" xfId="12498" xr:uid="{00000000-0005-0000-0000-0000FF050000}"/>
    <cellStyle name="20% - Accent1 11 5 4 2" xfId="24355" xr:uid="{00000000-0005-0000-0000-000000060000}"/>
    <cellStyle name="20% - Accent1 11 5 5" xfId="16449" xr:uid="{00000000-0005-0000-0000-000001060000}"/>
    <cellStyle name="20% - Accent1 11 5 5 2" xfId="28141" xr:uid="{00000000-0005-0000-0000-000002060000}"/>
    <cellStyle name="20% - Accent1 11 5 6" xfId="20495" xr:uid="{00000000-0005-0000-0000-000003060000}"/>
    <cellStyle name="20% - Accent1 11 6" xfId="1076" xr:uid="{00000000-0005-0000-0000-000004060000}"/>
    <cellStyle name="20% - Accent1 11 6 2" xfId="1077" xr:uid="{00000000-0005-0000-0000-000005060000}"/>
    <cellStyle name="20% - Accent1 11 6 2 2" xfId="12502" xr:uid="{00000000-0005-0000-0000-000006060000}"/>
    <cellStyle name="20% - Accent1 11 6 2 2 2" xfId="24359" xr:uid="{00000000-0005-0000-0000-000007060000}"/>
    <cellStyle name="20% - Accent1 11 6 2 3" xfId="16453" xr:uid="{00000000-0005-0000-0000-000008060000}"/>
    <cellStyle name="20% - Accent1 11 6 2 3 2" xfId="28145" xr:uid="{00000000-0005-0000-0000-000009060000}"/>
    <cellStyle name="20% - Accent1 11 6 2 4" xfId="20499" xr:uid="{00000000-0005-0000-0000-00000A060000}"/>
    <cellStyle name="20% - Accent1 11 6 3" xfId="1078" xr:uid="{00000000-0005-0000-0000-00000B060000}"/>
    <cellStyle name="20% - Accent1 11 6 3 2" xfId="12503" xr:uid="{00000000-0005-0000-0000-00000C060000}"/>
    <cellStyle name="20% - Accent1 11 6 3 2 2" xfId="24360" xr:uid="{00000000-0005-0000-0000-00000D060000}"/>
    <cellStyle name="20% - Accent1 11 6 3 3" xfId="16454" xr:uid="{00000000-0005-0000-0000-00000E060000}"/>
    <cellStyle name="20% - Accent1 11 6 3 3 2" xfId="28146" xr:uid="{00000000-0005-0000-0000-00000F060000}"/>
    <cellStyle name="20% - Accent1 11 6 3 4" xfId="20500" xr:uid="{00000000-0005-0000-0000-000010060000}"/>
    <cellStyle name="20% - Accent1 11 6 4" xfId="12501" xr:uid="{00000000-0005-0000-0000-000011060000}"/>
    <cellStyle name="20% - Accent1 11 6 4 2" xfId="24358" xr:uid="{00000000-0005-0000-0000-000012060000}"/>
    <cellStyle name="20% - Accent1 11 6 5" xfId="16452" xr:uid="{00000000-0005-0000-0000-000013060000}"/>
    <cellStyle name="20% - Accent1 11 6 5 2" xfId="28144" xr:uid="{00000000-0005-0000-0000-000014060000}"/>
    <cellStyle name="20% - Accent1 11 6 6" xfId="20498" xr:uid="{00000000-0005-0000-0000-000015060000}"/>
    <cellStyle name="20% - Accent1 11 7" xfId="1079" xr:uid="{00000000-0005-0000-0000-000016060000}"/>
    <cellStyle name="20% - Accent1 11 7 2" xfId="12504" xr:uid="{00000000-0005-0000-0000-000017060000}"/>
    <cellStyle name="20% - Accent1 11 7 2 2" xfId="24361" xr:uid="{00000000-0005-0000-0000-000018060000}"/>
    <cellStyle name="20% - Accent1 11 7 3" xfId="16455" xr:uid="{00000000-0005-0000-0000-000019060000}"/>
    <cellStyle name="20% - Accent1 11 7 3 2" xfId="28147" xr:uid="{00000000-0005-0000-0000-00001A060000}"/>
    <cellStyle name="20% - Accent1 11 7 4" xfId="20501" xr:uid="{00000000-0005-0000-0000-00001B060000}"/>
    <cellStyle name="20% - Accent1 11 8" xfId="1080" xr:uid="{00000000-0005-0000-0000-00001C060000}"/>
    <cellStyle name="20% - Accent1 11 8 2" xfId="12505" xr:uid="{00000000-0005-0000-0000-00001D060000}"/>
    <cellStyle name="20% - Accent1 11 8 2 2" xfId="24362" xr:uid="{00000000-0005-0000-0000-00001E060000}"/>
    <cellStyle name="20% - Accent1 11 8 3" xfId="16456" xr:uid="{00000000-0005-0000-0000-00001F060000}"/>
    <cellStyle name="20% - Accent1 11 8 3 2" xfId="28148" xr:uid="{00000000-0005-0000-0000-000020060000}"/>
    <cellStyle name="20% - Accent1 11 8 4" xfId="20502" xr:uid="{00000000-0005-0000-0000-000021060000}"/>
    <cellStyle name="20% - Accent1 11 9" xfId="12473" xr:uid="{00000000-0005-0000-0000-000022060000}"/>
    <cellStyle name="20% - Accent1 11 9 2" xfId="24330" xr:uid="{00000000-0005-0000-0000-000023060000}"/>
    <cellStyle name="20% - Accent1 11_Volatility" xfId="1081" xr:uid="{00000000-0005-0000-0000-000024060000}"/>
    <cellStyle name="20% - Accent1 12" xfId="1082" xr:uid="{00000000-0005-0000-0000-000025060000}"/>
    <cellStyle name="20% - Accent1 12 10" xfId="16457" xr:uid="{00000000-0005-0000-0000-000026060000}"/>
    <cellStyle name="20% - Accent1 12 10 2" xfId="28149" xr:uid="{00000000-0005-0000-0000-000027060000}"/>
    <cellStyle name="20% - Accent1 12 11" xfId="20503" xr:uid="{00000000-0005-0000-0000-000028060000}"/>
    <cellStyle name="20% - Accent1 12 2" xfId="1083" xr:uid="{00000000-0005-0000-0000-000029060000}"/>
    <cellStyle name="20% - Accent1 12 2 2" xfId="1084" xr:uid="{00000000-0005-0000-0000-00002A060000}"/>
    <cellStyle name="20% - Accent1 12 2 2 2" xfId="1085" xr:uid="{00000000-0005-0000-0000-00002B060000}"/>
    <cellStyle name="20% - Accent1 12 2 2 2 2" xfId="12509" xr:uid="{00000000-0005-0000-0000-00002C060000}"/>
    <cellStyle name="20% - Accent1 12 2 2 2 2 2" xfId="24366" xr:uid="{00000000-0005-0000-0000-00002D060000}"/>
    <cellStyle name="20% - Accent1 12 2 2 2 3" xfId="16460" xr:uid="{00000000-0005-0000-0000-00002E060000}"/>
    <cellStyle name="20% - Accent1 12 2 2 2 3 2" xfId="28152" xr:uid="{00000000-0005-0000-0000-00002F060000}"/>
    <cellStyle name="20% - Accent1 12 2 2 2 4" xfId="20506" xr:uid="{00000000-0005-0000-0000-000030060000}"/>
    <cellStyle name="20% - Accent1 12 2 2 3" xfId="1086" xr:uid="{00000000-0005-0000-0000-000031060000}"/>
    <cellStyle name="20% - Accent1 12 2 2 3 2" xfId="12510" xr:uid="{00000000-0005-0000-0000-000032060000}"/>
    <cellStyle name="20% - Accent1 12 2 2 3 2 2" xfId="24367" xr:uid="{00000000-0005-0000-0000-000033060000}"/>
    <cellStyle name="20% - Accent1 12 2 2 3 3" xfId="16461" xr:uid="{00000000-0005-0000-0000-000034060000}"/>
    <cellStyle name="20% - Accent1 12 2 2 3 3 2" xfId="28153" xr:uid="{00000000-0005-0000-0000-000035060000}"/>
    <cellStyle name="20% - Accent1 12 2 2 3 4" xfId="20507" xr:uid="{00000000-0005-0000-0000-000036060000}"/>
    <cellStyle name="20% - Accent1 12 2 2 4" xfId="12508" xr:uid="{00000000-0005-0000-0000-000037060000}"/>
    <cellStyle name="20% - Accent1 12 2 2 4 2" xfId="24365" xr:uid="{00000000-0005-0000-0000-000038060000}"/>
    <cellStyle name="20% - Accent1 12 2 2 5" xfId="16459" xr:uid="{00000000-0005-0000-0000-000039060000}"/>
    <cellStyle name="20% - Accent1 12 2 2 5 2" xfId="28151" xr:uid="{00000000-0005-0000-0000-00003A060000}"/>
    <cellStyle name="20% - Accent1 12 2 2 6" xfId="20505" xr:uid="{00000000-0005-0000-0000-00003B060000}"/>
    <cellStyle name="20% - Accent1 12 2 3" xfId="1087" xr:uid="{00000000-0005-0000-0000-00003C060000}"/>
    <cellStyle name="20% - Accent1 12 2 3 2" xfId="1088" xr:uid="{00000000-0005-0000-0000-00003D060000}"/>
    <cellStyle name="20% - Accent1 12 2 3 2 2" xfId="12512" xr:uid="{00000000-0005-0000-0000-00003E060000}"/>
    <cellStyle name="20% - Accent1 12 2 3 2 2 2" xfId="24369" xr:uid="{00000000-0005-0000-0000-00003F060000}"/>
    <cellStyle name="20% - Accent1 12 2 3 2 3" xfId="16463" xr:uid="{00000000-0005-0000-0000-000040060000}"/>
    <cellStyle name="20% - Accent1 12 2 3 2 3 2" xfId="28155" xr:uid="{00000000-0005-0000-0000-000041060000}"/>
    <cellStyle name="20% - Accent1 12 2 3 2 4" xfId="20509" xr:uid="{00000000-0005-0000-0000-000042060000}"/>
    <cellStyle name="20% - Accent1 12 2 3 3" xfId="1089" xr:uid="{00000000-0005-0000-0000-000043060000}"/>
    <cellStyle name="20% - Accent1 12 2 3 3 2" xfId="12513" xr:uid="{00000000-0005-0000-0000-000044060000}"/>
    <cellStyle name="20% - Accent1 12 2 3 3 2 2" xfId="24370" xr:uid="{00000000-0005-0000-0000-000045060000}"/>
    <cellStyle name="20% - Accent1 12 2 3 3 3" xfId="16464" xr:uid="{00000000-0005-0000-0000-000046060000}"/>
    <cellStyle name="20% - Accent1 12 2 3 3 3 2" xfId="28156" xr:uid="{00000000-0005-0000-0000-000047060000}"/>
    <cellStyle name="20% - Accent1 12 2 3 3 4" xfId="20510" xr:uid="{00000000-0005-0000-0000-000048060000}"/>
    <cellStyle name="20% - Accent1 12 2 3 4" xfId="12511" xr:uid="{00000000-0005-0000-0000-000049060000}"/>
    <cellStyle name="20% - Accent1 12 2 3 4 2" xfId="24368" xr:uid="{00000000-0005-0000-0000-00004A060000}"/>
    <cellStyle name="20% - Accent1 12 2 3 5" xfId="16462" xr:uid="{00000000-0005-0000-0000-00004B060000}"/>
    <cellStyle name="20% - Accent1 12 2 3 5 2" xfId="28154" xr:uid="{00000000-0005-0000-0000-00004C060000}"/>
    <cellStyle name="20% - Accent1 12 2 3 6" xfId="20508" xr:uid="{00000000-0005-0000-0000-00004D060000}"/>
    <cellStyle name="20% - Accent1 12 2 4" xfId="1090" xr:uid="{00000000-0005-0000-0000-00004E060000}"/>
    <cellStyle name="20% - Accent1 12 2 4 2" xfId="1091" xr:uid="{00000000-0005-0000-0000-00004F060000}"/>
    <cellStyle name="20% - Accent1 12 2 4 2 2" xfId="12515" xr:uid="{00000000-0005-0000-0000-000050060000}"/>
    <cellStyle name="20% - Accent1 12 2 4 2 2 2" xfId="24372" xr:uid="{00000000-0005-0000-0000-000051060000}"/>
    <cellStyle name="20% - Accent1 12 2 4 2 3" xfId="16466" xr:uid="{00000000-0005-0000-0000-000052060000}"/>
    <cellStyle name="20% - Accent1 12 2 4 2 3 2" xfId="28158" xr:uid="{00000000-0005-0000-0000-000053060000}"/>
    <cellStyle name="20% - Accent1 12 2 4 2 4" xfId="20512" xr:uid="{00000000-0005-0000-0000-000054060000}"/>
    <cellStyle name="20% - Accent1 12 2 4 3" xfId="1092" xr:uid="{00000000-0005-0000-0000-000055060000}"/>
    <cellStyle name="20% - Accent1 12 2 4 3 2" xfId="12516" xr:uid="{00000000-0005-0000-0000-000056060000}"/>
    <cellStyle name="20% - Accent1 12 2 4 3 2 2" xfId="24373" xr:uid="{00000000-0005-0000-0000-000057060000}"/>
    <cellStyle name="20% - Accent1 12 2 4 3 3" xfId="16467" xr:uid="{00000000-0005-0000-0000-000058060000}"/>
    <cellStyle name="20% - Accent1 12 2 4 3 3 2" xfId="28159" xr:uid="{00000000-0005-0000-0000-000059060000}"/>
    <cellStyle name="20% - Accent1 12 2 4 3 4" xfId="20513" xr:uid="{00000000-0005-0000-0000-00005A060000}"/>
    <cellStyle name="20% - Accent1 12 2 4 4" xfId="12514" xr:uid="{00000000-0005-0000-0000-00005B060000}"/>
    <cellStyle name="20% - Accent1 12 2 4 4 2" xfId="24371" xr:uid="{00000000-0005-0000-0000-00005C060000}"/>
    <cellStyle name="20% - Accent1 12 2 4 5" xfId="16465" xr:uid="{00000000-0005-0000-0000-00005D060000}"/>
    <cellStyle name="20% - Accent1 12 2 4 5 2" xfId="28157" xr:uid="{00000000-0005-0000-0000-00005E060000}"/>
    <cellStyle name="20% - Accent1 12 2 4 6" xfId="20511" xr:uid="{00000000-0005-0000-0000-00005F060000}"/>
    <cellStyle name="20% - Accent1 12 2 5" xfId="1093" xr:uid="{00000000-0005-0000-0000-000060060000}"/>
    <cellStyle name="20% - Accent1 12 2 5 2" xfId="12517" xr:uid="{00000000-0005-0000-0000-000061060000}"/>
    <cellStyle name="20% - Accent1 12 2 5 2 2" xfId="24374" xr:uid="{00000000-0005-0000-0000-000062060000}"/>
    <cellStyle name="20% - Accent1 12 2 5 3" xfId="16468" xr:uid="{00000000-0005-0000-0000-000063060000}"/>
    <cellStyle name="20% - Accent1 12 2 5 3 2" xfId="28160" xr:uid="{00000000-0005-0000-0000-000064060000}"/>
    <cellStyle name="20% - Accent1 12 2 5 4" xfId="20514" xr:uid="{00000000-0005-0000-0000-000065060000}"/>
    <cellStyle name="20% - Accent1 12 2 6" xfId="1094" xr:uid="{00000000-0005-0000-0000-000066060000}"/>
    <cellStyle name="20% - Accent1 12 2 6 2" xfId="12518" xr:uid="{00000000-0005-0000-0000-000067060000}"/>
    <cellStyle name="20% - Accent1 12 2 6 2 2" xfId="24375" xr:uid="{00000000-0005-0000-0000-000068060000}"/>
    <cellStyle name="20% - Accent1 12 2 6 3" xfId="16469" xr:uid="{00000000-0005-0000-0000-000069060000}"/>
    <cellStyle name="20% - Accent1 12 2 6 3 2" xfId="28161" xr:uid="{00000000-0005-0000-0000-00006A060000}"/>
    <cellStyle name="20% - Accent1 12 2 6 4" xfId="20515" xr:uid="{00000000-0005-0000-0000-00006B060000}"/>
    <cellStyle name="20% - Accent1 12 2 7" xfId="12507" xr:uid="{00000000-0005-0000-0000-00006C060000}"/>
    <cellStyle name="20% - Accent1 12 2 7 2" xfId="24364" xr:uid="{00000000-0005-0000-0000-00006D060000}"/>
    <cellStyle name="20% - Accent1 12 2 8" xfId="16458" xr:uid="{00000000-0005-0000-0000-00006E060000}"/>
    <cellStyle name="20% - Accent1 12 2 8 2" xfId="28150" xr:uid="{00000000-0005-0000-0000-00006F060000}"/>
    <cellStyle name="20% - Accent1 12 2 9" xfId="20504" xr:uid="{00000000-0005-0000-0000-000070060000}"/>
    <cellStyle name="20% - Accent1 12 2_Volatility" xfId="1095" xr:uid="{00000000-0005-0000-0000-000071060000}"/>
    <cellStyle name="20% - Accent1 12 3" xfId="1096" xr:uid="{00000000-0005-0000-0000-000072060000}"/>
    <cellStyle name="20% - Accent1 12 3 2" xfId="1097" xr:uid="{00000000-0005-0000-0000-000073060000}"/>
    <cellStyle name="20% - Accent1 12 3 2 2" xfId="1098" xr:uid="{00000000-0005-0000-0000-000074060000}"/>
    <cellStyle name="20% - Accent1 12 3 2 2 2" xfId="12521" xr:uid="{00000000-0005-0000-0000-000075060000}"/>
    <cellStyle name="20% - Accent1 12 3 2 2 2 2" xfId="24378" xr:uid="{00000000-0005-0000-0000-000076060000}"/>
    <cellStyle name="20% - Accent1 12 3 2 2 3" xfId="16472" xr:uid="{00000000-0005-0000-0000-000077060000}"/>
    <cellStyle name="20% - Accent1 12 3 2 2 3 2" xfId="28164" xr:uid="{00000000-0005-0000-0000-000078060000}"/>
    <cellStyle name="20% - Accent1 12 3 2 2 4" xfId="20518" xr:uid="{00000000-0005-0000-0000-000079060000}"/>
    <cellStyle name="20% - Accent1 12 3 2 3" xfId="1099" xr:uid="{00000000-0005-0000-0000-00007A060000}"/>
    <cellStyle name="20% - Accent1 12 3 2 3 2" xfId="12522" xr:uid="{00000000-0005-0000-0000-00007B060000}"/>
    <cellStyle name="20% - Accent1 12 3 2 3 2 2" xfId="24379" xr:uid="{00000000-0005-0000-0000-00007C060000}"/>
    <cellStyle name="20% - Accent1 12 3 2 3 3" xfId="16473" xr:uid="{00000000-0005-0000-0000-00007D060000}"/>
    <cellStyle name="20% - Accent1 12 3 2 3 3 2" xfId="28165" xr:uid="{00000000-0005-0000-0000-00007E060000}"/>
    <cellStyle name="20% - Accent1 12 3 2 3 4" xfId="20519" xr:uid="{00000000-0005-0000-0000-00007F060000}"/>
    <cellStyle name="20% - Accent1 12 3 2 4" xfId="12520" xr:uid="{00000000-0005-0000-0000-000080060000}"/>
    <cellStyle name="20% - Accent1 12 3 2 4 2" xfId="24377" xr:uid="{00000000-0005-0000-0000-000081060000}"/>
    <cellStyle name="20% - Accent1 12 3 2 5" xfId="16471" xr:uid="{00000000-0005-0000-0000-000082060000}"/>
    <cellStyle name="20% - Accent1 12 3 2 5 2" xfId="28163" xr:uid="{00000000-0005-0000-0000-000083060000}"/>
    <cellStyle name="20% - Accent1 12 3 2 6" xfId="20517" xr:uid="{00000000-0005-0000-0000-000084060000}"/>
    <cellStyle name="20% - Accent1 12 3 3" xfId="1100" xr:uid="{00000000-0005-0000-0000-000085060000}"/>
    <cellStyle name="20% - Accent1 12 3 3 2" xfId="1101" xr:uid="{00000000-0005-0000-0000-000086060000}"/>
    <cellStyle name="20% - Accent1 12 3 3 2 2" xfId="12524" xr:uid="{00000000-0005-0000-0000-000087060000}"/>
    <cellStyle name="20% - Accent1 12 3 3 2 2 2" xfId="24381" xr:uid="{00000000-0005-0000-0000-000088060000}"/>
    <cellStyle name="20% - Accent1 12 3 3 2 3" xfId="16475" xr:uid="{00000000-0005-0000-0000-000089060000}"/>
    <cellStyle name="20% - Accent1 12 3 3 2 3 2" xfId="28167" xr:uid="{00000000-0005-0000-0000-00008A060000}"/>
    <cellStyle name="20% - Accent1 12 3 3 2 4" xfId="20521" xr:uid="{00000000-0005-0000-0000-00008B060000}"/>
    <cellStyle name="20% - Accent1 12 3 3 3" xfId="1102" xr:uid="{00000000-0005-0000-0000-00008C060000}"/>
    <cellStyle name="20% - Accent1 12 3 3 3 2" xfId="12525" xr:uid="{00000000-0005-0000-0000-00008D060000}"/>
    <cellStyle name="20% - Accent1 12 3 3 3 2 2" xfId="24382" xr:uid="{00000000-0005-0000-0000-00008E060000}"/>
    <cellStyle name="20% - Accent1 12 3 3 3 3" xfId="16476" xr:uid="{00000000-0005-0000-0000-00008F060000}"/>
    <cellStyle name="20% - Accent1 12 3 3 3 3 2" xfId="28168" xr:uid="{00000000-0005-0000-0000-000090060000}"/>
    <cellStyle name="20% - Accent1 12 3 3 3 4" xfId="20522" xr:uid="{00000000-0005-0000-0000-000091060000}"/>
    <cellStyle name="20% - Accent1 12 3 3 4" xfId="12523" xr:uid="{00000000-0005-0000-0000-000092060000}"/>
    <cellStyle name="20% - Accent1 12 3 3 4 2" xfId="24380" xr:uid="{00000000-0005-0000-0000-000093060000}"/>
    <cellStyle name="20% - Accent1 12 3 3 5" xfId="16474" xr:uid="{00000000-0005-0000-0000-000094060000}"/>
    <cellStyle name="20% - Accent1 12 3 3 5 2" xfId="28166" xr:uid="{00000000-0005-0000-0000-000095060000}"/>
    <cellStyle name="20% - Accent1 12 3 3 6" xfId="20520" xr:uid="{00000000-0005-0000-0000-000096060000}"/>
    <cellStyle name="20% - Accent1 12 3 4" xfId="1103" xr:uid="{00000000-0005-0000-0000-000097060000}"/>
    <cellStyle name="20% - Accent1 12 3 4 2" xfId="12526" xr:uid="{00000000-0005-0000-0000-000098060000}"/>
    <cellStyle name="20% - Accent1 12 3 4 2 2" xfId="24383" xr:uid="{00000000-0005-0000-0000-000099060000}"/>
    <cellStyle name="20% - Accent1 12 3 4 3" xfId="16477" xr:uid="{00000000-0005-0000-0000-00009A060000}"/>
    <cellStyle name="20% - Accent1 12 3 4 3 2" xfId="28169" xr:uid="{00000000-0005-0000-0000-00009B060000}"/>
    <cellStyle name="20% - Accent1 12 3 4 4" xfId="20523" xr:uid="{00000000-0005-0000-0000-00009C060000}"/>
    <cellStyle name="20% - Accent1 12 3 5" xfId="1104" xr:uid="{00000000-0005-0000-0000-00009D060000}"/>
    <cellStyle name="20% - Accent1 12 3 5 2" xfId="12527" xr:uid="{00000000-0005-0000-0000-00009E060000}"/>
    <cellStyle name="20% - Accent1 12 3 5 2 2" xfId="24384" xr:uid="{00000000-0005-0000-0000-00009F060000}"/>
    <cellStyle name="20% - Accent1 12 3 5 3" xfId="16478" xr:uid="{00000000-0005-0000-0000-0000A0060000}"/>
    <cellStyle name="20% - Accent1 12 3 5 3 2" xfId="28170" xr:uid="{00000000-0005-0000-0000-0000A1060000}"/>
    <cellStyle name="20% - Accent1 12 3 5 4" xfId="20524" xr:uid="{00000000-0005-0000-0000-0000A2060000}"/>
    <cellStyle name="20% - Accent1 12 3 6" xfId="12519" xr:uid="{00000000-0005-0000-0000-0000A3060000}"/>
    <cellStyle name="20% - Accent1 12 3 6 2" xfId="24376" xr:uid="{00000000-0005-0000-0000-0000A4060000}"/>
    <cellStyle name="20% - Accent1 12 3 7" xfId="16470" xr:uid="{00000000-0005-0000-0000-0000A5060000}"/>
    <cellStyle name="20% - Accent1 12 3 7 2" xfId="28162" xr:uid="{00000000-0005-0000-0000-0000A6060000}"/>
    <cellStyle name="20% - Accent1 12 3 8" xfId="20516" xr:uid="{00000000-0005-0000-0000-0000A7060000}"/>
    <cellStyle name="20% - Accent1 12 3_Volatility" xfId="1105" xr:uid="{00000000-0005-0000-0000-0000A8060000}"/>
    <cellStyle name="20% - Accent1 12 4" xfId="1106" xr:uid="{00000000-0005-0000-0000-0000A9060000}"/>
    <cellStyle name="20% - Accent1 12 4 2" xfId="1107" xr:uid="{00000000-0005-0000-0000-0000AA060000}"/>
    <cellStyle name="20% - Accent1 12 4 2 2" xfId="12529" xr:uid="{00000000-0005-0000-0000-0000AB060000}"/>
    <cellStyle name="20% - Accent1 12 4 2 2 2" xfId="24386" xr:uid="{00000000-0005-0000-0000-0000AC060000}"/>
    <cellStyle name="20% - Accent1 12 4 2 3" xfId="16480" xr:uid="{00000000-0005-0000-0000-0000AD060000}"/>
    <cellStyle name="20% - Accent1 12 4 2 3 2" xfId="28172" xr:uid="{00000000-0005-0000-0000-0000AE060000}"/>
    <cellStyle name="20% - Accent1 12 4 2 4" xfId="20526" xr:uid="{00000000-0005-0000-0000-0000AF060000}"/>
    <cellStyle name="20% - Accent1 12 4 3" xfId="1108" xr:uid="{00000000-0005-0000-0000-0000B0060000}"/>
    <cellStyle name="20% - Accent1 12 4 3 2" xfId="12530" xr:uid="{00000000-0005-0000-0000-0000B1060000}"/>
    <cellStyle name="20% - Accent1 12 4 3 2 2" xfId="24387" xr:uid="{00000000-0005-0000-0000-0000B2060000}"/>
    <cellStyle name="20% - Accent1 12 4 3 3" xfId="16481" xr:uid="{00000000-0005-0000-0000-0000B3060000}"/>
    <cellStyle name="20% - Accent1 12 4 3 3 2" xfId="28173" xr:uid="{00000000-0005-0000-0000-0000B4060000}"/>
    <cellStyle name="20% - Accent1 12 4 3 4" xfId="20527" xr:uid="{00000000-0005-0000-0000-0000B5060000}"/>
    <cellStyle name="20% - Accent1 12 4 4" xfId="12528" xr:uid="{00000000-0005-0000-0000-0000B6060000}"/>
    <cellStyle name="20% - Accent1 12 4 4 2" xfId="24385" xr:uid="{00000000-0005-0000-0000-0000B7060000}"/>
    <cellStyle name="20% - Accent1 12 4 5" xfId="16479" xr:uid="{00000000-0005-0000-0000-0000B8060000}"/>
    <cellStyle name="20% - Accent1 12 4 5 2" xfId="28171" xr:uid="{00000000-0005-0000-0000-0000B9060000}"/>
    <cellStyle name="20% - Accent1 12 4 6" xfId="20525" xr:uid="{00000000-0005-0000-0000-0000BA060000}"/>
    <cellStyle name="20% - Accent1 12 5" xfId="1109" xr:uid="{00000000-0005-0000-0000-0000BB060000}"/>
    <cellStyle name="20% - Accent1 12 5 2" xfId="1110" xr:uid="{00000000-0005-0000-0000-0000BC060000}"/>
    <cellStyle name="20% - Accent1 12 5 2 2" xfId="12532" xr:uid="{00000000-0005-0000-0000-0000BD060000}"/>
    <cellStyle name="20% - Accent1 12 5 2 2 2" xfId="24389" xr:uid="{00000000-0005-0000-0000-0000BE060000}"/>
    <cellStyle name="20% - Accent1 12 5 2 3" xfId="16483" xr:uid="{00000000-0005-0000-0000-0000BF060000}"/>
    <cellStyle name="20% - Accent1 12 5 2 3 2" xfId="28175" xr:uid="{00000000-0005-0000-0000-0000C0060000}"/>
    <cellStyle name="20% - Accent1 12 5 2 4" xfId="20529" xr:uid="{00000000-0005-0000-0000-0000C1060000}"/>
    <cellStyle name="20% - Accent1 12 5 3" xfId="1111" xr:uid="{00000000-0005-0000-0000-0000C2060000}"/>
    <cellStyle name="20% - Accent1 12 5 3 2" xfId="12533" xr:uid="{00000000-0005-0000-0000-0000C3060000}"/>
    <cellStyle name="20% - Accent1 12 5 3 2 2" xfId="24390" xr:uid="{00000000-0005-0000-0000-0000C4060000}"/>
    <cellStyle name="20% - Accent1 12 5 3 3" xfId="16484" xr:uid="{00000000-0005-0000-0000-0000C5060000}"/>
    <cellStyle name="20% - Accent1 12 5 3 3 2" xfId="28176" xr:uid="{00000000-0005-0000-0000-0000C6060000}"/>
    <cellStyle name="20% - Accent1 12 5 3 4" xfId="20530" xr:uid="{00000000-0005-0000-0000-0000C7060000}"/>
    <cellStyle name="20% - Accent1 12 5 4" xfId="12531" xr:uid="{00000000-0005-0000-0000-0000C8060000}"/>
    <cellStyle name="20% - Accent1 12 5 4 2" xfId="24388" xr:uid="{00000000-0005-0000-0000-0000C9060000}"/>
    <cellStyle name="20% - Accent1 12 5 5" xfId="16482" xr:uid="{00000000-0005-0000-0000-0000CA060000}"/>
    <cellStyle name="20% - Accent1 12 5 5 2" xfId="28174" xr:uid="{00000000-0005-0000-0000-0000CB060000}"/>
    <cellStyle name="20% - Accent1 12 5 6" xfId="20528" xr:uid="{00000000-0005-0000-0000-0000CC060000}"/>
    <cellStyle name="20% - Accent1 12 6" xfId="1112" xr:uid="{00000000-0005-0000-0000-0000CD060000}"/>
    <cellStyle name="20% - Accent1 12 6 2" xfId="1113" xr:uid="{00000000-0005-0000-0000-0000CE060000}"/>
    <cellStyle name="20% - Accent1 12 6 2 2" xfId="12535" xr:uid="{00000000-0005-0000-0000-0000CF060000}"/>
    <cellStyle name="20% - Accent1 12 6 2 2 2" xfId="24392" xr:uid="{00000000-0005-0000-0000-0000D0060000}"/>
    <cellStyle name="20% - Accent1 12 6 2 3" xfId="16486" xr:uid="{00000000-0005-0000-0000-0000D1060000}"/>
    <cellStyle name="20% - Accent1 12 6 2 3 2" xfId="28178" xr:uid="{00000000-0005-0000-0000-0000D2060000}"/>
    <cellStyle name="20% - Accent1 12 6 2 4" xfId="20532" xr:uid="{00000000-0005-0000-0000-0000D3060000}"/>
    <cellStyle name="20% - Accent1 12 6 3" xfId="1114" xr:uid="{00000000-0005-0000-0000-0000D4060000}"/>
    <cellStyle name="20% - Accent1 12 6 3 2" xfId="12536" xr:uid="{00000000-0005-0000-0000-0000D5060000}"/>
    <cellStyle name="20% - Accent1 12 6 3 2 2" xfId="24393" xr:uid="{00000000-0005-0000-0000-0000D6060000}"/>
    <cellStyle name="20% - Accent1 12 6 3 3" xfId="16487" xr:uid="{00000000-0005-0000-0000-0000D7060000}"/>
    <cellStyle name="20% - Accent1 12 6 3 3 2" xfId="28179" xr:uid="{00000000-0005-0000-0000-0000D8060000}"/>
    <cellStyle name="20% - Accent1 12 6 3 4" xfId="20533" xr:uid="{00000000-0005-0000-0000-0000D9060000}"/>
    <cellStyle name="20% - Accent1 12 6 4" xfId="12534" xr:uid="{00000000-0005-0000-0000-0000DA060000}"/>
    <cellStyle name="20% - Accent1 12 6 4 2" xfId="24391" xr:uid="{00000000-0005-0000-0000-0000DB060000}"/>
    <cellStyle name="20% - Accent1 12 6 5" xfId="16485" xr:uid="{00000000-0005-0000-0000-0000DC060000}"/>
    <cellStyle name="20% - Accent1 12 6 5 2" xfId="28177" xr:uid="{00000000-0005-0000-0000-0000DD060000}"/>
    <cellStyle name="20% - Accent1 12 6 6" xfId="20531" xr:uid="{00000000-0005-0000-0000-0000DE060000}"/>
    <cellStyle name="20% - Accent1 12 7" xfId="1115" xr:uid="{00000000-0005-0000-0000-0000DF060000}"/>
    <cellStyle name="20% - Accent1 12 7 2" xfId="12537" xr:uid="{00000000-0005-0000-0000-0000E0060000}"/>
    <cellStyle name="20% - Accent1 12 7 2 2" xfId="24394" xr:uid="{00000000-0005-0000-0000-0000E1060000}"/>
    <cellStyle name="20% - Accent1 12 7 3" xfId="16488" xr:uid="{00000000-0005-0000-0000-0000E2060000}"/>
    <cellStyle name="20% - Accent1 12 7 3 2" xfId="28180" xr:uid="{00000000-0005-0000-0000-0000E3060000}"/>
    <cellStyle name="20% - Accent1 12 7 4" xfId="20534" xr:uid="{00000000-0005-0000-0000-0000E4060000}"/>
    <cellStyle name="20% - Accent1 12 8" xfId="1116" xr:uid="{00000000-0005-0000-0000-0000E5060000}"/>
    <cellStyle name="20% - Accent1 12 8 2" xfId="12538" xr:uid="{00000000-0005-0000-0000-0000E6060000}"/>
    <cellStyle name="20% - Accent1 12 8 2 2" xfId="24395" xr:uid="{00000000-0005-0000-0000-0000E7060000}"/>
    <cellStyle name="20% - Accent1 12 8 3" xfId="16489" xr:uid="{00000000-0005-0000-0000-0000E8060000}"/>
    <cellStyle name="20% - Accent1 12 8 3 2" xfId="28181" xr:uid="{00000000-0005-0000-0000-0000E9060000}"/>
    <cellStyle name="20% - Accent1 12 8 4" xfId="20535" xr:uid="{00000000-0005-0000-0000-0000EA060000}"/>
    <cellStyle name="20% - Accent1 12 9" xfId="12506" xr:uid="{00000000-0005-0000-0000-0000EB060000}"/>
    <cellStyle name="20% - Accent1 12 9 2" xfId="24363" xr:uid="{00000000-0005-0000-0000-0000EC060000}"/>
    <cellStyle name="20% - Accent1 12_Volatility" xfId="1117" xr:uid="{00000000-0005-0000-0000-0000ED060000}"/>
    <cellStyle name="20% - Accent1 13" xfId="1118" xr:uid="{00000000-0005-0000-0000-0000EE060000}"/>
    <cellStyle name="20% - Accent1 13 10" xfId="16490" xr:uid="{00000000-0005-0000-0000-0000EF060000}"/>
    <cellStyle name="20% - Accent1 13 10 2" xfId="28182" xr:uid="{00000000-0005-0000-0000-0000F0060000}"/>
    <cellStyle name="20% - Accent1 13 11" xfId="20536" xr:uid="{00000000-0005-0000-0000-0000F1060000}"/>
    <cellStyle name="20% - Accent1 13 2" xfId="1119" xr:uid="{00000000-0005-0000-0000-0000F2060000}"/>
    <cellStyle name="20% - Accent1 13 2 2" xfId="1120" xr:uid="{00000000-0005-0000-0000-0000F3060000}"/>
    <cellStyle name="20% - Accent1 13 2 2 2" xfId="1121" xr:uid="{00000000-0005-0000-0000-0000F4060000}"/>
    <cellStyle name="20% - Accent1 13 2 2 2 2" xfId="12542" xr:uid="{00000000-0005-0000-0000-0000F5060000}"/>
    <cellStyle name="20% - Accent1 13 2 2 2 2 2" xfId="24399" xr:uid="{00000000-0005-0000-0000-0000F6060000}"/>
    <cellStyle name="20% - Accent1 13 2 2 2 3" xfId="16493" xr:uid="{00000000-0005-0000-0000-0000F7060000}"/>
    <cellStyle name="20% - Accent1 13 2 2 2 3 2" xfId="28185" xr:uid="{00000000-0005-0000-0000-0000F8060000}"/>
    <cellStyle name="20% - Accent1 13 2 2 2 4" xfId="20539" xr:uid="{00000000-0005-0000-0000-0000F9060000}"/>
    <cellStyle name="20% - Accent1 13 2 2 3" xfId="1122" xr:uid="{00000000-0005-0000-0000-0000FA060000}"/>
    <cellStyle name="20% - Accent1 13 2 2 3 2" xfId="12543" xr:uid="{00000000-0005-0000-0000-0000FB060000}"/>
    <cellStyle name="20% - Accent1 13 2 2 3 2 2" xfId="24400" xr:uid="{00000000-0005-0000-0000-0000FC060000}"/>
    <cellStyle name="20% - Accent1 13 2 2 3 3" xfId="16494" xr:uid="{00000000-0005-0000-0000-0000FD060000}"/>
    <cellStyle name="20% - Accent1 13 2 2 3 3 2" xfId="28186" xr:uid="{00000000-0005-0000-0000-0000FE060000}"/>
    <cellStyle name="20% - Accent1 13 2 2 3 4" xfId="20540" xr:uid="{00000000-0005-0000-0000-0000FF060000}"/>
    <cellStyle name="20% - Accent1 13 2 2 4" xfId="12541" xr:uid="{00000000-0005-0000-0000-000000070000}"/>
    <cellStyle name="20% - Accent1 13 2 2 4 2" xfId="24398" xr:uid="{00000000-0005-0000-0000-000001070000}"/>
    <cellStyle name="20% - Accent1 13 2 2 5" xfId="16492" xr:uid="{00000000-0005-0000-0000-000002070000}"/>
    <cellStyle name="20% - Accent1 13 2 2 5 2" xfId="28184" xr:uid="{00000000-0005-0000-0000-000003070000}"/>
    <cellStyle name="20% - Accent1 13 2 2 6" xfId="20538" xr:uid="{00000000-0005-0000-0000-000004070000}"/>
    <cellStyle name="20% - Accent1 13 2 3" xfId="1123" xr:uid="{00000000-0005-0000-0000-000005070000}"/>
    <cellStyle name="20% - Accent1 13 2 3 2" xfId="1124" xr:uid="{00000000-0005-0000-0000-000006070000}"/>
    <cellStyle name="20% - Accent1 13 2 3 2 2" xfId="12545" xr:uid="{00000000-0005-0000-0000-000007070000}"/>
    <cellStyle name="20% - Accent1 13 2 3 2 2 2" xfId="24402" xr:uid="{00000000-0005-0000-0000-000008070000}"/>
    <cellStyle name="20% - Accent1 13 2 3 2 3" xfId="16496" xr:uid="{00000000-0005-0000-0000-000009070000}"/>
    <cellStyle name="20% - Accent1 13 2 3 2 3 2" xfId="28188" xr:uid="{00000000-0005-0000-0000-00000A070000}"/>
    <cellStyle name="20% - Accent1 13 2 3 2 4" xfId="20542" xr:uid="{00000000-0005-0000-0000-00000B070000}"/>
    <cellStyle name="20% - Accent1 13 2 3 3" xfId="1125" xr:uid="{00000000-0005-0000-0000-00000C070000}"/>
    <cellStyle name="20% - Accent1 13 2 3 3 2" xfId="12546" xr:uid="{00000000-0005-0000-0000-00000D070000}"/>
    <cellStyle name="20% - Accent1 13 2 3 3 2 2" xfId="24403" xr:uid="{00000000-0005-0000-0000-00000E070000}"/>
    <cellStyle name="20% - Accent1 13 2 3 3 3" xfId="16497" xr:uid="{00000000-0005-0000-0000-00000F070000}"/>
    <cellStyle name="20% - Accent1 13 2 3 3 3 2" xfId="28189" xr:uid="{00000000-0005-0000-0000-000010070000}"/>
    <cellStyle name="20% - Accent1 13 2 3 3 4" xfId="20543" xr:uid="{00000000-0005-0000-0000-000011070000}"/>
    <cellStyle name="20% - Accent1 13 2 3 4" xfId="12544" xr:uid="{00000000-0005-0000-0000-000012070000}"/>
    <cellStyle name="20% - Accent1 13 2 3 4 2" xfId="24401" xr:uid="{00000000-0005-0000-0000-000013070000}"/>
    <cellStyle name="20% - Accent1 13 2 3 5" xfId="16495" xr:uid="{00000000-0005-0000-0000-000014070000}"/>
    <cellStyle name="20% - Accent1 13 2 3 5 2" xfId="28187" xr:uid="{00000000-0005-0000-0000-000015070000}"/>
    <cellStyle name="20% - Accent1 13 2 3 6" xfId="20541" xr:uid="{00000000-0005-0000-0000-000016070000}"/>
    <cellStyle name="20% - Accent1 13 2 4" xfId="1126" xr:uid="{00000000-0005-0000-0000-000017070000}"/>
    <cellStyle name="20% - Accent1 13 2 4 2" xfId="1127" xr:uid="{00000000-0005-0000-0000-000018070000}"/>
    <cellStyle name="20% - Accent1 13 2 4 2 2" xfId="12548" xr:uid="{00000000-0005-0000-0000-000019070000}"/>
    <cellStyle name="20% - Accent1 13 2 4 2 2 2" xfId="24405" xr:uid="{00000000-0005-0000-0000-00001A070000}"/>
    <cellStyle name="20% - Accent1 13 2 4 2 3" xfId="16499" xr:uid="{00000000-0005-0000-0000-00001B070000}"/>
    <cellStyle name="20% - Accent1 13 2 4 2 3 2" xfId="28191" xr:uid="{00000000-0005-0000-0000-00001C070000}"/>
    <cellStyle name="20% - Accent1 13 2 4 2 4" xfId="20545" xr:uid="{00000000-0005-0000-0000-00001D070000}"/>
    <cellStyle name="20% - Accent1 13 2 4 3" xfId="1128" xr:uid="{00000000-0005-0000-0000-00001E070000}"/>
    <cellStyle name="20% - Accent1 13 2 4 3 2" xfId="12549" xr:uid="{00000000-0005-0000-0000-00001F070000}"/>
    <cellStyle name="20% - Accent1 13 2 4 3 2 2" xfId="24406" xr:uid="{00000000-0005-0000-0000-000020070000}"/>
    <cellStyle name="20% - Accent1 13 2 4 3 3" xfId="16500" xr:uid="{00000000-0005-0000-0000-000021070000}"/>
    <cellStyle name="20% - Accent1 13 2 4 3 3 2" xfId="28192" xr:uid="{00000000-0005-0000-0000-000022070000}"/>
    <cellStyle name="20% - Accent1 13 2 4 3 4" xfId="20546" xr:uid="{00000000-0005-0000-0000-000023070000}"/>
    <cellStyle name="20% - Accent1 13 2 4 4" xfId="12547" xr:uid="{00000000-0005-0000-0000-000024070000}"/>
    <cellStyle name="20% - Accent1 13 2 4 4 2" xfId="24404" xr:uid="{00000000-0005-0000-0000-000025070000}"/>
    <cellStyle name="20% - Accent1 13 2 4 5" xfId="16498" xr:uid="{00000000-0005-0000-0000-000026070000}"/>
    <cellStyle name="20% - Accent1 13 2 4 5 2" xfId="28190" xr:uid="{00000000-0005-0000-0000-000027070000}"/>
    <cellStyle name="20% - Accent1 13 2 4 6" xfId="20544" xr:uid="{00000000-0005-0000-0000-000028070000}"/>
    <cellStyle name="20% - Accent1 13 2 5" xfId="1129" xr:uid="{00000000-0005-0000-0000-000029070000}"/>
    <cellStyle name="20% - Accent1 13 2 5 2" xfId="12550" xr:uid="{00000000-0005-0000-0000-00002A070000}"/>
    <cellStyle name="20% - Accent1 13 2 5 2 2" xfId="24407" xr:uid="{00000000-0005-0000-0000-00002B070000}"/>
    <cellStyle name="20% - Accent1 13 2 5 3" xfId="16501" xr:uid="{00000000-0005-0000-0000-00002C070000}"/>
    <cellStyle name="20% - Accent1 13 2 5 3 2" xfId="28193" xr:uid="{00000000-0005-0000-0000-00002D070000}"/>
    <cellStyle name="20% - Accent1 13 2 5 4" xfId="20547" xr:uid="{00000000-0005-0000-0000-00002E070000}"/>
    <cellStyle name="20% - Accent1 13 2 6" xfId="1130" xr:uid="{00000000-0005-0000-0000-00002F070000}"/>
    <cellStyle name="20% - Accent1 13 2 6 2" xfId="12551" xr:uid="{00000000-0005-0000-0000-000030070000}"/>
    <cellStyle name="20% - Accent1 13 2 6 2 2" xfId="24408" xr:uid="{00000000-0005-0000-0000-000031070000}"/>
    <cellStyle name="20% - Accent1 13 2 6 3" xfId="16502" xr:uid="{00000000-0005-0000-0000-000032070000}"/>
    <cellStyle name="20% - Accent1 13 2 6 3 2" xfId="28194" xr:uid="{00000000-0005-0000-0000-000033070000}"/>
    <cellStyle name="20% - Accent1 13 2 6 4" xfId="20548" xr:uid="{00000000-0005-0000-0000-000034070000}"/>
    <cellStyle name="20% - Accent1 13 2 7" xfId="12540" xr:uid="{00000000-0005-0000-0000-000035070000}"/>
    <cellStyle name="20% - Accent1 13 2 7 2" xfId="24397" xr:uid="{00000000-0005-0000-0000-000036070000}"/>
    <cellStyle name="20% - Accent1 13 2 8" xfId="16491" xr:uid="{00000000-0005-0000-0000-000037070000}"/>
    <cellStyle name="20% - Accent1 13 2 8 2" xfId="28183" xr:uid="{00000000-0005-0000-0000-000038070000}"/>
    <cellStyle name="20% - Accent1 13 2 9" xfId="20537" xr:uid="{00000000-0005-0000-0000-000039070000}"/>
    <cellStyle name="20% - Accent1 13 2_Volatility" xfId="1131" xr:uid="{00000000-0005-0000-0000-00003A070000}"/>
    <cellStyle name="20% - Accent1 13 3" xfId="1132" xr:uid="{00000000-0005-0000-0000-00003B070000}"/>
    <cellStyle name="20% - Accent1 13 3 2" xfId="1133" xr:uid="{00000000-0005-0000-0000-00003C070000}"/>
    <cellStyle name="20% - Accent1 13 3 2 2" xfId="1134" xr:uid="{00000000-0005-0000-0000-00003D070000}"/>
    <cellStyle name="20% - Accent1 13 3 2 2 2" xfId="12554" xr:uid="{00000000-0005-0000-0000-00003E070000}"/>
    <cellStyle name="20% - Accent1 13 3 2 2 2 2" xfId="24411" xr:uid="{00000000-0005-0000-0000-00003F070000}"/>
    <cellStyle name="20% - Accent1 13 3 2 2 3" xfId="16505" xr:uid="{00000000-0005-0000-0000-000040070000}"/>
    <cellStyle name="20% - Accent1 13 3 2 2 3 2" xfId="28197" xr:uid="{00000000-0005-0000-0000-000041070000}"/>
    <cellStyle name="20% - Accent1 13 3 2 2 4" xfId="20551" xr:uid="{00000000-0005-0000-0000-000042070000}"/>
    <cellStyle name="20% - Accent1 13 3 2 3" xfId="1135" xr:uid="{00000000-0005-0000-0000-000043070000}"/>
    <cellStyle name="20% - Accent1 13 3 2 3 2" xfId="12555" xr:uid="{00000000-0005-0000-0000-000044070000}"/>
    <cellStyle name="20% - Accent1 13 3 2 3 2 2" xfId="24412" xr:uid="{00000000-0005-0000-0000-000045070000}"/>
    <cellStyle name="20% - Accent1 13 3 2 3 3" xfId="16506" xr:uid="{00000000-0005-0000-0000-000046070000}"/>
    <cellStyle name="20% - Accent1 13 3 2 3 3 2" xfId="28198" xr:uid="{00000000-0005-0000-0000-000047070000}"/>
    <cellStyle name="20% - Accent1 13 3 2 3 4" xfId="20552" xr:uid="{00000000-0005-0000-0000-000048070000}"/>
    <cellStyle name="20% - Accent1 13 3 2 4" xfId="12553" xr:uid="{00000000-0005-0000-0000-000049070000}"/>
    <cellStyle name="20% - Accent1 13 3 2 4 2" xfId="24410" xr:uid="{00000000-0005-0000-0000-00004A070000}"/>
    <cellStyle name="20% - Accent1 13 3 2 5" xfId="16504" xr:uid="{00000000-0005-0000-0000-00004B070000}"/>
    <cellStyle name="20% - Accent1 13 3 2 5 2" xfId="28196" xr:uid="{00000000-0005-0000-0000-00004C070000}"/>
    <cellStyle name="20% - Accent1 13 3 2 6" xfId="20550" xr:uid="{00000000-0005-0000-0000-00004D070000}"/>
    <cellStyle name="20% - Accent1 13 3 3" xfId="1136" xr:uid="{00000000-0005-0000-0000-00004E070000}"/>
    <cellStyle name="20% - Accent1 13 3 3 2" xfId="1137" xr:uid="{00000000-0005-0000-0000-00004F070000}"/>
    <cellStyle name="20% - Accent1 13 3 3 2 2" xfId="12557" xr:uid="{00000000-0005-0000-0000-000050070000}"/>
    <cellStyle name="20% - Accent1 13 3 3 2 2 2" xfId="24414" xr:uid="{00000000-0005-0000-0000-000051070000}"/>
    <cellStyle name="20% - Accent1 13 3 3 2 3" xfId="16508" xr:uid="{00000000-0005-0000-0000-000052070000}"/>
    <cellStyle name="20% - Accent1 13 3 3 2 3 2" xfId="28200" xr:uid="{00000000-0005-0000-0000-000053070000}"/>
    <cellStyle name="20% - Accent1 13 3 3 2 4" xfId="20554" xr:uid="{00000000-0005-0000-0000-000054070000}"/>
    <cellStyle name="20% - Accent1 13 3 3 3" xfId="1138" xr:uid="{00000000-0005-0000-0000-000055070000}"/>
    <cellStyle name="20% - Accent1 13 3 3 3 2" xfId="12558" xr:uid="{00000000-0005-0000-0000-000056070000}"/>
    <cellStyle name="20% - Accent1 13 3 3 3 2 2" xfId="24415" xr:uid="{00000000-0005-0000-0000-000057070000}"/>
    <cellStyle name="20% - Accent1 13 3 3 3 3" xfId="16509" xr:uid="{00000000-0005-0000-0000-000058070000}"/>
    <cellStyle name="20% - Accent1 13 3 3 3 3 2" xfId="28201" xr:uid="{00000000-0005-0000-0000-000059070000}"/>
    <cellStyle name="20% - Accent1 13 3 3 3 4" xfId="20555" xr:uid="{00000000-0005-0000-0000-00005A070000}"/>
    <cellStyle name="20% - Accent1 13 3 3 4" xfId="12556" xr:uid="{00000000-0005-0000-0000-00005B070000}"/>
    <cellStyle name="20% - Accent1 13 3 3 4 2" xfId="24413" xr:uid="{00000000-0005-0000-0000-00005C070000}"/>
    <cellStyle name="20% - Accent1 13 3 3 5" xfId="16507" xr:uid="{00000000-0005-0000-0000-00005D070000}"/>
    <cellStyle name="20% - Accent1 13 3 3 5 2" xfId="28199" xr:uid="{00000000-0005-0000-0000-00005E070000}"/>
    <cellStyle name="20% - Accent1 13 3 3 6" xfId="20553" xr:uid="{00000000-0005-0000-0000-00005F070000}"/>
    <cellStyle name="20% - Accent1 13 3 4" xfId="1139" xr:uid="{00000000-0005-0000-0000-000060070000}"/>
    <cellStyle name="20% - Accent1 13 3 4 2" xfId="12559" xr:uid="{00000000-0005-0000-0000-000061070000}"/>
    <cellStyle name="20% - Accent1 13 3 4 2 2" xfId="24416" xr:uid="{00000000-0005-0000-0000-000062070000}"/>
    <cellStyle name="20% - Accent1 13 3 4 3" xfId="16510" xr:uid="{00000000-0005-0000-0000-000063070000}"/>
    <cellStyle name="20% - Accent1 13 3 4 3 2" xfId="28202" xr:uid="{00000000-0005-0000-0000-000064070000}"/>
    <cellStyle name="20% - Accent1 13 3 4 4" xfId="20556" xr:uid="{00000000-0005-0000-0000-000065070000}"/>
    <cellStyle name="20% - Accent1 13 3 5" xfId="1140" xr:uid="{00000000-0005-0000-0000-000066070000}"/>
    <cellStyle name="20% - Accent1 13 3 5 2" xfId="12560" xr:uid="{00000000-0005-0000-0000-000067070000}"/>
    <cellStyle name="20% - Accent1 13 3 5 2 2" xfId="24417" xr:uid="{00000000-0005-0000-0000-000068070000}"/>
    <cellStyle name="20% - Accent1 13 3 5 3" xfId="16511" xr:uid="{00000000-0005-0000-0000-000069070000}"/>
    <cellStyle name="20% - Accent1 13 3 5 3 2" xfId="28203" xr:uid="{00000000-0005-0000-0000-00006A070000}"/>
    <cellStyle name="20% - Accent1 13 3 5 4" xfId="20557" xr:uid="{00000000-0005-0000-0000-00006B070000}"/>
    <cellStyle name="20% - Accent1 13 3 6" xfId="12552" xr:uid="{00000000-0005-0000-0000-00006C070000}"/>
    <cellStyle name="20% - Accent1 13 3 6 2" xfId="24409" xr:uid="{00000000-0005-0000-0000-00006D070000}"/>
    <cellStyle name="20% - Accent1 13 3 7" xfId="16503" xr:uid="{00000000-0005-0000-0000-00006E070000}"/>
    <cellStyle name="20% - Accent1 13 3 7 2" xfId="28195" xr:uid="{00000000-0005-0000-0000-00006F070000}"/>
    <cellStyle name="20% - Accent1 13 3 8" xfId="20549" xr:uid="{00000000-0005-0000-0000-000070070000}"/>
    <cellStyle name="20% - Accent1 13 3_Volatility" xfId="1141" xr:uid="{00000000-0005-0000-0000-000071070000}"/>
    <cellStyle name="20% - Accent1 13 4" xfId="1142" xr:uid="{00000000-0005-0000-0000-000072070000}"/>
    <cellStyle name="20% - Accent1 13 4 2" xfId="1143" xr:uid="{00000000-0005-0000-0000-000073070000}"/>
    <cellStyle name="20% - Accent1 13 4 2 2" xfId="12562" xr:uid="{00000000-0005-0000-0000-000074070000}"/>
    <cellStyle name="20% - Accent1 13 4 2 2 2" xfId="24419" xr:uid="{00000000-0005-0000-0000-000075070000}"/>
    <cellStyle name="20% - Accent1 13 4 2 3" xfId="16513" xr:uid="{00000000-0005-0000-0000-000076070000}"/>
    <cellStyle name="20% - Accent1 13 4 2 3 2" xfId="28205" xr:uid="{00000000-0005-0000-0000-000077070000}"/>
    <cellStyle name="20% - Accent1 13 4 2 4" xfId="20559" xr:uid="{00000000-0005-0000-0000-000078070000}"/>
    <cellStyle name="20% - Accent1 13 4 3" xfId="1144" xr:uid="{00000000-0005-0000-0000-000079070000}"/>
    <cellStyle name="20% - Accent1 13 4 3 2" xfId="12563" xr:uid="{00000000-0005-0000-0000-00007A070000}"/>
    <cellStyle name="20% - Accent1 13 4 3 2 2" xfId="24420" xr:uid="{00000000-0005-0000-0000-00007B070000}"/>
    <cellStyle name="20% - Accent1 13 4 3 3" xfId="16514" xr:uid="{00000000-0005-0000-0000-00007C070000}"/>
    <cellStyle name="20% - Accent1 13 4 3 3 2" xfId="28206" xr:uid="{00000000-0005-0000-0000-00007D070000}"/>
    <cellStyle name="20% - Accent1 13 4 3 4" xfId="20560" xr:uid="{00000000-0005-0000-0000-00007E070000}"/>
    <cellStyle name="20% - Accent1 13 4 4" xfId="12561" xr:uid="{00000000-0005-0000-0000-00007F070000}"/>
    <cellStyle name="20% - Accent1 13 4 4 2" xfId="24418" xr:uid="{00000000-0005-0000-0000-000080070000}"/>
    <cellStyle name="20% - Accent1 13 4 5" xfId="16512" xr:uid="{00000000-0005-0000-0000-000081070000}"/>
    <cellStyle name="20% - Accent1 13 4 5 2" xfId="28204" xr:uid="{00000000-0005-0000-0000-000082070000}"/>
    <cellStyle name="20% - Accent1 13 4 6" xfId="20558" xr:uid="{00000000-0005-0000-0000-000083070000}"/>
    <cellStyle name="20% - Accent1 13 5" xfId="1145" xr:uid="{00000000-0005-0000-0000-000084070000}"/>
    <cellStyle name="20% - Accent1 13 5 2" xfId="1146" xr:uid="{00000000-0005-0000-0000-000085070000}"/>
    <cellStyle name="20% - Accent1 13 5 2 2" xfId="12565" xr:uid="{00000000-0005-0000-0000-000086070000}"/>
    <cellStyle name="20% - Accent1 13 5 2 2 2" xfId="24422" xr:uid="{00000000-0005-0000-0000-000087070000}"/>
    <cellStyle name="20% - Accent1 13 5 2 3" xfId="16516" xr:uid="{00000000-0005-0000-0000-000088070000}"/>
    <cellStyle name="20% - Accent1 13 5 2 3 2" xfId="28208" xr:uid="{00000000-0005-0000-0000-000089070000}"/>
    <cellStyle name="20% - Accent1 13 5 2 4" xfId="20562" xr:uid="{00000000-0005-0000-0000-00008A070000}"/>
    <cellStyle name="20% - Accent1 13 5 3" xfId="1147" xr:uid="{00000000-0005-0000-0000-00008B070000}"/>
    <cellStyle name="20% - Accent1 13 5 3 2" xfId="12566" xr:uid="{00000000-0005-0000-0000-00008C070000}"/>
    <cellStyle name="20% - Accent1 13 5 3 2 2" xfId="24423" xr:uid="{00000000-0005-0000-0000-00008D070000}"/>
    <cellStyle name="20% - Accent1 13 5 3 3" xfId="16517" xr:uid="{00000000-0005-0000-0000-00008E070000}"/>
    <cellStyle name="20% - Accent1 13 5 3 3 2" xfId="28209" xr:uid="{00000000-0005-0000-0000-00008F070000}"/>
    <cellStyle name="20% - Accent1 13 5 3 4" xfId="20563" xr:uid="{00000000-0005-0000-0000-000090070000}"/>
    <cellStyle name="20% - Accent1 13 5 4" xfId="12564" xr:uid="{00000000-0005-0000-0000-000091070000}"/>
    <cellStyle name="20% - Accent1 13 5 4 2" xfId="24421" xr:uid="{00000000-0005-0000-0000-000092070000}"/>
    <cellStyle name="20% - Accent1 13 5 5" xfId="16515" xr:uid="{00000000-0005-0000-0000-000093070000}"/>
    <cellStyle name="20% - Accent1 13 5 5 2" xfId="28207" xr:uid="{00000000-0005-0000-0000-000094070000}"/>
    <cellStyle name="20% - Accent1 13 5 6" xfId="20561" xr:uid="{00000000-0005-0000-0000-000095070000}"/>
    <cellStyle name="20% - Accent1 13 6" xfId="1148" xr:uid="{00000000-0005-0000-0000-000096070000}"/>
    <cellStyle name="20% - Accent1 13 6 2" xfId="1149" xr:uid="{00000000-0005-0000-0000-000097070000}"/>
    <cellStyle name="20% - Accent1 13 6 2 2" xfId="12568" xr:uid="{00000000-0005-0000-0000-000098070000}"/>
    <cellStyle name="20% - Accent1 13 6 2 2 2" xfId="24425" xr:uid="{00000000-0005-0000-0000-000099070000}"/>
    <cellStyle name="20% - Accent1 13 6 2 3" xfId="16519" xr:uid="{00000000-0005-0000-0000-00009A070000}"/>
    <cellStyle name="20% - Accent1 13 6 2 3 2" xfId="28211" xr:uid="{00000000-0005-0000-0000-00009B070000}"/>
    <cellStyle name="20% - Accent1 13 6 2 4" xfId="20565" xr:uid="{00000000-0005-0000-0000-00009C070000}"/>
    <cellStyle name="20% - Accent1 13 6 3" xfId="1150" xr:uid="{00000000-0005-0000-0000-00009D070000}"/>
    <cellStyle name="20% - Accent1 13 6 3 2" xfId="12569" xr:uid="{00000000-0005-0000-0000-00009E070000}"/>
    <cellStyle name="20% - Accent1 13 6 3 2 2" xfId="24426" xr:uid="{00000000-0005-0000-0000-00009F070000}"/>
    <cellStyle name="20% - Accent1 13 6 3 3" xfId="16520" xr:uid="{00000000-0005-0000-0000-0000A0070000}"/>
    <cellStyle name="20% - Accent1 13 6 3 3 2" xfId="28212" xr:uid="{00000000-0005-0000-0000-0000A1070000}"/>
    <cellStyle name="20% - Accent1 13 6 3 4" xfId="20566" xr:uid="{00000000-0005-0000-0000-0000A2070000}"/>
    <cellStyle name="20% - Accent1 13 6 4" xfId="12567" xr:uid="{00000000-0005-0000-0000-0000A3070000}"/>
    <cellStyle name="20% - Accent1 13 6 4 2" xfId="24424" xr:uid="{00000000-0005-0000-0000-0000A4070000}"/>
    <cellStyle name="20% - Accent1 13 6 5" xfId="16518" xr:uid="{00000000-0005-0000-0000-0000A5070000}"/>
    <cellStyle name="20% - Accent1 13 6 5 2" xfId="28210" xr:uid="{00000000-0005-0000-0000-0000A6070000}"/>
    <cellStyle name="20% - Accent1 13 6 6" xfId="20564" xr:uid="{00000000-0005-0000-0000-0000A7070000}"/>
    <cellStyle name="20% - Accent1 13 7" xfId="1151" xr:uid="{00000000-0005-0000-0000-0000A8070000}"/>
    <cellStyle name="20% - Accent1 13 7 2" xfId="12570" xr:uid="{00000000-0005-0000-0000-0000A9070000}"/>
    <cellStyle name="20% - Accent1 13 7 2 2" xfId="24427" xr:uid="{00000000-0005-0000-0000-0000AA070000}"/>
    <cellStyle name="20% - Accent1 13 7 3" xfId="16521" xr:uid="{00000000-0005-0000-0000-0000AB070000}"/>
    <cellStyle name="20% - Accent1 13 7 3 2" xfId="28213" xr:uid="{00000000-0005-0000-0000-0000AC070000}"/>
    <cellStyle name="20% - Accent1 13 7 4" xfId="20567" xr:uid="{00000000-0005-0000-0000-0000AD070000}"/>
    <cellStyle name="20% - Accent1 13 8" xfId="1152" xr:uid="{00000000-0005-0000-0000-0000AE070000}"/>
    <cellStyle name="20% - Accent1 13 8 2" xfId="12571" xr:uid="{00000000-0005-0000-0000-0000AF070000}"/>
    <cellStyle name="20% - Accent1 13 8 2 2" xfId="24428" xr:uid="{00000000-0005-0000-0000-0000B0070000}"/>
    <cellStyle name="20% - Accent1 13 8 3" xfId="16522" xr:uid="{00000000-0005-0000-0000-0000B1070000}"/>
    <cellStyle name="20% - Accent1 13 8 3 2" xfId="28214" xr:uid="{00000000-0005-0000-0000-0000B2070000}"/>
    <cellStyle name="20% - Accent1 13 8 4" xfId="20568" xr:uid="{00000000-0005-0000-0000-0000B3070000}"/>
    <cellStyle name="20% - Accent1 13 9" xfId="12539" xr:uid="{00000000-0005-0000-0000-0000B4070000}"/>
    <cellStyle name="20% - Accent1 13 9 2" xfId="24396" xr:uid="{00000000-0005-0000-0000-0000B5070000}"/>
    <cellStyle name="20% - Accent1 13_Volatility" xfId="1153" xr:uid="{00000000-0005-0000-0000-0000B6070000}"/>
    <cellStyle name="20% - Accent1 14" xfId="1154" xr:uid="{00000000-0005-0000-0000-0000B7070000}"/>
    <cellStyle name="20% - Accent1 14 10" xfId="16523" xr:uid="{00000000-0005-0000-0000-0000B8070000}"/>
    <cellStyle name="20% - Accent1 14 10 2" xfId="28215" xr:uid="{00000000-0005-0000-0000-0000B9070000}"/>
    <cellStyle name="20% - Accent1 14 11" xfId="20569" xr:uid="{00000000-0005-0000-0000-0000BA070000}"/>
    <cellStyle name="20% - Accent1 14 2" xfId="1155" xr:uid="{00000000-0005-0000-0000-0000BB070000}"/>
    <cellStyle name="20% - Accent1 14 2 2" xfId="1156" xr:uid="{00000000-0005-0000-0000-0000BC070000}"/>
    <cellStyle name="20% - Accent1 14 2 2 2" xfId="1157" xr:uid="{00000000-0005-0000-0000-0000BD070000}"/>
    <cellStyle name="20% - Accent1 14 2 2 2 2" xfId="12575" xr:uid="{00000000-0005-0000-0000-0000BE070000}"/>
    <cellStyle name="20% - Accent1 14 2 2 2 2 2" xfId="24432" xr:uid="{00000000-0005-0000-0000-0000BF070000}"/>
    <cellStyle name="20% - Accent1 14 2 2 2 3" xfId="16526" xr:uid="{00000000-0005-0000-0000-0000C0070000}"/>
    <cellStyle name="20% - Accent1 14 2 2 2 3 2" xfId="28218" xr:uid="{00000000-0005-0000-0000-0000C1070000}"/>
    <cellStyle name="20% - Accent1 14 2 2 2 4" xfId="20572" xr:uid="{00000000-0005-0000-0000-0000C2070000}"/>
    <cellStyle name="20% - Accent1 14 2 2 3" xfId="1158" xr:uid="{00000000-0005-0000-0000-0000C3070000}"/>
    <cellStyle name="20% - Accent1 14 2 2 3 2" xfId="12576" xr:uid="{00000000-0005-0000-0000-0000C4070000}"/>
    <cellStyle name="20% - Accent1 14 2 2 3 2 2" xfId="24433" xr:uid="{00000000-0005-0000-0000-0000C5070000}"/>
    <cellStyle name="20% - Accent1 14 2 2 3 3" xfId="16527" xr:uid="{00000000-0005-0000-0000-0000C6070000}"/>
    <cellStyle name="20% - Accent1 14 2 2 3 3 2" xfId="28219" xr:uid="{00000000-0005-0000-0000-0000C7070000}"/>
    <cellStyle name="20% - Accent1 14 2 2 3 4" xfId="20573" xr:uid="{00000000-0005-0000-0000-0000C8070000}"/>
    <cellStyle name="20% - Accent1 14 2 2 4" xfId="12574" xr:uid="{00000000-0005-0000-0000-0000C9070000}"/>
    <cellStyle name="20% - Accent1 14 2 2 4 2" xfId="24431" xr:uid="{00000000-0005-0000-0000-0000CA070000}"/>
    <cellStyle name="20% - Accent1 14 2 2 5" xfId="16525" xr:uid="{00000000-0005-0000-0000-0000CB070000}"/>
    <cellStyle name="20% - Accent1 14 2 2 5 2" xfId="28217" xr:uid="{00000000-0005-0000-0000-0000CC070000}"/>
    <cellStyle name="20% - Accent1 14 2 2 6" xfId="20571" xr:uid="{00000000-0005-0000-0000-0000CD070000}"/>
    <cellStyle name="20% - Accent1 14 2 3" xfId="1159" xr:uid="{00000000-0005-0000-0000-0000CE070000}"/>
    <cellStyle name="20% - Accent1 14 2 3 2" xfId="1160" xr:uid="{00000000-0005-0000-0000-0000CF070000}"/>
    <cellStyle name="20% - Accent1 14 2 3 2 2" xfId="12578" xr:uid="{00000000-0005-0000-0000-0000D0070000}"/>
    <cellStyle name="20% - Accent1 14 2 3 2 2 2" xfId="24435" xr:uid="{00000000-0005-0000-0000-0000D1070000}"/>
    <cellStyle name="20% - Accent1 14 2 3 2 3" xfId="16529" xr:uid="{00000000-0005-0000-0000-0000D2070000}"/>
    <cellStyle name="20% - Accent1 14 2 3 2 3 2" xfId="28221" xr:uid="{00000000-0005-0000-0000-0000D3070000}"/>
    <cellStyle name="20% - Accent1 14 2 3 2 4" xfId="20575" xr:uid="{00000000-0005-0000-0000-0000D4070000}"/>
    <cellStyle name="20% - Accent1 14 2 3 3" xfId="1161" xr:uid="{00000000-0005-0000-0000-0000D5070000}"/>
    <cellStyle name="20% - Accent1 14 2 3 3 2" xfId="12579" xr:uid="{00000000-0005-0000-0000-0000D6070000}"/>
    <cellStyle name="20% - Accent1 14 2 3 3 2 2" xfId="24436" xr:uid="{00000000-0005-0000-0000-0000D7070000}"/>
    <cellStyle name="20% - Accent1 14 2 3 3 3" xfId="16530" xr:uid="{00000000-0005-0000-0000-0000D8070000}"/>
    <cellStyle name="20% - Accent1 14 2 3 3 3 2" xfId="28222" xr:uid="{00000000-0005-0000-0000-0000D9070000}"/>
    <cellStyle name="20% - Accent1 14 2 3 3 4" xfId="20576" xr:uid="{00000000-0005-0000-0000-0000DA070000}"/>
    <cellStyle name="20% - Accent1 14 2 3 4" xfId="12577" xr:uid="{00000000-0005-0000-0000-0000DB070000}"/>
    <cellStyle name="20% - Accent1 14 2 3 4 2" xfId="24434" xr:uid="{00000000-0005-0000-0000-0000DC070000}"/>
    <cellStyle name="20% - Accent1 14 2 3 5" xfId="16528" xr:uid="{00000000-0005-0000-0000-0000DD070000}"/>
    <cellStyle name="20% - Accent1 14 2 3 5 2" xfId="28220" xr:uid="{00000000-0005-0000-0000-0000DE070000}"/>
    <cellStyle name="20% - Accent1 14 2 3 6" xfId="20574" xr:uid="{00000000-0005-0000-0000-0000DF070000}"/>
    <cellStyle name="20% - Accent1 14 2 4" xfId="1162" xr:uid="{00000000-0005-0000-0000-0000E0070000}"/>
    <cellStyle name="20% - Accent1 14 2 4 2" xfId="1163" xr:uid="{00000000-0005-0000-0000-0000E1070000}"/>
    <cellStyle name="20% - Accent1 14 2 4 2 2" xfId="12581" xr:uid="{00000000-0005-0000-0000-0000E2070000}"/>
    <cellStyle name="20% - Accent1 14 2 4 2 2 2" xfId="24438" xr:uid="{00000000-0005-0000-0000-0000E3070000}"/>
    <cellStyle name="20% - Accent1 14 2 4 2 3" xfId="16532" xr:uid="{00000000-0005-0000-0000-0000E4070000}"/>
    <cellStyle name="20% - Accent1 14 2 4 2 3 2" xfId="28224" xr:uid="{00000000-0005-0000-0000-0000E5070000}"/>
    <cellStyle name="20% - Accent1 14 2 4 2 4" xfId="20578" xr:uid="{00000000-0005-0000-0000-0000E6070000}"/>
    <cellStyle name="20% - Accent1 14 2 4 3" xfId="1164" xr:uid="{00000000-0005-0000-0000-0000E7070000}"/>
    <cellStyle name="20% - Accent1 14 2 4 3 2" xfId="12582" xr:uid="{00000000-0005-0000-0000-0000E8070000}"/>
    <cellStyle name="20% - Accent1 14 2 4 3 2 2" xfId="24439" xr:uid="{00000000-0005-0000-0000-0000E9070000}"/>
    <cellStyle name="20% - Accent1 14 2 4 3 3" xfId="16533" xr:uid="{00000000-0005-0000-0000-0000EA070000}"/>
    <cellStyle name="20% - Accent1 14 2 4 3 3 2" xfId="28225" xr:uid="{00000000-0005-0000-0000-0000EB070000}"/>
    <cellStyle name="20% - Accent1 14 2 4 3 4" xfId="20579" xr:uid="{00000000-0005-0000-0000-0000EC070000}"/>
    <cellStyle name="20% - Accent1 14 2 4 4" xfId="12580" xr:uid="{00000000-0005-0000-0000-0000ED070000}"/>
    <cellStyle name="20% - Accent1 14 2 4 4 2" xfId="24437" xr:uid="{00000000-0005-0000-0000-0000EE070000}"/>
    <cellStyle name="20% - Accent1 14 2 4 5" xfId="16531" xr:uid="{00000000-0005-0000-0000-0000EF070000}"/>
    <cellStyle name="20% - Accent1 14 2 4 5 2" xfId="28223" xr:uid="{00000000-0005-0000-0000-0000F0070000}"/>
    <cellStyle name="20% - Accent1 14 2 4 6" xfId="20577" xr:uid="{00000000-0005-0000-0000-0000F1070000}"/>
    <cellStyle name="20% - Accent1 14 2 5" xfId="1165" xr:uid="{00000000-0005-0000-0000-0000F2070000}"/>
    <cellStyle name="20% - Accent1 14 2 5 2" xfId="12583" xr:uid="{00000000-0005-0000-0000-0000F3070000}"/>
    <cellStyle name="20% - Accent1 14 2 5 2 2" xfId="24440" xr:uid="{00000000-0005-0000-0000-0000F4070000}"/>
    <cellStyle name="20% - Accent1 14 2 5 3" xfId="16534" xr:uid="{00000000-0005-0000-0000-0000F5070000}"/>
    <cellStyle name="20% - Accent1 14 2 5 3 2" xfId="28226" xr:uid="{00000000-0005-0000-0000-0000F6070000}"/>
    <cellStyle name="20% - Accent1 14 2 5 4" xfId="20580" xr:uid="{00000000-0005-0000-0000-0000F7070000}"/>
    <cellStyle name="20% - Accent1 14 2 6" xfId="1166" xr:uid="{00000000-0005-0000-0000-0000F8070000}"/>
    <cellStyle name="20% - Accent1 14 2 6 2" xfId="12584" xr:uid="{00000000-0005-0000-0000-0000F9070000}"/>
    <cellStyle name="20% - Accent1 14 2 6 2 2" xfId="24441" xr:uid="{00000000-0005-0000-0000-0000FA070000}"/>
    <cellStyle name="20% - Accent1 14 2 6 3" xfId="16535" xr:uid="{00000000-0005-0000-0000-0000FB070000}"/>
    <cellStyle name="20% - Accent1 14 2 6 3 2" xfId="28227" xr:uid="{00000000-0005-0000-0000-0000FC070000}"/>
    <cellStyle name="20% - Accent1 14 2 6 4" xfId="20581" xr:uid="{00000000-0005-0000-0000-0000FD070000}"/>
    <cellStyle name="20% - Accent1 14 2 7" xfId="12573" xr:uid="{00000000-0005-0000-0000-0000FE070000}"/>
    <cellStyle name="20% - Accent1 14 2 7 2" xfId="24430" xr:uid="{00000000-0005-0000-0000-0000FF070000}"/>
    <cellStyle name="20% - Accent1 14 2 8" xfId="16524" xr:uid="{00000000-0005-0000-0000-000000080000}"/>
    <cellStyle name="20% - Accent1 14 2 8 2" xfId="28216" xr:uid="{00000000-0005-0000-0000-000001080000}"/>
    <cellStyle name="20% - Accent1 14 2 9" xfId="20570" xr:uid="{00000000-0005-0000-0000-000002080000}"/>
    <cellStyle name="20% - Accent1 14 2_Volatility" xfId="1167" xr:uid="{00000000-0005-0000-0000-000003080000}"/>
    <cellStyle name="20% - Accent1 14 3" xfId="1168" xr:uid="{00000000-0005-0000-0000-000004080000}"/>
    <cellStyle name="20% - Accent1 14 3 2" xfId="1169" xr:uid="{00000000-0005-0000-0000-000005080000}"/>
    <cellStyle name="20% - Accent1 14 3 2 2" xfId="1170" xr:uid="{00000000-0005-0000-0000-000006080000}"/>
    <cellStyle name="20% - Accent1 14 3 2 2 2" xfId="12587" xr:uid="{00000000-0005-0000-0000-000007080000}"/>
    <cellStyle name="20% - Accent1 14 3 2 2 2 2" xfId="24444" xr:uid="{00000000-0005-0000-0000-000008080000}"/>
    <cellStyle name="20% - Accent1 14 3 2 2 3" xfId="16538" xr:uid="{00000000-0005-0000-0000-000009080000}"/>
    <cellStyle name="20% - Accent1 14 3 2 2 3 2" xfId="28230" xr:uid="{00000000-0005-0000-0000-00000A080000}"/>
    <cellStyle name="20% - Accent1 14 3 2 2 4" xfId="20584" xr:uid="{00000000-0005-0000-0000-00000B080000}"/>
    <cellStyle name="20% - Accent1 14 3 2 3" xfId="1171" xr:uid="{00000000-0005-0000-0000-00000C080000}"/>
    <cellStyle name="20% - Accent1 14 3 2 3 2" xfId="12588" xr:uid="{00000000-0005-0000-0000-00000D080000}"/>
    <cellStyle name="20% - Accent1 14 3 2 3 2 2" xfId="24445" xr:uid="{00000000-0005-0000-0000-00000E080000}"/>
    <cellStyle name="20% - Accent1 14 3 2 3 3" xfId="16539" xr:uid="{00000000-0005-0000-0000-00000F080000}"/>
    <cellStyle name="20% - Accent1 14 3 2 3 3 2" xfId="28231" xr:uid="{00000000-0005-0000-0000-000010080000}"/>
    <cellStyle name="20% - Accent1 14 3 2 3 4" xfId="20585" xr:uid="{00000000-0005-0000-0000-000011080000}"/>
    <cellStyle name="20% - Accent1 14 3 2 4" xfId="12586" xr:uid="{00000000-0005-0000-0000-000012080000}"/>
    <cellStyle name="20% - Accent1 14 3 2 4 2" xfId="24443" xr:uid="{00000000-0005-0000-0000-000013080000}"/>
    <cellStyle name="20% - Accent1 14 3 2 5" xfId="16537" xr:uid="{00000000-0005-0000-0000-000014080000}"/>
    <cellStyle name="20% - Accent1 14 3 2 5 2" xfId="28229" xr:uid="{00000000-0005-0000-0000-000015080000}"/>
    <cellStyle name="20% - Accent1 14 3 2 6" xfId="20583" xr:uid="{00000000-0005-0000-0000-000016080000}"/>
    <cellStyle name="20% - Accent1 14 3 3" xfId="1172" xr:uid="{00000000-0005-0000-0000-000017080000}"/>
    <cellStyle name="20% - Accent1 14 3 3 2" xfId="1173" xr:uid="{00000000-0005-0000-0000-000018080000}"/>
    <cellStyle name="20% - Accent1 14 3 3 2 2" xfId="12590" xr:uid="{00000000-0005-0000-0000-000019080000}"/>
    <cellStyle name="20% - Accent1 14 3 3 2 2 2" xfId="24447" xr:uid="{00000000-0005-0000-0000-00001A080000}"/>
    <cellStyle name="20% - Accent1 14 3 3 2 3" xfId="16541" xr:uid="{00000000-0005-0000-0000-00001B080000}"/>
    <cellStyle name="20% - Accent1 14 3 3 2 3 2" xfId="28233" xr:uid="{00000000-0005-0000-0000-00001C080000}"/>
    <cellStyle name="20% - Accent1 14 3 3 2 4" xfId="20587" xr:uid="{00000000-0005-0000-0000-00001D080000}"/>
    <cellStyle name="20% - Accent1 14 3 3 3" xfId="1174" xr:uid="{00000000-0005-0000-0000-00001E080000}"/>
    <cellStyle name="20% - Accent1 14 3 3 3 2" xfId="12591" xr:uid="{00000000-0005-0000-0000-00001F080000}"/>
    <cellStyle name="20% - Accent1 14 3 3 3 2 2" xfId="24448" xr:uid="{00000000-0005-0000-0000-000020080000}"/>
    <cellStyle name="20% - Accent1 14 3 3 3 3" xfId="16542" xr:uid="{00000000-0005-0000-0000-000021080000}"/>
    <cellStyle name="20% - Accent1 14 3 3 3 3 2" xfId="28234" xr:uid="{00000000-0005-0000-0000-000022080000}"/>
    <cellStyle name="20% - Accent1 14 3 3 3 4" xfId="20588" xr:uid="{00000000-0005-0000-0000-000023080000}"/>
    <cellStyle name="20% - Accent1 14 3 3 4" xfId="12589" xr:uid="{00000000-0005-0000-0000-000024080000}"/>
    <cellStyle name="20% - Accent1 14 3 3 4 2" xfId="24446" xr:uid="{00000000-0005-0000-0000-000025080000}"/>
    <cellStyle name="20% - Accent1 14 3 3 5" xfId="16540" xr:uid="{00000000-0005-0000-0000-000026080000}"/>
    <cellStyle name="20% - Accent1 14 3 3 5 2" xfId="28232" xr:uid="{00000000-0005-0000-0000-000027080000}"/>
    <cellStyle name="20% - Accent1 14 3 3 6" xfId="20586" xr:uid="{00000000-0005-0000-0000-000028080000}"/>
    <cellStyle name="20% - Accent1 14 3 4" xfId="1175" xr:uid="{00000000-0005-0000-0000-000029080000}"/>
    <cellStyle name="20% - Accent1 14 3 4 2" xfId="12592" xr:uid="{00000000-0005-0000-0000-00002A080000}"/>
    <cellStyle name="20% - Accent1 14 3 4 2 2" xfId="24449" xr:uid="{00000000-0005-0000-0000-00002B080000}"/>
    <cellStyle name="20% - Accent1 14 3 4 3" xfId="16543" xr:uid="{00000000-0005-0000-0000-00002C080000}"/>
    <cellStyle name="20% - Accent1 14 3 4 3 2" xfId="28235" xr:uid="{00000000-0005-0000-0000-00002D080000}"/>
    <cellStyle name="20% - Accent1 14 3 4 4" xfId="20589" xr:uid="{00000000-0005-0000-0000-00002E080000}"/>
    <cellStyle name="20% - Accent1 14 3 5" xfId="1176" xr:uid="{00000000-0005-0000-0000-00002F080000}"/>
    <cellStyle name="20% - Accent1 14 3 5 2" xfId="12593" xr:uid="{00000000-0005-0000-0000-000030080000}"/>
    <cellStyle name="20% - Accent1 14 3 5 2 2" xfId="24450" xr:uid="{00000000-0005-0000-0000-000031080000}"/>
    <cellStyle name="20% - Accent1 14 3 5 3" xfId="16544" xr:uid="{00000000-0005-0000-0000-000032080000}"/>
    <cellStyle name="20% - Accent1 14 3 5 3 2" xfId="28236" xr:uid="{00000000-0005-0000-0000-000033080000}"/>
    <cellStyle name="20% - Accent1 14 3 5 4" xfId="20590" xr:uid="{00000000-0005-0000-0000-000034080000}"/>
    <cellStyle name="20% - Accent1 14 3 6" xfId="12585" xr:uid="{00000000-0005-0000-0000-000035080000}"/>
    <cellStyle name="20% - Accent1 14 3 6 2" xfId="24442" xr:uid="{00000000-0005-0000-0000-000036080000}"/>
    <cellStyle name="20% - Accent1 14 3 7" xfId="16536" xr:uid="{00000000-0005-0000-0000-000037080000}"/>
    <cellStyle name="20% - Accent1 14 3 7 2" xfId="28228" xr:uid="{00000000-0005-0000-0000-000038080000}"/>
    <cellStyle name="20% - Accent1 14 3 8" xfId="20582" xr:uid="{00000000-0005-0000-0000-000039080000}"/>
    <cellStyle name="20% - Accent1 14 3_Volatility" xfId="1177" xr:uid="{00000000-0005-0000-0000-00003A080000}"/>
    <cellStyle name="20% - Accent1 14 4" xfId="1178" xr:uid="{00000000-0005-0000-0000-00003B080000}"/>
    <cellStyle name="20% - Accent1 14 4 2" xfId="1179" xr:uid="{00000000-0005-0000-0000-00003C080000}"/>
    <cellStyle name="20% - Accent1 14 4 2 2" xfId="12595" xr:uid="{00000000-0005-0000-0000-00003D080000}"/>
    <cellStyle name="20% - Accent1 14 4 2 2 2" xfId="24452" xr:uid="{00000000-0005-0000-0000-00003E080000}"/>
    <cellStyle name="20% - Accent1 14 4 2 3" xfId="16546" xr:uid="{00000000-0005-0000-0000-00003F080000}"/>
    <cellStyle name="20% - Accent1 14 4 2 3 2" xfId="28238" xr:uid="{00000000-0005-0000-0000-000040080000}"/>
    <cellStyle name="20% - Accent1 14 4 2 4" xfId="20592" xr:uid="{00000000-0005-0000-0000-000041080000}"/>
    <cellStyle name="20% - Accent1 14 4 3" xfId="1180" xr:uid="{00000000-0005-0000-0000-000042080000}"/>
    <cellStyle name="20% - Accent1 14 4 3 2" xfId="12596" xr:uid="{00000000-0005-0000-0000-000043080000}"/>
    <cellStyle name="20% - Accent1 14 4 3 2 2" xfId="24453" xr:uid="{00000000-0005-0000-0000-000044080000}"/>
    <cellStyle name="20% - Accent1 14 4 3 3" xfId="16547" xr:uid="{00000000-0005-0000-0000-000045080000}"/>
    <cellStyle name="20% - Accent1 14 4 3 3 2" xfId="28239" xr:uid="{00000000-0005-0000-0000-000046080000}"/>
    <cellStyle name="20% - Accent1 14 4 3 4" xfId="20593" xr:uid="{00000000-0005-0000-0000-000047080000}"/>
    <cellStyle name="20% - Accent1 14 4 4" xfId="12594" xr:uid="{00000000-0005-0000-0000-000048080000}"/>
    <cellStyle name="20% - Accent1 14 4 4 2" xfId="24451" xr:uid="{00000000-0005-0000-0000-000049080000}"/>
    <cellStyle name="20% - Accent1 14 4 5" xfId="16545" xr:uid="{00000000-0005-0000-0000-00004A080000}"/>
    <cellStyle name="20% - Accent1 14 4 5 2" xfId="28237" xr:uid="{00000000-0005-0000-0000-00004B080000}"/>
    <cellStyle name="20% - Accent1 14 4 6" xfId="20591" xr:uid="{00000000-0005-0000-0000-00004C080000}"/>
    <cellStyle name="20% - Accent1 14 5" xfId="1181" xr:uid="{00000000-0005-0000-0000-00004D080000}"/>
    <cellStyle name="20% - Accent1 14 5 2" xfId="1182" xr:uid="{00000000-0005-0000-0000-00004E080000}"/>
    <cellStyle name="20% - Accent1 14 5 2 2" xfId="12598" xr:uid="{00000000-0005-0000-0000-00004F080000}"/>
    <cellStyle name="20% - Accent1 14 5 2 2 2" xfId="24455" xr:uid="{00000000-0005-0000-0000-000050080000}"/>
    <cellStyle name="20% - Accent1 14 5 2 3" xfId="16549" xr:uid="{00000000-0005-0000-0000-000051080000}"/>
    <cellStyle name="20% - Accent1 14 5 2 3 2" xfId="28241" xr:uid="{00000000-0005-0000-0000-000052080000}"/>
    <cellStyle name="20% - Accent1 14 5 2 4" xfId="20595" xr:uid="{00000000-0005-0000-0000-000053080000}"/>
    <cellStyle name="20% - Accent1 14 5 3" xfId="1183" xr:uid="{00000000-0005-0000-0000-000054080000}"/>
    <cellStyle name="20% - Accent1 14 5 3 2" xfId="12599" xr:uid="{00000000-0005-0000-0000-000055080000}"/>
    <cellStyle name="20% - Accent1 14 5 3 2 2" xfId="24456" xr:uid="{00000000-0005-0000-0000-000056080000}"/>
    <cellStyle name="20% - Accent1 14 5 3 3" xfId="16550" xr:uid="{00000000-0005-0000-0000-000057080000}"/>
    <cellStyle name="20% - Accent1 14 5 3 3 2" xfId="28242" xr:uid="{00000000-0005-0000-0000-000058080000}"/>
    <cellStyle name="20% - Accent1 14 5 3 4" xfId="20596" xr:uid="{00000000-0005-0000-0000-000059080000}"/>
    <cellStyle name="20% - Accent1 14 5 4" xfId="12597" xr:uid="{00000000-0005-0000-0000-00005A080000}"/>
    <cellStyle name="20% - Accent1 14 5 4 2" xfId="24454" xr:uid="{00000000-0005-0000-0000-00005B080000}"/>
    <cellStyle name="20% - Accent1 14 5 5" xfId="16548" xr:uid="{00000000-0005-0000-0000-00005C080000}"/>
    <cellStyle name="20% - Accent1 14 5 5 2" xfId="28240" xr:uid="{00000000-0005-0000-0000-00005D080000}"/>
    <cellStyle name="20% - Accent1 14 5 6" xfId="20594" xr:uid="{00000000-0005-0000-0000-00005E080000}"/>
    <cellStyle name="20% - Accent1 14 6" xfId="1184" xr:uid="{00000000-0005-0000-0000-00005F080000}"/>
    <cellStyle name="20% - Accent1 14 6 2" xfId="1185" xr:uid="{00000000-0005-0000-0000-000060080000}"/>
    <cellStyle name="20% - Accent1 14 6 2 2" xfId="12601" xr:uid="{00000000-0005-0000-0000-000061080000}"/>
    <cellStyle name="20% - Accent1 14 6 2 2 2" xfId="24458" xr:uid="{00000000-0005-0000-0000-000062080000}"/>
    <cellStyle name="20% - Accent1 14 6 2 3" xfId="16552" xr:uid="{00000000-0005-0000-0000-000063080000}"/>
    <cellStyle name="20% - Accent1 14 6 2 3 2" xfId="28244" xr:uid="{00000000-0005-0000-0000-000064080000}"/>
    <cellStyle name="20% - Accent1 14 6 2 4" xfId="20598" xr:uid="{00000000-0005-0000-0000-000065080000}"/>
    <cellStyle name="20% - Accent1 14 6 3" xfId="1186" xr:uid="{00000000-0005-0000-0000-000066080000}"/>
    <cellStyle name="20% - Accent1 14 6 3 2" xfId="12602" xr:uid="{00000000-0005-0000-0000-000067080000}"/>
    <cellStyle name="20% - Accent1 14 6 3 2 2" xfId="24459" xr:uid="{00000000-0005-0000-0000-000068080000}"/>
    <cellStyle name="20% - Accent1 14 6 3 3" xfId="16553" xr:uid="{00000000-0005-0000-0000-000069080000}"/>
    <cellStyle name="20% - Accent1 14 6 3 3 2" xfId="28245" xr:uid="{00000000-0005-0000-0000-00006A080000}"/>
    <cellStyle name="20% - Accent1 14 6 3 4" xfId="20599" xr:uid="{00000000-0005-0000-0000-00006B080000}"/>
    <cellStyle name="20% - Accent1 14 6 4" xfId="12600" xr:uid="{00000000-0005-0000-0000-00006C080000}"/>
    <cellStyle name="20% - Accent1 14 6 4 2" xfId="24457" xr:uid="{00000000-0005-0000-0000-00006D080000}"/>
    <cellStyle name="20% - Accent1 14 6 5" xfId="16551" xr:uid="{00000000-0005-0000-0000-00006E080000}"/>
    <cellStyle name="20% - Accent1 14 6 5 2" xfId="28243" xr:uid="{00000000-0005-0000-0000-00006F080000}"/>
    <cellStyle name="20% - Accent1 14 6 6" xfId="20597" xr:uid="{00000000-0005-0000-0000-000070080000}"/>
    <cellStyle name="20% - Accent1 14 7" xfId="1187" xr:uid="{00000000-0005-0000-0000-000071080000}"/>
    <cellStyle name="20% - Accent1 14 7 2" xfId="12603" xr:uid="{00000000-0005-0000-0000-000072080000}"/>
    <cellStyle name="20% - Accent1 14 7 2 2" xfId="24460" xr:uid="{00000000-0005-0000-0000-000073080000}"/>
    <cellStyle name="20% - Accent1 14 7 3" xfId="16554" xr:uid="{00000000-0005-0000-0000-000074080000}"/>
    <cellStyle name="20% - Accent1 14 7 3 2" xfId="28246" xr:uid="{00000000-0005-0000-0000-000075080000}"/>
    <cellStyle name="20% - Accent1 14 7 4" xfId="20600" xr:uid="{00000000-0005-0000-0000-000076080000}"/>
    <cellStyle name="20% - Accent1 14 8" xfId="1188" xr:uid="{00000000-0005-0000-0000-000077080000}"/>
    <cellStyle name="20% - Accent1 14 8 2" xfId="12604" xr:uid="{00000000-0005-0000-0000-000078080000}"/>
    <cellStyle name="20% - Accent1 14 8 2 2" xfId="24461" xr:uid="{00000000-0005-0000-0000-000079080000}"/>
    <cellStyle name="20% - Accent1 14 8 3" xfId="16555" xr:uid="{00000000-0005-0000-0000-00007A080000}"/>
    <cellStyle name="20% - Accent1 14 8 3 2" xfId="28247" xr:uid="{00000000-0005-0000-0000-00007B080000}"/>
    <cellStyle name="20% - Accent1 14 8 4" xfId="20601" xr:uid="{00000000-0005-0000-0000-00007C080000}"/>
    <cellStyle name="20% - Accent1 14 9" xfId="12572" xr:uid="{00000000-0005-0000-0000-00007D080000}"/>
    <cellStyle name="20% - Accent1 14 9 2" xfId="24429" xr:uid="{00000000-0005-0000-0000-00007E080000}"/>
    <cellStyle name="20% - Accent1 14_Volatility" xfId="1189" xr:uid="{00000000-0005-0000-0000-00007F080000}"/>
    <cellStyle name="20% - Accent1 15" xfId="1190" xr:uid="{00000000-0005-0000-0000-000080080000}"/>
    <cellStyle name="20% - Accent1 15 10" xfId="16556" xr:uid="{00000000-0005-0000-0000-000081080000}"/>
    <cellStyle name="20% - Accent1 15 10 2" xfId="28248" xr:uid="{00000000-0005-0000-0000-000082080000}"/>
    <cellStyle name="20% - Accent1 15 11" xfId="20602" xr:uid="{00000000-0005-0000-0000-000083080000}"/>
    <cellStyle name="20% - Accent1 15 2" xfId="1191" xr:uid="{00000000-0005-0000-0000-000084080000}"/>
    <cellStyle name="20% - Accent1 15 2 2" xfId="1192" xr:uid="{00000000-0005-0000-0000-000085080000}"/>
    <cellStyle name="20% - Accent1 15 2 2 2" xfId="1193" xr:uid="{00000000-0005-0000-0000-000086080000}"/>
    <cellStyle name="20% - Accent1 15 2 2 2 2" xfId="12608" xr:uid="{00000000-0005-0000-0000-000087080000}"/>
    <cellStyle name="20% - Accent1 15 2 2 2 2 2" xfId="24465" xr:uid="{00000000-0005-0000-0000-000088080000}"/>
    <cellStyle name="20% - Accent1 15 2 2 2 3" xfId="16559" xr:uid="{00000000-0005-0000-0000-000089080000}"/>
    <cellStyle name="20% - Accent1 15 2 2 2 3 2" xfId="28251" xr:uid="{00000000-0005-0000-0000-00008A080000}"/>
    <cellStyle name="20% - Accent1 15 2 2 2 4" xfId="20605" xr:uid="{00000000-0005-0000-0000-00008B080000}"/>
    <cellStyle name="20% - Accent1 15 2 2 3" xfId="1194" xr:uid="{00000000-0005-0000-0000-00008C080000}"/>
    <cellStyle name="20% - Accent1 15 2 2 3 2" xfId="12609" xr:uid="{00000000-0005-0000-0000-00008D080000}"/>
    <cellStyle name="20% - Accent1 15 2 2 3 2 2" xfId="24466" xr:uid="{00000000-0005-0000-0000-00008E080000}"/>
    <cellStyle name="20% - Accent1 15 2 2 3 3" xfId="16560" xr:uid="{00000000-0005-0000-0000-00008F080000}"/>
    <cellStyle name="20% - Accent1 15 2 2 3 3 2" xfId="28252" xr:uid="{00000000-0005-0000-0000-000090080000}"/>
    <cellStyle name="20% - Accent1 15 2 2 3 4" xfId="20606" xr:uid="{00000000-0005-0000-0000-000091080000}"/>
    <cellStyle name="20% - Accent1 15 2 2 4" xfId="12607" xr:uid="{00000000-0005-0000-0000-000092080000}"/>
    <cellStyle name="20% - Accent1 15 2 2 4 2" xfId="24464" xr:uid="{00000000-0005-0000-0000-000093080000}"/>
    <cellStyle name="20% - Accent1 15 2 2 5" xfId="16558" xr:uid="{00000000-0005-0000-0000-000094080000}"/>
    <cellStyle name="20% - Accent1 15 2 2 5 2" xfId="28250" xr:uid="{00000000-0005-0000-0000-000095080000}"/>
    <cellStyle name="20% - Accent1 15 2 2 6" xfId="20604" xr:uid="{00000000-0005-0000-0000-000096080000}"/>
    <cellStyle name="20% - Accent1 15 2 3" xfId="1195" xr:uid="{00000000-0005-0000-0000-000097080000}"/>
    <cellStyle name="20% - Accent1 15 2 3 2" xfId="1196" xr:uid="{00000000-0005-0000-0000-000098080000}"/>
    <cellStyle name="20% - Accent1 15 2 3 2 2" xfId="12611" xr:uid="{00000000-0005-0000-0000-000099080000}"/>
    <cellStyle name="20% - Accent1 15 2 3 2 2 2" xfId="24468" xr:uid="{00000000-0005-0000-0000-00009A080000}"/>
    <cellStyle name="20% - Accent1 15 2 3 2 3" xfId="16562" xr:uid="{00000000-0005-0000-0000-00009B080000}"/>
    <cellStyle name="20% - Accent1 15 2 3 2 3 2" xfId="28254" xr:uid="{00000000-0005-0000-0000-00009C080000}"/>
    <cellStyle name="20% - Accent1 15 2 3 2 4" xfId="20608" xr:uid="{00000000-0005-0000-0000-00009D080000}"/>
    <cellStyle name="20% - Accent1 15 2 3 3" xfId="1197" xr:uid="{00000000-0005-0000-0000-00009E080000}"/>
    <cellStyle name="20% - Accent1 15 2 3 3 2" xfId="12612" xr:uid="{00000000-0005-0000-0000-00009F080000}"/>
    <cellStyle name="20% - Accent1 15 2 3 3 2 2" xfId="24469" xr:uid="{00000000-0005-0000-0000-0000A0080000}"/>
    <cellStyle name="20% - Accent1 15 2 3 3 3" xfId="16563" xr:uid="{00000000-0005-0000-0000-0000A1080000}"/>
    <cellStyle name="20% - Accent1 15 2 3 3 3 2" xfId="28255" xr:uid="{00000000-0005-0000-0000-0000A2080000}"/>
    <cellStyle name="20% - Accent1 15 2 3 3 4" xfId="20609" xr:uid="{00000000-0005-0000-0000-0000A3080000}"/>
    <cellStyle name="20% - Accent1 15 2 3 4" xfId="12610" xr:uid="{00000000-0005-0000-0000-0000A4080000}"/>
    <cellStyle name="20% - Accent1 15 2 3 4 2" xfId="24467" xr:uid="{00000000-0005-0000-0000-0000A5080000}"/>
    <cellStyle name="20% - Accent1 15 2 3 5" xfId="16561" xr:uid="{00000000-0005-0000-0000-0000A6080000}"/>
    <cellStyle name="20% - Accent1 15 2 3 5 2" xfId="28253" xr:uid="{00000000-0005-0000-0000-0000A7080000}"/>
    <cellStyle name="20% - Accent1 15 2 3 6" xfId="20607" xr:uid="{00000000-0005-0000-0000-0000A8080000}"/>
    <cellStyle name="20% - Accent1 15 2 4" xfId="1198" xr:uid="{00000000-0005-0000-0000-0000A9080000}"/>
    <cellStyle name="20% - Accent1 15 2 4 2" xfId="1199" xr:uid="{00000000-0005-0000-0000-0000AA080000}"/>
    <cellStyle name="20% - Accent1 15 2 4 2 2" xfId="12614" xr:uid="{00000000-0005-0000-0000-0000AB080000}"/>
    <cellStyle name="20% - Accent1 15 2 4 2 2 2" xfId="24471" xr:uid="{00000000-0005-0000-0000-0000AC080000}"/>
    <cellStyle name="20% - Accent1 15 2 4 2 3" xfId="16565" xr:uid="{00000000-0005-0000-0000-0000AD080000}"/>
    <cellStyle name="20% - Accent1 15 2 4 2 3 2" xfId="28257" xr:uid="{00000000-0005-0000-0000-0000AE080000}"/>
    <cellStyle name="20% - Accent1 15 2 4 2 4" xfId="20611" xr:uid="{00000000-0005-0000-0000-0000AF080000}"/>
    <cellStyle name="20% - Accent1 15 2 4 3" xfId="1200" xr:uid="{00000000-0005-0000-0000-0000B0080000}"/>
    <cellStyle name="20% - Accent1 15 2 4 3 2" xfId="12615" xr:uid="{00000000-0005-0000-0000-0000B1080000}"/>
    <cellStyle name="20% - Accent1 15 2 4 3 2 2" xfId="24472" xr:uid="{00000000-0005-0000-0000-0000B2080000}"/>
    <cellStyle name="20% - Accent1 15 2 4 3 3" xfId="16566" xr:uid="{00000000-0005-0000-0000-0000B3080000}"/>
    <cellStyle name="20% - Accent1 15 2 4 3 3 2" xfId="28258" xr:uid="{00000000-0005-0000-0000-0000B4080000}"/>
    <cellStyle name="20% - Accent1 15 2 4 3 4" xfId="20612" xr:uid="{00000000-0005-0000-0000-0000B5080000}"/>
    <cellStyle name="20% - Accent1 15 2 4 4" xfId="12613" xr:uid="{00000000-0005-0000-0000-0000B6080000}"/>
    <cellStyle name="20% - Accent1 15 2 4 4 2" xfId="24470" xr:uid="{00000000-0005-0000-0000-0000B7080000}"/>
    <cellStyle name="20% - Accent1 15 2 4 5" xfId="16564" xr:uid="{00000000-0005-0000-0000-0000B8080000}"/>
    <cellStyle name="20% - Accent1 15 2 4 5 2" xfId="28256" xr:uid="{00000000-0005-0000-0000-0000B9080000}"/>
    <cellStyle name="20% - Accent1 15 2 4 6" xfId="20610" xr:uid="{00000000-0005-0000-0000-0000BA080000}"/>
    <cellStyle name="20% - Accent1 15 2 5" xfId="1201" xr:uid="{00000000-0005-0000-0000-0000BB080000}"/>
    <cellStyle name="20% - Accent1 15 2 5 2" xfId="12616" xr:uid="{00000000-0005-0000-0000-0000BC080000}"/>
    <cellStyle name="20% - Accent1 15 2 5 2 2" xfId="24473" xr:uid="{00000000-0005-0000-0000-0000BD080000}"/>
    <cellStyle name="20% - Accent1 15 2 5 3" xfId="16567" xr:uid="{00000000-0005-0000-0000-0000BE080000}"/>
    <cellStyle name="20% - Accent1 15 2 5 3 2" xfId="28259" xr:uid="{00000000-0005-0000-0000-0000BF080000}"/>
    <cellStyle name="20% - Accent1 15 2 5 4" xfId="20613" xr:uid="{00000000-0005-0000-0000-0000C0080000}"/>
    <cellStyle name="20% - Accent1 15 2 6" xfId="1202" xr:uid="{00000000-0005-0000-0000-0000C1080000}"/>
    <cellStyle name="20% - Accent1 15 2 6 2" xfId="12617" xr:uid="{00000000-0005-0000-0000-0000C2080000}"/>
    <cellStyle name="20% - Accent1 15 2 6 2 2" xfId="24474" xr:uid="{00000000-0005-0000-0000-0000C3080000}"/>
    <cellStyle name="20% - Accent1 15 2 6 3" xfId="16568" xr:uid="{00000000-0005-0000-0000-0000C4080000}"/>
    <cellStyle name="20% - Accent1 15 2 6 3 2" xfId="28260" xr:uid="{00000000-0005-0000-0000-0000C5080000}"/>
    <cellStyle name="20% - Accent1 15 2 6 4" xfId="20614" xr:uid="{00000000-0005-0000-0000-0000C6080000}"/>
    <cellStyle name="20% - Accent1 15 2 7" xfId="12606" xr:uid="{00000000-0005-0000-0000-0000C7080000}"/>
    <cellStyle name="20% - Accent1 15 2 7 2" xfId="24463" xr:uid="{00000000-0005-0000-0000-0000C8080000}"/>
    <cellStyle name="20% - Accent1 15 2 8" xfId="16557" xr:uid="{00000000-0005-0000-0000-0000C9080000}"/>
    <cellStyle name="20% - Accent1 15 2 8 2" xfId="28249" xr:uid="{00000000-0005-0000-0000-0000CA080000}"/>
    <cellStyle name="20% - Accent1 15 2 9" xfId="20603" xr:uid="{00000000-0005-0000-0000-0000CB080000}"/>
    <cellStyle name="20% - Accent1 15 2_Volatility" xfId="1203" xr:uid="{00000000-0005-0000-0000-0000CC080000}"/>
    <cellStyle name="20% - Accent1 15 3" xfId="1204" xr:uid="{00000000-0005-0000-0000-0000CD080000}"/>
    <cellStyle name="20% - Accent1 15 3 2" xfId="1205" xr:uid="{00000000-0005-0000-0000-0000CE080000}"/>
    <cellStyle name="20% - Accent1 15 3 2 2" xfId="1206" xr:uid="{00000000-0005-0000-0000-0000CF080000}"/>
    <cellStyle name="20% - Accent1 15 3 2 2 2" xfId="12620" xr:uid="{00000000-0005-0000-0000-0000D0080000}"/>
    <cellStyle name="20% - Accent1 15 3 2 2 2 2" xfId="24477" xr:uid="{00000000-0005-0000-0000-0000D1080000}"/>
    <cellStyle name="20% - Accent1 15 3 2 2 3" xfId="16571" xr:uid="{00000000-0005-0000-0000-0000D2080000}"/>
    <cellStyle name="20% - Accent1 15 3 2 2 3 2" xfId="28263" xr:uid="{00000000-0005-0000-0000-0000D3080000}"/>
    <cellStyle name="20% - Accent1 15 3 2 2 4" xfId="20617" xr:uid="{00000000-0005-0000-0000-0000D4080000}"/>
    <cellStyle name="20% - Accent1 15 3 2 3" xfId="1207" xr:uid="{00000000-0005-0000-0000-0000D5080000}"/>
    <cellStyle name="20% - Accent1 15 3 2 3 2" xfId="12621" xr:uid="{00000000-0005-0000-0000-0000D6080000}"/>
    <cellStyle name="20% - Accent1 15 3 2 3 2 2" xfId="24478" xr:uid="{00000000-0005-0000-0000-0000D7080000}"/>
    <cellStyle name="20% - Accent1 15 3 2 3 3" xfId="16572" xr:uid="{00000000-0005-0000-0000-0000D8080000}"/>
    <cellStyle name="20% - Accent1 15 3 2 3 3 2" xfId="28264" xr:uid="{00000000-0005-0000-0000-0000D9080000}"/>
    <cellStyle name="20% - Accent1 15 3 2 3 4" xfId="20618" xr:uid="{00000000-0005-0000-0000-0000DA080000}"/>
    <cellStyle name="20% - Accent1 15 3 2 4" xfId="12619" xr:uid="{00000000-0005-0000-0000-0000DB080000}"/>
    <cellStyle name="20% - Accent1 15 3 2 4 2" xfId="24476" xr:uid="{00000000-0005-0000-0000-0000DC080000}"/>
    <cellStyle name="20% - Accent1 15 3 2 5" xfId="16570" xr:uid="{00000000-0005-0000-0000-0000DD080000}"/>
    <cellStyle name="20% - Accent1 15 3 2 5 2" xfId="28262" xr:uid="{00000000-0005-0000-0000-0000DE080000}"/>
    <cellStyle name="20% - Accent1 15 3 2 6" xfId="20616" xr:uid="{00000000-0005-0000-0000-0000DF080000}"/>
    <cellStyle name="20% - Accent1 15 3 3" xfId="1208" xr:uid="{00000000-0005-0000-0000-0000E0080000}"/>
    <cellStyle name="20% - Accent1 15 3 3 2" xfId="1209" xr:uid="{00000000-0005-0000-0000-0000E1080000}"/>
    <cellStyle name="20% - Accent1 15 3 3 2 2" xfId="12623" xr:uid="{00000000-0005-0000-0000-0000E2080000}"/>
    <cellStyle name="20% - Accent1 15 3 3 2 2 2" xfId="24480" xr:uid="{00000000-0005-0000-0000-0000E3080000}"/>
    <cellStyle name="20% - Accent1 15 3 3 2 3" xfId="16574" xr:uid="{00000000-0005-0000-0000-0000E4080000}"/>
    <cellStyle name="20% - Accent1 15 3 3 2 3 2" xfId="28266" xr:uid="{00000000-0005-0000-0000-0000E5080000}"/>
    <cellStyle name="20% - Accent1 15 3 3 2 4" xfId="20620" xr:uid="{00000000-0005-0000-0000-0000E6080000}"/>
    <cellStyle name="20% - Accent1 15 3 3 3" xfId="1210" xr:uid="{00000000-0005-0000-0000-0000E7080000}"/>
    <cellStyle name="20% - Accent1 15 3 3 3 2" xfId="12624" xr:uid="{00000000-0005-0000-0000-0000E8080000}"/>
    <cellStyle name="20% - Accent1 15 3 3 3 2 2" xfId="24481" xr:uid="{00000000-0005-0000-0000-0000E9080000}"/>
    <cellStyle name="20% - Accent1 15 3 3 3 3" xfId="16575" xr:uid="{00000000-0005-0000-0000-0000EA080000}"/>
    <cellStyle name="20% - Accent1 15 3 3 3 3 2" xfId="28267" xr:uid="{00000000-0005-0000-0000-0000EB080000}"/>
    <cellStyle name="20% - Accent1 15 3 3 3 4" xfId="20621" xr:uid="{00000000-0005-0000-0000-0000EC080000}"/>
    <cellStyle name="20% - Accent1 15 3 3 4" xfId="12622" xr:uid="{00000000-0005-0000-0000-0000ED080000}"/>
    <cellStyle name="20% - Accent1 15 3 3 4 2" xfId="24479" xr:uid="{00000000-0005-0000-0000-0000EE080000}"/>
    <cellStyle name="20% - Accent1 15 3 3 5" xfId="16573" xr:uid="{00000000-0005-0000-0000-0000EF080000}"/>
    <cellStyle name="20% - Accent1 15 3 3 5 2" xfId="28265" xr:uid="{00000000-0005-0000-0000-0000F0080000}"/>
    <cellStyle name="20% - Accent1 15 3 3 6" xfId="20619" xr:uid="{00000000-0005-0000-0000-0000F1080000}"/>
    <cellStyle name="20% - Accent1 15 3 4" xfId="1211" xr:uid="{00000000-0005-0000-0000-0000F2080000}"/>
    <cellStyle name="20% - Accent1 15 3 4 2" xfId="12625" xr:uid="{00000000-0005-0000-0000-0000F3080000}"/>
    <cellStyle name="20% - Accent1 15 3 4 2 2" xfId="24482" xr:uid="{00000000-0005-0000-0000-0000F4080000}"/>
    <cellStyle name="20% - Accent1 15 3 4 3" xfId="16576" xr:uid="{00000000-0005-0000-0000-0000F5080000}"/>
    <cellStyle name="20% - Accent1 15 3 4 3 2" xfId="28268" xr:uid="{00000000-0005-0000-0000-0000F6080000}"/>
    <cellStyle name="20% - Accent1 15 3 4 4" xfId="20622" xr:uid="{00000000-0005-0000-0000-0000F7080000}"/>
    <cellStyle name="20% - Accent1 15 3 5" xfId="1212" xr:uid="{00000000-0005-0000-0000-0000F8080000}"/>
    <cellStyle name="20% - Accent1 15 3 5 2" xfId="12626" xr:uid="{00000000-0005-0000-0000-0000F9080000}"/>
    <cellStyle name="20% - Accent1 15 3 5 2 2" xfId="24483" xr:uid="{00000000-0005-0000-0000-0000FA080000}"/>
    <cellStyle name="20% - Accent1 15 3 5 3" xfId="16577" xr:uid="{00000000-0005-0000-0000-0000FB080000}"/>
    <cellStyle name="20% - Accent1 15 3 5 3 2" xfId="28269" xr:uid="{00000000-0005-0000-0000-0000FC080000}"/>
    <cellStyle name="20% - Accent1 15 3 5 4" xfId="20623" xr:uid="{00000000-0005-0000-0000-0000FD080000}"/>
    <cellStyle name="20% - Accent1 15 3 6" xfId="12618" xr:uid="{00000000-0005-0000-0000-0000FE080000}"/>
    <cellStyle name="20% - Accent1 15 3 6 2" xfId="24475" xr:uid="{00000000-0005-0000-0000-0000FF080000}"/>
    <cellStyle name="20% - Accent1 15 3 7" xfId="16569" xr:uid="{00000000-0005-0000-0000-000000090000}"/>
    <cellStyle name="20% - Accent1 15 3 7 2" xfId="28261" xr:uid="{00000000-0005-0000-0000-000001090000}"/>
    <cellStyle name="20% - Accent1 15 3 8" xfId="20615" xr:uid="{00000000-0005-0000-0000-000002090000}"/>
    <cellStyle name="20% - Accent1 15 3_Volatility" xfId="1213" xr:uid="{00000000-0005-0000-0000-000003090000}"/>
    <cellStyle name="20% - Accent1 15 4" xfId="1214" xr:uid="{00000000-0005-0000-0000-000004090000}"/>
    <cellStyle name="20% - Accent1 15 4 2" xfId="1215" xr:uid="{00000000-0005-0000-0000-000005090000}"/>
    <cellStyle name="20% - Accent1 15 4 2 2" xfId="12628" xr:uid="{00000000-0005-0000-0000-000006090000}"/>
    <cellStyle name="20% - Accent1 15 4 2 2 2" xfId="24485" xr:uid="{00000000-0005-0000-0000-000007090000}"/>
    <cellStyle name="20% - Accent1 15 4 2 3" xfId="16579" xr:uid="{00000000-0005-0000-0000-000008090000}"/>
    <cellStyle name="20% - Accent1 15 4 2 3 2" xfId="28271" xr:uid="{00000000-0005-0000-0000-000009090000}"/>
    <cellStyle name="20% - Accent1 15 4 2 4" xfId="20625" xr:uid="{00000000-0005-0000-0000-00000A090000}"/>
    <cellStyle name="20% - Accent1 15 4 3" xfId="1216" xr:uid="{00000000-0005-0000-0000-00000B090000}"/>
    <cellStyle name="20% - Accent1 15 4 3 2" xfId="12629" xr:uid="{00000000-0005-0000-0000-00000C090000}"/>
    <cellStyle name="20% - Accent1 15 4 3 2 2" xfId="24486" xr:uid="{00000000-0005-0000-0000-00000D090000}"/>
    <cellStyle name="20% - Accent1 15 4 3 3" xfId="16580" xr:uid="{00000000-0005-0000-0000-00000E090000}"/>
    <cellStyle name="20% - Accent1 15 4 3 3 2" xfId="28272" xr:uid="{00000000-0005-0000-0000-00000F090000}"/>
    <cellStyle name="20% - Accent1 15 4 3 4" xfId="20626" xr:uid="{00000000-0005-0000-0000-000010090000}"/>
    <cellStyle name="20% - Accent1 15 4 4" xfId="12627" xr:uid="{00000000-0005-0000-0000-000011090000}"/>
    <cellStyle name="20% - Accent1 15 4 4 2" xfId="24484" xr:uid="{00000000-0005-0000-0000-000012090000}"/>
    <cellStyle name="20% - Accent1 15 4 5" xfId="16578" xr:uid="{00000000-0005-0000-0000-000013090000}"/>
    <cellStyle name="20% - Accent1 15 4 5 2" xfId="28270" xr:uid="{00000000-0005-0000-0000-000014090000}"/>
    <cellStyle name="20% - Accent1 15 4 6" xfId="20624" xr:uid="{00000000-0005-0000-0000-000015090000}"/>
    <cellStyle name="20% - Accent1 15 5" xfId="1217" xr:uid="{00000000-0005-0000-0000-000016090000}"/>
    <cellStyle name="20% - Accent1 15 5 2" xfId="1218" xr:uid="{00000000-0005-0000-0000-000017090000}"/>
    <cellStyle name="20% - Accent1 15 5 2 2" xfId="12631" xr:uid="{00000000-0005-0000-0000-000018090000}"/>
    <cellStyle name="20% - Accent1 15 5 2 2 2" xfId="24488" xr:uid="{00000000-0005-0000-0000-000019090000}"/>
    <cellStyle name="20% - Accent1 15 5 2 3" xfId="16582" xr:uid="{00000000-0005-0000-0000-00001A090000}"/>
    <cellStyle name="20% - Accent1 15 5 2 3 2" xfId="28274" xr:uid="{00000000-0005-0000-0000-00001B090000}"/>
    <cellStyle name="20% - Accent1 15 5 2 4" xfId="20628" xr:uid="{00000000-0005-0000-0000-00001C090000}"/>
    <cellStyle name="20% - Accent1 15 5 3" xfId="1219" xr:uid="{00000000-0005-0000-0000-00001D090000}"/>
    <cellStyle name="20% - Accent1 15 5 3 2" xfId="12632" xr:uid="{00000000-0005-0000-0000-00001E090000}"/>
    <cellStyle name="20% - Accent1 15 5 3 2 2" xfId="24489" xr:uid="{00000000-0005-0000-0000-00001F090000}"/>
    <cellStyle name="20% - Accent1 15 5 3 3" xfId="16583" xr:uid="{00000000-0005-0000-0000-000020090000}"/>
    <cellStyle name="20% - Accent1 15 5 3 3 2" xfId="28275" xr:uid="{00000000-0005-0000-0000-000021090000}"/>
    <cellStyle name="20% - Accent1 15 5 3 4" xfId="20629" xr:uid="{00000000-0005-0000-0000-000022090000}"/>
    <cellStyle name="20% - Accent1 15 5 4" xfId="12630" xr:uid="{00000000-0005-0000-0000-000023090000}"/>
    <cellStyle name="20% - Accent1 15 5 4 2" xfId="24487" xr:uid="{00000000-0005-0000-0000-000024090000}"/>
    <cellStyle name="20% - Accent1 15 5 5" xfId="16581" xr:uid="{00000000-0005-0000-0000-000025090000}"/>
    <cellStyle name="20% - Accent1 15 5 5 2" xfId="28273" xr:uid="{00000000-0005-0000-0000-000026090000}"/>
    <cellStyle name="20% - Accent1 15 5 6" xfId="20627" xr:uid="{00000000-0005-0000-0000-000027090000}"/>
    <cellStyle name="20% - Accent1 15 6" xfId="1220" xr:uid="{00000000-0005-0000-0000-000028090000}"/>
    <cellStyle name="20% - Accent1 15 6 2" xfId="1221" xr:uid="{00000000-0005-0000-0000-000029090000}"/>
    <cellStyle name="20% - Accent1 15 6 2 2" xfId="12634" xr:uid="{00000000-0005-0000-0000-00002A090000}"/>
    <cellStyle name="20% - Accent1 15 6 2 2 2" xfId="24491" xr:uid="{00000000-0005-0000-0000-00002B090000}"/>
    <cellStyle name="20% - Accent1 15 6 2 3" xfId="16585" xr:uid="{00000000-0005-0000-0000-00002C090000}"/>
    <cellStyle name="20% - Accent1 15 6 2 3 2" xfId="28277" xr:uid="{00000000-0005-0000-0000-00002D090000}"/>
    <cellStyle name="20% - Accent1 15 6 2 4" xfId="20631" xr:uid="{00000000-0005-0000-0000-00002E090000}"/>
    <cellStyle name="20% - Accent1 15 6 3" xfId="1222" xr:uid="{00000000-0005-0000-0000-00002F090000}"/>
    <cellStyle name="20% - Accent1 15 6 3 2" xfId="12635" xr:uid="{00000000-0005-0000-0000-000030090000}"/>
    <cellStyle name="20% - Accent1 15 6 3 2 2" xfId="24492" xr:uid="{00000000-0005-0000-0000-000031090000}"/>
    <cellStyle name="20% - Accent1 15 6 3 3" xfId="16586" xr:uid="{00000000-0005-0000-0000-000032090000}"/>
    <cellStyle name="20% - Accent1 15 6 3 3 2" xfId="28278" xr:uid="{00000000-0005-0000-0000-000033090000}"/>
    <cellStyle name="20% - Accent1 15 6 3 4" xfId="20632" xr:uid="{00000000-0005-0000-0000-000034090000}"/>
    <cellStyle name="20% - Accent1 15 6 4" xfId="12633" xr:uid="{00000000-0005-0000-0000-000035090000}"/>
    <cellStyle name="20% - Accent1 15 6 4 2" xfId="24490" xr:uid="{00000000-0005-0000-0000-000036090000}"/>
    <cellStyle name="20% - Accent1 15 6 5" xfId="16584" xr:uid="{00000000-0005-0000-0000-000037090000}"/>
    <cellStyle name="20% - Accent1 15 6 5 2" xfId="28276" xr:uid="{00000000-0005-0000-0000-000038090000}"/>
    <cellStyle name="20% - Accent1 15 6 6" xfId="20630" xr:uid="{00000000-0005-0000-0000-000039090000}"/>
    <cellStyle name="20% - Accent1 15 7" xfId="1223" xr:uid="{00000000-0005-0000-0000-00003A090000}"/>
    <cellStyle name="20% - Accent1 15 7 2" xfId="12636" xr:uid="{00000000-0005-0000-0000-00003B090000}"/>
    <cellStyle name="20% - Accent1 15 7 2 2" xfId="24493" xr:uid="{00000000-0005-0000-0000-00003C090000}"/>
    <cellStyle name="20% - Accent1 15 7 3" xfId="16587" xr:uid="{00000000-0005-0000-0000-00003D090000}"/>
    <cellStyle name="20% - Accent1 15 7 3 2" xfId="28279" xr:uid="{00000000-0005-0000-0000-00003E090000}"/>
    <cellStyle name="20% - Accent1 15 7 4" xfId="20633" xr:uid="{00000000-0005-0000-0000-00003F090000}"/>
    <cellStyle name="20% - Accent1 15 8" xfId="1224" xr:uid="{00000000-0005-0000-0000-000040090000}"/>
    <cellStyle name="20% - Accent1 15 8 2" xfId="12637" xr:uid="{00000000-0005-0000-0000-000041090000}"/>
    <cellStyle name="20% - Accent1 15 8 2 2" xfId="24494" xr:uid="{00000000-0005-0000-0000-000042090000}"/>
    <cellStyle name="20% - Accent1 15 8 3" xfId="16588" xr:uid="{00000000-0005-0000-0000-000043090000}"/>
    <cellStyle name="20% - Accent1 15 8 3 2" xfId="28280" xr:uid="{00000000-0005-0000-0000-000044090000}"/>
    <cellStyle name="20% - Accent1 15 8 4" xfId="20634" xr:uid="{00000000-0005-0000-0000-000045090000}"/>
    <cellStyle name="20% - Accent1 15 9" xfId="12605" xr:uid="{00000000-0005-0000-0000-000046090000}"/>
    <cellStyle name="20% - Accent1 15 9 2" xfId="24462" xr:uid="{00000000-0005-0000-0000-000047090000}"/>
    <cellStyle name="20% - Accent1 15_Volatility" xfId="1225" xr:uid="{00000000-0005-0000-0000-000048090000}"/>
    <cellStyle name="20% - Accent1 16" xfId="1226" xr:uid="{00000000-0005-0000-0000-000049090000}"/>
    <cellStyle name="20% - Accent1 16 2" xfId="12638" xr:uid="{00000000-0005-0000-0000-00004A090000}"/>
    <cellStyle name="20% - Accent1 16 2 2" xfId="24495" xr:uid="{00000000-0005-0000-0000-00004B090000}"/>
    <cellStyle name="20% - Accent1 16 3" xfId="16589" xr:uid="{00000000-0005-0000-0000-00004C090000}"/>
    <cellStyle name="20% - Accent1 16 3 2" xfId="28281" xr:uid="{00000000-0005-0000-0000-00004D090000}"/>
    <cellStyle name="20% - Accent1 16 4" xfId="20635" xr:uid="{00000000-0005-0000-0000-00004E090000}"/>
    <cellStyle name="20% - Accent1 17" xfId="1227" xr:uid="{00000000-0005-0000-0000-00004F090000}"/>
    <cellStyle name="20% - Accent1 17 2" xfId="12639" xr:uid="{00000000-0005-0000-0000-000050090000}"/>
    <cellStyle name="20% - Accent1 17 2 2" xfId="24496" xr:uid="{00000000-0005-0000-0000-000051090000}"/>
    <cellStyle name="20% - Accent1 17 3" xfId="16590" xr:uid="{00000000-0005-0000-0000-000052090000}"/>
    <cellStyle name="20% - Accent1 17 3 2" xfId="28282" xr:uid="{00000000-0005-0000-0000-000053090000}"/>
    <cellStyle name="20% - Accent1 17 4" xfId="20636" xr:uid="{00000000-0005-0000-0000-000054090000}"/>
    <cellStyle name="20% - Accent1 18" xfId="1228" xr:uid="{00000000-0005-0000-0000-000055090000}"/>
    <cellStyle name="20% - Accent1 18 2" xfId="12640" xr:uid="{00000000-0005-0000-0000-000056090000}"/>
    <cellStyle name="20% - Accent1 18 2 2" xfId="24497" xr:uid="{00000000-0005-0000-0000-000057090000}"/>
    <cellStyle name="20% - Accent1 18 3" xfId="16591" xr:uid="{00000000-0005-0000-0000-000058090000}"/>
    <cellStyle name="20% - Accent1 18 3 2" xfId="28283" xr:uid="{00000000-0005-0000-0000-000059090000}"/>
    <cellStyle name="20% - Accent1 18 4" xfId="20637" xr:uid="{00000000-0005-0000-0000-00005A090000}"/>
    <cellStyle name="20% - Accent1 19" xfId="1229" xr:uid="{00000000-0005-0000-0000-00005B090000}"/>
    <cellStyle name="20% - Accent1 19 2" xfId="12641" xr:uid="{00000000-0005-0000-0000-00005C090000}"/>
    <cellStyle name="20% - Accent1 19 2 2" xfId="24498" xr:uid="{00000000-0005-0000-0000-00005D090000}"/>
    <cellStyle name="20% - Accent1 19 3" xfId="16592" xr:uid="{00000000-0005-0000-0000-00005E090000}"/>
    <cellStyle name="20% - Accent1 19 3 2" xfId="28284" xr:uid="{00000000-0005-0000-0000-00005F090000}"/>
    <cellStyle name="20% - Accent1 19 4" xfId="20638" xr:uid="{00000000-0005-0000-0000-000060090000}"/>
    <cellStyle name="20% - Accent1 2" xfId="1230" xr:uid="{00000000-0005-0000-0000-000061090000}"/>
    <cellStyle name="20% - Accent1 2 10" xfId="16593" xr:uid="{00000000-0005-0000-0000-000062090000}"/>
    <cellStyle name="20% - Accent1 2 10 2" xfId="28285" xr:uid="{00000000-0005-0000-0000-000063090000}"/>
    <cellStyle name="20% - Accent1 2 11" xfId="20639" xr:uid="{00000000-0005-0000-0000-000064090000}"/>
    <cellStyle name="20% - Accent1 2 2" xfId="1231" xr:uid="{00000000-0005-0000-0000-000065090000}"/>
    <cellStyle name="20% - Accent1 2 2 2" xfId="1232" xr:uid="{00000000-0005-0000-0000-000066090000}"/>
    <cellStyle name="20% - Accent1 2 2 2 2" xfId="1233" xr:uid="{00000000-0005-0000-0000-000067090000}"/>
    <cellStyle name="20% - Accent1 2 2 2 2 2" xfId="12645" xr:uid="{00000000-0005-0000-0000-000068090000}"/>
    <cellStyle name="20% - Accent1 2 2 2 2 2 2" xfId="24502" xr:uid="{00000000-0005-0000-0000-000069090000}"/>
    <cellStyle name="20% - Accent1 2 2 2 2 3" xfId="16596" xr:uid="{00000000-0005-0000-0000-00006A090000}"/>
    <cellStyle name="20% - Accent1 2 2 2 2 3 2" xfId="28288" xr:uid="{00000000-0005-0000-0000-00006B090000}"/>
    <cellStyle name="20% - Accent1 2 2 2 2 4" xfId="20642" xr:uid="{00000000-0005-0000-0000-00006C090000}"/>
    <cellStyle name="20% - Accent1 2 2 2 3" xfId="1234" xr:uid="{00000000-0005-0000-0000-00006D090000}"/>
    <cellStyle name="20% - Accent1 2 2 2 3 2" xfId="12646" xr:uid="{00000000-0005-0000-0000-00006E090000}"/>
    <cellStyle name="20% - Accent1 2 2 2 3 2 2" xfId="24503" xr:uid="{00000000-0005-0000-0000-00006F090000}"/>
    <cellStyle name="20% - Accent1 2 2 2 3 3" xfId="16597" xr:uid="{00000000-0005-0000-0000-000070090000}"/>
    <cellStyle name="20% - Accent1 2 2 2 3 3 2" xfId="28289" xr:uid="{00000000-0005-0000-0000-000071090000}"/>
    <cellStyle name="20% - Accent1 2 2 2 3 4" xfId="20643" xr:uid="{00000000-0005-0000-0000-000072090000}"/>
    <cellStyle name="20% - Accent1 2 2 2 4" xfId="12644" xr:uid="{00000000-0005-0000-0000-000073090000}"/>
    <cellStyle name="20% - Accent1 2 2 2 4 2" xfId="24501" xr:uid="{00000000-0005-0000-0000-000074090000}"/>
    <cellStyle name="20% - Accent1 2 2 2 5" xfId="16595" xr:uid="{00000000-0005-0000-0000-000075090000}"/>
    <cellStyle name="20% - Accent1 2 2 2 5 2" xfId="28287" xr:uid="{00000000-0005-0000-0000-000076090000}"/>
    <cellStyle name="20% - Accent1 2 2 2 6" xfId="20641" xr:uid="{00000000-0005-0000-0000-000077090000}"/>
    <cellStyle name="20% - Accent1 2 2 3" xfId="1235" xr:uid="{00000000-0005-0000-0000-000078090000}"/>
    <cellStyle name="20% - Accent1 2 2 3 2" xfId="1236" xr:uid="{00000000-0005-0000-0000-000079090000}"/>
    <cellStyle name="20% - Accent1 2 2 3 2 2" xfId="12648" xr:uid="{00000000-0005-0000-0000-00007A090000}"/>
    <cellStyle name="20% - Accent1 2 2 3 2 2 2" xfId="24505" xr:uid="{00000000-0005-0000-0000-00007B090000}"/>
    <cellStyle name="20% - Accent1 2 2 3 2 3" xfId="16599" xr:uid="{00000000-0005-0000-0000-00007C090000}"/>
    <cellStyle name="20% - Accent1 2 2 3 2 3 2" xfId="28291" xr:uid="{00000000-0005-0000-0000-00007D090000}"/>
    <cellStyle name="20% - Accent1 2 2 3 2 4" xfId="20645" xr:uid="{00000000-0005-0000-0000-00007E090000}"/>
    <cellStyle name="20% - Accent1 2 2 3 3" xfId="1237" xr:uid="{00000000-0005-0000-0000-00007F090000}"/>
    <cellStyle name="20% - Accent1 2 2 3 3 2" xfId="12649" xr:uid="{00000000-0005-0000-0000-000080090000}"/>
    <cellStyle name="20% - Accent1 2 2 3 3 2 2" xfId="24506" xr:uid="{00000000-0005-0000-0000-000081090000}"/>
    <cellStyle name="20% - Accent1 2 2 3 3 3" xfId="16600" xr:uid="{00000000-0005-0000-0000-000082090000}"/>
    <cellStyle name="20% - Accent1 2 2 3 3 3 2" xfId="28292" xr:uid="{00000000-0005-0000-0000-000083090000}"/>
    <cellStyle name="20% - Accent1 2 2 3 3 4" xfId="20646" xr:uid="{00000000-0005-0000-0000-000084090000}"/>
    <cellStyle name="20% - Accent1 2 2 3 4" xfId="12647" xr:uid="{00000000-0005-0000-0000-000085090000}"/>
    <cellStyle name="20% - Accent1 2 2 3 4 2" xfId="24504" xr:uid="{00000000-0005-0000-0000-000086090000}"/>
    <cellStyle name="20% - Accent1 2 2 3 5" xfId="16598" xr:uid="{00000000-0005-0000-0000-000087090000}"/>
    <cellStyle name="20% - Accent1 2 2 3 5 2" xfId="28290" xr:uid="{00000000-0005-0000-0000-000088090000}"/>
    <cellStyle name="20% - Accent1 2 2 3 6" xfId="20644" xr:uid="{00000000-0005-0000-0000-000089090000}"/>
    <cellStyle name="20% - Accent1 2 2 4" xfId="1238" xr:uid="{00000000-0005-0000-0000-00008A090000}"/>
    <cellStyle name="20% - Accent1 2 2 4 2" xfId="1239" xr:uid="{00000000-0005-0000-0000-00008B090000}"/>
    <cellStyle name="20% - Accent1 2 2 4 2 2" xfId="12651" xr:uid="{00000000-0005-0000-0000-00008C090000}"/>
    <cellStyle name="20% - Accent1 2 2 4 2 2 2" xfId="24508" xr:uid="{00000000-0005-0000-0000-00008D090000}"/>
    <cellStyle name="20% - Accent1 2 2 4 2 3" xfId="16602" xr:uid="{00000000-0005-0000-0000-00008E090000}"/>
    <cellStyle name="20% - Accent1 2 2 4 2 3 2" xfId="28294" xr:uid="{00000000-0005-0000-0000-00008F090000}"/>
    <cellStyle name="20% - Accent1 2 2 4 2 4" xfId="20648" xr:uid="{00000000-0005-0000-0000-000090090000}"/>
    <cellStyle name="20% - Accent1 2 2 4 3" xfId="1240" xr:uid="{00000000-0005-0000-0000-000091090000}"/>
    <cellStyle name="20% - Accent1 2 2 4 3 2" xfId="12652" xr:uid="{00000000-0005-0000-0000-000092090000}"/>
    <cellStyle name="20% - Accent1 2 2 4 3 2 2" xfId="24509" xr:uid="{00000000-0005-0000-0000-000093090000}"/>
    <cellStyle name="20% - Accent1 2 2 4 3 3" xfId="16603" xr:uid="{00000000-0005-0000-0000-000094090000}"/>
    <cellStyle name="20% - Accent1 2 2 4 3 3 2" xfId="28295" xr:uid="{00000000-0005-0000-0000-000095090000}"/>
    <cellStyle name="20% - Accent1 2 2 4 3 4" xfId="20649" xr:uid="{00000000-0005-0000-0000-000096090000}"/>
    <cellStyle name="20% - Accent1 2 2 4 4" xfId="12650" xr:uid="{00000000-0005-0000-0000-000097090000}"/>
    <cellStyle name="20% - Accent1 2 2 4 4 2" xfId="24507" xr:uid="{00000000-0005-0000-0000-000098090000}"/>
    <cellStyle name="20% - Accent1 2 2 4 5" xfId="16601" xr:uid="{00000000-0005-0000-0000-000099090000}"/>
    <cellStyle name="20% - Accent1 2 2 4 5 2" xfId="28293" xr:uid="{00000000-0005-0000-0000-00009A090000}"/>
    <cellStyle name="20% - Accent1 2 2 4 6" xfId="20647" xr:uid="{00000000-0005-0000-0000-00009B090000}"/>
    <cellStyle name="20% - Accent1 2 2 5" xfId="1241" xr:uid="{00000000-0005-0000-0000-00009C090000}"/>
    <cellStyle name="20% - Accent1 2 2 5 2" xfId="12653" xr:uid="{00000000-0005-0000-0000-00009D090000}"/>
    <cellStyle name="20% - Accent1 2 2 5 2 2" xfId="24510" xr:uid="{00000000-0005-0000-0000-00009E090000}"/>
    <cellStyle name="20% - Accent1 2 2 5 3" xfId="16604" xr:uid="{00000000-0005-0000-0000-00009F090000}"/>
    <cellStyle name="20% - Accent1 2 2 5 3 2" xfId="28296" xr:uid="{00000000-0005-0000-0000-0000A0090000}"/>
    <cellStyle name="20% - Accent1 2 2 5 4" xfId="20650" xr:uid="{00000000-0005-0000-0000-0000A1090000}"/>
    <cellStyle name="20% - Accent1 2 2 6" xfId="1242" xr:uid="{00000000-0005-0000-0000-0000A2090000}"/>
    <cellStyle name="20% - Accent1 2 2 6 2" xfId="12654" xr:uid="{00000000-0005-0000-0000-0000A3090000}"/>
    <cellStyle name="20% - Accent1 2 2 6 2 2" xfId="24511" xr:uid="{00000000-0005-0000-0000-0000A4090000}"/>
    <cellStyle name="20% - Accent1 2 2 6 3" xfId="16605" xr:uid="{00000000-0005-0000-0000-0000A5090000}"/>
    <cellStyle name="20% - Accent1 2 2 6 3 2" xfId="28297" xr:uid="{00000000-0005-0000-0000-0000A6090000}"/>
    <cellStyle name="20% - Accent1 2 2 6 4" xfId="20651" xr:uid="{00000000-0005-0000-0000-0000A7090000}"/>
    <cellStyle name="20% - Accent1 2 2 7" xfId="12643" xr:uid="{00000000-0005-0000-0000-0000A8090000}"/>
    <cellStyle name="20% - Accent1 2 2 7 2" xfId="24500" xr:uid="{00000000-0005-0000-0000-0000A9090000}"/>
    <cellStyle name="20% - Accent1 2 2 8" xfId="16594" xr:uid="{00000000-0005-0000-0000-0000AA090000}"/>
    <cellStyle name="20% - Accent1 2 2 8 2" xfId="28286" xr:uid="{00000000-0005-0000-0000-0000AB090000}"/>
    <cellStyle name="20% - Accent1 2 2 9" xfId="20640" xr:uid="{00000000-0005-0000-0000-0000AC090000}"/>
    <cellStyle name="20% - Accent1 2 2_Volatility" xfId="1243" xr:uid="{00000000-0005-0000-0000-0000AD090000}"/>
    <cellStyle name="20% - Accent1 2 3" xfId="1244" xr:uid="{00000000-0005-0000-0000-0000AE090000}"/>
    <cellStyle name="20% - Accent1 2 3 2" xfId="1245" xr:uid="{00000000-0005-0000-0000-0000AF090000}"/>
    <cellStyle name="20% - Accent1 2 3 2 2" xfId="1246" xr:uid="{00000000-0005-0000-0000-0000B0090000}"/>
    <cellStyle name="20% - Accent1 2 3 2 2 2" xfId="12657" xr:uid="{00000000-0005-0000-0000-0000B1090000}"/>
    <cellStyle name="20% - Accent1 2 3 2 2 2 2" xfId="24514" xr:uid="{00000000-0005-0000-0000-0000B2090000}"/>
    <cellStyle name="20% - Accent1 2 3 2 2 3" xfId="16608" xr:uid="{00000000-0005-0000-0000-0000B3090000}"/>
    <cellStyle name="20% - Accent1 2 3 2 2 3 2" xfId="28300" xr:uid="{00000000-0005-0000-0000-0000B4090000}"/>
    <cellStyle name="20% - Accent1 2 3 2 2 4" xfId="20654" xr:uid="{00000000-0005-0000-0000-0000B5090000}"/>
    <cellStyle name="20% - Accent1 2 3 2 3" xfId="1247" xr:uid="{00000000-0005-0000-0000-0000B6090000}"/>
    <cellStyle name="20% - Accent1 2 3 2 3 2" xfId="12658" xr:uid="{00000000-0005-0000-0000-0000B7090000}"/>
    <cellStyle name="20% - Accent1 2 3 2 3 2 2" xfId="24515" xr:uid="{00000000-0005-0000-0000-0000B8090000}"/>
    <cellStyle name="20% - Accent1 2 3 2 3 3" xfId="16609" xr:uid="{00000000-0005-0000-0000-0000B9090000}"/>
    <cellStyle name="20% - Accent1 2 3 2 3 3 2" xfId="28301" xr:uid="{00000000-0005-0000-0000-0000BA090000}"/>
    <cellStyle name="20% - Accent1 2 3 2 3 4" xfId="20655" xr:uid="{00000000-0005-0000-0000-0000BB090000}"/>
    <cellStyle name="20% - Accent1 2 3 2 4" xfId="12656" xr:uid="{00000000-0005-0000-0000-0000BC090000}"/>
    <cellStyle name="20% - Accent1 2 3 2 4 2" xfId="24513" xr:uid="{00000000-0005-0000-0000-0000BD090000}"/>
    <cellStyle name="20% - Accent1 2 3 2 5" xfId="16607" xr:uid="{00000000-0005-0000-0000-0000BE090000}"/>
    <cellStyle name="20% - Accent1 2 3 2 5 2" xfId="28299" xr:uid="{00000000-0005-0000-0000-0000BF090000}"/>
    <cellStyle name="20% - Accent1 2 3 2 6" xfId="20653" xr:uid="{00000000-0005-0000-0000-0000C0090000}"/>
    <cellStyle name="20% - Accent1 2 3 3" xfId="1248" xr:uid="{00000000-0005-0000-0000-0000C1090000}"/>
    <cellStyle name="20% - Accent1 2 3 3 2" xfId="1249" xr:uid="{00000000-0005-0000-0000-0000C2090000}"/>
    <cellStyle name="20% - Accent1 2 3 3 2 2" xfId="12660" xr:uid="{00000000-0005-0000-0000-0000C3090000}"/>
    <cellStyle name="20% - Accent1 2 3 3 2 2 2" xfId="24517" xr:uid="{00000000-0005-0000-0000-0000C4090000}"/>
    <cellStyle name="20% - Accent1 2 3 3 2 3" xfId="16611" xr:uid="{00000000-0005-0000-0000-0000C5090000}"/>
    <cellStyle name="20% - Accent1 2 3 3 2 3 2" xfId="28303" xr:uid="{00000000-0005-0000-0000-0000C6090000}"/>
    <cellStyle name="20% - Accent1 2 3 3 2 4" xfId="20657" xr:uid="{00000000-0005-0000-0000-0000C7090000}"/>
    <cellStyle name="20% - Accent1 2 3 3 3" xfId="1250" xr:uid="{00000000-0005-0000-0000-0000C8090000}"/>
    <cellStyle name="20% - Accent1 2 3 3 3 2" xfId="12661" xr:uid="{00000000-0005-0000-0000-0000C9090000}"/>
    <cellStyle name="20% - Accent1 2 3 3 3 2 2" xfId="24518" xr:uid="{00000000-0005-0000-0000-0000CA090000}"/>
    <cellStyle name="20% - Accent1 2 3 3 3 3" xfId="16612" xr:uid="{00000000-0005-0000-0000-0000CB090000}"/>
    <cellStyle name="20% - Accent1 2 3 3 3 3 2" xfId="28304" xr:uid="{00000000-0005-0000-0000-0000CC090000}"/>
    <cellStyle name="20% - Accent1 2 3 3 3 4" xfId="20658" xr:uid="{00000000-0005-0000-0000-0000CD090000}"/>
    <cellStyle name="20% - Accent1 2 3 3 4" xfId="12659" xr:uid="{00000000-0005-0000-0000-0000CE090000}"/>
    <cellStyle name="20% - Accent1 2 3 3 4 2" xfId="24516" xr:uid="{00000000-0005-0000-0000-0000CF090000}"/>
    <cellStyle name="20% - Accent1 2 3 3 5" xfId="16610" xr:uid="{00000000-0005-0000-0000-0000D0090000}"/>
    <cellStyle name="20% - Accent1 2 3 3 5 2" xfId="28302" xr:uid="{00000000-0005-0000-0000-0000D1090000}"/>
    <cellStyle name="20% - Accent1 2 3 3 6" xfId="20656" xr:uid="{00000000-0005-0000-0000-0000D2090000}"/>
    <cellStyle name="20% - Accent1 2 3 4" xfId="1251" xr:uid="{00000000-0005-0000-0000-0000D3090000}"/>
    <cellStyle name="20% - Accent1 2 3 4 2" xfId="12662" xr:uid="{00000000-0005-0000-0000-0000D4090000}"/>
    <cellStyle name="20% - Accent1 2 3 4 2 2" xfId="24519" xr:uid="{00000000-0005-0000-0000-0000D5090000}"/>
    <cellStyle name="20% - Accent1 2 3 4 3" xfId="16613" xr:uid="{00000000-0005-0000-0000-0000D6090000}"/>
    <cellStyle name="20% - Accent1 2 3 4 3 2" xfId="28305" xr:uid="{00000000-0005-0000-0000-0000D7090000}"/>
    <cellStyle name="20% - Accent1 2 3 4 4" xfId="20659" xr:uid="{00000000-0005-0000-0000-0000D8090000}"/>
    <cellStyle name="20% - Accent1 2 3 5" xfId="1252" xr:uid="{00000000-0005-0000-0000-0000D9090000}"/>
    <cellStyle name="20% - Accent1 2 3 5 2" xfId="12663" xr:uid="{00000000-0005-0000-0000-0000DA090000}"/>
    <cellStyle name="20% - Accent1 2 3 5 2 2" xfId="24520" xr:uid="{00000000-0005-0000-0000-0000DB090000}"/>
    <cellStyle name="20% - Accent1 2 3 5 3" xfId="16614" xr:uid="{00000000-0005-0000-0000-0000DC090000}"/>
    <cellStyle name="20% - Accent1 2 3 5 3 2" xfId="28306" xr:uid="{00000000-0005-0000-0000-0000DD090000}"/>
    <cellStyle name="20% - Accent1 2 3 5 4" xfId="20660" xr:uid="{00000000-0005-0000-0000-0000DE090000}"/>
    <cellStyle name="20% - Accent1 2 3 6" xfId="12655" xr:uid="{00000000-0005-0000-0000-0000DF090000}"/>
    <cellStyle name="20% - Accent1 2 3 6 2" xfId="24512" xr:uid="{00000000-0005-0000-0000-0000E0090000}"/>
    <cellStyle name="20% - Accent1 2 3 7" xfId="16606" xr:uid="{00000000-0005-0000-0000-0000E1090000}"/>
    <cellStyle name="20% - Accent1 2 3 7 2" xfId="28298" xr:uid="{00000000-0005-0000-0000-0000E2090000}"/>
    <cellStyle name="20% - Accent1 2 3 8" xfId="20652" xr:uid="{00000000-0005-0000-0000-0000E3090000}"/>
    <cellStyle name="20% - Accent1 2 3_Volatility" xfId="1253" xr:uid="{00000000-0005-0000-0000-0000E4090000}"/>
    <cellStyle name="20% - Accent1 2 4" xfId="1254" xr:uid="{00000000-0005-0000-0000-0000E5090000}"/>
    <cellStyle name="20% - Accent1 2 4 2" xfId="1255" xr:uid="{00000000-0005-0000-0000-0000E6090000}"/>
    <cellStyle name="20% - Accent1 2 4 2 2" xfId="12665" xr:uid="{00000000-0005-0000-0000-0000E7090000}"/>
    <cellStyle name="20% - Accent1 2 4 2 2 2" xfId="24522" xr:uid="{00000000-0005-0000-0000-0000E8090000}"/>
    <cellStyle name="20% - Accent1 2 4 2 3" xfId="16616" xr:uid="{00000000-0005-0000-0000-0000E9090000}"/>
    <cellStyle name="20% - Accent1 2 4 2 3 2" xfId="28308" xr:uid="{00000000-0005-0000-0000-0000EA090000}"/>
    <cellStyle name="20% - Accent1 2 4 2 4" xfId="20662" xr:uid="{00000000-0005-0000-0000-0000EB090000}"/>
    <cellStyle name="20% - Accent1 2 4 3" xfId="1256" xr:uid="{00000000-0005-0000-0000-0000EC090000}"/>
    <cellStyle name="20% - Accent1 2 4 3 2" xfId="12666" xr:uid="{00000000-0005-0000-0000-0000ED090000}"/>
    <cellStyle name="20% - Accent1 2 4 3 2 2" xfId="24523" xr:uid="{00000000-0005-0000-0000-0000EE090000}"/>
    <cellStyle name="20% - Accent1 2 4 3 3" xfId="16617" xr:uid="{00000000-0005-0000-0000-0000EF090000}"/>
    <cellStyle name="20% - Accent1 2 4 3 3 2" xfId="28309" xr:uid="{00000000-0005-0000-0000-0000F0090000}"/>
    <cellStyle name="20% - Accent1 2 4 3 4" xfId="20663" xr:uid="{00000000-0005-0000-0000-0000F1090000}"/>
    <cellStyle name="20% - Accent1 2 4 4" xfId="12664" xr:uid="{00000000-0005-0000-0000-0000F2090000}"/>
    <cellStyle name="20% - Accent1 2 4 4 2" xfId="24521" xr:uid="{00000000-0005-0000-0000-0000F3090000}"/>
    <cellStyle name="20% - Accent1 2 4 5" xfId="16615" xr:uid="{00000000-0005-0000-0000-0000F4090000}"/>
    <cellStyle name="20% - Accent1 2 4 5 2" xfId="28307" xr:uid="{00000000-0005-0000-0000-0000F5090000}"/>
    <cellStyle name="20% - Accent1 2 4 6" xfId="20661" xr:uid="{00000000-0005-0000-0000-0000F6090000}"/>
    <cellStyle name="20% - Accent1 2 5" xfId="1257" xr:uid="{00000000-0005-0000-0000-0000F7090000}"/>
    <cellStyle name="20% - Accent1 2 5 2" xfId="1258" xr:uid="{00000000-0005-0000-0000-0000F8090000}"/>
    <cellStyle name="20% - Accent1 2 5 2 2" xfId="12668" xr:uid="{00000000-0005-0000-0000-0000F9090000}"/>
    <cellStyle name="20% - Accent1 2 5 2 2 2" xfId="24525" xr:uid="{00000000-0005-0000-0000-0000FA090000}"/>
    <cellStyle name="20% - Accent1 2 5 2 3" xfId="16619" xr:uid="{00000000-0005-0000-0000-0000FB090000}"/>
    <cellStyle name="20% - Accent1 2 5 2 3 2" xfId="28311" xr:uid="{00000000-0005-0000-0000-0000FC090000}"/>
    <cellStyle name="20% - Accent1 2 5 2 4" xfId="20665" xr:uid="{00000000-0005-0000-0000-0000FD090000}"/>
    <cellStyle name="20% - Accent1 2 5 3" xfId="1259" xr:uid="{00000000-0005-0000-0000-0000FE090000}"/>
    <cellStyle name="20% - Accent1 2 5 3 2" xfId="12669" xr:uid="{00000000-0005-0000-0000-0000FF090000}"/>
    <cellStyle name="20% - Accent1 2 5 3 2 2" xfId="24526" xr:uid="{00000000-0005-0000-0000-0000000A0000}"/>
    <cellStyle name="20% - Accent1 2 5 3 3" xfId="16620" xr:uid="{00000000-0005-0000-0000-0000010A0000}"/>
    <cellStyle name="20% - Accent1 2 5 3 3 2" xfId="28312" xr:uid="{00000000-0005-0000-0000-0000020A0000}"/>
    <cellStyle name="20% - Accent1 2 5 3 4" xfId="20666" xr:uid="{00000000-0005-0000-0000-0000030A0000}"/>
    <cellStyle name="20% - Accent1 2 5 4" xfId="12667" xr:uid="{00000000-0005-0000-0000-0000040A0000}"/>
    <cellStyle name="20% - Accent1 2 5 4 2" xfId="24524" xr:uid="{00000000-0005-0000-0000-0000050A0000}"/>
    <cellStyle name="20% - Accent1 2 5 5" xfId="16618" xr:uid="{00000000-0005-0000-0000-0000060A0000}"/>
    <cellStyle name="20% - Accent1 2 5 5 2" xfId="28310" xr:uid="{00000000-0005-0000-0000-0000070A0000}"/>
    <cellStyle name="20% - Accent1 2 5 6" xfId="20664" xr:uid="{00000000-0005-0000-0000-0000080A0000}"/>
    <cellStyle name="20% - Accent1 2 6" xfId="1260" xr:uid="{00000000-0005-0000-0000-0000090A0000}"/>
    <cellStyle name="20% - Accent1 2 6 2" xfId="1261" xr:uid="{00000000-0005-0000-0000-00000A0A0000}"/>
    <cellStyle name="20% - Accent1 2 6 2 2" xfId="12671" xr:uid="{00000000-0005-0000-0000-00000B0A0000}"/>
    <cellStyle name="20% - Accent1 2 6 2 2 2" xfId="24528" xr:uid="{00000000-0005-0000-0000-00000C0A0000}"/>
    <cellStyle name="20% - Accent1 2 6 2 3" xfId="16622" xr:uid="{00000000-0005-0000-0000-00000D0A0000}"/>
    <cellStyle name="20% - Accent1 2 6 2 3 2" xfId="28314" xr:uid="{00000000-0005-0000-0000-00000E0A0000}"/>
    <cellStyle name="20% - Accent1 2 6 2 4" xfId="20668" xr:uid="{00000000-0005-0000-0000-00000F0A0000}"/>
    <cellStyle name="20% - Accent1 2 6 3" xfId="1262" xr:uid="{00000000-0005-0000-0000-0000100A0000}"/>
    <cellStyle name="20% - Accent1 2 6 3 2" xfId="12672" xr:uid="{00000000-0005-0000-0000-0000110A0000}"/>
    <cellStyle name="20% - Accent1 2 6 3 2 2" xfId="24529" xr:uid="{00000000-0005-0000-0000-0000120A0000}"/>
    <cellStyle name="20% - Accent1 2 6 3 3" xfId="16623" xr:uid="{00000000-0005-0000-0000-0000130A0000}"/>
    <cellStyle name="20% - Accent1 2 6 3 3 2" xfId="28315" xr:uid="{00000000-0005-0000-0000-0000140A0000}"/>
    <cellStyle name="20% - Accent1 2 6 3 4" xfId="20669" xr:uid="{00000000-0005-0000-0000-0000150A0000}"/>
    <cellStyle name="20% - Accent1 2 6 4" xfId="12670" xr:uid="{00000000-0005-0000-0000-0000160A0000}"/>
    <cellStyle name="20% - Accent1 2 6 4 2" xfId="24527" xr:uid="{00000000-0005-0000-0000-0000170A0000}"/>
    <cellStyle name="20% - Accent1 2 6 5" xfId="16621" xr:uid="{00000000-0005-0000-0000-0000180A0000}"/>
    <cellStyle name="20% - Accent1 2 6 5 2" xfId="28313" xr:uid="{00000000-0005-0000-0000-0000190A0000}"/>
    <cellStyle name="20% - Accent1 2 6 6" xfId="20667" xr:uid="{00000000-0005-0000-0000-00001A0A0000}"/>
    <cellStyle name="20% - Accent1 2 7" xfId="1263" xr:uid="{00000000-0005-0000-0000-00001B0A0000}"/>
    <cellStyle name="20% - Accent1 2 7 2" xfId="12673" xr:uid="{00000000-0005-0000-0000-00001C0A0000}"/>
    <cellStyle name="20% - Accent1 2 7 2 2" xfId="24530" xr:uid="{00000000-0005-0000-0000-00001D0A0000}"/>
    <cellStyle name="20% - Accent1 2 7 3" xfId="16624" xr:uid="{00000000-0005-0000-0000-00001E0A0000}"/>
    <cellStyle name="20% - Accent1 2 7 3 2" xfId="28316" xr:uid="{00000000-0005-0000-0000-00001F0A0000}"/>
    <cellStyle name="20% - Accent1 2 7 4" xfId="20670" xr:uid="{00000000-0005-0000-0000-0000200A0000}"/>
    <cellStyle name="20% - Accent1 2 8" xfId="1264" xr:uid="{00000000-0005-0000-0000-0000210A0000}"/>
    <cellStyle name="20% - Accent1 2 8 2" xfId="12674" xr:uid="{00000000-0005-0000-0000-0000220A0000}"/>
    <cellStyle name="20% - Accent1 2 8 2 2" xfId="24531" xr:uid="{00000000-0005-0000-0000-0000230A0000}"/>
    <cellStyle name="20% - Accent1 2 8 3" xfId="16625" xr:uid="{00000000-0005-0000-0000-0000240A0000}"/>
    <cellStyle name="20% - Accent1 2 8 3 2" xfId="28317" xr:uid="{00000000-0005-0000-0000-0000250A0000}"/>
    <cellStyle name="20% - Accent1 2 8 4" xfId="20671" xr:uid="{00000000-0005-0000-0000-0000260A0000}"/>
    <cellStyle name="20% - Accent1 2 9" xfId="12642" xr:uid="{00000000-0005-0000-0000-0000270A0000}"/>
    <cellStyle name="20% - Accent1 2 9 2" xfId="24499" xr:uid="{00000000-0005-0000-0000-0000280A0000}"/>
    <cellStyle name="20% - Accent1 2_Volatility" xfId="1265" xr:uid="{00000000-0005-0000-0000-0000290A0000}"/>
    <cellStyle name="20% - Accent1 3" xfId="1266" xr:uid="{00000000-0005-0000-0000-00002A0A0000}"/>
    <cellStyle name="20% - Accent1 3 10" xfId="16626" xr:uid="{00000000-0005-0000-0000-00002B0A0000}"/>
    <cellStyle name="20% - Accent1 3 10 2" xfId="28318" xr:uid="{00000000-0005-0000-0000-00002C0A0000}"/>
    <cellStyle name="20% - Accent1 3 11" xfId="20672" xr:uid="{00000000-0005-0000-0000-00002D0A0000}"/>
    <cellStyle name="20% - Accent1 3 2" xfId="1267" xr:uid="{00000000-0005-0000-0000-00002E0A0000}"/>
    <cellStyle name="20% - Accent1 3 2 2" xfId="1268" xr:uid="{00000000-0005-0000-0000-00002F0A0000}"/>
    <cellStyle name="20% - Accent1 3 2 2 2" xfId="1269" xr:uid="{00000000-0005-0000-0000-0000300A0000}"/>
    <cellStyle name="20% - Accent1 3 2 2 2 2" xfId="12678" xr:uid="{00000000-0005-0000-0000-0000310A0000}"/>
    <cellStyle name="20% - Accent1 3 2 2 2 2 2" xfId="24535" xr:uid="{00000000-0005-0000-0000-0000320A0000}"/>
    <cellStyle name="20% - Accent1 3 2 2 2 3" xfId="16629" xr:uid="{00000000-0005-0000-0000-0000330A0000}"/>
    <cellStyle name="20% - Accent1 3 2 2 2 3 2" xfId="28321" xr:uid="{00000000-0005-0000-0000-0000340A0000}"/>
    <cellStyle name="20% - Accent1 3 2 2 2 4" xfId="20675" xr:uid="{00000000-0005-0000-0000-0000350A0000}"/>
    <cellStyle name="20% - Accent1 3 2 2 3" xfId="1270" xr:uid="{00000000-0005-0000-0000-0000360A0000}"/>
    <cellStyle name="20% - Accent1 3 2 2 3 2" xfId="12679" xr:uid="{00000000-0005-0000-0000-0000370A0000}"/>
    <cellStyle name="20% - Accent1 3 2 2 3 2 2" xfId="24536" xr:uid="{00000000-0005-0000-0000-0000380A0000}"/>
    <cellStyle name="20% - Accent1 3 2 2 3 3" xfId="16630" xr:uid="{00000000-0005-0000-0000-0000390A0000}"/>
    <cellStyle name="20% - Accent1 3 2 2 3 3 2" xfId="28322" xr:uid="{00000000-0005-0000-0000-00003A0A0000}"/>
    <cellStyle name="20% - Accent1 3 2 2 3 4" xfId="20676" xr:uid="{00000000-0005-0000-0000-00003B0A0000}"/>
    <cellStyle name="20% - Accent1 3 2 2 4" xfId="12677" xr:uid="{00000000-0005-0000-0000-00003C0A0000}"/>
    <cellStyle name="20% - Accent1 3 2 2 4 2" xfId="24534" xr:uid="{00000000-0005-0000-0000-00003D0A0000}"/>
    <cellStyle name="20% - Accent1 3 2 2 5" xfId="16628" xr:uid="{00000000-0005-0000-0000-00003E0A0000}"/>
    <cellStyle name="20% - Accent1 3 2 2 5 2" xfId="28320" xr:uid="{00000000-0005-0000-0000-00003F0A0000}"/>
    <cellStyle name="20% - Accent1 3 2 2 6" xfId="20674" xr:uid="{00000000-0005-0000-0000-0000400A0000}"/>
    <cellStyle name="20% - Accent1 3 2 3" xfId="1271" xr:uid="{00000000-0005-0000-0000-0000410A0000}"/>
    <cellStyle name="20% - Accent1 3 2 3 2" xfId="1272" xr:uid="{00000000-0005-0000-0000-0000420A0000}"/>
    <cellStyle name="20% - Accent1 3 2 3 2 2" xfId="12681" xr:uid="{00000000-0005-0000-0000-0000430A0000}"/>
    <cellStyle name="20% - Accent1 3 2 3 2 2 2" xfId="24538" xr:uid="{00000000-0005-0000-0000-0000440A0000}"/>
    <cellStyle name="20% - Accent1 3 2 3 2 3" xfId="16632" xr:uid="{00000000-0005-0000-0000-0000450A0000}"/>
    <cellStyle name="20% - Accent1 3 2 3 2 3 2" xfId="28324" xr:uid="{00000000-0005-0000-0000-0000460A0000}"/>
    <cellStyle name="20% - Accent1 3 2 3 2 4" xfId="20678" xr:uid="{00000000-0005-0000-0000-0000470A0000}"/>
    <cellStyle name="20% - Accent1 3 2 3 3" xfId="1273" xr:uid="{00000000-0005-0000-0000-0000480A0000}"/>
    <cellStyle name="20% - Accent1 3 2 3 3 2" xfId="12682" xr:uid="{00000000-0005-0000-0000-0000490A0000}"/>
    <cellStyle name="20% - Accent1 3 2 3 3 2 2" xfId="24539" xr:uid="{00000000-0005-0000-0000-00004A0A0000}"/>
    <cellStyle name="20% - Accent1 3 2 3 3 3" xfId="16633" xr:uid="{00000000-0005-0000-0000-00004B0A0000}"/>
    <cellStyle name="20% - Accent1 3 2 3 3 3 2" xfId="28325" xr:uid="{00000000-0005-0000-0000-00004C0A0000}"/>
    <cellStyle name="20% - Accent1 3 2 3 3 4" xfId="20679" xr:uid="{00000000-0005-0000-0000-00004D0A0000}"/>
    <cellStyle name="20% - Accent1 3 2 3 4" xfId="12680" xr:uid="{00000000-0005-0000-0000-00004E0A0000}"/>
    <cellStyle name="20% - Accent1 3 2 3 4 2" xfId="24537" xr:uid="{00000000-0005-0000-0000-00004F0A0000}"/>
    <cellStyle name="20% - Accent1 3 2 3 5" xfId="16631" xr:uid="{00000000-0005-0000-0000-0000500A0000}"/>
    <cellStyle name="20% - Accent1 3 2 3 5 2" xfId="28323" xr:uid="{00000000-0005-0000-0000-0000510A0000}"/>
    <cellStyle name="20% - Accent1 3 2 3 6" xfId="20677" xr:uid="{00000000-0005-0000-0000-0000520A0000}"/>
    <cellStyle name="20% - Accent1 3 2 4" xfId="1274" xr:uid="{00000000-0005-0000-0000-0000530A0000}"/>
    <cellStyle name="20% - Accent1 3 2 4 2" xfId="1275" xr:uid="{00000000-0005-0000-0000-0000540A0000}"/>
    <cellStyle name="20% - Accent1 3 2 4 2 2" xfId="12684" xr:uid="{00000000-0005-0000-0000-0000550A0000}"/>
    <cellStyle name="20% - Accent1 3 2 4 2 2 2" xfId="24541" xr:uid="{00000000-0005-0000-0000-0000560A0000}"/>
    <cellStyle name="20% - Accent1 3 2 4 2 3" xfId="16635" xr:uid="{00000000-0005-0000-0000-0000570A0000}"/>
    <cellStyle name="20% - Accent1 3 2 4 2 3 2" xfId="28327" xr:uid="{00000000-0005-0000-0000-0000580A0000}"/>
    <cellStyle name="20% - Accent1 3 2 4 2 4" xfId="20681" xr:uid="{00000000-0005-0000-0000-0000590A0000}"/>
    <cellStyle name="20% - Accent1 3 2 4 3" xfId="1276" xr:uid="{00000000-0005-0000-0000-00005A0A0000}"/>
    <cellStyle name="20% - Accent1 3 2 4 3 2" xfId="12685" xr:uid="{00000000-0005-0000-0000-00005B0A0000}"/>
    <cellStyle name="20% - Accent1 3 2 4 3 2 2" xfId="24542" xr:uid="{00000000-0005-0000-0000-00005C0A0000}"/>
    <cellStyle name="20% - Accent1 3 2 4 3 3" xfId="16636" xr:uid="{00000000-0005-0000-0000-00005D0A0000}"/>
    <cellStyle name="20% - Accent1 3 2 4 3 3 2" xfId="28328" xr:uid="{00000000-0005-0000-0000-00005E0A0000}"/>
    <cellStyle name="20% - Accent1 3 2 4 3 4" xfId="20682" xr:uid="{00000000-0005-0000-0000-00005F0A0000}"/>
    <cellStyle name="20% - Accent1 3 2 4 4" xfId="12683" xr:uid="{00000000-0005-0000-0000-0000600A0000}"/>
    <cellStyle name="20% - Accent1 3 2 4 4 2" xfId="24540" xr:uid="{00000000-0005-0000-0000-0000610A0000}"/>
    <cellStyle name="20% - Accent1 3 2 4 5" xfId="16634" xr:uid="{00000000-0005-0000-0000-0000620A0000}"/>
    <cellStyle name="20% - Accent1 3 2 4 5 2" xfId="28326" xr:uid="{00000000-0005-0000-0000-0000630A0000}"/>
    <cellStyle name="20% - Accent1 3 2 4 6" xfId="20680" xr:uid="{00000000-0005-0000-0000-0000640A0000}"/>
    <cellStyle name="20% - Accent1 3 2 5" xfId="1277" xr:uid="{00000000-0005-0000-0000-0000650A0000}"/>
    <cellStyle name="20% - Accent1 3 2 5 2" xfId="12686" xr:uid="{00000000-0005-0000-0000-0000660A0000}"/>
    <cellStyle name="20% - Accent1 3 2 5 2 2" xfId="24543" xr:uid="{00000000-0005-0000-0000-0000670A0000}"/>
    <cellStyle name="20% - Accent1 3 2 5 3" xfId="16637" xr:uid="{00000000-0005-0000-0000-0000680A0000}"/>
    <cellStyle name="20% - Accent1 3 2 5 3 2" xfId="28329" xr:uid="{00000000-0005-0000-0000-0000690A0000}"/>
    <cellStyle name="20% - Accent1 3 2 5 4" xfId="20683" xr:uid="{00000000-0005-0000-0000-00006A0A0000}"/>
    <cellStyle name="20% - Accent1 3 2 6" xfId="1278" xr:uid="{00000000-0005-0000-0000-00006B0A0000}"/>
    <cellStyle name="20% - Accent1 3 2 6 2" xfId="12687" xr:uid="{00000000-0005-0000-0000-00006C0A0000}"/>
    <cellStyle name="20% - Accent1 3 2 6 2 2" xfId="24544" xr:uid="{00000000-0005-0000-0000-00006D0A0000}"/>
    <cellStyle name="20% - Accent1 3 2 6 3" xfId="16638" xr:uid="{00000000-0005-0000-0000-00006E0A0000}"/>
    <cellStyle name="20% - Accent1 3 2 6 3 2" xfId="28330" xr:uid="{00000000-0005-0000-0000-00006F0A0000}"/>
    <cellStyle name="20% - Accent1 3 2 6 4" xfId="20684" xr:uid="{00000000-0005-0000-0000-0000700A0000}"/>
    <cellStyle name="20% - Accent1 3 2 7" xfId="12676" xr:uid="{00000000-0005-0000-0000-0000710A0000}"/>
    <cellStyle name="20% - Accent1 3 2 7 2" xfId="24533" xr:uid="{00000000-0005-0000-0000-0000720A0000}"/>
    <cellStyle name="20% - Accent1 3 2 8" xfId="16627" xr:uid="{00000000-0005-0000-0000-0000730A0000}"/>
    <cellStyle name="20% - Accent1 3 2 8 2" xfId="28319" xr:uid="{00000000-0005-0000-0000-0000740A0000}"/>
    <cellStyle name="20% - Accent1 3 2 9" xfId="20673" xr:uid="{00000000-0005-0000-0000-0000750A0000}"/>
    <cellStyle name="20% - Accent1 3 2_Volatility" xfId="1279" xr:uid="{00000000-0005-0000-0000-0000760A0000}"/>
    <cellStyle name="20% - Accent1 3 3" xfId="1280" xr:uid="{00000000-0005-0000-0000-0000770A0000}"/>
    <cellStyle name="20% - Accent1 3 3 2" xfId="1281" xr:uid="{00000000-0005-0000-0000-0000780A0000}"/>
    <cellStyle name="20% - Accent1 3 3 2 2" xfId="1282" xr:uid="{00000000-0005-0000-0000-0000790A0000}"/>
    <cellStyle name="20% - Accent1 3 3 2 2 2" xfId="12690" xr:uid="{00000000-0005-0000-0000-00007A0A0000}"/>
    <cellStyle name="20% - Accent1 3 3 2 2 2 2" xfId="24547" xr:uid="{00000000-0005-0000-0000-00007B0A0000}"/>
    <cellStyle name="20% - Accent1 3 3 2 2 3" xfId="16641" xr:uid="{00000000-0005-0000-0000-00007C0A0000}"/>
    <cellStyle name="20% - Accent1 3 3 2 2 3 2" xfId="28333" xr:uid="{00000000-0005-0000-0000-00007D0A0000}"/>
    <cellStyle name="20% - Accent1 3 3 2 2 4" xfId="20687" xr:uid="{00000000-0005-0000-0000-00007E0A0000}"/>
    <cellStyle name="20% - Accent1 3 3 2 3" xfId="1283" xr:uid="{00000000-0005-0000-0000-00007F0A0000}"/>
    <cellStyle name="20% - Accent1 3 3 2 3 2" xfId="12691" xr:uid="{00000000-0005-0000-0000-0000800A0000}"/>
    <cellStyle name="20% - Accent1 3 3 2 3 2 2" xfId="24548" xr:uid="{00000000-0005-0000-0000-0000810A0000}"/>
    <cellStyle name="20% - Accent1 3 3 2 3 3" xfId="16642" xr:uid="{00000000-0005-0000-0000-0000820A0000}"/>
    <cellStyle name="20% - Accent1 3 3 2 3 3 2" xfId="28334" xr:uid="{00000000-0005-0000-0000-0000830A0000}"/>
    <cellStyle name="20% - Accent1 3 3 2 3 4" xfId="20688" xr:uid="{00000000-0005-0000-0000-0000840A0000}"/>
    <cellStyle name="20% - Accent1 3 3 2 4" xfId="12689" xr:uid="{00000000-0005-0000-0000-0000850A0000}"/>
    <cellStyle name="20% - Accent1 3 3 2 4 2" xfId="24546" xr:uid="{00000000-0005-0000-0000-0000860A0000}"/>
    <cellStyle name="20% - Accent1 3 3 2 5" xfId="16640" xr:uid="{00000000-0005-0000-0000-0000870A0000}"/>
    <cellStyle name="20% - Accent1 3 3 2 5 2" xfId="28332" xr:uid="{00000000-0005-0000-0000-0000880A0000}"/>
    <cellStyle name="20% - Accent1 3 3 2 6" xfId="20686" xr:uid="{00000000-0005-0000-0000-0000890A0000}"/>
    <cellStyle name="20% - Accent1 3 3 3" xfId="1284" xr:uid="{00000000-0005-0000-0000-00008A0A0000}"/>
    <cellStyle name="20% - Accent1 3 3 3 2" xfId="1285" xr:uid="{00000000-0005-0000-0000-00008B0A0000}"/>
    <cellStyle name="20% - Accent1 3 3 3 2 2" xfId="12693" xr:uid="{00000000-0005-0000-0000-00008C0A0000}"/>
    <cellStyle name="20% - Accent1 3 3 3 2 2 2" xfId="24550" xr:uid="{00000000-0005-0000-0000-00008D0A0000}"/>
    <cellStyle name="20% - Accent1 3 3 3 2 3" xfId="16644" xr:uid="{00000000-0005-0000-0000-00008E0A0000}"/>
    <cellStyle name="20% - Accent1 3 3 3 2 3 2" xfId="28336" xr:uid="{00000000-0005-0000-0000-00008F0A0000}"/>
    <cellStyle name="20% - Accent1 3 3 3 2 4" xfId="20690" xr:uid="{00000000-0005-0000-0000-0000900A0000}"/>
    <cellStyle name="20% - Accent1 3 3 3 3" xfId="1286" xr:uid="{00000000-0005-0000-0000-0000910A0000}"/>
    <cellStyle name="20% - Accent1 3 3 3 3 2" xfId="12694" xr:uid="{00000000-0005-0000-0000-0000920A0000}"/>
    <cellStyle name="20% - Accent1 3 3 3 3 2 2" xfId="24551" xr:uid="{00000000-0005-0000-0000-0000930A0000}"/>
    <cellStyle name="20% - Accent1 3 3 3 3 3" xfId="16645" xr:uid="{00000000-0005-0000-0000-0000940A0000}"/>
    <cellStyle name="20% - Accent1 3 3 3 3 3 2" xfId="28337" xr:uid="{00000000-0005-0000-0000-0000950A0000}"/>
    <cellStyle name="20% - Accent1 3 3 3 3 4" xfId="20691" xr:uid="{00000000-0005-0000-0000-0000960A0000}"/>
    <cellStyle name="20% - Accent1 3 3 3 4" xfId="12692" xr:uid="{00000000-0005-0000-0000-0000970A0000}"/>
    <cellStyle name="20% - Accent1 3 3 3 4 2" xfId="24549" xr:uid="{00000000-0005-0000-0000-0000980A0000}"/>
    <cellStyle name="20% - Accent1 3 3 3 5" xfId="16643" xr:uid="{00000000-0005-0000-0000-0000990A0000}"/>
    <cellStyle name="20% - Accent1 3 3 3 5 2" xfId="28335" xr:uid="{00000000-0005-0000-0000-00009A0A0000}"/>
    <cellStyle name="20% - Accent1 3 3 3 6" xfId="20689" xr:uid="{00000000-0005-0000-0000-00009B0A0000}"/>
    <cellStyle name="20% - Accent1 3 3 4" xfId="1287" xr:uid="{00000000-0005-0000-0000-00009C0A0000}"/>
    <cellStyle name="20% - Accent1 3 3 4 2" xfId="12695" xr:uid="{00000000-0005-0000-0000-00009D0A0000}"/>
    <cellStyle name="20% - Accent1 3 3 4 2 2" xfId="24552" xr:uid="{00000000-0005-0000-0000-00009E0A0000}"/>
    <cellStyle name="20% - Accent1 3 3 4 3" xfId="16646" xr:uid="{00000000-0005-0000-0000-00009F0A0000}"/>
    <cellStyle name="20% - Accent1 3 3 4 3 2" xfId="28338" xr:uid="{00000000-0005-0000-0000-0000A00A0000}"/>
    <cellStyle name="20% - Accent1 3 3 4 4" xfId="20692" xr:uid="{00000000-0005-0000-0000-0000A10A0000}"/>
    <cellStyle name="20% - Accent1 3 3 5" xfId="1288" xr:uid="{00000000-0005-0000-0000-0000A20A0000}"/>
    <cellStyle name="20% - Accent1 3 3 5 2" xfId="12696" xr:uid="{00000000-0005-0000-0000-0000A30A0000}"/>
    <cellStyle name="20% - Accent1 3 3 5 2 2" xfId="24553" xr:uid="{00000000-0005-0000-0000-0000A40A0000}"/>
    <cellStyle name="20% - Accent1 3 3 5 3" xfId="16647" xr:uid="{00000000-0005-0000-0000-0000A50A0000}"/>
    <cellStyle name="20% - Accent1 3 3 5 3 2" xfId="28339" xr:uid="{00000000-0005-0000-0000-0000A60A0000}"/>
    <cellStyle name="20% - Accent1 3 3 5 4" xfId="20693" xr:uid="{00000000-0005-0000-0000-0000A70A0000}"/>
    <cellStyle name="20% - Accent1 3 3 6" xfId="12688" xr:uid="{00000000-0005-0000-0000-0000A80A0000}"/>
    <cellStyle name="20% - Accent1 3 3 6 2" xfId="24545" xr:uid="{00000000-0005-0000-0000-0000A90A0000}"/>
    <cellStyle name="20% - Accent1 3 3 7" xfId="16639" xr:uid="{00000000-0005-0000-0000-0000AA0A0000}"/>
    <cellStyle name="20% - Accent1 3 3 7 2" xfId="28331" xr:uid="{00000000-0005-0000-0000-0000AB0A0000}"/>
    <cellStyle name="20% - Accent1 3 3 8" xfId="20685" xr:uid="{00000000-0005-0000-0000-0000AC0A0000}"/>
    <cellStyle name="20% - Accent1 3 3_Volatility" xfId="1289" xr:uid="{00000000-0005-0000-0000-0000AD0A0000}"/>
    <cellStyle name="20% - Accent1 3 4" xfId="1290" xr:uid="{00000000-0005-0000-0000-0000AE0A0000}"/>
    <cellStyle name="20% - Accent1 3 4 2" xfId="1291" xr:uid="{00000000-0005-0000-0000-0000AF0A0000}"/>
    <cellStyle name="20% - Accent1 3 4 2 2" xfId="12698" xr:uid="{00000000-0005-0000-0000-0000B00A0000}"/>
    <cellStyle name="20% - Accent1 3 4 2 2 2" xfId="24555" xr:uid="{00000000-0005-0000-0000-0000B10A0000}"/>
    <cellStyle name="20% - Accent1 3 4 2 3" xfId="16649" xr:uid="{00000000-0005-0000-0000-0000B20A0000}"/>
    <cellStyle name="20% - Accent1 3 4 2 3 2" xfId="28341" xr:uid="{00000000-0005-0000-0000-0000B30A0000}"/>
    <cellStyle name="20% - Accent1 3 4 2 4" xfId="20695" xr:uid="{00000000-0005-0000-0000-0000B40A0000}"/>
    <cellStyle name="20% - Accent1 3 4 3" xfId="1292" xr:uid="{00000000-0005-0000-0000-0000B50A0000}"/>
    <cellStyle name="20% - Accent1 3 4 3 2" xfId="12699" xr:uid="{00000000-0005-0000-0000-0000B60A0000}"/>
    <cellStyle name="20% - Accent1 3 4 3 2 2" xfId="24556" xr:uid="{00000000-0005-0000-0000-0000B70A0000}"/>
    <cellStyle name="20% - Accent1 3 4 3 3" xfId="16650" xr:uid="{00000000-0005-0000-0000-0000B80A0000}"/>
    <cellStyle name="20% - Accent1 3 4 3 3 2" xfId="28342" xr:uid="{00000000-0005-0000-0000-0000B90A0000}"/>
    <cellStyle name="20% - Accent1 3 4 3 4" xfId="20696" xr:uid="{00000000-0005-0000-0000-0000BA0A0000}"/>
    <cellStyle name="20% - Accent1 3 4 4" xfId="12697" xr:uid="{00000000-0005-0000-0000-0000BB0A0000}"/>
    <cellStyle name="20% - Accent1 3 4 4 2" xfId="24554" xr:uid="{00000000-0005-0000-0000-0000BC0A0000}"/>
    <cellStyle name="20% - Accent1 3 4 5" xfId="16648" xr:uid="{00000000-0005-0000-0000-0000BD0A0000}"/>
    <cellStyle name="20% - Accent1 3 4 5 2" xfId="28340" xr:uid="{00000000-0005-0000-0000-0000BE0A0000}"/>
    <cellStyle name="20% - Accent1 3 4 6" xfId="20694" xr:uid="{00000000-0005-0000-0000-0000BF0A0000}"/>
    <cellStyle name="20% - Accent1 3 5" xfId="1293" xr:uid="{00000000-0005-0000-0000-0000C00A0000}"/>
    <cellStyle name="20% - Accent1 3 5 2" xfId="1294" xr:uid="{00000000-0005-0000-0000-0000C10A0000}"/>
    <cellStyle name="20% - Accent1 3 5 2 2" xfId="12701" xr:uid="{00000000-0005-0000-0000-0000C20A0000}"/>
    <cellStyle name="20% - Accent1 3 5 2 2 2" xfId="24558" xr:uid="{00000000-0005-0000-0000-0000C30A0000}"/>
    <cellStyle name="20% - Accent1 3 5 2 3" xfId="16652" xr:uid="{00000000-0005-0000-0000-0000C40A0000}"/>
    <cellStyle name="20% - Accent1 3 5 2 3 2" xfId="28344" xr:uid="{00000000-0005-0000-0000-0000C50A0000}"/>
    <cellStyle name="20% - Accent1 3 5 2 4" xfId="20698" xr:uid="{00000000-0005-0000-0000-0000C60A0000}"/>
    <cellStyle name="20% - Accent1 3 5 3" xfId="1295" xr:uid="{00000000-0005-0000-0000-0000C70A0000}"/>
    <cellStyle name="20% - Accent1 3 5 3 2" xfId="12702" xr:uid="{00000000-0005-0000-0000-0000C80A0000}"/>
    <cellStyle name="20% - Accent1 3 5 3 2 2" xfId="24559" xr:uid="{00000000-0005-0000-0000-0000C90A0000}"/>
    <cellStyle name="20% - Accent1 3 5 3 3" xfId="16653" xr:uid="{00000000-0005-0000-0000-0000CA0A0000}"/>
    <cellStyle name="20% - Accent1 3 5 3 3 2" xfId="28345" xr:uid="{00000000-0005-0000-0000-0000CB0A0000}"/>
    <cellStyle name="20% - Accent1 3 5 3 4" xfId="20699" xr:uid="{00000000-0005-0000-0000-0000CC0A0000}"/>
    <cellStyle name="20% - Accent1 3 5 4" xfId="12700" xr:uid="{00000000-0005-0000-0000-0000CD0A0000}"/>
    <cellStyle name="20% - Accent1 3 5 4 2" xfId="24557" xr:uid="{00000000-0005-0000-0000-0000CE0A0000}"/>
    <cellStyle name="20% - Accent1 3 5 5" xfId="16651" xr:uid="{00000000-0005-0000-0000-0000CF0A0000}"/>
    <cellStyle name="20% - Accent1 3 5 5 2" xfId="28343" xr:uid="{00000000-0005-0000-0000-0000D00A0000}"/>
    <cellStyle name="20% - Accent1 3 5 6" xfId="20697" xr:uid="{00000000-0005-0000-0000-0000D10A0000}"/>
    <cellStyle name="20% - Accent1 3 6" xfId="1296" xr:uid="{00000000-0005-0000-0000-0000D20A0000}"/>
    <cellStyle name="20% - Accent1 3 6 2" xfId="1297" xr:uid="{00000000-0005-0000-0000-0000D30A0000}"/>
    <cellStyle name="20% - Accent1 3 6 2 2" xfId="12704" xr:uid="{00000000-0005-0000-0000-0000D40A0000}"/>
    <cellStyle name="20% - Accent1 3 6 2 2 2" xfId="24561" xr:uid="{00000000-0005-0000-0000-0000D50A0000}"/>
    <cellStyle name="20% - Accent1 3 6 2 3" xfId="16655" xr:uid="{00000000-0005-0000-0000-0000D60A0000}"/>
    <cellStyle name="20% - Accent1 3 6 2 3 2" xfId="28347" xr:uid="{00000000-0005-0000-0000-0000D70A0000}"/>
    <cellStyle name="20% - Accent1 3 6 2 4" xfId="20701" xr:uid="{00000000-0005-0000-0000-0000D80A0000}"/>
    <cellStyle name="20% - Accent1 3 6 3" xfId="1298" xr:uid="{00000000-0005-0000-0000-0000D90A0000}"/>
    <cellStyle name="20% - Accent1 3 6 3 2" xfId="12705" xr:uid="{00000000-0005-0000-0000-0000DA0A0000}"/>
    <cellStyle name="20% - Accent1 3 6 3 2 2" xfId="24562" xr:uid="{00000000-0005-0000-0000-0000DB0A0000}"/>
    <cellStyle name="20% - Accent1 3 6 3 3" xfId="16656" xr:uid="{00000000-0005-0000-0000-0000DC0A0000}"/>
    <cellStyle name="20% - Accent1 3 6 3 3 2" xfId="28348" xr:uid="{00000000-0005-0000-0000-0000DD0A0000}"/>
    <cellStyle name="20% - Accent1 3 6 3 4" xfId="20702" xr:uid="{00000000-0005-0000-0000-0000DE0A0000}"/>
    <cellStyle name="20% - Accent1 3 6 4" xfId="12703" xr:uid="{00000000-0005-0000-0000-0000DF0A0000}"/>
    <cellStyle name="20% - Accent1 3 6 4 2" xfId="24560" xr:uid="{00000000-0005-0000-0000-0000E00A0000}"/>
    <cellStyle name="20% - Accent1 3 6 5" xfId="16654" xr:uid="{00000000-0005-0000-0000-0000E10A0000}"/>
    <cellStyle name="20% - Accent1 3 6 5 2" xfId="28346" xr:uid="{00000000-0005-0000-0000-0000E20A0000}"/>
    <cellStyle name="20% - Accent1 3 6 6" xfId="20700" xr:uid="{00000000-0005-0000-0000-0000E30A0000}"/>
    <cellStyle name="20% - Accent1 3 7" xfId="1299" xr:uid="{00000000-0005-0000-0000-0000E40A0000}"/>
    <cellStyle name="20% - Accent1 3 7 2" xfId="12706" xr:uid="{00000000-0005-0000-0000-0000E50A0000}"/>
    <cellStyle name="20% - Accent1 3 7 2 2" xfId="24563" xr:uid="{00000000-0005-0000-0000-0000E60A0000}"/>
    <cellStyle name="20% - Accent1 3 7 3" xfId="16657" xr:uid="{00000000-0005-0000-0000-0000E70A0000}"/>
    <cellStyle name="20% - Accent1 3 7 3 2" xfId="28349" xr:uid="{00000000-0005-0000-0000-0000E80A0000}"/>
    <cellStyle name="20% - Accent1 3 7 4" xfId="20703" xr:uid="{00000000-0005-0000-0000-0000E90A0000}"/>
    <cellStyle name="20% - Accent1 3 8" xfId="1300" xr:uid="{00000000-0005-0000-0000-0000EA0A0000}"/>
    <cellStyle name="20% - Accent1 3 8 2" xfId="12707" xr:uid="{00000000-0005-0000-0000-0000EB0A0000}"/>
    <cellStyle name="20% - Accent1 3 8 2 2" xfId="24564" xr:uid="{00000000-0005-0000-0000-0000EC0A0000}"/>
    <cellStyle name="20% - Accent1 3 8 3" xfId="16658" xr:uid="{00000000-0005-0000-0000-0000ED0A0000}"/>
    <cellStyle name="20% - Accent1 3 8 3 2" xfId="28350" xr:uid="{00000000-0005-0000-0000-0000EE0A0000}"/>
    <cellStyle name="20% - Accent1 3 8 4" xfId="20704" xr:uid="{00000000-0005-0000-0000-0000EF0A0000}"/>
    <cellStyle name="20% - Accent1 3 9" xfId="12675" xr:uid="{00000000-0005-0000-0000-0000F00A0000}"/>
    <cellStyle name="20% - Accent1 3 9 2" xfId="24532" xr:uid="{00000000-0005-0000-0000-0000F10A0000}"/>
    <cellStyle name="20% - Accent1 3_Volatility" xfId="1301" xr:uid="{00000000-0005-0000-0000-0000F20A0000}"/>
    <cellStyle name="20% - Accent1 4" xfId="1302" xr:uid="{00000000-0005-0000-0000-0000F30A0000}"/>
    <cellStyle name="20% - Accent1 4 10" xfId="16659" xr:uid="{00000000-0005-0000-0000-0000F40A0000}"/>
    <cellStyle name="20% - Accent1 4 10 2" xfId="28351" xr:uid="{00000000-0005-0000-0000-0000F50A0000}"/>
    <cellStyle name="20% - Accent1 4 11" xfId="20705" xr:uid="{00000000-0005-0000-0000-0000F60A0000}"/>
    <cellStyle name="20% - Accent1 4 2" xfId="1303" xr:uid="{00000000-0005-0000-0000-0000F70A0000}"/>
    <cellStyle name="20% - Accent1 4 2 2" xfId="1304" xr:uid="{00000000-0005-0000-0000-0000F80A0000}"/>
    <cellStyle name="20% - Accent1 4 2 2 2" xfId="1305" xr:uid="{00000000-0005-0000-0000-0000F90A0000}"/>
    <cellStyle name="20% - Accent1 4 2 2 2 2" xfId="12711" xr:uid="{00000000-0005-0000-0000-0000FA0A0000}"/>
    <cellStyle name="20% - Accent1 4 2 2 2 2 2" xfId="24568" xr:uid="{00000000-0005-0000-0000-0000FB0A0000}"/>
    <cellStyle name="20% - Accent1 4 2 2 2 3" xfId="16662" xr:uid="{00000000-0005-0000-0000-0000FC0A0000}"/>
    <cellStyle name="20% - Accent1 4 2 2 2 3 2" xfId="28354" xr:uid="{00000000-0005-0000-0000-0000FD0A0000}"/>
    <cellStyle name="20% - Accent1 4 2 2 2 4" xfId="20708" xr:uid="{00000000-0005-0000-0000-0000FE0A0000}"/>
    <cellStyle name="20% - Accent1 4 2 2 3" xfId="1306" xr:uid="{00000000-0005-0000-0000-0000FF0A0000}"/>
    <cellStyle name="20% - Accent1 4 2 2 3 2" xfId="12712" xr:uid="{00000000-0005-0000-0000-0000000B0000}"/>
    <cellStyle name="20% - Accent1 4 2 2 3 2 2" xfId="24569" xr:uid="{00000000-0005-0000-0000-0000010B0000}"/>
    <cellStyle name="20% - Accent1 4 2 2 3 3" xfId="16663" xr:uid="{00000000-0005-0000-0000-0000020B0000}"/>
    <cellStyle name="20% - Accent1 4 2 2 3 3 2" xfId="28355" xr:uid="{00000000-0005-0000-0000-0000030B0000}"/>
    <cellStyle name="20% - Accent1 4 2 2 3 4" xfId="20709" xr:uid="{00000000-0005-0000-0000-0000040B0000}"/>
    <cellStyle name="20% - Accent1 4 2 2 4" xfId="12710" xr:uid="{00000000-0005-0000-0000-0000050B0000}"/>
    <cellStyle name="20% - Accent1 4 2 2 4 2" xfId="24567" xr:uid="{00000000-0005-0000-0000-0000060B0000}"/>
    <cellStyle name="20% - Accent1 4 2 2 5" xfId="16661" xr:uid="{00000000-0005-0000-0000-0000070B0000}"/>
    <cellStyle name="20% - Accent1 4 2 2 5 2" xfId="28353" xr:uid="{00000000-0005-0000-0000-0000080B0000}"/>
    <cellStyle name="20% - Accent1 4 2 2 6" xfId="20707" xr:uid="{00000000-0005-0000-0000-0000090B0000}"/>
    <cellStyle name="20% - Accent1 4 2 3" xfId="1307" xr:uid="{00000000-0005-0000-0000-00000A0B0000}"/>
    <cellStyle name="20% - Accent1 4 2 3 2" xfId="1308" xr:uid="{00000000-0005-0000-0000-00000B0B0000}"/>
    <cellStyle name="20% - Accent1 4 2 3 2 2" xfId="12714" xr:uid="{00000000-0005-0000-0000-00000C0B0000}"/>
    <cellStyle name="20% - Accent1 4 2 3 2 2 2" xfId="24571" xr:uid="{00000000-0005-0000-0000-00000D0B0000}"/>
    <cellStyle name="20% - Accent1 4 2 3 2 3" xfId="16665" xr:uid="{00000000-0005-0000-0000-00000E0B0000}"/>
    <cellStyle name="20% - Accent1 4 2 3 2 3 2" xfId="28357" xr:uid="{00000000-0005-0000-0000-00000F0B0000}"/>
    <cellStyle name="20% - Accent1 4 2 3 2 4" xfId="20711" xr:uid="{00000000-0005-0000-0000-0000100B0000}"/>
    <cellStyle name="20% - Accent1 4 2 3 3" xfId="1309" xr:uid="{00000000-0005-0000-0000-0000110B0000}"/>
    <cellStyle name="20% - Accent1 4 2 3 3 2" xfId="12715" xr:uid="{00000000-0005-0000-0000-0000120B0000}"/>
    <cellStyle name="20% - Accent1 4 2 3 3 2 2" xfId="24572" xr:uid="{00000000-0005-0000-0000-0000130B0000}"/>
    <cellStyle name="20% - Accent1 4 2 3 3 3" xfId="16666" xr:uid="{00000000-0005-0000-0000-0000140B0000}"/>
    <cellStyle name="20% - Accent1 4 2 3 3 3 2" xfId="28358" xr:uid="{00000000-0005-0000-0000-0000150B0000}"/>
    <cellStyle name="20% - Accent1 4 2 3 3 4" xfId="20712" xr:uid="{00000000-0005-0000-0000-0000160B0000}"/>
    <cellStyle name="20% - Accent1 4 2 3 4" xfId="12713" xr:uid="{00000000-0005-0000-0000-0000170B0000}"/>
    <cellStyle name="20% - Accent1 4 2 3 4 2" xfId="24570" xr:uid="{00000000-0005-0000-0000-0000180B0000}"/>
    <cellStyle name="20% - Accent1 4 2 3 5" xfId="16664" xr:uid="{00000000-0005-0000-0000-0000190B0000}"/>
    <cellStyle name="20% - Accent1 4 2 3 5 2" xfId="28356" xr:uid="{00000000-0005-0000-0000-00001A0B0000}"/>
    <cellStyle name="20% - Accent1 4 2 3 6" xfId="20710" xr:uid="{00000000-0005-0000-0000-00001B0B0000}"/>
    <cellStyle name="20% - Accent1 4 2 4" xfId="1310" xr:uid="{00000000-0005-0000-0000-00001C0B0000}"/>
    <cellStyle name="20% - Accent1 4 2 4 2" xfId="1311" xr:uid="{00000000-0005-0000-0000-00001D0B0000}"/>
    <cellStyle name="20% - Accent1 4 2 4 2 2" xfId="12717" xr:uid="{00000000-0005-0000-0000-00001E0B0000}"/>
    <cellStyle name="20% - Accent1 4 2 4 2 2 2" xfId="24574" xr:uid="{00000000-0005-0000-0000-00001F0B0000}"/>
    <cellStyle name="20% - Accent1 4 2 4 2 3" xfId="16668" xr:uid="{00000000-0005-0000-0000-0000200B0000}"/>
    <cellStyle name="20% - Accent1 4 2 4 2 3 2" xfId="28360" xr:uid="{00000000-0005-0000-0000-0000210B0000}"/>
    <cellStyle name="20% - Accent1 4 2 4 2 4" xfId="20714" xr:uid="{00000000-0005-0000-0000-0000220B0000}"/>
    <cellStyle name="20% - Accent1 4 2 4 3" xfId="1312" xr:uid="{00000000-0005-0000-0000-0000230B0000}"/>
    <cellStyle name="20% - Accent1 4 2 4 3 2" xfId="12718" xr:uid="{00000000-0005-0000-0000-0000240B0000}"/>
    <cellStyle name="20% - Accent1 4 2 4 3 2 2" xfId="24575" xr:uid="{00000000-0005-0000-0000-0000250B0000}"/>
    <cellStyle name="20% - Accent1 4 2 4 3 3" xfId="16669" xr:uid="{00000000-0005-0000-0000-0000260B0000}"/>
    <cellStyle name="20% - Accent1 4 2 4 3 3 2" xfId="28361" xr:uid="{00000000-0005-0000-0000-0000270B0000}"/>
    <cellStyle name="20% - Accent1 4 2 4 3 4" xfId="20715" xr:uid="{00000000-0005-0000-0000-0000280B0000}"/>
    <cellStyle name="20% - Accent1 4 2 4 4" xfId="12716" xr:uid="{00000000-0005-0000-0000-0000290B0000}"/>
    <cellStyle name="20% - Accent1 4 2 4 4 2" xfId="24573" xr:uid="{00000000-0005-0000-0000-00002A0B0000}"/>
    <cellStyle name="20% - Accent1 4 2 4 5" xfId="16667" xr:uid="{00000000-0005-0000-0000-00002B0B0000}"/>
    <cellStyle name="20% - Accent1 4 2 4 5 2" xfId="28359" xr:uid="{00000000-0005-0000-0000-00002C0B0000}"/>
    <cellStyle name="20% - Accent1 4 2 4 6" xfId="20713" xr:uid="{00000000-0005-0000-0000-00002D0B0000}"/>
    <cellStyle name="20% - Accent1 4 2 5" xfId="1313" xr:uid="{00000000-0005-0000-0000-00002E0B0000}"/>
    <cellStyle name="20% - Accent1 4 2 5 2" xfId="12719" xr:uid="{00000000-0005-0000-0000-00002F0B0000}"/>
    <cellStyle name="20% - Accent1 4 2 5 2 2" xfId="24576" xr:uid="{00000000-0005-0000-0000-0000300B0000}"/>
    <cellStyle name="20% - Accent1 4 2 5 3" xfId="16670" xr:uid="{00000000-0005-0000-0000-0000310B0000}"/>
    <cellStyle name="20% - Accent1 4 2 5 3 2" xfId="28362" xr:uid="{00000000-0005-0000-0000-0000320B0000}"/>
    <cellStyle name="20% - Accent1 4 2 5 4" xfId="20716" xr:uid="{00000000-0005-0000-0000-0000330B0000}"/>
    <cellStyle name="20% - Accent1 4 2 6" xfId="1314" xr:uid="{00000000-0005-0000-0000-0000340B0000}"/>
    <cellStyle name="20% - Accent1 4 2 6 2" xfId="12720" xr:uid="{00000000-0005-0000-0000-0000350B0000}"/>
    <cellStyle name="20% - Accent1 4 2 6 2 2" xfId="24577" xr:uid="{00000000-0005-0000-0000-0000360B0000}"/>
    <cellStyle name="20% - Accent1 4 2 6 3" xfId="16671" xr:uid="{00000000-0005-0000-0000-0000370B0000}"/>
    <cellStyle name="20% - Accent1 4 2 6 3 2" xfId="28363" xr:uid="{00000000-0005-0000-0000-0000380B0000}"/>
    <cellStyle name="20% - Accent1 4 2 6 4" xfId="20717" xr:uid="{00000000-0005-0000-0000-0000390B0000}"/>
    <cellStyle name="20% - Accent1 4 2 7" xfId="12709" xr:uid="{00000000-0005-0000-0000-00003A0B0000}"/>
    <cellStyle name="20% - Accent1 4 2 7 2" xfId="24566" xr:uid="{00000000-0005-0000-0000-00003B0B0000}"/>
    <cellStyle name="20% - Accent1 4 2 8" xfId="16660" xr:uid="{00000000-0005-0000-0000-00003C0B0000}"/>
    <cellStyle name="20% - Accent1 4 2 8 2" xfId="28352" xr:uid="{00000000-0005-0000-0000-00003D0B0000}"/>
    <cellStyle name="20% - Accent1 4 2 9" xfId="20706" xr:uid="{00000000-0005-0000-0000-00003E0B0000}"/>
    <cellStyle name="20% - Accent1 4 2_Volatility" xfId="1315" xr:uid="{00000000-0005-0000-0000-00003F0B0000}"/>
    <cellStyle name="20% - Accent1 4 3" xfId="1316" xr:uid="{00000000-0005-0000-0000-0000400B0000}"/>
    <cellStyle name="20% - Accent1 4 3 2" xfId="1317" xr:uid="{00000000-0005-0000-0000-0000410B0000}"/>
    <cellStyle name="20% - Accent1 4 3 2 2" xfId="1318" xr:uid="{00000000-0005-0000-0000-0000420B0000}"/>
    <cellStyle name="20% - Accent1 4 3 2 2 2" xfId="12723" xr:uid="{00000000-0005-0000-0000-0000430B0000}"/>
    <cellStyle name="20% - Accent1 4 3 2 2 2 2" xfId="24580" xr:uid="{00000000-0005-0000-0000-0000440B0000}"/>
    <cellStyle name="20% - Accent1 4 3 2 2 3" xfId="16674" xr:uid="{00000000-0005-0000-0000-0000450B0000}"/>
    <cellStyle name="20% - Accent1 4 3 2 2 3 2" xfId="28366" xr:uid="{00000000-0005-0000-0000-0000460B0000}"/>
    <cellStyle name="20% - Accent1 4 3 2 2 4" xfId="20720" xr:uid="{00000000-0005-0000-0000-0000470B0000}"/>
    <cellStyle name="20% - Accent1 4 3 2 3" xfId="1319" xr:uid="{00000000-0005-0000-0000-0000480B0000}"/>
    <cellStyle name="20% - Accent1 4 3 2 3 2" xfId="12724" xr:uid="{00000000-0005-0000-0000-0000490B0000}"/>
    <cellStyle name="20% - Accent1 4 3 2 3 2 2" xfId="24581" xr:uid="{00000000-0005-0000-0000-00004A0B0000}"/>
    <cellStyle name="20% - Accent1 4 3 2 3 3" xfId="16675" xr:uid="{00000000-0005-0000-0000-00004B0B0000}"/>
    <cellStyle name="20% - Accent1 4 3 2 3 3 2" xfId="28367" xr:uid="{00000000-0005-0000-0000-00004C0B0000}"/>
    <cellStyle name="20% - Accent1 4 3 2 3 4" xfId="20721" xr:uid="{00000000-0005-0000-0000-00004D0B0000}"/>
    <cellStyle name="20% - Accent1 4 3 2 4" xfId="12722" xr:uid="{00000000-0005-0000-0000-00004E0B0000}"/>
    <cellStyle name="20% - Accent1 4 3 2 4 2" xfId="24579" xr:uid="{00000000-0005-0000-0000-00004F0B0000}"/>
    <cellStyle name="20% - Accent1 4 3 2 5" xfId="16673" xr:uid="{00000000-0005-0000-0000-0000500B0000}"/>
    <cellStyle name="20% - Accent1 4 3 2 5 2" xfId="28365" xr:uid="{00000000-0005-0000-0000-0000510B0000}"/>
    <cellStyle name="20% - Accent1 4 3 2 6" xfId="20719" xr:uid="{00000000-0005-0000-0000-0000520B0000}"/>
    <cellStyle name="20% - Accent1 4 3 3" xfId="1320" xr:uid="{00000000-0005-0000-0000-0000530B0000}"/>
    <cellStyle name="20% - Accent1 4 3 3 2" xfId="1321" xr:uid="{00000000-0005-0000-0000-0000540B0000}"/>
    <cellStyle name="20% - Accent1 4 3 3 2 2" xfId="12726" xr:uid="{00000000-0005-0000-0000-0000550B0000}"/>
    <cellStyle name="20% - Accent1 4 3 3 2 2 2" xfId="24583" xr:uid="{00000000-0005-0000-0000-0000560B0000}"/>
    <cellStyle name="20% - Accent1 4 3 3 2 3" xfId="16677" xr:uid="{00000000-0005-0000-0000-0000570B0000}"/>
    <cellStyle name="20% - Accent1 4 3 3 2 3 2" xfId="28369" xr:uid="{00000000-0005-0000-0000-0000580B0000}"/>
    <cellStyle name="20% - Accent1 4 3 3 2 4" xfId="20723" xr:uid="{00000000-0005-0000-0000-0000590B0000}"/>
    <cellStyle name="20% - Accent1 4 3 3 3" xfId="1322" xr:uid="{00000000-0005-0000-0000-00005A0B0000}"/>
    <cellStyle name="20% - Accent1 4 3 3 3 2" xfId="12727" xr:uid="{00000000-0005-0000-0000-00005B0B0000}"/>
    <cellStyle name="20% - Accent1 4 3 3 3 2 2" xfId="24584" xr:uid="{00000000-0005-0000-0000-00005C0B0000}"/>
    <cellStyle name="20% - Accent1 4 3 3 3 3" xfId="16678" xr:uid="{00000000-0005-0000-0000-00005D0B0000}"/>
    <cellStyle name="20% - Accent1 4 3 3 3 3 2" xfId="28370" xr:uid="{00000000-0005-0000-0000-00005E0B0000}"/>
    <cellStyle name="20% - Accent1 4 3 3 3 4" xfId="20724" xr:uid="{00000000-0005-0000-0000-00005F0B0000}"/>
    <cellStyle name="20% - Accent1 4 3 3 4" xfId="12725" xr:uid="{00000000-0005-0000-0000-0000600B0000}"/>
    <cellStyle name="20% - Accent1 4 3 3 4 2" xfId="24582" xr:uid="{00000000-0005-0000-0000-0000610B0000}"/>
    <cellStyle name="20% - Accent1 4 3 3 5" xfId="16676" xr:uid="{00000000-0005-0000-0000-0000620B0000}"/>
    <cellStyle name="20% - Accent1 4 3 3 5 2" xfId="28368" xr:uid="{00000000-0005-0000-0000-0000630B0000}"/>
    <cellStyle name="20% - Accent1 4 3 3 6" xfId="20722" xr:uid="{00000000-0005-0000-0000-0000640B0000}"/>
    <cellStyle name="20% - Accent1 4 3 4" xfId="1323" xr:uid="{00000000-0005-0000-0000-0000650B0000}"/>
    <cellStyle name="20% - Accent1 4 3 4 2" xfId="12728" xr:uid="{00000000-0005-0000-0000-0000660B0000}"/>
    <cellStyle name="20% - Accent1 4 3 4 2 2" xfId="24585" xr:uid="{00000000-0005-0000-0000-0000670B0000}"/>
    <cellStyle name="20% - Accent1 4 3 4 3" xfId="16679" xr:uid="{00000000-0005-0000-0000-0000680B0000}"/>
    <cellStyle name="20% - Accent1 4 3 4 3 2" xfId="28371" xr:uid="{00000000-0005-0000-0000-0000690B0000}"/>
    <cellStyle name="20% - Accent1 4 3 4 4" xfId="20725" xr:uid="{00000000-0005-0000-0000-00006A0B0000}"/>
    <cellStyle name="20% - Accent1 4 3 5" xfId="1324" xr:uid="{00000000-0005-0000-0000-00006B0B0000}"/>
    <cellStyle name="20% - Accent1 4 3 5 2" xfId="12729" xr:uid="{00000000-0005-0000-0000-00006C0B0000}"/>
    <cellStyle name="20% - Accent1 4 3 5 2 2" xfId="24586" xr:uid="{00000000-0005-0000-0000-00006D0B0000}"/>
    <cellStyle name="20% - Accent1 4 3 5 3" xfId="16680" xr:uid="{00000000-0005-0000-0000-00006E0B0000}"/>
    <cellStyle name="20% - Accent1 4 3 5 3 2" xfId="28372" xr:uid="{00000000-0005-0000-0000-00006F0B0000}"/>
    <cellStyle name="20% - Accent1 4 3 5 4" xfId="20726" xr:uid="{00000000-0005-0000-0000-0000700B0000}"/>
    <cellStyle name="20% - Accent1 4 3 6" xfId="12721" xr:uid="{00000000-0005-0000-0000-0000710B0000}"/>
    <cellStyle name="20% - Accent1 4 3 6 2" xfId="24578" xr:uid="{00000000-0005-0000-0000-0000720B0000}"/>
    <cellStyle name="20% - Accent1 4 3 7" xfId="16672" xr:uid="{00000000-0005-0000-0000-0000730B0000}"/>
    <cellStyle name="20% - Accent1 4 3 7 2" xfId="28364" xr:uid="{00000000-0005-0000-0000-0000740B0000}"/>
    <cellStyle name="20% - Accent1 4 3 8" xfId="20718" xr:uid="{00000000-0005-0000-0000-0000750B0000}"/>
    <cellStyle name="20% - Accent1 4 3_Volatility" xfId="1325" xr:uid="{00000000-0005-0000-0000-0000760B0000}"/>
    <cellStyle name="20% - Accent1 4 4" xfId="1326" xr:uid="{00000000-0005-0000-0000-0000770B0000}"/>
    <cellStyle name="20% - Accent1 4 4 2" xfId="1327" xr:uid="{00000000-0005-0000-0000-0000780B0000}"/>
    <cellStyle name="20% - Accent1 4 4 2 2" xfId="12731" xr:uid="{00000000-0005-0000-0000-0000790B0000}"/>
    <cellStyle name="20% - Accent1 4 4 2 2 2" xfId="24588" xr:uid="{00000000-0005-0000-0000-00007A0B0000}"/>
    <cellStyle name="20% - Accent1 4 4 2 3" xfId="16682" xr:uid="{00000000-0005-0000-0000-00007B0B0000}"/>
    <cellStyle name="20% - Accent1 4 4 2 3 2" xfId="28374" xr:uid="{00000000-0005-0000-0000-00007C0B0000}"/>
    <cellStyle name="20% - Accent1 4 4 2 4" xfId="20728" xr:uid="{00000000-0005-0000-0000-00007D0B0000}"/>
    <cellStyle name="20% - Accent1 4 4 3" xfId="1328" xr:uid="{00000000-0005-0000-0000-00007E0B0000}"/>
    <cellStyle name="20% - Accent1 4 4 3 2" xfId="12732" xr:uid="{00000000-0005-0000-0000-00007F0B0000}"/>
    <cellStyle name="20% - Accent1 4 4 3 2 2" xfId="24589" xr:uid="{00000000-0005-0000-0000-0000800B0000}"/>
    <cellStyle name="20% - Accent1 4 4 3 3" xfId="16683" xr:uid="{00000000-0005-0000-0000-0000810B0000}"/>
    <cellStyle name="20% - Accent1 4 4 3 3 2" xfId="28375" xr:uid="{00000000-0005-0000-0000-0000820B0000}"/>
    <cellStyle name="20% - Accent1 4 4 3 4" xfId="20729" xr:uid="{00000000-0005-0000-0000-0000830B0000}"/>
    <cellStyle name="20% - Accent1 4 4 4" xfId="12730" xr:uid="{00000000-0005-0000-0000-0000840B0000}"/>
    <cellStyle name="20% - Accent1 4 4 4 2" xfId="24587" xr:uid="{00000000-0005-0000-0000-0000850B0000}"/>
    <cellStyle name="20% - Accent1 4 4 5" xfId="16681" xr:uid="{00000000-0005-0000-0000-0000860B0000}"/>
    <cellStyle name="20% - Accent1 4 4 5 2" xfId="28373" xr:uid="{00000000-0005-0000-0000-0000870B0000}"/>
    <cellStyle name="20% - Accent1 4 4 6" xfId="20727" xr:uid="{00000000-0005-0000-0000-0000880B0000}"/>
    <cellStyle name="20% - Accent1 4 5" xfId="1329" xr:uid="{00000000-0005-0000-0000-0000890B0000}"/>
    <cellStyle name="20% - Accent1 4 5 2" xfId="1330" xr:uid="{00000000-0005-0000-0000-00008A0B0000}"/>
    <cellStyle name="20% - Accent1 4 5 2 2" xfId="12734" xr:uid="{00000000-0005-0000-0000-00008B0B0000}"/>
    <cellStyle name="20% - Accent1 4 5 2 2 2" xfId="24591" xr:uid="{00000000-0005-0000-0000-00008C0B0000}"/>
    <cellStyle name="20% - Accent1 4 5 2 3" xfId="16685" xr:uid="{00000000-0005-0000-0000-00008D0B0000}"/>
    <cellStyle name="20% - Accent1 4 5 2 3 2" xfId="28377" xr:uid="{00000000-0005-0000-0000-00008E0B0000}"/>
    <cellStyle name="20% - Accent1 4 5 2 4" xfId="20731" xr:uid="{00000000-0005-0000-0000-00008F0B0000}"/>
    <cellStyle name="20% - Accent1 4 5 3" xfId="1331" xr:uid="{00000000-0005-0000-0000-0000900B0000}"/>
    <cellStyle name="20% - Accent1 4 5 3 2" xfId="12735" xr:uid="{00000000-0005-0000-0000-0000910B0000}"/>
    <cellStyle name="20% - Accent1 4 5 3 2 2" xfId="24592" xr:uid="{00000000-0005-0000-0000-0000920B0000}"/>
    <cellStyle name="20% - Accent1 4 5 3 3" xfId="16686" xr:uid="{00000000-0005-0000-0000-0000930B0000}"/>
    <cellStyle name="20% - Accent1 4 5 3 3 2" xfId="28378" xr:uid="{00000000-0005-0000-0000-0000940B0000}"/>
    <cellStyle name="20% - Accent1 4 5 3 4" xfId="20732" xr:uid="{00000000-0005-0000-0000-0000950B0000}"/>
    <cellStyle name="20% - Accent1 4 5 4" xfId="12733" xr:uid="{00000000-0005-0000-0000-0000960B0000}"/>
    <cellStyle name="20% - Accent1 4 5 4 2" xfId="24590" xr:uid="{00000000-0005-0000-0000-0000970B0000}"/>
    <cellStyle name="20% - Accent1 4 5 5" xfId="16684" xr:uid="{00000000-0005-0000-0000-0000980B0000}"/>
    <cellStyle name="20% - Accent1 4 5 5 2" xfId="28376" xr:uid="{00000000-0005-0000-0000-0000990B0000}"/>
    <cellStyle name="20% - Accent1 4 5 6" xfId="20730" xr:uid="{00000000-0005-0000-0000-00009A0B0000}"/>
    <cellStyle name="20% - Accent1 4 6" xfId="1332" xr:uid="{00000000-0005-0000-0000-00009B0B0000}"/>
    <cellStyle name="20% - Accent1 4 6 2" xfId="1333" xr:uid="{00000000-0005-0000-0000-00009C0B0000}"/>
    <cellStyle name="20% - Accent1 4 6 2 2" xfId="12737" xr:uid="{00000000-0005-0000-0000-00009D0B0000}"/>
    <cellStyle name="20% - Accent1 4 6 2 2 2" xfId="24594" xr:uid="{00000000-0005-0000-0000-00009E0B0000}"/>
    <cellStyle name="20% - Accent1 4 6 2 3" xfId="16688" xr:uid="{00000000-0005-0000-0000-00009F0B0000}"/>
    <cellStyle name="20% - Accent1 4 6 2 3 2" xfId="28380" xr:uid="{00000000-0005-0000-0000-0000A00B0000}"/>
    <cellStyle name="20% - Accent1 4 6 2 4" xfId="20734" xr:uid="{00000000-0005-0000-0000-0000A10B0000}"/>
    <cellStyle name="20% - Accent1 4 6 3" xfId="1334" xr:uid="{00000000-0005-0000-0000-0000A20B0000}"/>
    <cellStyle name="20% - Accent1 4 6 3 2" xfId="12738" xr:uid="{00000000-0005-0000-0000-0000A30B0000}"/>
    <cellStyle name="20% - Accent1 4 6 3 2 2" xfId="24595" xr:uid="{00000000-0005-0000-0000-0000A40B0000}"/>
    <cellStyle name="20% - Accent1 4 6 3 3" xfId="16689" xr:uid="{00000000-0005-0000-0000-0000A50B0000}"/>
    <cellStyle name="20% - Accent1 4 6 3 3 2" xfId="28381" xr:uid="{00000000-0005-0000-0000-0000A60B0000}"/>
    <cellStyle name="20% - Accent1 4 6 3 4" xfId="20735" xr:uid="{00000000-0005-0000-0000-0000A70B0000}"/>
    <cellStyle name="20% - Accent1 4 6 4" xfId="12736" xr:uid="{00000000-0005-0000-0000-0000A80B0000}"/>
    <cellStyle name="20% - Accent1 4 6 4 2" xfId="24593" xr:uid="{00000000-0005-0000-0000-0000A90B0000}"/>
    <cellStyle name="20% - Accent1 4 6 5" xfId="16687" xr:uid="{00000000-0005-0000-0000-0000AA0B0000}"/>
    <cellStyle name="20% - Accent1 4 6 5 2" xfId="28379" xr:uid="{00000000-0005-0000-0000-0000AB0B0000}"/>
    <cellStyle name="20% - Accent1 4 6 6" xfId="20733" xr:uid="{00000000-0005-0000-0000-0000AC0B0000}"/>
    <cellStyle name="20% - Accent1 4 7" xfId="1335" xr:uid="{00000000-0005-0000-0000-0000AD0B0000}"/>
    <cellStyle name="20% - Accent1 4 7 2" xfId="12739" xr:uid="{00000000-0005-0000-0000-0000AE0B0000}"/>
    <cellStyle name="20% - Accent1 4 7 2 2" xfId="24596" xr:uid="{00000000-0005-0000-0000-0000AF0B0000}"/>
    <cellStyle name="20% - Accent1 4 7 3" xfId="16690" xr:uid="{00000000-0005-0000-0000-0000B00B0000}"/>
    <cellStyle name="20% - Accent1 4 7 3 2" xfId="28382" xr:uid="{00000000-0005-0000-0000-0000B10B0000}"/>
    <cellStyle name="20% - Accent1 4 7 4" xfId="20736" xr:uid="{00000000-0005-0000-0000-0000B20B0000}"/>
    <cellStyle name="20% - Accent1 4 8" xfId="1336" xr:uid="{00000000-0005-0000-0000-0000B30B0000}"/>
    <cellStyle name="20% - Accent1 4 8 2" xfId="12740" xr:uid="{00000000-0005-0000-0000-0000B40B0000}"/>
    <cellStyle name="20% - Accent1 4 8 2 2" xfId="24597" xr:uid="{00000000-0005-0000-0000-0000B50B0000}"/>
    <cellStyle name="20% - Accent1 4 8 3" xfId="16691" xr:uid="{00000000-0005-0000-0000-0000B60B0000}"/>
    <cellStyle name="20% - Accent1 4 8 3 2" xfId="28383" xr:uid="{00000000-0005-0000-0000-0000B70B0000}"/>
    <cellStyle name="20% - Accent1 4 8 4" xfId="20737" xr:uid="{00000000-0005-0000-0000-0000B80B0000}"/>
    <cellStyle name="20% - Accent1 4 9" xfId="12708" xr:uid="{00000000-0005-0000-0000-0000B90B0000}"/>
    <cellStyle name="20% - Accent1 4 9 2" xfId="24565" xr:uid="{00000000-0005-0000-0000-0000BA0B0000}"/>
    <cellStyle name="20% - Accent1 4_Volatility" xfId="1337" xr:uid="{00000000-0005-0000-0000-0000BB0B0000}"/>
    <cellStyle name="20% - Accent1 5" xfId="1338" xr:uid="{00000000-0005-0000-0000-0000BC0B0000}"/>
    <cellStyle name="20% - Accent1 5 10" xfId="16692" xr:uid="{00000000-0005-0000-0000-0000BD0B0000}"/>
    <cellStyle name="20% - Accent1 5 10 2" xfId="28384" xr:uid="{00000000-0005-0000-0000-0000BE0B0000}"/>
    <cellStyle name="20% - Accent1 5 11" xfId="20738" xr:uid="{00000000-0005-0000-0000-0000BF0B0000}"/>
    <cellStyle name="20% - Accent1 5 2" xfId="1339" xr:uid="{00000000-0005-0000-0000-0000C00B0000}"/>
    <cellStyle name="20% - Accent1 5 2 2" xfId="1340" xr:uid="{00000000-0005-0000-0000-0000C10B0000}"/>
    <cellStyle name="20% - Accent1 5 2 2 2" xfId="1341" xr:uid="{00000000-0005-0000-0000-0000C20B0000}"/>
    <cellStyle name="20% - Accent1 5 2 2 2 2" xfId="12744" xr:uid="{00000000-0005-0000-0000-0000C30B0000}"/>
    <cellStyle name="20% - Accent1 5 2 2 2 2 2" xfId="24601" xr:uid="{00000000-0005-0000-0000-0000C40B0000}"/>
    <cellStyle name="20% - Accent1 5 2 2 2 3" xfId="16695" xr:uid="{00000000-0005-0000-0000-0000C50B0000}"/>
    <cellStyle name="20% - Accent1 5 2 2 2 3 2" xfId="28387" xr:uid="{00000000-0005-0000-0000-0000C60B0000}"/>
    <cellStyle name="20% - Accent1 5 2 2 2 4" xfId="20741" xr:uid="{00000000-0005-0000-0000-0000C70B0000}"/>
    <cellStyle name="20% - Accent1 5 2 2 3" xfId="1342" xr:uid="{00000000-0005-0000-0000-0000C80B0000}"/>
    <cellStyle name="20% - Accent1 5 2 2 3 2" xfId="12745" xr:uid="{00000000-0005-0000-0000-0000C90B0000}"/>
    <cellStyle name="20% - Accent1 5 2 2 3 2 2" xfId="24602" xr:uid="{00000000-0005-0000-0000-0000CA0B0000}"/>
    <cellStyle name="20% - Accent1 5 2 2 3 3" xfId="16696" xr:uid="{00000000-0005-0000-0000-0000CB0B0000}"/>
    <cellStyle name="20% - Accent1 5 2 2 3 3 2" xfId="28388" xr:uid="{00000000-0005-0000-0000-0000CC0B0000}"/>
    <cellStyle name="20% - Accent1 5 2 2 3 4" xfId="20742" xr:uid="{00000000-0005-0000-0000-0000CD0B0000}"/>
    <cellStyle name="20% - Accent1 5 2 2 4" xfId="12743" xr:uid="{00000000-0005-0000-0000-0000CE0B0000}"/>
    <cellStyle name="20% - Accent1 5 2 2 4 2" xfId="24600" xr:uid="{00000000-0005-0000-0000-0000CF0B0000}"/>
    <cellStyle name="20% - Accent1 5 2 2 5" xfId="16694" xr:uid="{00000000-0005-0000-0000-0000D00B0000}"/>
    <cellStyle name="20% - Accent1 5 2 2 5 2" xfId="28386" xr:uid="{00000000-0005-0000-0000-0000D10B0000}"/>
    <cellStyle name="20% - Accent1 5 2 2 6" xfId="20740" xr:uid="{00000000-0005-0000-0000-0000D20B0000}"/>
    <cellStyle name="20% - Accent1 5 2 3" xfId="1343" xr:uid="{00000000-0005-0000-0000-0000D30B0000}"/>
    <cellStyle name="20% - Accent1 5 2 3 2" xfId="1344" xr:uid="{00000000-0005-0000-0000-0000D40B0000}"/>
    <cellStyle name="20% - Accent1 5 2 3 2 2" xfId="12747" xr:uid="{00000000-0005-0000-0000-0000D50B0000}"/>
    <cellStyle name="20% - Accent1 5 2 3 2 2 2" xfId="24604" xr:uid="{00000000-0005-0000-0000-0000D60B0000}"/>
    <cellStyle name="20% - Accent1 5 2 3 2 3" xfId="16698" xr:uid="{00000000-0005-0000-0000-0000D70B0000}"/>
    <cellStyle name="20% - Accent1 5 2 3 2 3 2" xfId="28390" xr:uid="{00000000-0005-0000-0000-0000D80B0000}"/>
    <cellStyle name="20% - Accent1 5 2 3 2 4" xfId="20744" xr:uid="{00000000-0005-0000-0000-0000D90B0000}"/>
    <cellStyle name="20% - Accent1 5 2 3 3" xfId="1345" xr:uid="{00000000-0005-0000-0000-0000DA0B0000}"/>
    <cellStyle name="20% - Accent1 5 2 3 3 2" xfId="12748" xr:uid="{00000000-0005-0000-0000-0000DB0B0000}"/>
    <cellStyle name="20% - Accent1 5 2 3 3 2 2" xfId="24605" xr:uid="{00000000-0005-0000-0000-0000DC0B0000}"/>
    <cellStyle name="20% - Accent1 5 2 3 3 3" xfId="16699" xr:uid="{00000000-0005-0000-0000-0000DD0B0000}"/>
    <cellStyle name="20% - Accent1 5 2 3 3 3 2" xfId="28391" xr:uid="{00000000-0005-0000-0000-0000DE0B0000}"/>
    <cellStyle name="20% - Accent1 5 2 3 3 4" xfId="20745" xr:uid="{00000000-0005-0000-0000-0000DF0B0000}"/>
    <cellStyle name="20% - Accent1 5 2 3 4" xfId="12746" xr:uid="{00000000-0005-0000-0000-0000E00B0000}"/>
    <cellStyle name="20% - Accent1 5 2 3 4 2" xfId="24603" xr:uid="{00000000-0005-0000-0000-0000E10B0000}"/>
    <cellStyle name="20% - Accent1 5 2 3 5" xfId="16697" xr:uid="{00000000-0005-0000-0000-0000E20B0000}"/>
    <cellStyle name="20% - Accent1 5 2 3 5 2" xfId="28389" xr:uid="{00000000-0005-0000-0000-0000E30B0000}"/>
    <cellStyle name="20% - Accent1 5 2 3 6" xfId="20743" xr:uid="{00000000-0005-0000-0000-0000E40B0000}"/>
    <cellStyle name="20% - Accent1 5 2 4" xfId="1346" xr:uid="{00000000-0005-0000-0000-0000E50B0000}"/>
    <cellStyle name="20% - Accent1 5 2 4 2" xfId="1347" xr:uid="{00000000-0005-0000-0000-0000E60B0000}"/>
    <cellStyle name="20% - Accent1 5 2 4 2 2" xfId="12750" xr:uid="{00000000-0005-0000-0000-0000E70B0000}"/>
    <cellStyle name="20% - Accent1 5 2 4 2 2 2" xfId="24607" xr:uid="{00000000-0005-0000-0000-0000E80B0000}"/>
    <cellStyle name="20% - Accent1 5 2 4 2 3" xfId="16701" xr:uid="{00000000-0005-0000-0000-0000E90B0000}"/>
    <cellStyle name="20% - Accent1 5 2 4 2 3 2" xfId="28393" xr:uid="{00000000-0005-0000-0000-0000EA0B0000}"/>
    <cellStyle name="20% - Accent1 5 2 4 2 4" xfId="20747" xr:uid="{00000000-0005-0000-0000-0000EB0B0000}"/>
    <cellStyle name="20% - Accent1 5 2 4 3" xfId="1348" xr:uid="{00000000-0005-0000-0000-0000EC0B0000}"/>
    <cellStyle name="20% - Accent1 5 2 4 3 2" xfId="12751" xr:uid="{00000000-0005-0000-0000-0000ED0B0000}"/>
    <cellStyle name="20% - Accent1 5 2 4 3 2 2" xfId="24608" xr:uid="{00000000-0005-0000-0000-0000EE0B0000}"/>
    <cellStyle name="20% - Accent1 5 2 4 3 3" xfId="16702" xr:uid="{00000000-0005-0000-0000-0000EF0B0000}"/>
    <cellStyle name="20% - Accent1 5 2 4 3 3 2" xfId="28394" xr:uid="{00000000-0005-0000-0000-0000F00B0000}"/>
    <cellStyle name="20% - Accent1 5 2 4 3 4" xfId="20748" xr:uid="{00000000-0005-0000-0000-0000F10B0000}"/>
    <cellStyle name="20% - Accent1 5 2 4 4" xfId="12749" xr:uid="{00000000-0005-0000-0000-0000F20B0000}"/>
    <cellStyle name="20% - Accent1 5 2 4 4 2" xfId="24606" xr:uid="{00000000-0005-0000-0000-0000F30B0000}"/>
    <cellStyle name="20% - Accent1 5 2 4 5" xfId="16700" xr:uid="{00000000-0005-0000-0000-0000F40B0000}"/>
    <cellStyle name="20% - Accent1 5 2 4 5 2" xfId="28392" xr:uid="{00000000-0005-0000-0000-0000F50B0000}"/>
    <cellStyle name="20% - Accent1 5 2 4 6" xfId="20746" xr:uid="{00000000-0005-0000-0000-0000F60B0000}"/>
    <cellStyle name="20% - Accent1 5 2 5" xfId="1349" xr:uid="{00000000-0005-0000-0000-0000F70B0000}"/>
    <cellStyle name="20% - Accent1 5 2 5 2" xfId="12752" xr:uid="{00000000-0005-0000-0000-0000F80B0000}"/>
    <cellStyle name="20% - Accent1 5 2 5 2 2" xfId="24609" xr:uid="{00000000-0005-0000-0000-0000F90B0000}"/>
    <cellStyle name="20% - Accent1 5 2 5 3" xfId="16703" xr:uid="{00000000-0005-0000-0000-0000FA0B0000}"/>
    <cellStyle name="20% - Accent1 5 2 5 3 2" xfId="28395" xr:uid="{00000000-0005-0000-0000-0000FB0B0000}"/>
    <cellStyle name="20% - Accent1 5 2 5 4" xfId="20749" xr:uid="{00000000-0005-0000-0000-0000FC0B0000}"/>
    <cellStyle name="20% - Accent1 5 2 6" xfId="1350" xr:uid="{00000000-0005-0000-0000-0000FD0B0000}"/>
    <cellStyle name="20% - Accent1 5 2 6 2" xfId="12753" xr:uid="{00000000-0005-0000-0000-0000FE0B0000}"/>
    <cellStyle name="20% - Accent1 5 2 6 2 2" xfId="24610" xr:uid="{00000000-0005-0000-0000-0000FF0B0000}"/>
    <cellStyle name="20% - Accent1 5 2 6 3" xfId="16704" xr:uid="{00000000-0005-0000-0000-0000000C0000}"/>
    <cellStyle name="20% - Accent1 5 2 6 3 2" xfId="28396" xr:uid="{00000000-0005-0000-0000-0000010C0000}"/>
    <cellStyle name="20% - Accent1 5 2 6 4" xfId="20750" xr:uid="{00000000-0005-0000-0000-0000020C0000}"/>
    <cellStyle name="20% - Accent1 5 2 7" xfId="12742" xr:uid="{00000000-0005-0000-0000-0000030C0000}"/>
    <cellStyle name="20% - Accent1 5 2 7 2" xfId="24599" xr:uid="{00000000-0005-0000-0000-0000040C0000}"/>
    <cellStyle name="20% - Accent1 5 2 8" xfId="16693" xr:uid="{00000000-0005-0000-0000-0000050C0000}"/>
    <cellStyle name="20% - Accent1 5 2 8 2" xfId="28385" xr:uid="{00000000-0005-0000-0000-0000060C0000}"/>
    <cellStyle name="20% - Accent1 5 2 9" xfId="20739" xr:uid="{00000000-0005-0000-0000-0000070C0000}"/>
    <cellStyle name="20% - Accent1 5 2_Volatility" xfId="1351" xr:uid="{00000000-0005-0000-0000-0000080C0000}"/>
    <cellStyle name="20% - Accent1 5 3" xfId="1352" xr:uid="{00000000-0005-0000-0000-0000090C0000}"/>
    <cellStyle name="20% - Accent1 5 3 2" xfId="1353" xr:uid="{00000000-0005-0000-0000-00000A0C0000}"/>
    <cellStyle name="20% - Accent1 5 3 2 2" xfId="1354" xr:uid="{00000000-0005-0000-0000-00000B0C0000}"/>
    <cellStyle name="20% - Accent1 5 3 2 2 2" xfId="12756" xr:uid="{00000000-0005-0000-0000-00000C0C0000}"/>
    <cellStyle name="20% - Accent1 5 3 2 2 2 2" xfId="24613" xr:uid="{00000000-0005-0000-0000-00000D0C0000}"/>
    <cellStyle name="20% - Accent1 5 3 2 2 3" xfId="16707" xr:uid="{00000000-0005-0000-0000-00000E0C0000}"/>
    <cellStyle name="20% - Accent1 5 3 2 2 3 2" xfId="28399" xr:uid="{00000000-0005-0000-0000-00000F0C0000}"/>
    <cellStyle name="20% - Accent1 5 3 2 2 4" xfId="20753" xr:uid="{00000000-0005-0000-0000-0000100C0000}"/>
    <cellStyle name="20% - Accent1 5 3 2 3" xfId="1355" xr:uid="{00000000-0005-0000-0000-0000110C0000}"/>
    <cellStyle name="20% - Accent1 5 3 2 3 2" xfId="12757" xr:uid="{00000000-0005-0000-0000-0000120C0000}"/>
    <cellStyle name="20% - Accent1 5 3 2 3 2 2" xfId="24614" xr:uid="{00000000-0005-0000-0000-0000130C0000}"/>
    <cellStyle name="20% - Accent1 5 3 2 3 3" xfId="16708" xr:uid="{00000000-0005-0000-0000-0000140C0000}"/>
    <cellStyle name="20% - Accent1 5 3 2 3 3 2" xfId="28400" xr:uid="{00000000-0005-0000-0000-0000150C0000}"/>
    <cellStyle name="20% - Accent1 5 3 2 3 4" xfId="20754" xr:uid="{00000000-0005-0000-0000-0000160C0000}"/>
    <cellStyle name="20% - Accent1 5 3 2 4" xfId="12755" xr:uid="{00000000-0005-0000-0000-0000170C0000}"/>
    <cellStyle name="20% - Accent1 5 3 2 4 2" xfId="24612" xr:uid="{00000000-0005-0000-0000-0000180C0000}"/>
    <cellStyle name="20% - Accent1 5 3 2 5" xfId="16706" xr:uid="{00000000-0005-0000-0000-0000190C0000}"/>
    <cellStyle name="20% - Accent1 5 3 2 5 2" xfId="28398" xr:uid="{00000000-0005-0000-0000-00001A0C0000}"/>
    <cellStyle name="20% - Accent1 5 3 2 6" xfId="20752" xr:uid="{00000000-0005-0000-0000-00001B0C0000}"/>
    <cellStyle name="20% - Accent1 5 3 3" xfId="1356" xr:uid="{00000000-0005-0000-0000-00001C0C0000}"/>
    <cellStyle name="20% - Accent1 5 3 3 2" xfId="1357" xr:uid="{00000000-0005-0000-0000-00001D0C0000}"/>
    <cellStyle name="20% - Accent1 5 3 3 2 2" xfId="12759" xr:uid="{00000000-0005-0000-0000-00001E0C0000}"/>
    <cellStyle name="20% - Accent1 5 3 3 2 2 2" xfId="24616" xr:uid="{00000000-0005-0000-0000-00001F0C0000}"/>
    <cellStyle name="20% - Accent1 5 3 3 2 3" xfId="16710" xr:uid="{00000000-0005-0000-0000-0000200C0000}"/>
    <cellStyle name="20% - Accent1 5 3 3 2 3 2" xfId="28402" xr:uid="{00000000-0005-0000-0000-0000210C0000}"/>
    <cellStyle name="20% - Accent1 5 3 3 2 4" xfId="20756" xr:uid="{00000000-0005-0000-0000-0000220C0000}"/>
    <cellStyle name="20% - Accent1 5 3 3 3" xfId="1358" xr:uid="{00000000-0005-0000-0000-0000230C0000}"/>
    <cellStyle name="20% - Accent1 5 3 3 3 2" xfId="12760" xr:uid="{00000000-0005-0000-0000-0000240C0000}"/>
    <cellStyle name="20% - Accent1 5 3 3 3 2 2" xfId="24617" xr:uid="{00000000-0005-0000-0000-0000250C0000}"/>
    <cellStyle name="20% - Accent1 5 3 3 3 3" xfId="16711" xr:uid="{00000000-0005-0000-0000-0000260C0000}"/>
    <cellStyle name="20% - Accent1 5 3 3 3 3 2" xfId="28403" xr:uid="{00000000-0005-0000-0000-0000270C0000}"/>
    <cellStyle name="20% - Accent1 5 3 3 3 4" xfId="20757" xr:uid="{00000000-0005-0000-0000-0000280C0000}"/>
    <cellStyle name="20% - Accent1 5 3 3 4" xfId="12758" xr:uid="{00000000-0005-0000-0000-0000290C0000}"/>
    <cellStyle name="20% - Accent1 5 3 3 4 2" xfId="24615" xr:uid="{00000000-0005-0000-0000-00002A0C0000}"/>
    <cellStyle name="20% - Accent1 5 3 3 5" xfId="16709" xr:uid="{00000000-0005-0000-0000-00002B0C0000}"/>
    <cellStyle name="20% - Accent1 5 3 3 5 2" xfId="28401" xr:uid="{00000000-0005-0000-0000-00002C0C0000}"/>
    <cellStyle name="20% - Accent1 5 3 3 6" xfId="20755" xr:uid="{00000000-0005-0000-0000-00002D0C0000}"/>
    <cellStyle name="20% - Accent1 5 3 4" xfId="1359" xr:uid="{00000000-0005-0000-0000-00002E0C0000}"/>
    <cellStyle name="20% - Accent1 5 3 4 2" xfId="12761" xr:uid="{00000000-0005-0000-0000-00002F0C0000}"/>
    <cellStyle name="20% - Accent1 5 3 4 2 2" xfId="24618" xr:uid="{00000000-0005-0000-0000-0000300C0000}"/>
    <cellStyle name="20% - Accent1 5 3 4 3" xfId="16712" xr:uid="{00000000-0005-0000-0000-0000310C0000}"/>
    <cellStyle name="20% - Accent1 5 3 4 3 2" xfId="28404" xr:uid="{00000000-0005-0000-0000-0000320C0000}"/>
    <cellStyle name="20% - Accent1 5 3 4 4" xfId="20758" xr:uid="{00000000-0005-0000-0000-0000330C0000}"/>
    <cellStyle name="20% - Accent1 5 3 5" xfId="1360" xr:uid="{00000000-0005-0000-0000-0000340C0000}"/>
    <cellStyle name="20% - Accent1 5 3 5 2" xfId="12762" xr:uid="{00000000-0005-0000-0000-0000350C0000}"/>
    <cellStyle name="20% - Accent1 5 3 5 2 2" xfId="24619" xr:uid="{00000000-0005-0000-0000-0000360C0000}"/>
    <cellStyle name="20% - Accent1 5 3 5 3" xfId="16713" xr:uid="{00000000-0005-0000-0000-0000370C0000}"/>
    <cellStyle name="20% - Accent1 5 3 5 3 2" xfId="28405" xr:uid="{00000000-0005-0000-0000-0000380C0000}"/>
    <cellStyle name="20% - Accent1 5 3 5 4" xfId="20759" xr:uid="{00000000-0005-0000-0000-0000390C0000}"/>
    <cellStyle name="20% - Accent1 5 3 6" xfId="12754" xr:uid="{00000000-0005-0000-0000-00003A0C0000}"/>
    <cellStyle name="20% - Accent1 5 3 6 2" xfId="24611" xr:uid="{00000000-0005-0000-0000-00003B0C0000}"/>
    <cellStyle name="20% - Accent1 5 3 7" xfId="16705" xr:uid="{00000000-0005-0000-0000-00003C0C0000}"/>
    <cellStyle name="20% - Accent1 5 3 7 2" xfId="28397" xr:uid="{00000000-0005-0000-0000-00003D0C0000}"/>
    <cellStyle name="20% - Accent1 5 3 8" xfId="20751" xr:uid="{00000000-0005-0000-0000-00003E0C0000}"/>
    <cellStyle name="20% - Accent1 5 3_Volatility" xfId="1361" xr:uid="{00000000-0005-0000-0000-00003F0C0000}"/>
    <cellStyle name="20% - Accent1 5 4" xfId="1362" xr:uid="{00000000-0005-0000-0000-0000400C0000}"/>
    <cellStyle name="20% - Accent1 5 4 2" xfId="1363" xr:uid="{00000000-0005-0000-0000-0000410C0000}"/>
    <cellStyle name="20% - Accent1 5 4 2 2" xfId="12764" xr:uid="{00000000-0005-0000-0000-0000420C0000}"/>
    <cellStyle name="20% - Accent1 5 4 2 2 2" xfId="24621" xr:uid="{00000000-0005-0000-0000-0000430C0000}"/>
    <cellStyle name="20% - Accent1 5 4 2 3" xfId="16715" xr:uid="{00000000-0005-0000-0000-0000440C0000}"/>
    <cellStyle name="20% - Accent1 5 4 2 3 2" xfId="28407" xr:uid="{00000000-0005-0000-0000-0000450C0000}"/>
    <cellStyle name="20% - Accent1 5 4 2 4" xfId="20761" xr:uid="{00000000-0005-0000-0000-0000460C0000}"/>
    <cellStyle name="20% - Accent1 5 4 3" xfId="1364" xr:uid="{00000000-0005-0000-0000-0000470C0000}"/>
    <cellStyle name="20% - Accent1 5 4 3 2" xfId="12765" xr:uid="{00000000-0005-0000-0000-0000480C0000}"/>
    <cellStyle name="20% - Accent1 5 4 3 2 2" xfId="24622" xr:uid="{00000000-0005-0000-0000-0000490C0000}"/>
    <cellStyle name="20% - Accent1 5 4 3 3" xfId="16716" xr:uid="{00000000-0005-0000-0000-00004A0C0000}"/>
    <cellStyle name="20% - Accent1 5 4 3 3 2" xfId="28408" xr:uid="{00000000-0005-0000-0000-00004B0C0000}"/>
    <cellStyle name="20% - Accent1 5 4 3 4" xfId="20762" xr:uid="{00000000-0005-0000-0000-00004C0C0000}"/>
    <cellStyle name="20% - Accent1 5 4 4" xfId="12763" xr:uid="{00000000-0005-0000-0000-00004D0C0000}"/>
    <cellStyle name="20% - Accent1 5 4 4 2" xfId="24620" xr:uid="{00000000-0005-0000-0000-00004E0C0000}"/>
    <cellStyle name="20% - Accent1 5 4 5" xfId="16714" xr:uid="{00000000-0005-0000-0000-00004F0C0000}"/>
    <cellStyle name="20% - Accent1 5 4 5 2" xfId="28406" xr:uid="{00000000-0005-0000-0000-0000500C0000}"/>
    <cellStyle name="20% - Accent1 5 4 6" xfId="20760" xr:uid="{00000000-0005-0000-0000-0000510C0000}"/>
    <cellStyle name="20% - Accent1 5 5" xfId="1365" xr:uid="{00000000-0005-0000-0000-0000520C0000}"/>
    <cellStyle name="20% - Accent1 5 5 2" xfId="1366" xr:uid="{00000000-0005-0000-0000-0000530C0000}"/>
    <cellStyle name="20% - Accent1 5 5 2 2" xfId="12767" xr:uid="{00000000-0005-0000-0000-0000540C0000}"/>
    <cellStyle name="20% - Accent1 5 5 2 2 2" xfId="24624" xr:uid="{00000000-0005-0000-0000-0000550C0000}"/>
    <cellStyle name="20% - Accent1 5 5 2 3" xfId="16718" xr:uid="{00000000-0005-0000-0000-0000560C0000}"/>
    <cellStyle name="20% - Accent1 5 5 2 3 2" xfId="28410" xr:uid="{00000000-0005-0000-0000-0000570C0000}"/>
    <cellStyle name="20% - Accent1 5 5 2 4" xfId="20764" xr:uid="{00000000-0005-0000-0000-0000580C0000}"/>
    <cellStyle name="20% - Accent1 5 5 3" xfId="1367" xr:uid="{00000000-0005-0000-0000-0000590C0000}"/>
    <cellStyle name="20% - Accent1 5 5 3 2" xfId="12768" xr:uid="{00000000-0005-0000-0000-00005A0C0000}"/>
    <cellStyle name="20% - Accent1 5 5 3 2 2" xfId="24625" xr:uid="{00000000-0005-0000-0000-00005B0C0000}"/>
    <cellStyle name="20% - Accent1 5 5 3 3" xfId="16719" xr:uid="{00000000-0005-0000-0000-00005C0C0000}"/>
    <cellStyle name="20% - Accent1 5 5 3 3 2" xfId="28411" xr:uid="{00000000-0005-0000-0000-00005D0C0000}"/>
    <cellStyle name="20% - Accent1 5 5 3 4" xfId="20765" xr:uid="{00000000-0005-0000-0000-00005E0C0000}"/>
    <cellStyle name="20% - Accent1 5 5 4" xfId="12766" xr:uid="{00000000-0005-0000-0000-00005F0C0000}"/>
    <cellStyle name="20% - Accent1 5 5 4 2" xfId="24623" xr:uid="{00000000-0005-0000-0000-0000600C0000}"/>
    <cellStyle name="20% - Accent1 5 5 5" xfId="16717" xr:uid="{00000000-0005-0000-0000-0000610C0000}"/>
    <cellStyle name="20% - Accent1 5 5 5 2" xfId="28409" xr:uid="{00000000-0005-0000-0000-0000620C0000}"/>
    <cellStyle name="20% - Accent1 5 5 6" xfId="20763" xr:uid="{00000000-0005-0000-0000-0000630C0000}"/>
    <cellStyle name="20% - Accent1 5 6" xfId="1368" xr:uid="{00000000-0005-0000-0000-0000640C0000}"/>
    <cellStyle name="20% - Accent1 5 6 2" xfId="1369" xr:uid="{00000000-0005-0000-0000-0000650C0000}"/>
    <cellStyle name="20% - Accent1 5 6 2 2" xfId="12770" xr:uid="{00000000-0005-0000-0000-0000660C0000}"/>
    <cellStyle name="20% - Accent1 5 6 2 2 2" xfId="24627" xr:uid="{00000000-0005-0000-0000-0000670C0000}"/>
    <cellStyle name="20% - Accent1 5 6 2 3" xfId="16721" xr:uid="{00000000-0005-0000-0000-0000680C0000}"/>
    <cellStyle name="20% - Accent1 5 6 2 3 2" xfId="28413" xr:uid="{00000000-0005-0000-0000-0000690C0000}"/>
    <cellStyle name="20% - Accent1 5 6 2 4" xfId="20767" xr:uid="{00000000-0005-0000-0000-00006A0C0000}"/>
    <cellStyle name="20% - Accent1 5 6 3" xfId="1370" xr:uid="{00000000-0005-0000-0000-00006B0C0000}"/>
    <cellStyle name="20% - Accent1 5 6 3 2" xfId="12771" xr:uid="{00000000-0005-0000-0000-00006C0C0000}"/>
    <cellStyle name="20% - Accent1 5 6 3 2 2" xfId="24628" xr:uid="{00000000-0005-0000-0000-00006D0C0000}"/>
    <cellStyle name="20% - Accent1 5 6 3 3" xfId="16722" xr:uid="{00000000-0005-0000-0000-00006E0C0000}"/>
    <cellStyle name="20% - Accent1 5 6 3 3 2" xfId="28414" xr:uid="{00000000-0005-0000-0000-00006F0C0000}"/>
    <cellStyle name="20% - Accent1 5 6 3 4" xfId="20768" xr:uid="{00000000-0005-0000-0000-0000700C0000}"/>
    <cellStyle name="20% - Accent1 5 6 4" xfId="12769" xr:uid="{00000000-0005-0000-0000-0000710C0000}"/>
    <cellStyle name="20% - Accent1 5 6 4 2" xfId="24626" xr:uid="{00000000-0005-0000-0000-0000720C0000}"/>
    <cellStyle name="20% - Accent1 5 6 5" xfId="16720" xr:uid="{00000000-0005-0000-0000-0000730C0000}"/>
    <cellStyle name="20% - Accent1 5 6 5 2" xfId="28412" xr:uid="{00000000-0005-0000-0000-0000740C0000}"/>
    <cellStyle name="20% - Accent1 5 6 6" xfId="20766" xr:uid="{00000000-0005-0000-0000-0000750C0000}"/>
    <cellStyle name="20% - Accent1 5 7" xfId="1371" xr:uid="{00000000-0005-0000-0000-0000760C0000}"/>
    <cellStyle name="20% - Accent1 5 7 2" xfId="12772" xr:uid="{00000000-0005-0000-0000-0000770C0000}"/>
    <cellStyle name="20% - Accent1 5 7 2 2" xfId="24629" xr:uid="{00000000-0005-0000-0000-0000780C0000}"/>
    <cellStyle name="20% - Accent1 5 7 3" xfId="16723" xr:uid="{00000000-0005-0000-0000-0000790C0000}"/>
    <cellStyle name="20% - Accent1 5 7 3 2" xfId="28415" xr:uid="{00000000-0005-0000-0000-00007A0C0000}"/>
    <cellStyle name="20% - Accent1 5 7 4" xfId="20769" xr:uid="{00000000-0005-0000-0000-00007B0C0000}"/>
    <cellStyle name="20% - Accent1 5 8" xfId="1372" xr:uid="{00000000-0005-0000-0000-00007C0C0000}"/>
    <cellStyle name="20% - Accent1 5 8 2" xfId="12773" xr:uid="{00000000-0005-0000-0000-00007D0C0000}"/>
    <cellStyle name="20% - Accent1 5 8 2 2" xfId="24630" xr:uid="{00000000-0005-0000-0000-00007E0C0000}"/>
    <cellStyle name="20% - Accent1 5 8 3" xfId="16724" xr:uid="{00000000-0005-0000-0000-00007F0C0000}"/>
    <cellStyle name="20% - Accent1 5 8 3 2" xfId="28416" xr:uid="{00000000-0005-0000-0000-0000800C0000}"/>
    <cellStyle name="20% - Accent1 5 8 4" xfId="20770" xr:uid="{00000000-0005-0000-0000-0000810C0000}"/>
    <cellStyle name="20% - Accent1 5 9" xfId="12741" xr:uid="{00000000-0005-0000-0000-0000820C0000}"/>
    <cellStyle name="20% - Accent1 5 9 2" xfId="24598" xr:uid="{00000000-0005-0000-0000-0000830C0000}"/>
    <cellStyle name="20% - Accent1 5_Volatility" xfId="1373" xr:uid="{00000000-0005-0000-0000-0000840C0000}"/>
    <cellStyle name="20% - Accent1 6" xfId="1374" xr:uid="{00000000-0005-0000-0000-0000850C0000}"/>
    <cellStyle name="20% - Accent1 6 10" xfId="16725" xr:uid="{00000000-0005-0000-0000-0000860C0000}"/>
    <cellStyle name="20% - Accent1 6 10 2" xfId="28417" xr:uid="{00000000-0005-0000-0000-0000870C0000}"/>
    <cellStyle name="20% - Accent1 6 11" xfId="20771" xr:uid="{00000000-0005-0000-0000-0000880C0000}"/>
    <cellStyle name="20% - Accent1 6 2" xfId="1375" xr:uid="{00000000-0005-0000-0000-0000890C0000}"/>
    <cellStyle name="20% - Accent1 6 2 2" xfId="1376" xr:uid="{00000000-0005-0000-0000-00008A0C0000}"/>
    <cellStyle name="20% - Accent1 6 2 2 2" xfId="1377" xr:uid="{00000000-0005-0000-0000-00008B0C0000}"/>
    <cellStyle name="20% - Accent1 6 2 2 2 2" xfId="12777" xr:uid="{00000000-0005-0000-0000-00008C0C0000}"/>
    <cellStyle name="20% - Accent1 6 2 2 2 2 2" xfId="24634" xr:uid="{00000000-0005-0000-0000-00008D0C0000}"/>
    <cellStyle name="20% - Accent1 6 2 2 2 3" xfId="16728" xr:uid="{00000000-0005-0000-0000-00008E0C0000}"/>
    <cellStyle name="20% - Accent1 6 2 2 2 3 2" xfId="28420" xr:uid="{00000000-0005-0000-0000-00008F0C0000}"/>
    <cellStyle name="20% - Accent1 6 2 2 2 4" xfId="20774" xr:uid="{00000000-0005-0000-0000-0000900C0000}"/>
    <cellStyle name="20% - Accent1 6 2 2 3" xfId="1378" xr:uid="{00000000-0005-0000-0000-0000910C0000}"/>
    <cellStyle name="20% - Accent1 6 2 2 3 2" xfId="12778" xr:uid="{00000000-0005-0000-0000-0000920C0000}"/>
    <cellStyle name="20% - Accent1 6 2 2 3 2 2" xfId="24635" xr:uid="{00000000-0005-0000-0000-0000930C0000}"/>
    <cellStyle name="20% - Accent1 6 2 2 3 3" xfId="16729" xr:uid="{00000000-0005-0000-0000-0000940C0000}"/>
    <cellStyle name="20% - Accent1 6 2 2 3 3 2" xfId="28421" xr:uid="{00000000-0005-0000-0000-0000950C0000}"/>
    <cellStyle name="20% - Accent1 6 2 2 3 4" xfId="20775" xr:uid="{00000000-0005-0000-0000-0000960C0000}"/>
    <cellStyle name="20% - Accent1 6 2 2 4" xfId="12776" xr:uid="{00000000-0005-0000-0000-0000970C0000}"/>
    <cellStyle name="20% - Accent1 6 2 2 4 2" xfId="24633" xr:uid="{00000000-0005-0000-0000-0000980C0000}"/>
    <cellStyle name="20% - Accent1 6 2 2 5" xfId="16727" xr:uid="{00000000-0005-0000-0000-0000990C0000}"/>
    <cellStyle name="20% - Accent1 6 2 2 5 2" xfId="28419" xr:uid="{00000000-0005-0000-0000-00009A0C0000}"/>
    <cellStyle name="20% - Accent1 6 2 2 6" xfId="20773" xr:uid="{00000000-0005-0000-0000-00009B0C0000}"/>
    <cellStyle name="20% - Accent1 6 2 3" xfId="1379" xr:uid="{00000000-0005-0000-0000-00009C0C0000}"/>
    <cellStyle name="20% - Accent1 6 2 3 2" xfId="1380" xr:uid="{00000000-0005-0000-0000-00009D0C0000}"/>
    <cellStyle name="20% - Accent1 6 2 3 2 2" xfId="12780" xr:uid="{00000000-0005-0000-0000-00009E0C0000}"/>
    <cellStyle name="20% - Accent1 6 2 3 2 2 2" xfId="24637" xr:uid="{00000000-0005-0000-0000-00009F0C0000}"/>
    <cellStyle name="20% - Accent1 6 2 3 2 3" xfId="16731" xr:uid="{00000000-0005-0000-0000-0000A00C0000}"/>
    <cellStyle name="20% - Accent1 6 2 3 2 3 2" xfId="28423" xr:uid="{00000000-0005-0000-0000-0000A10C0000}"/>
    <cellStyle name="20% - Accent1 6 2 3 2 4" xfId="20777" xr:uid="{00000000-0005-0000-0000-0000A20C0000}"/>
    <cellStyle name="20% - Accent1 6 2 3 3" xfId="1381" xr:uid="{00000000-0005-0000-0000-0000A30C0000}"/>
    <cellStyle name="20% - Accent1 6 2 3 3 2" xfId="12781" xr:uid="{00000000-0005-0000-0000-0000A40C0000}"/>
    <cellStyle name="20% - Accent1 6 2 3 3 2 2" xfId="24638" xr:uid="{00000000-0005-0000-0000-0000A50C0000}"/>
    <cellStyle name="20% - Accent1 6 2 3 3 3" xfId="16732" xr:uid="{00000000-0005-0000-0000-0000A60C0000}"/>
    <cellStyle name="20% - Accent1 6 2 3 3 3 2" xfId="28424" xr:uid="{00000000-0005-0000-0000-0000A70C0000}"/>
    <cellStyle name="20% - Accent1 6 2 3 3 4" xfId="20778" xr:uid="{00000000-0005-0000-0000-0000A80C0000}"/>
    <cellStyle name="20% - Accent1 6 2 3 4" xfId="12779" xr:uid="{00000000-0005-0000-0000-0000A90C0000}"/>
    <cellStyle name="20% - Accent1 6 2 3 4 2" xfId="24636" xr:uid="{00000000-0005-0000-0000-0000AA0C0000}"/>
    <cellStyle name="20% - Accent1 6 2 3 5" xfId="16730" xr:uid="{00000000-0005-0000-0000-0000AB0C0000}"/>
    <cellStyle name="20% - Accent1 6 2 3 5 2" xfId="28422" xr:uid="{00000000-0005-0000-0000-0000AC0C0000}"/>
    <cellStyle name="20% - Accent1 6 2 3 6" xfId="20776" xr:uid="{00000000-0005-0000-0000-0000AD0C0000}"/>
    <cellStyle name="20% - Accent1 6 2 4" xfId="1382" xr:uid="{00000000-0005-0000-0000-0000AE0C0000}"/>
    <cellStyle name="20% - Accent1 6 2 4 2" xfId="1383" xr:uid="{00000000-0005-0000-0000-0000AF0C0000}"/>
    <cellStyle name="20% - Accent1 6 2 4 2 2" xfId="12783" xr:uid="{00000000-0005-0000-0000-0000B00C0000}"/>
    <cellStyle name="20% - Accent1 6 2 4 2 2 2" xfId="24640" xr:uid="{00000000-0005-0000-0000-0000B10C0000}"/>
    <cellStyle name="20% - Accent1 6 2 4 2 3" xfId="16734" xr:uid="{00000000-0005-0000-0000-0000B20C0000}"/>
    <cellStyle name="20% - Accent1 6 2 4 2 3 2" xfId="28426" xr:uid="{00000000-0005-0000-0000-0000B30C0000}"/>
    <cellStyle name="20% - Accent1 6 2 4 2 4" xfId="20780" xr:uid="{00000000-0005-0000-0000-0000B40C0000}"/>
    <cellStyle name="20% - Accent1 6 2 4 3" xfId="1384" xr:uid="{00000000-0005-0000-0000-0000B50C0000}"/>
    <cellStyle name="20% - Accent1 6 2 4 3 2" xfId="12784" xr:uid="{00000000-0005-0000-0000-0000B60C0000}"/>
    <cellStyle name="20% - Accent1 6 2 4 3 2 2" xfId="24641" xr:uid="{00000000-0005-0000-0000-0000B70C0000}"/>
    <cellStyle name="20% - Accent1 6 2 4 3 3" xfId="16735" xr:uid="{00000000-0005-0000-0000-0000B80C0000}"/>
    <cellStyle name="20% - Accent1 6 2 4 3 3 2" xfId="28427" xr:uid="{00000000-0005-0000-0000-0000B90C0000}"/>
    <cellStyle name="20% - Accent1 6 2 4 3 4" xfId="20781" xr:uid="{00000000-0005-0000-0000-0000BA0C0000}"/>
    <cellStyle name="20% - Accent1 6 2 4 4" xfId="12782" xr:uid="{00000000-0005-0000-0000-0000BB0C0000}"/>
    <cellStyle name="20% - Accent1 6 2 4 4 2" xfId="24639" xr:uid="{00000000-0005-0000-0000-0000BC0C0000}"/>
    <cellStyle name="20% - Accent1 6 2 4 5" xfId="16733" xr:uid="{00000000-0005-0000-0000-0000BD0C0000}"/>
    <cellStyle name="20% - Accent1 6 2 4 5 2" xfId="28425" xr:uid="{00000000-0005-0000-0000-0000BE0C0000}"/>
    <cellStyle name="20% - Accent1 6 2 4 6" xfId="20779" xr:uid="{00000000-0005-0000-0000-0000BF0C0000}"/>
    <cellStyle name="20% - Accent1 6 2 5" xfId="1385" xr:uid="{00000000-0005-0000-0000-0000C00C0000}"/>
    <cellStyle name="20% - Accent1 6 2 5 2" xfId="12785" xr:uid="{00000000-0005-0000-0000-0000C10C0000}"/>
    <cellStyle name="20% - Accent1 6 2 5 2 2" xfId="24642" xr:uid="{00000000-0005-0000-0000-0000C20C0000}"/>
    <cellStyle name="20% - Accent1 6 2 5 3" xfId="16736" xr:uid="{00000000-0005-0000-0000-0000C30C0000}"/>
    <cellStyle name="20% - Accent1 6 2 5 3 2" xfId="28428" xr:uid="{00000000-0005-0000-0000-0000C40C0000}"/>
    <cellStyle name="20% - Accent1 6 2 5 4" xfId="20782" xr:uid="{00000000-0005-0000-0000-0000C50C0000}"/>
    <cellStyle name="20% - Accent1 6 2 6" xfId="1386" xr:uid="{00000000-0005-0000-0000-0000C60C0000}"/>
    <cellStyle name="20% - Accent1 6 2 6 2" xfId="12786" xr:uid="{00000000-0005-0000-0000-0000C70C0000}"/>
    <cellStyle name="20% - Accent1 6 2 6 2 2" xfId="24643" xr:uid="{00000000-0005-0000-0000-0000C80C0000}"/>
    <cellStyle name="20% - Accent1 6 2 6 3" xfId="16737" xr:uid="{00000000-0005-0000-0000-0000C90C0000}"/>
    <cellStyle name="20% - Accent1 6 2 6 3 2" xfId="28429" xr:uid="{00000000-0005-0000-0000-0000CA0C0000}"/>
    <cellStyle name="20% - Accent1 6 2 6 4" xfId="20783" xr:uid="{00000000-0005-0000-0000-0000CB0C0000}"/>
    <cellStyle name="20% - Accent1 6 2 7" xfId="12775" xr:uid="{00000000-0005-0000-0000-0000CC0C0000}"/>
    <cellStyle name="20% - Accent1 6 2 7 2" xfId="24632" xr:uid="{00000000-0005-0000-0000-0000CD0C0000}"/>
    <cellStyle name="20% - Accent1 6 2 8" xfId="16726" xr:uid="{00000000-0005-0000-0000-0000CE0C0000}"/>
    <cellStyle name="20% - Accent1 6 2 8 2" xfId="28418" xr:uid="{00000000-0005-0000-0000-0000CF0C0000}"/>
    <cellStyle name="20% - Accent1 6 2 9" xfId="20772" xr:uid="{00000000-0005-0000-0000-0000D00C0000}"/>
    <cellStyle name="20% - Accent1 6 2_Volatility" xfId="1387" xr:uid="{00000000-0005-0000-0000-0000D10C0000}"/>
    <cellStyle name="20% - Accent1 6 3" xfId="1388" xr:uid="{00000000-0005-0000-0000-0000D20C0000}"/>
    <cellStyle name="20% - Accent1 6 3 2" xfId="1389" xr:uid="{00000000-0005-0000-0000-0000D30C0000}"/>
    <cellStyle name="20% - Accent1 6 3 2 2" xfId="1390" xr:uid="{00000000-0005-0000-0000-0000D40C0000}"/>
    <cellStyle name="20% - Accent1 6 3 2 2 2" xfId="12789" xr:uid="{00000000-0005-0000-0000-0000D50C0000}"/>
    <cellStyle name="20% - Accent1 6 3 2 2 2 2" xfId="24646" xr:uid="{00000000-0005-0000-0000-0000D60C0000}"/>
    <cellStyle name="20% - Accent1 6 3 2 2 3" xfId="16740" xr:uid="{00000000-0005-0000-0000-0000D70C0000}"/>
    <cellStyle name="20% - Accent1 6 3 2 2 3 2" xfId="28432" xr:uid="{00000000-0005-0000-0000-0000D80C0000}"/>
    <cellStyle name="20% - Accent1 6 3 2 2 4" xfId="20786" xr:uid="{00000000-0005-0000-0000-0000D90C0000}"/>
    <cellStyle name="20% - Accent1 6 3 2 3" xfId="1391" xr:uid="{00000000-0005-0000-0000-0000DA0C0000}"/>
    <cellStyle name="20% - Accent1 6 3 2 3 2" xfId="12790" xr:uid="{00000000-0005-0000-0000-0000DB0C0000}"/>
    <cellStyle name="20% - Accent1 6 3 2 3 2 2" xfId="24647" xr:uid="{00000000-0005-0000-0000-0000DC0C0000}"/>
    <cellStyle name="20% - Accent1 6 3 2 3 3" xfId="16741" xr:uid="{00000000-0005-0000-0000-0000DD0C0000}"/>
    <cellStyle name="20% - Accent1 6 3 2 3 3 2" xfId="28433" xr:uid="{00000000-0005-0000-0000-0000DE0C0000}"/>
    <cellStyle name="20% - Accent1 6 3 2 3 4" xfId="20787" xr:uid="{00000000-0005-0000-0000-0000DF0C0000}"/>
    <cellStyle name="20% - Accent1 6 3 2 4" xfId="12788" xr:uid="{00000000-0005-0000-0000-0000E00C0000}"/>
    <cellStyle name="20% - Accent1 6 3 2 4 2" xfId="24645" xr:uid="{00000000-0005-0000-0000-0000E10C0000}"/>
    <cellStyle name="20% - Accent1 6 3 2 5" xfId="16739" xr:uid="{00000000-0005-0000-0000-0000E20C0000}"/>
    <cellStyle name="20% - Accent1 6 3 2 5 2" xfId="28431" xr:uid="{00000000-0005-0000-0000-0000E30C0000}"/>
    <cellStyle name="20% - Accent1 6 3 2 6" xfId="20785" xr:uid="{00000000-0005-0000-0000-0000E40C0000}"/>
    <cellStyle name="20% - Accent1 6 3 3" xfId="1392" xr:uid="{00000000-0005-0000-0000-0000E50C0000}"/>
    <cellStyle name="20% - Accent1 6 3 3 2" xfId="1393" xr:uid="{00000000-0005-0000-0000-0000E60C0000}"/>
    <cellStyle name="20% - Accent1 6 3 3 2 2" xfId="12792" xr:uid="{00000000-0005-0000-0000-0000E70C0000}"/>
    <cellStyle name="20% - Accent1 6 3 3 2 2 2" xfId="24649" xr:uid="{00000000-0005-0000-0000-0000E80C0000}"/>
    <cellStyle name="20% - Accent1 6 3 3 2 3" xfId="16743" xr:uid="{00000000-0005-0000-0000-0000E90C0000}"/>
    <cellStyle name="20% - Accent1 6 3 3 2 3 2" xfId="28435" xr:uid="{00000000-0005-0000-0000-0000EA0C0000}"/>
    <cellStyle name="20% - Accent1 6 3 3 2 4" xfId="20789" xr:uid="{00000000-0005-0000-0000-0000EB0C0000}"/>
    <cellStyle name="20% - Accent1 6 3 3 3" xfId="1394" xr:uid="{00000000-0005-0000-0000-0000EC0C0000}"/>
    <cellStyle name="20% - Accent1 6 3 3 3 2" xfId="12793" xr:uid="{00000000-0005-0000-0000-0000ED0C0000}"/>
    <cellStyle name="20% - Accent1 6 3 3 3 2 2" xfId="24650" xr:uid="{00000000-0005-0000-0000-0000EE0C0000}"/>
    <cellStyle name="20% - Accent1 6 3 3 3 3" xfId="16744" xr:uid="{00000000-0005-0000-0000-0000EF0C0000}"/>
    <cellStyle name="20% - Accent1 6 3 3 3 3 2" xfId="28436" xr:uid="{00000000-0005-0000-0000-0000F00C0000}"/>
    <cellStyle name="20% - Accent1 6 3 3 3 4" xfId="20790" xr:uid="{00000000-0005-0000-0000-0000F10C0000}"/>
    <cellStyle name="20% - Accent1 6 3 3 4" xfId="12791" xr:uid="{00000000-0005-0000-0000-0000F20C0000}"/>
    <cellStyle name="20% - Accent1 6 3 3 4 2" xfId="24648" xr:uid="{00000000-0005-0000-0000-0000F30C0000}"/>
    <cellStyle name="20% - Accent1 6 3 3 5" xfId="16742" xr:uid="{00000000-0005-0000-0000-0000F40C0000}"/>
    <cellStyle name="20% - Accent1 6 3 3 5 2" xfId="28434" xr:uid="{00000000-0005-0000-0000-0000F50C0000}"/>
    <cellStyle name="20% - Accent1 6 3 3 6" xfId="20788" xr:uid="{00000000-0005-0000-0000-0000F60C0000}"/>
    <cellStyle name="20% - Accent1 6 3 4" xfId="1395" xr:uid="{00000000-0005-0000-0000-0000F70C0000}"/>
    <cellStyle name="20% - Accent1 6 3 4 2" xfId="12794" xr:uid="{00000000-0005-0000-0000-0000F80C0000}"/>
    <cellStyle name="20% - Accent1 6 3 4 2 2" xfId="24651" xr:uid="{00000000-0005-0000-0000-0000F90C0000}"/>
    <cellStyle name="20% - Accent1 6 3 4 3" xfId="16745" xr:uid="{00000000-0005-0000-0000-0000FA0C0000}"/>
    <cellStyle name="20% - Accent1 6 3 4 3 2" xfId="28437" xr:uid="{00000000-0005-0000-0000-0000FB0C0000}"/>
    <cellStyle name="20% - Accent1 6 3 4 4" xfId="20791" xr:uid="{00000000-0005-0000-0000-0000FC0C0000}"/>
    <cellStyle name="20% - Accent1 6 3 5" xfId="1396" xr:uid="{00000000-0005-0000-0000-0000FD0C0000}"/>
    <cellStyle name="20% - Accent1 6 3 5 2" xfId="12795" xr:uid="{00000000-0005-0000-0000-0000FE0C0000}"/>
    <cellStyle name="20% - Accent1 6 3 5 2 2" xfId="24652" xr:uid="{00000000-0005-0000-0000-0000FF0C0000}"/>
    <cellStyle name="20% - Accent1 6 3 5 3" xfId="16746" xr:uid="{00000000-0005-0000-0000-0000000D0000}"/>
    <cellStyle name="20% - Accent1 6 3 5 3 2" xfId="28438" xr:uid="{00000000-0005-0000-0000-0000010D0000}"/>
    <cellStyle name="20% - Accent1 6 3 5 4" xfId="20792" xr:uid="{00000000-0005-0000-0000-0000020D0000}"/>
    <cellStyle name="20% - Accent1 6 3 6" xfId="12787" xr:uid="{00000000-0005-0000-0000-0000030D0000}"/>
    <cellStyle name="20% - Accent1 6 3 6 2" xfId="24644" xr:uid="{00000000-0005-0000-0000-0000040D0000}"/>
    <cellStyle name="20% - Accent1 6 3 7" xfId="16738" xr:uid="{00000000-0005-0000-0000-0000050D0000}"/>
    <cellStyle name="20% - Accent1 6 3 7 2" xfId="28430" xr:uid="{00000000-0005-0000-0000-0000060D0000}"/>
    <cellStyle name="20% - Accent1 6 3 8" xfId="20784" xr:uid="{00000000-0005-0000-0000-0000070D0000}"/>
    <cellStyle name="20% - Accent1 6 3_Volatility" xfId="1397" xr:uid="{00000000-0005-0000-0000-0000080D0000}"/>
    <cellStyle name="20% - Accent1 6 4" xfId="1398" xr:uid="{00000000-0005-0000-0000-0000090D0000}"/>
    <cellStyle name="20% - Accent1 6 4 2" xfId="1399" xr:uid="{00000000-0005-0000-0000-00000A0D0000}"/>
    <cellStyle name="20% - Accent1 6 4 2 2" xfId="12797" xr:uid="{00000000-0005-0000-0000-00000B0D0000}"/>
    <cellStyle name="20% - Accent1 6 4 2 2 2" xfId="24654" xr:uid="{00000000-0005-0000-0000-00000C0D0000}"/>
    <cellStyle name="20% - Accent1 6 4 2 3" xfId="16748" xr:uid="{00000000-0005-0000-0000-00000D0D0000}"/>
    <cellStyle name="20% - Accent1 6 4 2 3 2" xfId="28440" xr:uid="{00000000-0005-0000-0000-00000E0D0000}"/>
    <cellStyle name="20% - Accent1 6 4 2 4" xfId="20794" xr:uid="{00000000-0005-0000-0000-00000F0D0000}"/>
    <cellStyle name="20% - Accent1 6 4 3" xfId="1400" xr:uid="{00000000-0005-0000-0000-0000100D0000}"/>
    <cellStyle name="20% - Accent1 6 4 3 2" xfId="12798" xr:uid="{00000000-0005-0000-0000-0000110D0000}"/>
    <cellStyle name="20% - Accent1 6 4 3 2 2" xfId="24655" xr:uid="{00000000-0005-0000-0000-0000120D0000}"/>
    <cellStyle name="20% - Accent1 6 4 3 3" xfId="16749" xr:uid="{00000000-0005-0000-0000-0000130D0000}"/>
    <cellStyle name="20% - Accent1 6 4 3 3 2" xfId="28441" xr:uid="{00000000-0005-0000-0000-0000140D0000}"/>
    <cellStyle name="20% - Accent1 6 4 3 4" xfId="20795" xr:uid="{00000000-0005-0000-0000-0000150D0000}"/>
    <cellStyle name="20% - Accent1 6 4 4" xfId="12796" xr:uid="{00000000-0005-0000-0000-0000160D0000}"/>
    <cellStyle name="20% - Accent1 6 4 4 2" xfId="24653" xr:uid="{00000000-0005-0000-0000-0000170D0000}"/>
    <cellStyle name="20% - Accent1 6 4 5" xfId="16747" xr:uid="{00000000-0005-0000-0000-0000180D0000}"/>
    <cellStyle name="20% - Accent1 6 4 5 2" xfId="28439" xr:uid="{00000000-0005-0000-0000-0000190D0000}"/>
    <cellStyle name="20% - Accent1 6 4 6" xfId="20793" xr:uid="{00000000-0005-0000-0000-00001A0D0000}"/>
    <cellStyle name="20% - Accent1 6 5" xfId="1401" xr:uid="{00000000-0005-0000-0000-00001B0D0000}"/>
    <cellStyle name="20% - Accent1 6 5 2" xfId="1402" xr:uid="{00000000-0005-0000-0000-00001C0D0000}"/>
    <cellStyle name="20% - Accent1 6 5 2 2" xfId="12800" xr:uid="{00000000-0005-0000-0000-00001D0D0000}"/>
    <cellStyle name="20% - Accent1 6 5 2 2 2" xfId="24657" xr:uid="{00000000-0005-0000-0000-00001E0D0000}"/>
    <cellStyle name="20% - Accent1 6 5 2 3" xfId="16751" xr:uid="{00000000-0005-0000-0000-00001F0D0000}"/>
    <cellStyle name="20% - Accent1 6 5 2 3 2" xfId="28443" xr:uid="{00000000-0005-0000-0000-0000200D0000}"/>
    <cellStyle name="20% - Accent1 6 5 2 4" xfId="20797" xr:uid="{00000000-0005-0000-0000-0000210D0000}"/>
    <cellStyle name="20% - Accent1 6 5 3" xfId="1403" xr:uid="{00000000-0005-0000-0000-0000220D0000}"/>
    <cellStyle name="20% - Accent1 6 5 3 2" xfId="12801" xr:uid="{00000000-0005-0000-0000-0000230D0000}"/>
    <cellStyle name="20% - Accent1 6 5 3 2 2" xfId="24658" xr:uid="{00000000-0005-0000-0000-0000240D0000}"/>
    <cellStyle name="20% - Accent1 6 5 3 3" xfId="16752" xr:uid="{00000000-0005-0000-0000-0000250D0000}"/>
    <cellStyle name="20% - Accent1 6 5 3 3 2" xfId="28444" xr:uid="{00000000-0005-0000-0000-0000260D0000}"/>
    <cellStyle name="20% - Accent1 6 5 3 4" xfId="20798" xr:uid="{00000000-0005-0000-0000-0000270D0000}"/>
    <cellStyle name="20% - Accent1 6 5 4" xfId="12799" xr:uid="{00000000-0005-0000-0000-0000280D0000}"/>
    <cellStyle name="20% - Accent1 6 5 4 2" xfId="24656" xr:uid="{00000000-0005-0000-0000-0000290D0000}"/>
    <cellStyle name="20% - Accent1 6 5 5" xfId="16750" xr:uid="{00000000-0005-0000-0000-00002A0D0000}"/>
    <cellStyle name="20% - Accent1 6 5 5 2" xfId="28442" xr:uid="{00000000-0005-0000-0000-00002B0D0000}"/>
    <cellStyle name="20% - Accent1 6 5 6" xfId="20796" xr:uid="{00000000-0005-0000-0000-00002C0D0000}"/>
    <cellStyle name="20% - Accent1 6 6" xfId="1404" xr:uid="{00000000-0005-0000-0000-00002D0D0000}"/>
    <cellStyle name="20% - Accent1 6 6 2" xfId="1405" xr:uid="{00000000-0005-0000-0000-00002E0D0000}"/>
    <cellStyle name="20% - Accent1 6 6 2 2" xfId="12803" xr:uid="{00000000-0005-0000-0000-00002F0D0000}"/>
    <cellStyle name="20% - Accent1 6 6 2 2 2" xfId="24660" xr:uid="{00000000-0005-0000-0000-0000300D0000}"/>
    <cellStyle name="20% - Accent1 6 6 2 3" xfId="16754" xr:uid="{00000000-0005-0000-0000-0000310D0000}"/>
    <cellStyle name="20% - Accent1 6 6 2 3 2" xfId="28446" xr:uid="{00000000-0005-0000-0000-0000320D0000}"/>
    <cellStyle name="20% - Accent1 6 6 2 4" xfId="20800" xr:uid="{00000000-0005-0000-0000-0000330D0000}"/>
    <cellStyle name="20% - Accent1 6 6 3" xfId="1406" xr:uid="{00000000-0005-0000-0000-0000340D0000}"/>
    <cellStyle name="20% - Accent1 6 6 3 2" xfId="12804" xr:uid="{00000000-0005-0000-0000-0000350D0000}"/>
    <cellStyle name="20% - Accent1 6 6 3 2 2" xfId="24661" xr:uid="{00000000-0005-0000-0000-0000360D0000}"/>
    <cellStyle name="20% - Accent1 6 6 3 3" xfId="16755" xr:uid="{00000000-0005-0000-0000-0000370D0000}"/>
    <cellStyle name="20% - Accent1 6 6 3 3 2" xfId="28447" xr:uid="{00000000-0005-0000-0000-0000380D0000}"/>
    <cellStyle name="20% - Accent1 6 6 3 4" xfId="20801" xr:uid="{00000000-0005-0000-0000-0000390D0000}"/>
    <cellStyle name="20% - Accent1 6 6 4" xfId="12802" xr:uid="{00000000-0005-0000-0000-00003A0D0000}"/>
    <cellStyle name="20% - Accent1 6 6 4 2" xfId="24659" xr:uid="{00000000-0005-0000-0000-00003B0D0000}"/>
    <cellStyle name="20% - Accent1 6 6 5" xfId="16753" xr:uid="{00000000-0005-0000-0000-00003C0D0000}"/>
    <cellStyle name="20% - Accent1 6 6 5 2" xfId="28445" xr:uid="{00000000-0005-0000-0000-00003D0D0000}"/>
    <cellStyle name="20% - Accent1 6 6 6" xfId="20799" xr:uid="{00000000-0005-0000-0000-00003E0D0000}"/>
    <cellStyle name="20% - Accent1 6 7" xfId="1407" xr:uid="{00000000-0005-0000-0000-00003F0D0000}"/>
    <cellStyle name="20% - Accent1 6 7 2" xfId="12805" xr:uid="{00000000-0005-0000-0000-0000400D0000}"/>
    <cellStyle name="20% - Accent1 6 7 2 2" xfId="24662" xr:uid="{00000000-0005-0000-0000-0000410D0000}"/>
    <cellStyle name="20% - Accent1 6 7 3" xfId="16756" xr:uid="{00000000-0005-0000-0000-0000420D0000}"/>
    <cellStyle name="20% - Accent1 6 7 3 2" xfId="28448" xr:uid="{00000000-0005-0000-0000-0000430D0000}"/>
    <cellStyle name="20% - Accent1 6 7 4" xfId="20802" xr:uid="{00000000-0005-0000-0000-0000440D0000}"/>
    <cellStyle name="20% - Accent1 6 8" xfId="1408" xr:uid="{00000000-0005-0000-0000-0000450D0000}"/>
    <cellStyle name="20% - Accent1 6 8 2" xfId="12806" xr:uid="{00000000-0005-0000-0000-0000460D0000}"/>
    <cellStyle name="20% - Accent1 6 8 2 2" xfId="24663" xr:uid="{00000000-0005-0000-0000-0000470D0000}"/>
    <cellStyle name="20% - Accent1 6 8 3" xfId="16757" xr:uid="{00000000-0005-0000-0000-0000480D0000}"/>
    <cellStyle name="20% - Accent1 6 8 3 2" xfId="28449" xr:uid="{00000000-0005-0000-0000-0000490D0000}"/>
    <cellStyle name="20% - Accent1 6 8 4" xfId="20803" xr:uid="{00000000-0005-0000-0000-00004A0D0000}"/>
    <cellStyle name="20% - Accent1 6 9" xfId="12774" xr:uid="{00000000-0005-0000-0000-00004B0D0000}"/>
    <cellStyle name="20% - Accent1 6 9 2" xfId="24631" xr:uid="{00000000-0005-0000-0000-00004C0D0000}"/>
    <cellStyle name="20% - Accent1 6_Volatility" xfId="1409" xr:uid="{00000000-0005-0000-0000-00004D0D0000}"/>
    <cellStyle name="20% - Accent1 7" xfId="1410" xr:uid="{00000000-0005-0000-0000-00004E0D0000}"/>
    <cellStyle name="20% - Accent1 7 10" xfId="16758" xr:uid="{00000000-0005-0000-0000-00004F0D0000}"/>
    <cellStyle name="20% - Accent1 7 10 2" xfId="28450" xr:uid="{00000000-0005-0000-0000-0000500D0000}"/>
    <cellStyle name="20% - Accent1 7 11" xfId="20804" xr:uid="{00000000-0005-0000-0000-0000510D0000}"/>
    <cellStyle name="20% - Accent1 7 2" xfId="1411" xr:uid="{00000000-0005-0000-0000-0000520D0000}"/>
    <cellStyle name="20% - Accent1 7 2 2" xfId="1412" xr:uid="{00000000-0005-0000-0000-0000530D0000}"/>
    <cellStyle name="20% - Accent1 7 2 2 2" xfId="1413" xr:uid="{00000000-0005-0000-0000-0000540D0000}"/>
    <cellStyle name="20% - Accent1 7 2 2 2 2" xfId="12810" xr:uid="{00000000-0005-0000-0000-0000550D0000}"/>
    <cellStyle name="20% - Accent1 7 2 2 2 2 2" xfId="24667" xr:uid="{00000000-0005-0000-0000-0000560D0000}"/>
    <cellStyle name="20% - Accent1 7 2 2 2 3" xfId="16761" xr:uid="{00000000-0005-0000-0000-0000570D0000}"/>
    <cellStyle name="20% - Accent1 7 2 2 2 3 2" xfId="28453" xr:uid="{00000000-0005-0000-0000-0000580D0000}"/>
    <cellStyle name="20% - Accent1 7 2 2 2 4" xfId="20807" xr:uid="{00000000-0005-0000-0000-0000590D0000}"/>
    <cellStyle name="20% - Accent1 7 2 2 3" xfId="1414" xr:uid="{00000000-0005-0000-0000-00005A0D0000}"/>
    <cellStyle name="20% - Accent1 7 2 2 3 2" xfId="12811" xr:uid="{00000000-0005-0000-0000-00005B0D0000}"/>
    <cellStyle name="20% - Accent1 7 2 2 3 2 2" xfId="24668" xr:uid="{00000000-0005-0000-0000-00005C0D0000}"/>
    <cellStyle name="20% - Accent1 7 2 2 3 3" xfId="16762" xr:uid="{00000000-0005-0000-0000-00005D0D0000}"/>
    <cellStyle name="20% - Accent1 7 2 2 3 3 2" xfId="28454" xr:uid="{00000000-0005-0000-0000-00005E0D0000}"/>
    <cellStyle name="20% - Accent1 7 2 2 3 4" xfId="20808" xr:uid="{00000000-0005-0000-0000-00005F0D0000}"/>
    <cellStyle name="20% - Accent1 7 2 2 4" xfId="12809" xr:uid="{00000000-0005-0000-0000-0000600D0000}"/>
    <cellStyle name="20% - Accent1 7 2 2 4 2" xfId="24666" xr:uid="{00000000-0005-0000-0000-0000610D0000}"/>
    <cellStyle name="20% - Accent1 7 2 2 5" xfId="16760" xr:uid="{00000000-0005-0000-0000-0000620D0000}"/>
    <cellStyle name="20% - Accent1 7 2 2 5 2" xfId="28452" xr:uid="{00000000-0005-0000-0000-0000630D0000}"/>
    <cellStyle name="20% - Accent1 7 2 2 6" xfId="20806" xr:uid="{00000000-0005-0000-0000-0000640D0000}"/>
    <cellStyle name="20% - Accent1 7 2 3" xfId="1415" xr:uid="{00000000-0005-0000-0000-0000650D0000}"/>
    <cellStyle name="20% - Accent1 7 2 3 2" xfId="1416" xr:uid="{00000000-0005-0000-0000-0000660D0000}"/>
    <cellStyle name="20% - Accent1 7 2 3 2 2" xfId="12813" xr:uid="{00000000-0005-0000-0000-0000670D0000}"/>
    <cellStyle name="20% - Accent1 7 2 3 2 2 2" xfId="24670" xr:uid="{00000000-0005-0000-0000-0000680D0000}"/>
    <cellStyle name="20% - Accent1 7 2 3 2 3" xfId="16764" xr:uid="{00000000-0005-0000-0000-0000690D0000}"/>
    <cellStyle name="20% - Accent1 7 2 3 2 3 2" xfId="28456" xr:uid="{00000000-0005-0000-0000-00006A0D0000}"/>
    <cellStyle name="20% - Accent1 7 2 3 2 4" xfId="20810" xr:uid="{00000000-0005-0000-0000-00006B0D0000}"/>
    <cellStyle name="20% - Accent1 7 2 3 3" xfId="1417" xr:uid="{00000000-0005-0000-0000-00006C0D0000}"/>
    <cellStyle name="20% - Accent1 7 2 3 3 2" xfId="12814" xr:uid="{00000000-0005-0000-0000-00006D0D0000}"/>
    <cellStyle name="20% - Accent1 7 2 3 3 2 2" xfId="24671" xr:uid="{00000000-0005-0000-0000-00006E0D0000}"/>
    <cellStyle name="20% - Accent1 7 2 3 3 3" xfId="16765" xr:uid="{00000000-0005-0000-0000-00006F0D0000}"/>
    <cellStyle name="20% - Accent1 7 2 3 3 3 2" xfId="28457" xr:uid="{00000000-0005-0000-0000-0000700D0000}"/>
    <cellStyle name="20% - Accent1 7 2 3 3 4" xfId="20811" xr:uid="{00000000-0005-0000-0000-0000710D0000}"/>
    <cellStyle name="20% - Accent1 7 2 3 4" xfId="12812" xr:uid="{00000000-0005-0000-0000-0000720D0000}"/>
    <cellStyle name="20% - Accent1 7 2 3 4 2" xfId="24669" xr:uid="{00000000-0005-0000-0000-0000730D0000}"/>
    <cellStyle name="20% - Accent1 7 2 3 5" xfId="16763" xr:uid="{00000000-0005-0000-0000-0000740D0000}"/>
    <cellStyle name="20% - Accent1 7 2 3 5 2" xfId="28455" xr:uid="{00000000-0005-0000-0000-0000750D0000}"/>
    <cellStyle name="20% - Accent1 7 2 3 6" xfId="20809" xr:uid="{00000000-0005-0000-0000-0000760D0000}"/>
    <cellStyle name="20% - Accent1 7 2 4" xfId="1418" xr:uid="{00000000-0005-0000-0000-0000770D0000}"/>
    <cellStyle name="20% - Accent1 7 2 4 2" xfId="1419" xr:uid="{00000000-0005-0000-0000-0000780D0000}"/>
    <cellStyle name="20% - Accent1 7 2 4 2 2" xfId="12816" xr:uid="{00000000-0005-0000-0000-0000790D0000}"/>
    <cellStyle name="20% - Accent1 7 2 4 2 2 2" xfId="24673" xr:uid="{00000000-0005-0000-0000-00007A0D0000}"/>
    <cellStyle name="20% - Accent1 7 2 4 2 3" xfId="16767" xr:uid="{00000000-0005-0000-0000-00007B0D0000}"/>
    <cellStyle name="20% - Accent1 7 2 4 2 3 2" xfId="28459" xr:uid="{00000000-0005-0000-0000-00007C0D0000}"/>
    <cellStyle name="20% - Accent1 7 2 4 2 4" xfId="20813" xr:uid="{00000000-0005-0000-0000-00007D0D0000}"/>
    <cellStyle name="20% - Accent1 7 2 4 3" xfId="1420" xr:uid="{00000000-0005-0000-0000-00007E0D0000}"/>
    <cellStyle name="20% - Accent1 7 2 4 3 2" xfId="12817" xr:uid="{00000000-0005-0000-0000-00007F0D0000}"/>
    <cellStyle name="20% - Accent1 7 2 4 3 2 2" xfId="24674" xr:uid="{00000000-0005-0000-0000-0000800D0000}"/>
    <cellStyle name="20% - Accent1 7 2 4 3 3" xfId="16768" xr:uid="{00000000-0005-0000-0000-0000810D0000}"/>
    <cellStyle name="20% - Accent1 7 2 4 3 3 2" xfId="28460" xr:uid="{00000000-0005-0000-0000-0000820D0000}"/>
    <cellStyle name="20% - Accent1 7 2 4 3 4" xfId="20814" xr:uid="{00000000-0005-0000-0000-0000830D0000}"/>
    <cellStyle name="20% - Accent1 7 2 4 4" xfId="12815" xr:uid="{00000000-0005-0000-0000-0000840D0000}"/>
    <cellStyle name="20% - Accent1 7 2 4 4 2" xfId="24672" xr:uid="{00000000-0005-0000-0000-0000850D0000}"/>
    <cellStyle name="20% - Accent1 7 2 4 5" xfId="16766" xr:uid="{00000000-0005-0000-0000-0000860D0000}"/>
    <cellStyle name="20% - Accent1 7 2 4 5 2" xfId="28458" xr:uid="{00000000-0005-0000-0000-0000870D0000}"/>
    <cellStyle name="20% - Accent1 7 2 4 6" xfId="20812" xr:uid="{00000000-0005-0000-0000-0000880D0000}"/>
    <cellStyle name="20% - Accent1 7 2 5" xfId="1421" xr:uid="{00000000-0005-0000-0000-0000890D0000}"/>
    <cellStyle name="20% - Accent1 7 2 5 2" xfId="12818" xr:uid="{00000000-0005-0000-0000-00008A0D0000}"/>
    <cellStyle name="20% - Accent1 7 2 5 2 2" xfId="24675" xr:uid="{00000000-0005-0000-0000-00008B0D0000}"/>
    <cellStyle name="20% - Accent1 7 2 5 3" xfId="16769" xr:uid="{00000000-0005-0000-0000-00008C0D0000}"/>
    <cellStyle name="20% - Accent1 7 2 5 3 2" xfId="28461" xr:uid="{00000000-0005-0000-0000-00008D0D0000}"/>
    <cellStyle name="20% - Accent1 7 2 5 4" xfId="20815" xr:uid="{00000000-0005-0000-0000-00008E0D0000}"/>
    <cellStyle name="20% - Accent1 7 2 6" xfId="1422" xr:uid="{00000000-0005-0000-0000-00008F0D0000}"/>
    <cellStyle name="20% - Accent1 7 2 6 2" xfId="12819" xr:uid="{00000000-0005-0000-0000-0000900D0000}"/>
    <cellStyle name="20% - Accent1 7 2 6 2 2" xfId="24676" xr:uid="{00000000-0005-0000-0000-0000910D0000}"/>
    <cellStyle name="20% - Accent1 7 2 6 3" xfId="16770" xr:uid="{00000000-0005-0000-0000-0000920D0000}"/>
    <cellStyle name="20% - Accent1 7 2 6 3 2" xfId="28462" xr:uid="{00000000-0005-0000-0000-0000930D0000}"/>
    <cellStyle name="20% - Accent1 7 2 6 4" xfId="20816" xr:uid="{00000000-0005-0000-0000-0000940D0000}"/>
    <cellStyle name="20% - Accent1 7 2 7" xfId="12808" xr:uid="{00000000-0005-0000-0000-0000950D0000}"/>
    <cellStyle name="20% - Accent1 7 2 7 2" xfId="24665" xr:uid="{00000000-0005-0000-0000-0000960D0000}"/>
    <cellStyle name="20% - Accent1 7 2 8" xfId="16759" xr:uid="{00000000-0005-0000-0000-0000970D0000}"/>
    <cellStyle name="20% - Accent1 7 2 8 2" xfId="28451" xr:uid="{00000000-0005-0000-0000-0000980D0000}"/>
    <cellStyle name="20% - Accent1 7 2 9" xfId="20805" xr:uid="{00000000-0005-0000-0000-0000990D0000}"/>
    <cellStyle name="20% - Accent1 7 2_Volatility" xfId="1423" xr:uid="{00000000-0005-0000-0000-00009A0D0000}"/>
    <cellStyle name="20% - Accent1 7 3" xfId="1424" xr:uid="{00000000-0005-0000-0000-00009B0D0000}"/>
    <cellStyle name="20% - Accent1 7 3 2" xfId="1425" xr:uid="{00000000-0005-0000-0000-00009C0D0000}"/>
    <cellStyle name="20% - Accent1 7 3 2 2" xfId="1426" xr:uid="{00000000-0005-0000-0000-00009D0D0000}"/>
    <cellStyle name="20% - Accent1 7 3 2 2 2" xfId="12822" xr:uid="{00000000-0005-0000-0000-00009E0D0000}"/>
    <cellStyle name="20% - Accent1 7 3 2 2 2 2" xfId="24679" xr:uid="{00000000-0005-0000-0000-00009F0D0000}"/>
    <cellStyle name="20% - Accent1 7 3 2 2 3" xfId="16773" xr:uid="{00000000-0005-0000-0000-0000A00D0000}"/>
    <cellStyle name="20% - Accent1 7 3 2 2 3 2" xfId="28465" xr:uid="{00000000-0005-0000-0000-0000A10D0000}"/>
    <cellStyle name="20% - Accent1 7 3 2 2 4" xfId="20819" xr:uid="{00000000-0005-0000-0000-0000A20D0000}"/>
    <cellStyle name="20% - Accent1 7 3 2 3" xfId="1427" xr:uid="{00000000-0005-0000-0000-0000A30D0000}"/>
    <cellStyle name="20% - Accent1 7 3 2 3 2" xfId="12823" xr:uid="{00000000-0005-0000-0000-0000A40D0000}"/>
    <cellStyle name="20% - Accent1 7 3 2 3 2 2" xfId="24680" xr:uid="{00000000-0005-0000-0000-0000A50D0000}"/>
    <cellStyle name="20% - Accent1 7 3 2 3 3" xfId="16774" xr:uid="{00000000-0005-0000-0000-0000A60D0000}"/>
    <cellStyle name="20% - Accent1 7 3 2 3 3 2" xfId="28466" xr:uid="{00000000-0005-0000-0000-0000A70D0000}"/>
    <cellStyle name="20% - Accent1 7 3 2 3 4" xfId="20820" xr:uid="{00000000-0005-0000-0000-0000A80D0000}"/>
    <cellStyle name="20% - Accent1 7 3 2 4" xfId="12821" xr:uid="{00000000-0005-0000-0000-0000A90D0000}"/>
    <cellStyle name="20% - Accent1 7 3 2 4 2" xfId="24678" xr:uid="{00000000-0005-0000-0000-0000AA0D0000}"/>
    <cellStyle name="20% - Accent1 7 3 2 5" xfId="16772" xr:uid="{00000000-0005-0000-0000-0000AB0D0000}"/>
    <cellStyle name="20% - Accent1 7 3 2 5 2" xfId="28464" xr:uid="{00000000-0005-0000-0000-0000AC0D0000}"/>
    <cellStyle name="20% - Accent1 7 3 2 6" xfId="20818" xr:uid="{00000000-0005-0000-0000-0000AD0D0000}"/>
    <cellStyle name="20% - Accent1 7 3 3" xfId="1428" xr:uid="{00000000-0005-0000-0000-0000AE0D0000}"/>
    <cellStyle name="20% - Accent1 7 3 3 2" xfId="1429" xr:uid="{00000000-0005-0000-0000-0000AF0D0000}"/>
    <cellStyle name="20% - Accent1 7 3 3 2 2" xfId="12825" xr:uid="{00000000-0005-0000-0000-0000B00D0000}"/>
    <cellStyle name="20% - Accent1 7 3 3 2 2 2" xfId="24682" xr:uid="{00000000-0005-0000-0000-0000B10D0000}"/>
    <cellStyle name="20% - Accent1 7 3 3 2 3" xfId="16776" xr:uid="{00000000-0005-0000-0000-0000B20D0000}"/>
    <cellStyle name="20% - Accent1 7 3 3 2 3 2" xfId="28468" xr:uid="{00000000-0005-0000-0000-0000B30D0000}"/>
    <cellStyle name="20% - Accent1 7 3 3 2 4" xfId="20822" xr:uid="{00000000-0005-0000-0000-0000B40D0000}"/>
    <cellStyle name="20% - Accent1 7 3 3 3" xfId="1430" xr:uid="{00000000-0005-0000-0000-0000B50D0000}"/>
    <cellStyle name="20% - Accent1 7 3 3 3 2" xfId="12826" xr:uid="{00000000-0005-0000-0000-0000B60D0000}"/>
    <cellStyle name="20% - Accent1 7 3 3 3 2 2" xfId="24683" xr:uid="{00000000-0005-0000-0000-0000B70D0000}"/>
    <cellStyle name="20% - Accent1 7 3 3 3 3" xfId="16777" xr:uid="{00000000-0005-0000-0000-0000B80D0000}"/>
    <cellStyle name="20% - Accent1 7 3 3 3 3 2" xfId="28469" xr:uid="{00000000-0005-0000-0000-0000B90D0000}"/>
    <cellStyle name="20% - Accent1 7 3 3 3 4" xfId="20823" xr:uid="{00000000-0005-0000-0000-0000BA0D0000}"/>
    <cellStyle name="20% - Accent1 7 3 3 4" xfId="12824" xr:uid="{00000000-0005-0000-0000-0000BB0D0000}"/>
    <cellStyle name="20% - Accent1 7 3 3 4 2" xfId="24681" xr:uid="{00000000-0005-0000-0000-0000BC0D0000}"/>
    <cellStyle name="20% - Accent1 7 3 3 5" xfId="16775" xr:uid="{00000000-0005-0000-0000-0000BD0D0000}"/>
    <cellStyle name="20% - Accent1 7 3 3 5 2" xfId="28467" xr:uid="{00000000-0005-0000-0000-0000BE0D0000}"/>
    <cellStyle name="20% - Accent1 7 3 3 6" xfId="20821" xr:uid="{00000000-0005-0000-0000-0000BF0D0000}"/>
    <cellStyle name="20% - Accent1 7 3 4" xfId="1431" xr:uid="{00000000-0005-0000-0000-0000C00D0000}"/>
    <cellStyle name="20% - Accent1 7 3 4 2" xfId="12827" xr:uid="{00000000-0005-0000-0000-0000C10D0000}"/>
    <cellStyle name="20% - Accent1 7 3 4 2 2" xfId="24684" xr:uid="{00000000-0005-0000-0000-0000C20D0000}"/>
    <cellStyle name="20% - Accent1 7 3 4 3" xfId="16778" xr:uid="{00000000-0005-0000-0000-0000C30D0000}"/>
    <cellStyle name="20% - Accent1 7 3 4 3 2" xfId="28470" xr:uid="{00000000-0005-0000-0000-0000C40D0000}"/>
    <cellStyle name="20% - Accent1 7 3 4 4" xfId="20824" xr:uid="{00000000-0005-0000-0000-0000C50D0000}"/>
    <cellStyle name="20% - Accent1 7 3 5" xfId="1432" xr:uid="{00000000-0005-0000-0000-0000C60D0000}"/>
    <cellStyle name="20% - Accent1 7 3 5 2" xfId="12828" xr:uid="{00000000-0005-0000-0000-0000C70D0000}"/>
    <cellStyle name="20% - Accent1 7 3 5 2 2" xfId="24685" xr:uid="{00000000-0005-0000-0000-0000C80D0000}"/>
    <cellStyle name="20% - Accent1 7 3 5 3" xfId="16779" xr:uid="{00000000-0005-0000-0000-0000C90D0000}"/>
    <cellStyle name="20% - Accent1 7 3 5 3 2" xfId="28471" xr:uid="{00000000-0005-0000-0000-0000CA0D0000}"/>
    <cellStyle name="20% - Accent1 7 3 5 4" xfId="20825" xr:uid="{00000000-0005-0000-0000-0000CB0D0000}"/>
    <cellStyle name="20% - Accent1 7 3 6" xfId="12820" xr:uid="{00000000-0005-0000-0000-0000CC0D0000}"/>
    <cellStyle name="20% - Accent1 7 3 6 2" xfId="24677" xr:uid="{00000000-0005-0000-0000-0000CD0D0000}"/>
    <cellStyle name="20% - Accent1 7 3 7" xfId="16771" xr:uid="{00000000-0005-0000-0000-0000CE0D0000}"/>
    <cellStyle name="20% - Accent1 7 3 7 2" xfId="28463" xr:uid="{00000000-0005-0000-0000-0000CF0D0000}"/>
    <cellStyle name="20% - Accent1 7 3 8" xfId="20817" xr:uid="{00000000-0005-0000-0000-0000D00D0000}"/>
    <cellStyle name="20% - Accent1 7 3_Volatility" xfId="1433" xr:uid="{00000000-0005-0000-0000-0000D10D0000}"/>
    <cellStyle name="20% - Accent1 7 4" xfId="1434" xr:uid="{00000000-0005-0000-0000-0000D20D0000}"/>
    <cellStyle name="20% - Accent1 7 4 2" xfId="1435" xr:uid="{00000000-0005-0000-0000-0000D30D0000}"/>
    <cellStyle name="20% - Accent1 7 4 2 2" xfId="12830" xr:uid="{00000000-0005-0000-0000-0000D40D0000}"/>
    <cellStyle name="20% - Accent1 7 4 2 2 2" xfId="24687" xr:uid="{00000000-0005-0000-0000-0000D50D0000}"/>
    <cellStyle name="20% - Accent1 7 4 2 3" xfId="16781" xr:uid="{00000000-0005-0000-0000-0000D60D0000}"/>
    <cellStyle name="20% - Accent1 7 4 2 3 2" xfId="28473" xr:uid="{00000000-0005-0000-0000-0000D70D0000}"/>
    <cellStyle name="20% - Accent1 7 4 2 4" xfId="20827" xr:uid="{00000000-0005-0000-0000-0000D80D0000}"/>
    <cellStyle name="20% - Accent1 7 4 3" xfId="1436" xr:uid="{00000000-0005-0000-0000-0000D90D0000}"/>
    <cellStyle name="20% - Accent1 7 4 3 2" xfId="12831" xr:uid="{00000000-0005-0000-0000-0000DA0D0000}"/>
    <cellStyle name="20% - Accent1 7 4 3 2 2" xfId="24688" xr:uid="{00000000-0005-0000-0000-0000DB0D0000}"/>
    <cellStyle name="20% - Accent1 7 4 3 3" xfId="16782" xr:uid="{00000000-0005-0000-0000-0000DC0D0000}"/>
    <cellStyle name="20% - Accent1 7 4 3 3 2" xfId="28474" xr:uid="{00000000-0005-0000-0000-0000DD0D0000}"/>
    <cellStyle name="20% - Accent1 7 4 3 4" xfId="20828" xr:uid="{00000000-0005-0000-0000-0000DE0D0000}"/>
    <cellStyle name="20% - Accent1 7 4 4" xfId="12829" xr:uid="{00000000-0005-0000-0000-0000DF0D0000}"/>
    <cellStyle name="20% - Accent1 7 4 4 2" xfId="24686" xr:uid="{00000000-0005-0000-0000-0000E00D0000}"/>
    <cellStyle name="20% - Accent1 7 4 5" xfId="16780" xr:uid="{00000000-0005-0000-0000-0000E10D0000}"/>
    <cellStyle name="20% - Accent1 7 4 5 2" xfId="28472" xr:uid="{00000000-0005-0000-0000-0000E20D0000}"/>
    <cellStyle name="20% - Accent1 7 4 6" xfId="20826" xr:uid="{00000000-0005-0000-0000-0000E30D0000}"/>
    <cellStyle name="20% - Accent1 7 5" xfId="1437" xr:uid="{00000000-0005-0000-0000-0000E40D0000}"/>
    <cellStyle name="20% - Accent1 7 5 2" xfId="1438" xr:uid="{00000000-0005-0000-0000-0000E50D0000}"/>
    <cellStyle name="20% - Accent1 7 5 2 2" xfId="12833" xr:uid="{00000000-0005-0000-0000-0000E60D0000}"/>
    <cellStyle name="20% - Accent1 7 5 2 2 2" xfId="24690" xr:uid="{00000000-0005-0000-0000-0000E70D0000}"/>
    <cellStyle name="20% - Accent1 7 5 2 3" xfId="16784" xr:uid="{00000000-0005-0000-0000-0000E80D0000}"/>
    <cellStyle name="20% - Accent1 7 5 2 3 2" xfId="28476" xr:uid="{00000000-0005-0000-0000-0000E90D0000}"/>
    <cellStyle name="20% - Accent1 7 5 2 4" xfId="20830" xr:uid="{00000000-0005-0000-0000-0000EA0D0000}"/>
    <cellStyle name="20% - Accent1 7 5 3" xfId="1439" xr:uid="{00000000-0005-0000-0000-0000EB0D0000}"/>
    <cellStyle name="20% - Accent1 7 5 3 2" xfId="12834" xr:uid="{00000000-0005-0000-0000-0000EC0D0000}"/>
    <cellStyle name="20% - Accent1 7 5 3 2 2" xfId="24691" xr:uid="{00000000-0005-0000-0000-0000ED0D0000}"/>
    <cellStyle name="20% - Accent1 7 5 3 3" xfId="16785" xr:uid="{00000000-0005-0000-0000-0000EE0D0000}"/>
    <cellStyle name="20% - Accent1 7 5 3 3 2" xfId="28477" xr:uid="{00000000-0005-0000-0000-0000EF0D0000}"/>
    <cellStyle name="20% - Accent1 7 5 3 4" xfId="20831" xr:uid="{00000000-0005-0000-0000-0000F00D0000}"/>
    <cellStyle name="20% - Accent1 7 5 4" xfId="12832" xr:uid="{00000000-0005-0000-0000-0000F10D0000}"/>
    <cellStyle name="20% - Accent1 7 5 4 2" xfId="24689" xr:uid="{00000000-0005-0000-0000-0000F20D0000}"/>
    <cellStyle name="20% - Accent1 7 5 5" xfId="16783" xr:uid="{00000000-0005-0000-0000-0000F30D0000}"/>
    <cellStyle name="20% - Accent1 7 5 5 2" xfId="28475" xr:uid="{00000000-0005-0000-0000-0000F40D0000}"/>
    <cellStyle name="20% - Accent1 7 5 6" xfId="20829" xr:uid="{00000000-0005-0000-0000-0000F50D0000}"/>
    <cellStyle name="20% - Accent1 7 6" xfId="1440" xr:uid="{00000000-0005-0000-0000-0000F60D0000}"/>
    <cellStyle name="20% - Accent1 7 6 2" xfId="1441" xr:uid="{00000000-0005-0000-0000-0000F70D0000}"/>
    <cellStyle name="20% - Accent1 7 6 2 2" xfId="12836" xr:uid="{00000000-0005-0000-0000-0000F80D0000}"/>
    <cellStyle name="20% - Accent1 7 6 2 2 2" xfId="24693" xr:uid="{00000000-0005-0000-0000-0000F90D0000}"/>
    <cellStyle name="20% - Accent1 7 6 2 3" xfId="16787" xr:uid="{00000000-0005-0000-0000-0000FA0D0000}"/>
    <cellStyle name="20% - Accent1 7 6 2 3 2" xfId="28479" xr:uid="{00000000-0005-0000-0000-0000FB0D0000}"/>
    <cellStyle name="20% - Accent1 7 6 2 4" xfId="20833" xr:uid="{00000000-0005-0000-0000-0000FC0D0000}"/>
    <cellStyle name="20% - Accent1 7 6 3" xfId="1442" xr:uid="{00000000-0005-0000-0000-0000FD0D0000}"/>
    <cellStyle name="20% - Accent1 7 6 3 2" xfId="12837" xr:uid="{00000000-0005-0000-0000-0000FE0D0000}"/>
    <cellStyle name="20% - Accent1 7 6 3 2 2" xfId="24694" xr:uid="{00000000-0005-0000-0000-0000FF0D0000}"/>
    <cellStyle name="20% - Accent1 7 6 3 3" xfId="16788" xr:uid="{00000000-0005-0000-0000-0000000E0000}"/>
    <cellStyle name="20% - Accent1 7 6 3 3 2" xfId="28480" xr:uid="{00000000-0005-0000-0000-0000010E0000}"/>
    <cellStyle name="20% - Accent1 7 6 3 4" xfId="20834" xr:uid="{00000000-0005-0000-0000-0000020E0000}"/>
    <cellStyle name="20% - Accent1 7 6 4" xfId="12835" xr:uid="{00000000-0005-0000-0000-0000030E0000}"/>
    <cellStyle name="20% - Accent1 7 6 4 2" xfId="24692" xr:uid="{00000000-0005-0000-0000-0000040E0000}"/>
    <cellStyle name="20% - Accent1 7 6 5" xfId="16786" xr:uid="{00000000-0005-0000-0000-0000050E0000}"/>
    <cellStyle name="20% - Accent1 7 6 5 2" xfId="28478" xr:uid="{00000000-0005-0000-0000-0000060E0000}"/>
    <cellStyle name="20% - Accent1 7 6 6" xfId="20832" xr:uid="{00000000-0005-0000-0000-0000070E0000}"/>
    <cellStyle name="20% - Accent1 7 7" xfId="1443" xr:uid="{00000000-0005-0000-0000-0000080E0000}"/>
    <cellStyle name="20% - Accent1 7 7 2" xfId="12838" xr:uid="{00000000-0005-0000-0000-0000090E0000}"/>
    <cellStyle name="20% - Accent1 7 7 2 2" xfId="24695" xr:uid="{00000000-0005-0000-0000-00000A0E0000}"/>
    <cellStyle name="20% - Accent1 7 7 3" xfId="16789" xr:uid="{00000000-0005-0000-0000-00000B0E0000}"/>
    <cellStyle name="20% - Accent1 7 7 3 2" xfId="28481" xr:uid="{00000000-0005-0000-0000-00000C0E0000}"/>
    <cellStyle name="20% - Accent1 7 7 4" xfId="20835" xr:uid="{00000000-0005-0000-0000-00000D0E0000}"/>
    <cellStyle name="20% - Accent1 7 8" xfId="1444" xr:uid="{00000000-0005-0000-0000-00000E0E0000}"/>
    <cellStyle name="20% - Accent1 7 8 2" xfId="12839" xr:uid="{00000000-0005-0000-0000-00000F0E0000}"/>
    <cellStyle name="20% - Accent1 7 8 2 2" xfId="24696" xr:uid="{00000000-0005-0000-0000-0000100E0000}"/>
    <cellStyle name="20% - Accent1 7 8 3" xfId="16790" xr:uid="{00000000-0005-0000-0000-0000110E0000}"/>
    <cellStyle name="20% - Accent1 7 8 3 2" xfId="28482" xr:uid="{00000000-0005-0000-0000-0000120E0000}"/>
    <cellStyle name="20% - Accent1 7 8 4" xfId="20836" xr:uid="{00000000-0005-0000-0000-0000130E0000}"/>
    <cellStyle name="20% - Accent1 7 9" xfId="12807" xr:uid="{00000000-0005-0000-0000-0000140E0000}"/>
    <cellStyle name="20% - Accent1 7 9 2" xfId="24664" xr:uid="{00000000-0005-0000-0000-0000150E0000}"/>
    <cellStyle name="20% - Accent1 7_Volatility" xfId="1445" xr:uid="{00000000-0005-0000-0000-0000160E0000}"/>
    <cellStyle name="20% - Accent1 8" xfId="1446" xr:uid="{00000000-0005-0000-0000-0000170E0000}"/>
    <cellStyle name="20% - Accent1 8 10" xfId="16791" xr:uid="{00000000-0005-0000-0000-0000180E0000}"/>
    <cellStyle name="20% - Accent1 8 10 2" xfId="28483" xr:uid="{00000000-0005-0000-0000-0000190E0000}"/>
    <cellStyle name="20% - Accent1 8 11" xfId="20837" xr:uid="{00000000-0005-0000-0000-00001A0E0000}"/>
    <cellStyle name="20% - Accent1 8 2" xfId="1447" xr:uid="{00000000-0005-0000-0000-00001B0E0000}"/>
    <cellStyle name="20% - Accent1 8 2 2" xfId="1448" xr:uid="{00000000-0005-0000-0000-00001C0E0000}"/>
    <cellStyle name="20% - Accent1 8 2 2 2" xfId="1449" xr:uid="{00000000-0005-0000-0000-00001D0E0000}"/>
    <cellStyle name="20% - Accent1 8 2 2 2 2" xfId="12843" xr:uid="{00000000-0005-0000-0000-00001E0E0000}"/>
    <cellStyle name="20% - Accent1 8 2 2 2 2 2" xfId="24700" xr:uid="{00000000-0005-0000-0000-00001F0E0000}"/>
    <cellStyle name="20% - Accent1 8 2 2 2 3" xfId="16794" xr:uid="{00000000-0005-0000-0000-0000200E0000}"/>
    <cellStyle name="20% - Accent1 8 2 2 2 3 2" xfId="28486" xr:uid="{00000000-0005-0000-0000-0000210E0000}"/>
    <cellStyle name="20% - Accent1 8 2 2 2 4" xfId="20840" xr:uid="{00000000-0005-0000-0000-0000220E0000}"/>
    <cellStyle name="20% - Accent1 8 2 2 3" xfId="1450" xr:uid="{00000000-0005-0000-0000-0000230E0000}"/>
    <cellStyle name="20% - Accent1 8 2 2 3 2" xfId="12844" xr:uid="{00000000-0005-0000-0000-0000240E0000}"/>
    <cellStyle name="20% - Accent1 8 2 2 3 2 2" xfId="24701" xr:uid="{00000000-0005-0000-0000-0000250E0000}"/>
    <cellStyle name="20% - Accent1 8 2 2 3 3" xfId="16795" xr:uid="{00000000-0005-0000-0000-0000260E0000}"/>
    <cellStyle name="20% - Accent1 8 2 2 3 3 2" xfId="28487" xr:uid="{00000000-0005-0000-0000-0000270E0000}"/>
    <cellStyle name="20% - Accent1 8 2 2 3 4" xfId="20841" xr:uid="{00000000-0005-0000-0000-0000280E0000}"/>
    <cellStyle name="20% - Accent1 8 2 2 4" xfId="12842" xr:uid="{00000000-0005-0000-0000-0000290E0000}"/>
    <cellStyle name="20% - Accent1 8 2 2 4 2" xfId="24699" xr:uid="{00000000-0005-0000-0000-00002A0E0000}"/>
    <cellStyle name="20% - Accent1 8 2 2 5" xfId="16793" xr:uid="{00000000-0005-0000-0000-00002B0E0000}"/>
    <cellStyle name="20% - Accent1 8 2 2 5 2" xfId="28485" xr:uid="{00000000-0005-0000-0000-00002C0E0000}"/>
    <cellStyle name="20% - Accent1 8 2 2 6" xfId="20839" xr:uid="{00000000-0005-0000-0000-00002D0E0000}"/>
    <cellStyle name="20% - Accent1 8 2 3" xfId="1451" xr:uid="{00000000-0005-0000-0000-00002E0E0000}"/>
    <cellStyle name="20% - Accent1 8 2 3 2" xfId="1452" xr:uid="{00000000-0005-0000-0000-00002F0E0000}"/>
    <cellStyle name="20% - Accent1 8 2 3 2 2" xfId="12846" xr:uid="{00000000-0005-0000-0000-0000300E0000}"/>
    <cellStyle name="20% - Accent1 8 2 3 2 2 2" xfId="24703" xr:uid="{00000000-0005-0000-0000-0000310E0000}"/>
    <cellStyle name="20% - Accent1 8 2 3 2 3" xfId="16797" xr:uid="{00000000-0005-0000-0000-0000320E0000}"/>
    <cellStyle name="20% - Accent1 8 2 3 2 3 2" xfId="28489" xr:uid="{00000000-0005-0000-0000-0000330E0000}"/>
    <cellStyle name="20% - Accent1 8 2 3 2 4" xfId="20843" xr:uid="{00000000-0005-0000-0000-0000340E0000}"/>
    <cellStyle name="20% - Accent1 8 2 3 3" xfId="1453" xr:uid="{00000000-0005-0000-0000-0000350E0000}"/>
    <cellStyle name="20% - Accent1 8 2 3 3 2" xfId="12847" xr:uid="{00000000-0005-0000-0000-0000360E0000}"/>
    <cellStyle name="20% - Accent1 8 2 3 3 2 2" xfId="24704" xr:uid="{00000000-0005-0000-0000-0000370E0000}"/>
    <cellStyle name="20% - Accent1 8 2 3 3 3" xfId="16798" xr:uid="{00000000-0005-0000-0000-0000380E0000}"/>
    <cellStyle name="20% - Accent1 8 2 3 3 3 2" xfId="28490" xr:uid="{00000000-0005-0000-0000-0000390E0000}"/>
    <cellStyle name="20% - Accent1 8 2 3 3 4" xfId="20844" xr:uid="{00000000-0005-0000-0000-00003A0E0000}"/>
    <cellStyle name="20% - Accent1 8 2 3 4" xfId="12845" xr:uid="{00000000-0005-0000-0000-00003B0E0000}"/>
    <cellStyle name="20% - Accent1 8 2 3 4 2" xfId="24702" xr:uid="{00000000-0005-0000-0000-00003C0E0000}"/>
    <cellStyle name="20% - Accent1 8 2 3 5" xfId="16796" xr:uid="{00000000-0005-0000-0000-00003D0E0000}"/>
    <cellStyle name="20% - Accent1 8 2 3 5 2" xfId="28488" xr:uid="{00000000-0005-0000-0000-00003E0E0000}"/>
    <cellStyle name="20% - Accent1 8 2 3 6" xfId="20842" xr:uid="{00000000-0005-0000-0000-00003F0E0000}"/>
    <cellStyle name="20% - Accent1 8 2 4" xfId="1454" xr:uid="{00000000-0005-0000-0000-0000400E0000}"/>
    <cellStyle name="20% - Accent1 8 2 4 2" xfId="1455" xr:uid="{00000000-0005-0000-0000-0000410E0000}"/>
    <cellStyle name="20% - Accent1 8 2 4 2 2" xfId="12849" xr:uid="{00000000-0005-0000-0000-0000420E0000}"/>
    <cellStyle name="20% - Accent1 8 2 4 2 2 2" xfId="24706" xr:uid="{00000000-0005-0000-0000-0000430E0000}"/>
    <cellStyle name="20% - Accent1 8 2 4 2 3" xfId="16800" xr:uid="{00000000-0005-0000-0000-0000440E0000}"/>
    <cellStyle name="20% - Accent1 8 2 4 2 3 2" xfId="28492" xr:uid="{00000000-0005-0000-0000-0000450E0000}"/>
    <cellStyle name="20% - Accent1 8 2 4 2 4" xfId="20846" xr:uid="{00000000-0005-0000-0000-0000460E0000}"/>
    <cellStyle name="20% - Accent1 8 2 4 3" xfId="1456" xr:uid="{00000000-0005-0000-0000-0000470E0000}"/>
    <cellStyle name="20% - Accent1 8 2 4 3 2" xfId="12850" xr:uid="{00000000-0005-0000-0000-0000480E0000}"/>
    <cellStyle name="20% - Accent1 8 2 4 3 2 2" xfId="24707" xr:uid="{00000000-0005-0000-0000-0000490E0000}"/>
    <cellStyle name="20% - Accent1 8 2 4 3 3" xfId="16801" xr:uid="{00000000-0005-0000-0000-00004A0E0000}"/>
    <cellStyle name="20% - Accent1 8 2 4 3 3 2" xfId="28493" xr:uid="{00000000-0005-0000-0000-00004B0E0000}"/>
    <cellStyle name="20% - Accent1 8 2 4 3 4" xfId="20847" xr:uid="{00000000-0005-0000-0000-00004C0E0000}"/>
    <cellStyle name="20% - Accent1 8 2 4 4" xfId="12848" xr:uid="{00000000-0005-0000-0000-00004D0E0000}"/>
    <cellStyle name="20% - Accent1 8 2 4 4 2" xfId="24705" xr:uid="{00000000-0005-0000-0000-00004E0E0000}"/>
    <cellStyle name="20% - Accent1 8 2 4 5" xfId="16799" xr:uid="{00000000-0005-0000-0000-00004F0E0000}"/>
    <cellStyle name="20% - Accent1 8 2 4 5 2" xfId="28491" xr:uid="{00000000-0005-0000-0000-0000500E0000}"/>
    <cellStyle name="20% - Accent1 8 2 4 6" xfId="20845" xr:uid="{00000000-0005-0000-0000-0000510E0000}"/>
    <cellStyle name="20% - Accent1 8 2 5" xfId="1457" xr:uid="{00000000-0005-0000-0000-0000520E0000}"/>
    <cellStyle name="20% - Accent1 8 2 5 2" xfId="12851" xr:uid="{00000000-0005-0000-0000-0000530E0000}"/>
    <cellStyle name="20% - Accent1 8 2 5 2 2" xfId="24708" xr:uid="{00000000-0005-0000-0000-0000540E0000}"/>
    <cellStyle name="20% - Accent1 8 2 5 3" xfId="16802" xr:uid="{00000000-0005-0000-0000-0000550E0000}"/>
    <cellStyle name="20% - Accent1 8 2 5 3 2" xfId="28494" xr:uid="{00000000-0005-0000-0000-0000560E0000}"/>
    <cellStyle name="20% - Accent1 8 2 5 4" xfId="20848" xr:uid="{00000000-0005-0000-0000-0000570E0000}"/>
    <cellStyle name="20% - Accent1 8 2 6" xfId="1458" xr:uid="{00000000-0005-0000-0000-0000580E0000}"/>
    <cellStyle name="20% - Accent1 8 2 6 2" xfId="12852" xr:uid="{00000000-0005-0000-0000-0000590E0000}"/>
    <cellStyle name="20% - Accent1 8 2 6 2 2" xfId="24709" xr:uid="{00000000-0005-0000-0000-00005A0E0000}"/>
    <cellStyle name="20% - Accent1 8 2 6 3" xfId="16803" xr:uid="{00000000-0005-0000-0000-00005B0E0000}"/>
    <cellStyle name="20% - Accent1 8 2 6 3 2" xfId="28495" xr:uid="{00000000-0005-0000-0000-00005C0E0000}"/>
    <cellStyle name="20% - Accent1 8 2 6 4" xfId="20849" xr:uid="{00000000-0005-0000-0000-00005D0E0000}"/>
    <cellStyle name="20% - Accent1 8 2 7" xfId="12841" xr:uid="{00000000-0005-0000-0000-00005E0E0000}"/>
    <cellStyle name="20% - Accent1 8 2 7 2" xfId="24698" xr:uid="{00000000-0005-0000-0000-00005F0E0000}"/>
    <cellStyle name="20% - Accent1 8 2 8" xfId="16792" xr:uid="{00000000-0005-0000-0000-0000600E0000}"/>
    <cellStyle name="20% - Accent1 8 2 8 2" xfId="28484" xr:uid="{00000000-0005-0000-0000-0000610E0000}"/>
    <cellStyle name="20% - Accent1 8 2 9" xfId="20838" xr:uid="{00000000-0005-0000-0000-0000620E0000}"/>
    <cellStyle name="20% - Accent1 8 2_Volatility" xfId="1459" xr:uid="{00000000-0005-0000-0000-0000630E0000}"/>
    <cellStyle name="20% - Accent1 8 3" xfId="1460" xr:uid="{00000000-0005-0000-0000-0000640E0000}"/>
    <cellStyle name="20% - Accent1 8 3 2" xfId="1461" xr:uid="{00000000-0005-0000-0000-0000650E0000}"/>
    <cellStyle name="20% - Accent1 8 3 2 2" xfId="1462" xr:uid="{00000000-0005-0000-0000-0000660E0000}"/>
    <cellStyle name="20% - Accent1 8 3 2 2 2" xfId="12855" xr:uid="{00000000-0005-0000-0000-0000670E0000}"/>
    <cellStyle name="20% - Accent1 8 3 2 2 2 2" xfId="24712" xr:uid="{00000000-0005-0000-0000-0000680E0000}"/>
    <cellStyle name="20% - Accent1 8 3 2 2 3" xfId="16806" xr:uid="{00000000-0005-0000-0000-0000690E0000}"/>
    <cellStyle name="20% - Accent1 8 3 2 2 3 2" xfId="28498" xr:uid="{00000000-0005-0000-0000-00006A0E0000}"/>
    <cellStyle name="20% - Accent1 8 3 2 2 4" xfId="20852" xr:uid="{00000000-0005-0000-0000-00006B0E0000}"/>
    <cellStyle name="20% - Accent1 8 3 2 3" xfId="1463" xr:uid="{00000000-0005-0000-0000-00006C0E0000}"/>
    <cellStyle name="20% - Accent1 8 3 2 3 2" xfId="12856" xr:uid="{00000000-0005-0000-0000-00006D0E0000}"/>
    <cellStyle name="20% - Accent1 8 3 2 3 2 2" xfId="24713" xr:uid="{00000000-0005-0000-0000-00006E0E0000}"/>
    <cellStyle name="20% - Accent1 8 3 2 3 3" xfId="16807" xr:uid="{00000000-0005-0000-0000-00006F0E0000}"/>
    <cellStyle name="20% - Accent1 8 3 2 3 3 2" xfId="28499" xr:uid="{00000000-0005-0000-0000-0000700E0000}"/>
    <cellStyle name="20% - Accent1 8 3 2 3 4" xfId="20853" xr:uid="{00000000-0005-0000-0000-0000710E0000}"/>
    <cellStyle name="20% - Accent1 8 3 2 4" xfId="12854" xr:uid="{00000000-0005-0000-0000-0000720E0000}"/>
    <cellStyle name="20% - Accent1 8 3 2 4 2" xfId="24711" xr:uid="{00000000-0005-0000-0000-0000730E0000}"/>
    <cellStyle name="20% - Accent1 8 3 2 5" xfId="16805" xr:uid="{00000000-0005-0000-0000-0000740E0000}"/>
    <cellStyle name="20% - Accent1 8 3 2 5 2" xfId="28497" xr:uid="{00000000-0005-0000-0000-0000750E0000}"/>
    <cellStyle name="20% - Accent1 8 3 2 6" xfId="20851" xr:uid="{00000000-0005-0000-0000-0000760E0000}"/>
    <cellStyle name="20% - Accent1 8 3 3" xfId="1464" xr:uid="{00000000-0005-0000-0000-0000770E0000}"/>
    <cellStyle name="20% - Accent1 8 3 3 2" xfId="1465" xr:uid="{00000000-0005-0000-0000-0000780E0000}"/>
    <cellStyle name="20% - Accent1 8 3 3 2 2" xfId="12858" xr:uid="{00000000-0005-0000-0000-0000790E0000}"/>
    <cellStyle name="20% - Accent1 8 3 3 2 2 2" xfId="24715" xr:uid="{00000000-0005-0000-0000-00007A0E0000}"/>
    <cellStyle name="20% - Accent1 8 3 3 2 3" xfId="16809" xr:uid="{00000000-0005-0000-0000-00007B0E0000}"/>
    <cellStyle name="20% - Accent1 8 3 3 2 3 2" xfId="28501" xr:uid="{00000000-0005-0000-0000-00007C0E0000}"/>
    <cellStyle name="20% - Accent1 8 3 3 2 4" xfId="20855" xr:uid="{00000000-0005-0000-0000-00007D0E0000}"/>
    <cellStyle name="20% - Accent1 8 3 3 3" xfId="1466" xr:uid="{00000000-0005-0000-0000-00007E0E0000}"/>
    <cellStyle name="20% - Accent1 8 3 3 3 2" xfId="12859" xr:uid="{00000000-0005-0000-0000-00007F0E0000}"/>
    <cellStyle name="20% - Accent1 8 3 3 3 2 2" xfId="24716" xr:uid="{00000000-0005-0000-0000-0000800E0000}"/>
    <cellStyle name="20% - Accent1 8 3 3 3 3" xfId="16810" xr:uid="{00000000-0005-0000-0000-0000810E0000}"/>
    <cellStyle name="20% - Accent1 8 3 3 3 3 2" xfId="28502" xr:uid="{00000000-0005-0000-0000-0000820E0000}"/>
    <cellStyle name="20% - Accent1 8 3 3 3 4" xfId="20856" xr:uid="{00000000-0005-0000-0000-0000830E0000}"/>
    <cellStyle name="20% - Accent1 8 3 3 4" xfId="12857" xr:uid="{00000000-0005-0000-0000-0000840E0000}"/>
    <cellStyle name="20% - Accent1 8 3 3 4 2" xfId="24714" xr:uid="{00000000-0005-0000-0000-0000850E0000}"/>
    <cellStyle name="20% - Accent1 8 3 3 5" xfId="16808" xr:uid="{00000000-0005-0000-0000-0000860E0000}"/>
    <cellStyle name="20% - Accent1 8 3 3 5 2" xfId="28500" xr:uid="{00000000-0005-0000-0000-0000870E0000}"/>
    <cellStyle name="20% - Accent1 8 3 3 6" xfId="20854" xr:uid="{00000000-0005-0000-0000-0000880E0000}"/>
    <cellStyle name="20% - Accent1 8 3 4" xfId="1467" xr:uid="{00000000-0005-0000-0000-0000890E0000}"/>
    <cellStyle name="20% - Accent1 8 3 4 2" xfId="12860" xr:uid="{00000000-0005-0000-0000-00008A0E0000}"/>
    <cellStyle name="20% - Accent1 8 3 4 2 2" xfId="24717" xr:uid="{00000000-0005-0000-0000-00008B0E0000}"/>
    <cellStyle name="20% - Accent1 8 3 4 3" xfId="16811" xr:uid="{00000000-0005-0000-0000-00008C0E0000}"/>
    <cellStyle name="20% - Accent1 8 3 4 3 2" xfId="28503" xr:uid="{00000000-0005-0000-0000-00008D0E0000}"/>
    <cellStyle name="20% - Accent1 8 3 4 4" xfId="20857" xr:uid="{00000000-0005-0000-0000-00008E0E0000}"/>
    <cellStyle name="20% - Accent1 8 3 5" xfId="1468" xr:uid="{00000000-0005-0000-0000-00008F0E0000}"/>
    <cellStyle name="20% - Accent1 8 3 5 2" xfId="12861" xr:uid="{00000000-0005-0000-0000-0000900E0000}"/>
    <cellStyle name="20% - Accent1 8 3 5 2 2" xfId="24718" xr:uid="{00000000-0005-0000-0000-0000910E0000}"/>
    <cellStyle name="20% - Accent1 8 3 5 3" xfId="16812" xr:uid="{00000000-0005-0000-0000-0000920E0000}"/>
    <cellStyle name="20% - Accent1 8 3 5 3 2" xfId="28504" xr:uid="{00000000-0005-0000-0000-0000930E0000}"/>
    <cellStyle name="20% - Accent1 8 3 5 4" xfId="20858" xr:uid="{00000000-0005-0000-0000-0000940E0000}"/>
    <cellStyle name="20% - Accent1 8 3 6" xfId="12853" xr:uid="{00000000-0005-0000-0000-0000950E0000}"/>
    <cellStyle name="20% - Accent1 8 3 6 2" xfId="24710" xr:uid="{00000000-0005-0000-0000-0000960E0000}"/>
    <cellStyle name="20% - Accent1 8 3 7" xfId="16804" xr:uid="{00000000-0005-0000-0000-0000970E0000}"/>
    <cellStyle name="20% - Accent1 8 3 7 2" xfId="28496" xr:uid="{00000000-0005-0000-0000-0000980E0000}"/>
    <cellStyle name="20% - Accent1 8 3 8" xfId="20850" xr:uid="{00000000-0005-0000-0000-0000990E0000}"/>
    <cellStyle name="20% - Accent1 8 3_Volatility" xfId="1469" xr:uid="{00000000-0005-0000-0000-00009A0E0000}"/>
    <cellStyle name="20% - Accent1 8 4" xfId="1470" xr:uid="{00000000-0005-0000-0000-00009B0E0000}"/>
    <cellStyle name="20% - Accent1 8 4 2" xfId="1471" xr:uid="{00000000-0005-0000-0000-00009C0E0000}"/>
    <cellStyle name="20% - Accent1 8 4 2 2" xfId="12863" xr:uid="{00000000-0005-0000-0000-00009D0E0000}"/>
    <cellStyle name="20% - Accent1 8 4 2 2 2" xfId="24720" xr:uid="{00000000-0005-0000-0000-00009E0E0000}"/>
    <cellStyle name="20% - Accent1 8 4 2 3" xfId="16814" xr:uid="{00000000-0005-0000-0000-00009F0E0000}"/>
    <cellStyle name="20% - Accent1 8 4 2 3 2" xfId="28506" xr:uid="{00000000-0005-0000-0000-0000A00E0000}"/>
    <cellStyle name="20% - Accent1 8 4 2 4" xfId="20860" xr:uid="{00000000-0005-0000-0000-0000A10E0000}"/>
    <cellStyle name="20% - Accent1 8 4 3" xfId="1472" xr:uid="{00000000-0005-0000-0000-0000A20E0000}"/>
    <cellStyle name="20% - Accent1 8 4 3 2" xfId="12864" xr:uid="{00000000-0005-0000-0000-0000A30E0000}"/>
    <cellStyle name="20% - Accent1 8 4 3 2 2" xfId="24721" xr:uid="{00000000-0005-0000-0000-0000A40E0000}"/>
    <cellStyle name="20% - Accent1 8 4 3 3" xfId="16815" xr:uid="{00000000-0005-0000-0000-0000A50E0000}"/>
    <cellStyle name="20% - Accent1 8 4 3 3 2" xfId="28507" xr:uid="{00000000-0005-0000-0000-0000A60E0000}"/>
    <cellStyle name="20% - Accent1 8 4 3 4" xfId="20861" xr:uid="{00000000-0005-0000-0000-0000A70E0000}"/>
    <cellStyle name="20% - Accent1 8 4 4" xfId="12862" xr:uid="{00000000-0005-0000-0000-0000A80E0000}"/>
    <cellStyle name="20% - Accent1 8 4 4 2" xfId="24719" xr:uid="{00000000-0005-0000-0000-0000A90E0000}"/>
    <cellStyle name="20% - Accent1 8 4 5" xfId="16813" xr:uid="{00000000-0005-0000-0000-0000AA0E0000}"/>
    <cellStyle name="20% - Accent1 8 4 5 2" xfId="28505" xr:uid="{00000000-0005-0000-0000-0000AB0E0000}"/>
    <cellStyle name="20% - Accent1 8 4 6" xfId="20859" xr:uid="{00000000-0005-0000-0000-0000AC0E0000}"/>
    <cellStyle name="20% - Accent1 8 5" xfId="1473" xr:uid="{00000000-0005-0000-0000-0000AD0E0000}"/>
    <cellStyle name="20% - Accent1 8 5 2" xfId="1474" xr:uid="{00000000-0005-0000-0000-0000AE0E0000}"/>
    <cellStyle name="20% - Accent1 8 5 2 2" xfId="12866" xr:uid="{00000000-0005-0000-0000-0000AF0E0000}"/>
    <cellStyle name="20% - Accent1 8 5 2 2 2" xfId="24723" xr:uid="{00000000-0005-0000-0000-0000B00E0000}"/>
    <cellStyle name="20% - Accent1 8 5 2 3" xfId="16817" xr:uid="{00000000-0005-0000-0000-0000B10E0000}"/>
    <cellStyle name="20% - Accent1 8 5 2 3 2" xfId="28509" xr:uid="{00000000-0005-0000-0000-0000B20E0000}"/>
    <cellStyle name="20% - Accent1 8 5 2 4" xfId="20863" xr:uid="{00000000-0005-0000-0000-0000B30E0000}"/>
    <cellStyle name="20% - Accent1 8 5 3" xfId="1475" xr:uid="{00000000-0005-0000-0000-0000B40E0000}"/>
    <cellStyle name="20% - Accent1 8 5 3 2" xfId="12867" xr:uid="{00000000-0005-0000-0000-0000B50E0000}"/>
    <cellStyle name="20% - Accent1 8 5 3 2 2" xfId="24724" xr:uid="{00000000-0005-0000-0000-0000B60E0000}"/>
    <cellStyle name="20% - Accent1 8 5 3 3" xfId="16818" xr:uid="{00000000-0005-0000-0000-0000B70E0000}"/>
    <cellStyle name="20% - Accent1 8 5 3 3 2" xfId="28510" xr:uid="{00000000-0005-0000-0000-0000B80E0000}"/>
    <cellStyle name="20% - Accent1 8 5 3 4" xfId="20864" xr:uid="{00000000-0005-0000-0000-0000B90E0000}"/>
    <cellStyle name="20% - Accent1 8 5 4" xfId="12865" xr:uid="{00000000-0005-0000-0000-0000BA0E0000}"/>
    <cellStyle name="20% - Accent1 8 5 4 2" xfId="24722" xr:uid="{00000000-0005-0000-0000-0000BB0E0000}"/>
    <cellStyle name="20% - Accent1 8 5 5" xfId="16816" xr:uid="{00000000-0005-0000-0000-0000BC0E0000}"/>
    <cellStyle name="20% - Accent1 8 5 5 2" xfId="28508" xr:uid="{00000000-0005-0000-0000-0000BD0E0000}"/>
    <cellStyle name="20% - Accent1 8 5 6" xfId="20862" xr:uid="{00000000-0005-0000-0000-0000BE0E0000}"/>
    <cellStyle name="20% - Accent1 8 6" xfId="1476" xr:uid="{00000000-0005-0000-0000-0000BF0E0000}"/>
    <cellStyle name="20% - Accent1 8 6 2" xfId="1477" xr:uid="{00000000-0005-0000-0000-0000C00E0000}"/>
    <cellStyle name="20% - Accent1 8 6 2 2" xfId="12869" xr:uid="{00000000-0005-0000-0000-0000C10E0000}"/>
    <cellStyle name="20% - Accent1 8 6 2 2 2" xfId="24726" xr:uid="{00000000-0005-0000-0000-0000C20E0000}"/>
    <cellStyle name="20% - Accent1 8 6 2 3" xfId="16820" xr:uid="{00000000-0005-0000-0000-0000C30E0000}"/>
    <cellStyle name="20% - Accent1 8 6 2 3 2" xfId="28512" xr:uid="{00000000-0005-0000-0000-0000C40E0000}"/>
    <cellStyle name="20% - Accent1 8 6 2 4" xfId="20866" xr:uid="{00000000-0005-0000-0000-0000C50E0000}"/>
    <cellStyle name="20% - Accent1 8 6 3" xfId="1478" xr:uid="{00000000-0005-0000-0000-0000C60E0000}"/>
    <cellStyle name="20% - Accent1 8 6 3 2" xfId="12870" xr:uid="{00000000-0005-0000-0000-0000C70E0000}"/>
    <cellStyle name="20% - Accent1 8 6 3 2 2" xfId="24727" xr:uid="{00000000-0005-0000-0000-0000C80E0000}"/>
    <cellStyle name="20% - Accent1 8 6 3 3" xfId="16821" xr:uid="{00000000-0005-0000-0000-0000C90E0000}"/>
    <cellStyle name="20% - Accent1 8 6 3 3 2" xfId="28513" xr:uid="{00000000-0005-0000-0000-0000CA0E0000}"/>
    <cellStyle name="20% - Accent1 8 6 3 4" xfId="20867" xr:uid="{00000000-0005-0000-0000-0000CB0E0000}"/>
    <cellStyle name="20% - Accent1 8 6 4" xfId="12868" xr:uid="{00000000-0005-0000-0000-0000CC0E0000}"/>
    <cellStyle name="20% - Accent1 8 6 4 2" xfId="24725" xr:uid="{00000000-0005-0000-0000-0000CD0E0000}"/>
    <cellStyle name="20% - Accent1 8 6 5" xfId="16819" xr:uid="{00000000-0005-0000-0000-0000CE0E0000}"/>
    <cellStyle name="20% - Accent1 8 6 5 2" xfId="28511" xr:uid="{00000000-0005-0000-0000-0000CF0E0000}"/>
    <cellStyle name="20% - Accent1 8 6 6" xfId="20865" xr:uid="{00000000-0005-0000-0000-0000D00E0000}"/>
    <cellStyle name="20% - Accent1 8 7" xfId="1479" xr:uid="{00000000-0005-0000-0000-0000D10E0000}"/>
    <cellStyle name="20% - Accent1 8 7 2" xfId="12871" xr:uid="{00000000-0005-0000-0000-0000D20E0000}"/>
    <cellStyle name="20% - Accent1 8 7 2 2" xfId="24728" xr:uid="{00000000-0005-0000-0000-0000D30E0000}"/>
    <cellStyle name="20% - Accent1 8 7 3" xfId="16822" xr:uid="{00000000-0005-0000-0000-0000D40E0000}"/>
    <cellStyle name="20% - Accent1 8 7 3 2" xfId="28514" xr:uid="{00000000-0005-0000-0000-0000D50E0000}"/>
    <cellStyle name="20% - Accent1 8 7 4" xfId="20868" xr:uid="{00000000-0005-0000-0000-0000D60E0000}"/>
    <cellStyle name="20% - Accent1 8 8" xfId="1480" xr:uid="{00000000-0005-0000-0000-0000D70E0000}"/>
    <cellStyle name="20% - Accent1 8 8 2" xfId="12872" xr:uid="{00000000-0005-0000-0000-0000D80E0000}"/>
    <cellStyle name="20% - Accent1 8 8 2 2" xfId="24729" xr:uid="{00000000-0005-0000-0000-0000D90E0000}"/>
    <cellStyle name="20% - Accent1 8 8 3" xfId="16823" xr:uid="{00000000-0005-0000-0000-0000DA0E0000}"/>
    <cellStyle name="20% - Accent1 8 8 3 2" xfId="28515" xr:uid="{00000000-0005-0000-0000-0000DB0E0000}"/>
    <cellStyle name="20% - Accent1 8 8 4" xfId="20869" xr:uid="{00000000-0005-0000-0000-0000DC0E0000}"/>
    <cellStyle name="20% - Accent1 8 9" xfId="12840" xr:uid="{00000000-0005-0000-0000-0000DD0E0000}"/>
    <cellStyle name="20% - Accent1 8 9 2" xfId="24697" xr:uid="{00000000-0005-0000-0000-0000DE0E0000}"/>
    <cellStyle name="20% - Accent1 8_Volatility" xfId="1481" xr:uid="{00000000-0005-0000-0000-0000DF0E0000}"/>
    <cellStyle name="20% - Accent1 9" xfId="1482" xr:uid="{00000000-0005-0000-0000-0000E00E0000}"/>
    <cellStyle name="20% - Accent1 9 10" xfId="16824" xr:uid="{00000000-0005-0000-0000-0000E10E0000}"/>
    <cellStyle name="20% - Accent1 9 10 2" xfId="28516" xr:uid="{00000000-0005-0000-0000-0000E20E0000}"/>
    <cellStyle name="20% - Accent1 9 11" xfId="20870" xr:uid="{00000000-0005-0000-0000-0000E30E0000}"/>
    <cellStyle name="20% - Accent1 9 2" xfId="1483" xr:uid="{00000000-0005-0000-0000-0000E40E0000}"/>
    <cellStyle name="20% - Accent1 9 2 2" xfId="1484" xr:uid="{00000000-0005-0000-0000-0000E50E0000}"/>
    <cellStyle name="20% - Accent1 9 2 2 2" xfId="1485" xr:uid="{00000000-0005-0000-0000-0000E60E0000}"/>
    <cellStyle name="20% - Accent1 9 2 2 2 2" xfId="12876" xr:uid="{00000000-0005-0000-0000-0000E70E0000}"/>
    <cellStyle name="20% - Accent1 9 2 2 2 2 2" xfId="24733" xr:uid="{00000000-0005-0000-0000-0000E80E0000}"/>
    <cellStyle name="20% - Accent1 9 2 2 2 3" xfId="16827" xr:uid="{00000000-0005-0000-0000-0000E90E0000}"/>
    <cellStyle name="20% - Accent1 9 2 2 2 3 2" xfId="28519" xr:uid="{00000000-0005-0000-0000-0000EA0E0000}"/>
    <cellStyle name="20% - Accent1 9 2 2 2 4" xfId="20873" xr:uid="{00000000-0005-0000-0000-0000EB0E0000}"/>
    <cellStyle name="20% - Accent1 9 2 2 3" xfId="1486" xr:uid="{00000000-0005-0000-0000-0000EC0E0000}"/>
    <cellStyle name="20% - Accent1 9 2 2 3 2" xfId="12877" xr:uid="{00000000-0005-0000-0000-0000ED0E0000}"/>
    <cellStyle name="20% - Accent1 9 2 2 3 2 2" xfId="24734" xr:uid="{00000000-0005-0000-0000-0000EE0E0000}"/>
    <cellStyle name="20% - Accent1 9 2 2 3 3" xfId="16828" xr:uid="{00000000-0005-0000-0000-0000EF0E0000}"/>
    <cellStyle name="20% - Accent1 9 2 2 3 3 2" xfId="28520" xr:uid="{00000000-0005-0000-0000-0000F00E0000}"/>
    <cellStyle name="20% - Accent1 9 2 2 3 4" xfId="20874" xr:uid="{00000000-0005-0000-0000-0000F10E0000}"/>
    <cellStyle name="20% - Accent1 9 2 2 4" xfId="12875" xr:uid="{00000000-0005-0000-0000-0000F20E0000}"/>
    <cellStyle name="20% - Accent1 9 2 2 4 2" xfId="24732" xr:uid="{00000000-0005-0000-0000-0000F30E0000}"/>
    <cellStyle name="20% - Accent1 9 2 2 5" xfId="16826" xr:uid="{00000000-0005-0000-0000-0000F40E0000}"/>
    <cellStyle name="20% - Accent1 9 2 2 5 2" xfId="28518" xr:uid="{00000000-0005-0000-0000-0000F50E0000}"/>
    <cellStyle name="20% - Accent1 9 2 2 6" xfId="20872" xr:uid="{00000000-0005-0000-0000-0000F60E0000}"/>
    <cellStyle name="20% - Accent1 9 2 3" xfId="1487" xr:uid="{00000000-0005-0000-0000-0000F70E0000}"/>
    <cellStyle name="20% - Accent1 9 2 3 2" xfId="1488" xr:uid="{00000000-0005-0000-0000-0000F80E0000}"/>
    <cellStyle name="20% - Accent1 9 2 3 2 2" xfId="12879" xr:uid="{00000000-0005-0000-0000-0000F90E0000}"/>
    <cellStyle name="20% - Accent1 9 2 3 2 2 2" xfId="24736" xr:uid="{00000000-0005-0000-0000-0000FA0E0000}"/>
    <cellStyle name="20% - Accent1 9 2 3 2 3" xfId="16830" xr:uid="{00000000-0005-0000-0000-0000FB0E0000}"/>
    <cellStyle name="20% - Accent1 9 2 3 2 3 2" xfId="28522" xr:uid="{00000000-0005-0000-0000-0000FC0E0000}"/>
    <cellStyle name="20% - Accent1 9 2 3 2 4" xfId="20876" xr:uid="{00000000-0005-0000-0000-0000FD0E0000}"/>
    <cellStyle name="20% - Accent1 9 2 3 3" xfId="1489" xr:uid="{00000000-0005-0000-0000-0000FE0E0000}"/>
    <cellStyle name="20% - Accent1 9 2 3 3 2" xfId="12880" xr:uid="{00000000-0005-0000-0000-0000FF0E0000}"/>
    <cellStyle name="20% - Accent1 9 2 3 3 2 2" xfId="24737" xr:uid="{00000000-0005-0000-0000-0000000F0000}"/>
    <cellStyle name="20% - Accent1 9 2 3 3 3" xfId="16831" xr:uid="{00000000-0005-0000-0000-0000010F0000}"/>
    <cellStyle name="20% - Accent1 9 2 3 3 3 2" xfId="28523" xr:uid="{00000000-0005-0000-0000-0000020F0000}"/>
    <cellStyle name="20% - Accent1 9 2 3 3 4" xfId="20877" xr:uid="{00000000-0005-0000-0000-0000030F0000}"/>
    <cellStyle name="20% - Accent1 9 2 3 4" xfId="12878" xr:uid="{00000000-0005-0000-0000-0000040F0000}"/>
    <cellStyle name="20% - Accent1 9 2 3 4 2" xfId="24735" xr:uid="{00000000-0005-0000-0000-0000050F0000}"/>
    <cellStyle name="20% - Accent1 9 2 3 5" xfId="16829" xr:uid="{00000000-0005-0000-0000-0000060F0000}"/>
    <cellStyle name="20% - Accent1 9 2 3 5 2" xfId="28521" xr:uid="{00000000-0005-0000-0000-0000070F0000}"/>
    <cellStyle name="20% - Accent1 9 2 3 6" xfId="20875" xr:uid="{00000000-0005-0000-0000-0000080F0000}"/>
    <cellStyle name="20% - Accent1 9 2 4" xfId="1490" xr:uid="{00000000-0005-0000-0000-0000090F0000}"/>
    <cellStyle name="20% - Accent1 9 2 4 2" xfId="1491" xr:uid="{00000000-0005-0000-0000-00000A0F0000}"/>
    <cellStyle name="20% - Accent1 9 2 4 2 2" xfId="12882" xr:uid="{00000000-0005-0000-0000-00000B0F0000}"/>
    <cellStyle name="20% - Accent1 9 2 4 2 2 2" xfId="24739" xr:uid="{00000000-0005-0000-0000-00000C0F0000}"/>
    <cellStyle name="20% - Accent1 9 2 4 2 3" xfId="16833" xr:uid="{00000000-0005-0000-0000-00000D0F0000}"/>
    <cellStyle name="20% - Accent1 9 2 4 2 3 2" xfId="28525" xr:uid="{00000000-0005-0000-0000-00000E0F0000}"/>
    <cellStyle name="20% - Accent1 9 2 4 2 4" xfId="20879" xr:uid="{00000000-0005-0000-0000-00000F0F0000}"/>
    <cellStyle name="20% - Accent1 9 2 4 3" xfId="1492" xr:uid="{00000000-0005-0000-0000-0000100F0000}"/>
    <cellStyle name="20% - Accent1 9 2 4 3 2" xfId="12883" xr:uid="{00000000-0005-0000-0000-0000110F0000}"/>
    <cellStyle name="20% - Accent1 9 2 4 3 2 2" xfId="24740" xr:uid="{00000000-0005-0000-0000-0000120F0000}"/>
    <cellStyle name="20% - Accent1 9 2 4 3 3" xfId="16834" xr:uid="{00000000-0005-0000-0000-0000130F0000}"/>
    <cellStyle name="20% - Accent1 9 2 4 3 3 2" xfId="28526" xr:uid="{00000000-0005-0000-0000-0000140F0000}"/>
    <cellStyle name="20% - Accent1 9 2 4 3 4" xfId="20880" xr:uid="{00000000-0005-0000-0000-0000150F0000}"/>
    <cellStyle name="20% - Accent1 9 2 4 4" xfId="12881" xr:uid="{00000000-0005-0000-0000-0000160F0000}"/>
    <cellStyle name="20% - Accent1 9 2 4 4 2" xfId="24738" xr:uid="{00000000-0005-0000-0000-0000170F0000}"/>
    <cellStyle name="20% - Accent1 9 2 4 5" xfId="16832" xr:uid="{00000000-0005-0000-0000-0000180F0000}"/>
    <cellStyle name="20% - Accent1 9 2 4 5 2" xfId="28524" xr:uid="{00000000-0005-0000-0000-0000190F0000}"/>
    <cellStyle name="20% - Accent1 9 2 4 6" xfId="20878" xr:uid="{00000000-0005-0000-0000-00001A0F0000}"/>
    <cellStyle name="20% - Accent1 9 2 5" xfId="1493" xr:uid="{00000000-0005-0000-0000-00001B0F0000}"/>
    <cellStyle name="20% - Accent1 9 2 5 2" xfId="12884" xr:uid="{00000000-0005-0000-0000-00001C0F0000}"/>
    <cellStyle name="20% - Accent1 9 2 5 2 2" xfId="24741" xr:uid="{00000000-0005-0000-0000-00001D0F0000}"/>
    <cellStyle name="20% - Accent1 9 2 5 3" xfId="16835" xr:uid="{00000000-0005-0000-0000-00001E0F0000}"/>
    <cellStyle name="20% - Accent1 9 2 5 3 2" xfId="28527" xr:uid="{00000000-0005-0000-0000-00001F0F0000}"/>
    <cellStyle name="20% - Accent1 9 2 5 4" xfId="20881" xr:uid="{00000000-0005-0000-0000-0000200F0000}"/>
    <cellStyle name="20% - Accent1 9 2 6" xfId="1494" xr:uid="{00000000-0005-0000-0000-0000210F0000}"/>
    <cellStyle name="20% - Accent1 9 2 6 2" xfId="12885" xr:uid="{00000000-0005-0000-0000-0000220F0000}"/>
    <cellStyle name="20% - Accent1 9 2 6 2 2" xfId="24742" xr:uid="{00000000-0005-0000-0000-0000230F0000}"/>
    <cellStyle name="20% - Accent1 9 2 6 3" xfId="16836" xr:uid="{00000000-0005-0000-0000-0000240F0000}"/>
    <cellStyle name="20% - Accent1 9 2 6 3 2" xfId="28528" xr:uid="{00000000-0005-0000-0000-0000250F0000}"/>
    <cellStyle name="20% - Accent1 9 2 6 4" xfId="20882" xr:uid="{00000000-0005-0000-0000-0000260F0000}"/>
    <cellStyle name="20% - Accent1 9 2 7" xfId="12874" xr:uid="{00000000-0005-0000-0000-0000270F0000}"/>
    <cellStyle name="20% - Accent1 9 2 7 2" xfId="24731" xr:uid="{00000000-0005-0000-0000-0000280F0000}"/>
    <cellStyle name="20% - Accent1 9 2 8" xfId="16825" xr:uid="{00000000-0005-0000-0000-0000290F0000}"/>
    <cellStyle name="20% - Accent1 9 2 8 2" xfId="28517" xr:uid="{00000000-0005-0000-0000-00002A0F0000}"/>
    <cellStyle name="20% - Accent1 9 2 9" xfId="20871" xr:uid="{00000000-0005-0000-0000-00002B0F0000}"/>
    <cellStyle name="20% - Accent1 9 2_Volatility" xfId="1495" xr:uid="{00000000-0005-0000-0000-00002C0F0000}"/>
    <cellStyle name="20% - Accent1 9 3" xfId="1496" xr:uid="{00000000-0005-0000-0000-00002D0F0000}"/>
    <cellStyle name="20% - Accent1 9 3 2" xfId="1497" xr:uid="{00000000-0005-0000-0000-00002E0F0000}"/>
    <cellStyle name="20% - Accent1 9 3 2 2" xfId="1498" xr:uid="{00000000-0005-0000-0000-00002F0F0000}"/>
    <cellStyle name="20% - Accent1 9 3 2 2 2" xfId="12888" xr:uid="{00000000-0005-0000-0000-0000300F0000}"/>
    <cellStyle name="20% - Accent1 9 3 2 2 2 2" xfId="24745" xr:uid="{00000000-0005-0000-0000-0000310F0000}"/>
    <cellStyle name="20% - Accent1 9 3 2 2 3" xfId="16839" xr:uid="{00000000-0005-0000-0000-0000320F0000}"/>
    <cellStyle name="20% - Accent1 9 3 2 2 3 2" xfId="28531" xr:uid="{00000000-0005-0000-0000-0000330F0000}"/>
    <cellStyle name="20% - Accent1 9 3 2 2 4" xfId="20885" xr:uid="{00000000-0005-0000-0000-0000340F0000}"/>
    <cellStyle name="20% - Accent1 9 3 2 3" xfId="1499" xr:uid="{00000000-0005-0000-0000-0000350F0000}"/>
    <cellStyle name="20% - Accent1 9 3 2 3 2" xfId="12889" xr:uid="{00000000-0005-0000-0000-0000360F0000}"/>
    <cellStyle name="20% - Accent1 9 3 2 3 2 2" xfId="24746" xr:uid="{00000000-0005-0000-0000-0000370F0000}"/>
    <cellStyle name="20% - Accent1 9 3 2 3 3" xfId="16840" xr:uid="{00000000-0005-0000-0000-0000380F0000}"/>
    <cellStyle name="20% - Accent1 9 3 2 3 3 2" xfId="28532" xr:uid="{00000000-0005-0000-0000-0000390F0000}"/>
    <cellStyle name="20% - Accent1 9 3 2 3 4" xfId="20886" xr:uid="{00000000-0005-0000-0000-00003A0F0000}"/>
    <cellStyle name="20% - Accent1 9 3 2 4" xfId="12887" xr:uid="{00000000-0005-0000-0000-00003B0F0000}"/>
    <cellStyle name="20% - Accent1 9 3 2 4 2" xfId="24744" xr:uid="{00000000-0005-0000-0000-00003C0F0000}"/>
    <cellStyle name="20% - Accent1 9 3 2 5" xfId="16838" xr:uid="{00000000-0005-0000-0000-00003D0F0000}"/>
    <cellStyle name="20% - Accent1 9 3 2 5 2" xfId="28530" xr:uid="{00000000-0005-0000-0000-00003E0F0000}"/>
    <cellStyle name="20% - Accent1 9 3 2 6" xfId="20884" xr:uid="{00000000-0005-0000-0000-00003F0F0000}"/>
    <cellStyle name="20% - Accent1 9 3 3" xfId="1500" xr:uid="{00000000-0005-0000-0000-0000400F0000}"/>
    <cellStyle name="20% - Accent1 9 3 3 2" xfId="1501" xr:uid="{00000000-0005-0000-0000-0000410F0000}"/>
    <cellStyle name="20% - Accent1 9 3 3 2 2" xfId="12891" xr:uid="{00000000-0005-0000-0000-0000420F0000}"/>
    <cellStyle name="20% - Accent1 9 3 3 2 2 2" xfId="24748" xr:uid="{00000000-0005-0000-0000-0000430F0000}"/>
    <cellStyle name="20% - Accent1 9 3 3 2 3" xfId="16842" xr:uid="{00000000-0005-0000-0000-0000440F0000}"/>
    <cellStyle name="20% - Accent1 9 3 3 2 3 2" xfId="28534" xr:uid="{00000000-0005-0000-0000-0000450F0000}"/>
    <cellStyle name="20% - Accent1 9 3 3 2 4" xfId="20888" xr:uid="{00000000-0005-0000-0000-0000460F0000}"/>
    <cellStyle name="20% - Accent1 9 3 3 3" xfId="1502" xr:uid="{00000000-0005-0000-0000-0000470F0000}"/>
    <cellStyle name="20% - Accent1 9 3 3 3 2" xfId="12892" xr:uid="{00000000-0005-0000-0000-0000480F0000}"/>
    <cellStyle name="20% - Accent1 9 3 3 3 2 2" xfId="24749" xr:uid="{00000000-0005-0000-0000-0000490F0000}"/>
    <cellStyle name="20% - Accent1 9 3 3 3 3" xfId="16843" xr:uid="{00000000-0005-0000-0000-00004A0F0000}"/>
    <cellStyle name="20% - Accent1 9 3 3 3 3 2" xfId="28535" xr:uid="{00000000-0005-0000-0000-00004B0F0000}"/>
    <cellStyle name="20% - Accent1 9 3 3 3 4" xfId="20889" xr:uid="{00000000-0005-0000-0000-00004C0F0000}"/>
    <cellStyle name="20% - Accent1 9 3 3 4" xfId="12890" xr:uid="{00000000-0005-0000-0000-00004D0F0000}"/>
    <cellStyle name="20% - Accent1 9 3 3 4 2" xfId="24747" xr:uid="{00000000-0005-0000-0000-00004E0F0000}"/>
    <cellStyle name="20% - Accent1 9 3 3 5" xfId="16841" xr:uid="{00000000-0005-0000-0000-00004F0F0000}"/>
    <cellStyle name="20% - Accent1 9 3 3 5 2" xfId="28533" xr:uid="{00000000-0005-0000-0000-0000500F0000}"/>
    <cellStyle name="20% - Accent1 9 3 3 6" xfId="20887" xr:uid="{00000000-0005-0000-0000-0000510F0000}"/>
    <cellStyle name="20% - Accent1 9 3 4" xfId="1503" xr:uid="{00000000-0005-0000-0000-0000520F0000}"/>
    <cellStyle name="20% - Accent1 9 3 4 2" xfId="12893" xr:uid="{00000000-0005-0000-0000-0000530F0000}"/>
    <cellStyle name="20% - Accent1 9 3 4 2 2" xfId="24750" xr:uid="{00000000-0005-0000-0000-0000540F0000}"/>
    <cellStyle name="20% - Accent1 9 3 4 3" xfId="16844" xr:uid="{00000000-0005-0000-0000-0000550F0000}"/>
    <cellStyle name="20% - Accent1 9 3 4 3 2" xfId="28536" xr:uid="{00000000-0005-0000-0000-0000560F0000}"/>
    <cellStyle name="20% - Accent1 9 3 4 4" xfId="20890" xr:uid="{00000000-0005-0000-0000-0000570F0000}"/>
    <cellStyle name="20% - Accent1 9 3 5" xfId="1504" xr:uid="{00000000-0005-0000-0000-0000580F0000}"/>
    <cellStyle name="20% - Accent1 9 3 5 2" xfId="12894" xr:uid="{00000000-0005-0000-0000-0000590F0000}"/>
    <cellStyle name="20% - Accent1 9 3 5 2 2" xfId="24751" xr:uid="{00000000-0005-0000-0000-00005A0F0000}"/>
    <cellStyle name="20% - Accent1 9 3 5 3" xfId="16845" xr:uid="{00000000-0005-0000-0000-00005B0F0000}"/>
    <cellStyle name="20% - Accent1 9 3 5 3 2" xfId="28537" xr:uid="{00000000-0005-0000-0000-00005C0F0000}"/>
    <cellStyle name="20% - Accent1 9 3 5 4" xfId="20891" xr:uid="{00000000-0005-0000-0000-00005D0F0000}"/>
    <cellStyle name="20% - Accent1 9 3 6" xfId="12886" xr:uid="{00000000-0005-0000-0000-00005E0F0000}"/>
    <cellStyle name="20% - Accent1 9 3 6 2" xfId="24743" xr:uid="{00000000-0005-0000-0000-00005F0F0000}"/>
    <cellStyle name="20% - Accent1 9 3 7" xfId="16837" xr:uid="{00000000-0005-0000-0000-0000600F0000}"/>
    <cellStyle name="20% - Accent1 9 3 7 2" xfId="28529" xr:uid="{00000000-0005-0000-0000-0000610F0000}"/>
    <cellStyle name="20% - Accent1 9 3 8" xfId="20883" xr:uid="{00000000-0005-0000-0000-0000620F0000}"/>
    <cellStyle name="20% - Accent1 9 3_Volatility" xfId="1505" xr:uid="{00000000-0005-0000-0000-0000630F0000}"/>
    <cellStyle name="20% - Accent1 9 4" xfId="1506" xr:uid="{00000000-0005-0000-0000-0000640F0000}"/>
    <cellStyle name="20% - Accent1 9 4 2" xfId="1507" xr:uid="{00000000-0005-0000-0000-0000650F0000}"/>
    <cellStyle name="20% - Accent1 9 4 2 2" xfId="12896" xr:uid="{00000000-0005-0000-0000-0000660F0000}"/>
    <cellStyle name="20% - Accent1 9 4 2 2 2" xfId="24753" xr:uid="{00000000-0005-0000-0000-0000670F0000}"/>
    <cellStyle name="20% - Accent1 9 4 2 3" xfId="16847" xr:uid="{00000000-0005-0000-0000-0000680F0000}"/>
    <cellStyle name="20% - Accent1 9 4 2 3 2" xfId="28539" xr:uid="{00000000-0005-0000-0000-0000690F0000}"/>
    <cellStyle name="20% - Accent1 9 4 2 4" xfId="20893" xr:uid="{00000000-0005-0000-0000-00006A0F0000}"/>
    <cellStyle name="20% - Accent1 9 4 3" xfId="1508" xr:uid="{00000000-0005-0000-0000-00006B0F0000}"/>
    <cellStyle name="20% - Accent1 9 4 3 2" xfId="12897" xr:uid="{00000000-0005-0000-0000-00006C0F0000}"/>
    <cellStyle name="20% - Accent1 9 4 3 2 2" xfId="24754" xr:uid="{00000000-0005-0000-0000-00006D0F0000}"/>
    <cellStyle name="20% - Accent1 9 4 3 3" xfId="16848" xr:uid="{00000000-0005-0000-0000-00006E0F0000}"/>
    <cellStyle name="20% - Accent1 9 4 3 3 2" xfId="28540" xr:uid="{00000000-0005-0000-0000-00006F0F0000}"/>
    <cellStyle name="20% - Accent1 9 4 3 4" xfId="20894" xr:uid="{00000000-0005-0000-0000-0000700F0000}"/>
    <cellStyle name="20% - Accent1 9 4 4" xfId="12895" xr:uid="{00000000-0005-0000-0000-0000710F0000}"/>
    <cellStyle name="20% - Accent1 9 4 4 2" xfId="24752" xr:uid="{00000000-0005-0000-0000-0000720F0000}"/>
    <cellStyle name="20% - Accent1 9 4 5" xfId="16846" xr:uid="{00000000-0005-0000-0000-0000730F0000}"/>
    <cellStyle name="20% - Accent1 9 4 5 2" xfId="28538" xr:uid="{00000000-0005-0000-0000-0000740F0000}"/>
    <cellStyle name="20% - Accent1 9 4 6" xfId="20892" xr:uid="{00000000-0005-0000-0000-0000750F0000}"/>
    <cellStyle name="20% - Accent1 9 5" xfId="1509" xr:uid="{00000000-0005-0000-0000-0000760F0000}"/>
    <cellStyle name="20% - Accent1 9 5 2" xfId="1510" xr:uid="{00000000-0005-0000-0000-0000770F0000}"/>
    <cellStyle name="20% - Accent1 9 5 2 2" xfId="12899" xr:uid="{00000000-0005-0000-0000-0000780F0000}"/>
    <cellStyle name="20% - Accent1 9 5 2 2 2" xfId="24756" xr:uid="{00000000-0005-0000-0000-0000790F0000}"/>
    <cellStyle name="20% - Accent1 9 5 2 3" xfId="16850" xr:uid="{00000000-0005-0000-0000-00007A0F0000}"/>
    <cellStyle name="20% - Accent1 9 5 2 3 2" xfId="28542" xr:uid="{00000000-0005-0000-0000-00007B0F0000}"/>
    <cellStyle name="20% - Accent1 9 5 2 4" xfId="20896" xr:uid="{00000000-0005-0000-0000-00007C0F0000}"/>
    <cellStyle name="20% - Accent1 9 5 3" xfId="1511" xr:uid="{00000000-0005-0000-0000-00007D0F0000}"/>
    <cellStyle name="20% - Accent1 9 5 3 2" xfId="12900" xr:uid="{00000000-0005-0000-0000-00007E0F0000}"/>
    <cellStyle name="20% - Accent1 9 5 3 2 2" xfId="24757" xr:uid="{00000000-0005-0000-0000-00007F0F0000}"/>
    <cellStyle name="20% - Accent1 9 5 3 3" xfId="16851" xr:uid="{00000000-0005-0000-0000-0000800F0000}"/>
    <cellStyle name="20% - Accent1 9 5 3 3 2" xfId="28543" xr:uid="{00000000-0005-0000-0000-0000810F0000}"/>
    <cellStyle name="20% - Accent1 9 5 3 4" xfId="20897" xr:uid="{00000000-0005-0000-0000-0000820F0000}"/>
    <cellStyle name="20% - Accent1 9 5 4" xfId="12898" xr:uid="{00000000-0005-0000-0000-0000830F0000}"/>
    <cellStyle name="20% - Accent1 9 5 4 2" xfId="24755" xr:uid="{00000000-0005-0000-0000-0000840F0000}"/>
    <cellStyle name="20% - Accent1 9 5 5" xfId="16849" xr:uid="{00000000-0005-0000-0000-0000850F0000}"/>
    <cellStyle name="20% - Accent1 9 5 5 2" xfId="28541" xr:uid="{00000000-0005-0000-0000-0000860F0000}"/>
    <cellStyle name="20% - Accent1 9 5 6" xfId="20895" xr:uid="{00000000-0005-0000-0000-0000870F0000}"/>
    <cellStyle name="20% - Accent1 9 6" xfId="1512" xr:uid="{00000000-0005-0000-0000-0000880F0000}"/>
    <cellStyle name="20% - Accent1 9 6 2" xfId="1513" xr:uid="{00000000-0005-0000-0000-0000890F0000}"/>
    <cellStyle name="20% - Accent1 9 6 2 2" xfId="12902" xr:uid="{00000000-0005-0000-0000-00008A0F0000}"/>
    <cellStyle name="20% - Accent1 9 6 2 2 2" xfId="24759" xr:uid="{00000000-0005-0000-0000-00008B0F0000}"/>
    <cellStyle name="20% - Accent1 9 6 2 3" xfId="16853" xr:uid="{00000000-0005-0000-0000-00008C0F0000}"/>
    <cellStyle name="20% - Accent1 9 6 2 3 2" xfId="28545" xr:uid="{00000000-0005-0000-0000-00008D0F0000}"/>
    <cellStyle name="20% - Accent1 9 6 2 4" xfId="20899" xr:uid="{00000000-0005-0000-0000-00008E0F0000}"/>
    <cellStyle name="20% - Accent1 9 6 3" xfId="1514" xr:uid="{00000000-0005-0000-0000-00008F0F0000}"/>
    <cellStyle name="20% - Accent1 9 6 3 2" xfId="12903" xr:uid="{00000000-0005-0000-0000-0000900F0000}"/>
    <cellStyle name="20% - Accent1 9 6 3 2 2" xfId="24760" xr:uid="{00000000-0005-0000-0000-0000910F0000}"/>
    <cellStyle name="20% - Accent1 9 6 3 3" xfId="16854" xr:uid="{00000000-0005-0000-0000-0000920F0000}"/>
    <cellStyle name="20% - Accent1 9 6 3 3 2" xfId="28546" xr:uid="{00000000-0005-0000-0000-0000930F0000}"/>
    <cellStyle name="20% - Accent1 9 6 3 4" xfId="20900" xr:uid="{00000000-0005-0000-0000-0000940F0000}"/>
    <cellStyle name="20% - Accent1 9 6 4" xfId="12901" xr:uid="{00000000-0005-0000-0000-0000950F0000}"/>
    <cellStyle name="20% - Accent1 9 6 4 2" xfId="24758" xr:uid="{00000000-0005-0000-0000-0000960F0000}"/>
    <cellStyle name="20% - Accent1 9 6 5" xfId="16852" xr:uid="{00000000-0005-0000-0000-0000970F0000}"/>
    <cellStyle name="20% - Accent1 9 6 5 2" xfId="28544" xr:uid="{00000000-0005-0000-0000-0000980F0000}"/>
    <cellStyle name="20% - Accent1 9 6 6" xfId="20898" xr:uid="{00000000-0005-0000-0000-0000990F0000}"/>
    <cellStyle name="20% - Accent1 9 7" xfId="1515" xr:uid="{00000000-0005-0000-0000-00009A0F0000}"/>
    <cellStyle name="20% - Accent1 9 7 2" xfId="12904" xr:uid="{00000000-0005-0000-0000-00009B0F0000}"/>
    <cellStyle name="20% - Accent1 9 7 2 2" xfId="24761" xr:uid="{00000000-0005-0000-0000-00009C0F0000}"/>
    <cellStyle name="20% - Accent1 9 7 3" xfId="16855" xr:uid="{00000000-0005-0000-0000-00009D0F0000}"/>
    <cellStyle name="20% - Accent1 9 7 3 2" xfId="28547" xr:uid="{00000000-0005-0000-0000-00009E0F0000}"/>
    <cellStyle name="20% - Accent1 9 7 4" xfId="20901" xr:uid="{00000000-0005-0000-0000-00009F0F0000}"/>
    <cellStyle name="20% - Accent1 9 8" xfId="1516" xr:uid="{00000000-0005-0000-0000-0000A00F0000}"/>
    <cellStyle name="20% - Accent1 9 8 2" xfId="12905" xr:uid="{00000000-0005-0000-0000-0000A10F0000}"/>
    <cellStyle name="20% - Accent1 9 8 2 2" xfId="24762" xr:uid="{00000000-0005-0000-0000-0000A20F0000}"/>
    <cellStyle name="20% - Accent1 9 8 3" xfId="16856" xr:uid="{00000000-0005-0000-0000-0000A30F0000}"/>
    <cellStyle name="20% - Accent1 9 8 3 2" xfId="28548" xr:uid="{00000000-0005-0000-0000-0000A40F0000}"/>
    <cellStyle name="20% - Accent1 9 8 4" xfId="20902" xr:uid="{00000000-0005-0000-0000-0000A50F0000}"/>
    <cellStyle name="20% - Accent1 9 9" xfId="12873" xr:uid="{00000000-0005-0000-0000-0000A60F0000}"/>
    <cellStyle name="20% - Accent1 9 9 2" xfId="24730" xr:uid="{00000000-0005-0000-0000-0000A70F0000}"/>
    <cellStyle name="20% - Accent1 9_Volatility" xfId="1517" xr:uid="{00000000-0005-0000-0000-0000A80F0000}"/>
    <cellStyle name="20% - Accent2 10" xfId="1518" xr:uid="{00000000-0005-0000-0000-0000A90F0000}"/>
    <cellStyle name="20% - Accent2 10 10" xfId="16857" xr:uid="{00000000-0005-0000-0000-0000AA0F0000}"/>
    <cellStyle name="20% - Accent2 10 10 2" xfId="28549" xr:uid="{00000000-0005-0000-0000-0000AB0F0000}"/>
    <cellStyle name="20% - Accent2 10 11" xfId="20903" xr:uid="{00000000-0005-0000-0000-0000AC0F0000}"/>
    <cellStyle name="20% - Accent2 10 2" xfId="1519" xr:uid="{00000000-0005-0000-0000-0000AD0F0000}"/>
    <cellStyle name="20% - Accent2 10 2 2" xfId="1520" xr:uid="{00000000-0005-0000-0000-0000AE0F0000}"/>
    <cellStyle name="20% - Accent2 10 2 2 2" xfId="1521" xr:uid="{00000000-0005-0000-0000-0000AF0F0000}"/>
    <cellStyle name="20% - Accent2 10 2 2 2 2" xfId="12909" xr:uid="{00000000-0005-0000-0000-0000B00F0000}"/>
    <cellStyle name="20% - Accent2 10 2 2 2 2 2" xfId="24766" xr:uid="{00000000-0005-0000-0000-0000B10F0000}"/>
    <cellStyle name="20% - Accent2 10 2 2 2 3" xfId="16860" xr:uid="{00000000-0005-0000-0000-0000B20F0000}"/>
    <cellStyle name="20% - Accent2 10 2 2 2 3 2" xfId="28552" xr:uid="{00000000-0005-0000-0000-0000B30F0000}"/>
    <cellStyle name="20% - Accent2 10 2 2 2 4" xfId="20906" xr:uid="{00000000-0005-0000-0000-0000B40F0000}"/>
    <cellStyle name="20% - Accent2 10 2 2 3" xfId="1522" xr:uid="{00000000-0005-0000-0000-0000B50F0000}"/>
    <cellStyle name="20% - Accent2 10 2 2 3 2" xfId="12910" xr:uid="{00000000-0005-0000-0000-0000B60F0000}"/>
    <cellStyle name="20% - Accent2 10 2 2 3 2 2" xfId="24767" xr:uid="{00000000-0005-0000-0000-0000B70F0000}"/>
    <cellStyle name="20% - Accent2 10 2 2 3 3" xfId="16861" xr:uid="{00000000-0005-0000-0000-0000B80F0000}"/>
    <cellStyle name="20% - Accent2 10 2 2 3 3 2" xfId="28553" xr:uid="{00000000-0005-0000-0000-0000B90F0000}"/>
    <cellStyle name="20% - Accent2 10 2 2 3 4" xfId="20907" xr:uid="{00000000-0005-0000-0000-0000BA0F0000}"/>
    <cellStyle name="20% - Accent2 10 2 2 4" xfId="12908" xr:uid="{00000000-0005-0000-0000-0000BB0F0000}"/>
    <cellStyle name="20% - Accent2 10 2 2 4 2" xfId="24765" xr:uid="{00000000-0005-0000-0000-0000BC0F0000}"/>
    <cellStyle name="20% - Accent2 10 2 2 5" xfId="16859" xr:uid="{00000000-0005-0000-0000-0000BD0F0000}"/>
    <cellStyle name="20% - Accent2 10 2 2 5 2" xfId="28551" xr:uid="{00000000-0005-0000-0000-0000BE0F0000}"/>
    <cellStyle name="20% - Accent2 10 2 2 6" xfId="20905" xr:uid="{00000000-0005-0000-0000-0000BF0F0000}"/>
    <cellStyle name="20% - Accent2 10 2 3" xfId="1523" xr:uid="{00000000-0005-0000-0000-0000C00F0000}"/>
    <cellStyle name="20% - Accent2 10 2 3 2" xfId="1524" xr:uid="{00000000-0005-0000-0000-0000C10F0000}"/>
    <cellStyle name="20% - Accent2 10 2 3 2 2" xfId="12912" xr:uid="{00000000-0005-0000-0000-0000C20F0000}"/>
    <cellStyle name="20% - Accent2 10 2 3 2 2 2" xfId="24769" xr:uid="{00000000-0005-0000-0000-0000C30F0000}"/>
    <cellStyle name="20% - Accent2 10 2 3 2 3" xfId="16863" xr:uid="{00000000-0005-0000-0000-0000C40F0000}"/>
    <cellStyle name="20% - Accent2 10 2 3 2 3 2" xfId="28555" xr:uid="{00000000-0005-0000-0000-0000C50F0000}"/>
    <cellStyle name="20% - Accent2 10 2 3 2 4" xfId="20909" xr:uid="{00000000-0005-0000-0000-0000C60F0000}"/>
    <cellStyle name="20% - Accent2 10 2 3 3" xfId="1525" xr:uid="{00000000-0005-0000-0000-0000C70F0000}"/>
    <cellStyle name="20% - Accent2 10 2 3 3 2" xfId="12913" xr:uid="{00000000-0005-0000-0000-0000C80F0000}"/>
    <cellStyle name="20% - Accent2 10 2 3 3 2 2" xfId="24770" xr:uid="{00000000-0005-0000-0000-0000C90F0000}"/>
    <cellStyle name="20% - Accent2 10 2 3 3 3" xfId="16864" xr:uid="{00000000-0005-0000-0000-0000CA0F0000}"/>
    <cellStyle name="20% - Accent2 10 2 3 3 3 2" xfId="28556" xr:uid="{00000000-0005-0000-0000-0000CB0F0000}"/>
    <cellStyle name="20% - Accent2 10 2 3 3 4" xfId="20910" xr:uid="{00000000-0005-0000-0000-0000CC0F0000}"/>
    <cellStyle name="20% - Accent2 10 2 3 4" xfId="12911" xr:uid="{00000000-0005-0000-0000-0000CD0F0000}"/>
    <cellStyle name="20% - Accent2 10 2 3 4 2" xfId="24768" xr:uid="{00000000-0005-0000-0000-0000CE0F0000}"/>
    <cellStyle name="20% - Accent2 10 2 3 5" xfId="16862" xr:uid="{00000000-0005-0000-0000-0000CF0F0000}"/>
    <cellStyle name="20% - Accent2 10 2 3 5 2" xfId="28554" xr:uid="{00000000-0005-0000-0000-0000D00F0000}"/>
    <cellStyle name="20% - Accent2 10 2 3 6" xfId="20908" xr:uid="{00000000-0005-0000-0000-0000D10F0000}"/>
    <cellStyle name="20% - Accent2 10 2 4" xfId="1526" xr:uid="{00000000-0005-0000-0000-0000D20F0000}"/>
    <cellStyle name="20% - Accent2 10 2 4 2" xfId="1527" xr:uid="{00000000-0005-0000-0000-0000D30F0000}"/>
    <cellStyle name="20% - Accent2 10 2 4 2 2" xfId="12915" xr:uid="{00000000-0005-0000-0000-0000D40F0000}"/>
    <cellStyle name="20% - Accent2 10 2 4 2 2 2" xfId="24772" xr:uid="{00000000-0005-0000-0000-0000D50F0000}"/>
    <cellStyle name="20% - Accent2 10 2 4 2 3" xfId="16866" xr:uid="{00000000-0005-0000-0000-0000D60F0000}"/>
    <cellStyle name="20% - Accent2 10 2 4 2 3 2" xfId="28558" xr:uid="{00000000-0005-0000-0000-0000D70F0000}"/>
    <cellStyle name="20% - Accent2 10 2 4 2 4" xfId="20912" xr:uid="{00000000-0005-0000-0000-0000D80F0000}"/>
    <cellStyle name="20% - Accent2 10 2 4 3" xfId="1528" xr:uid="{00000000-0005-0000-0000-0000D90F0000}"/>
    <cellStyle name="20% - Accent2 10 2 4 3 2" xfId="12916" xr:uid="{00000000-0005-0000-0000-0000DA0F0000}"/>
    <cellStyle name="20% - Accent2 10 2 4 3 2 2" xfId="24773" xr:uid="{00000000-0005-0000-0000-0000DB0F0000}"/>
    <cellStyle name="20% - Accent2 10 2 4 3 3" xfId="16867" xr:uid="{00000000-0005-0000-0000-0000DC0F0000}"/>
    <cellStyle name="20% - Accent2 10 2 4 3 3 2" xfId="28559" xr:uid="{00000000-0005-0000-0000-0000DD0F0000}"/>
    <cellStyle name="20% - Accent2 10 2 4 3 4" xfId="20913" xr:uid="{00000000-0005-0000-0000-0000DE0F0000}"/>
    <cellStyle name="20% - Accent2 10 2 4 4" xfId="12914" xr:uid="{00000000-0005-0000-0000-0000DF0F0000}"/>
    <cellStyle name="20% - Accent2 10 2 4 4 2" xfId="24771" xr:uid="{00000000-0005-0000-0000-0000E00F0000}"/>
    <cellStyle name="20% - Accent2 10 2 4 5" xfId="16865" xr:uid="{00000000-0005-0000-0000-0000E10F0000}"/>
    <cellStyle name="20% - Accent2 10 2 4 5 2" xfId="28557" xr:uid="{00000000-0005-0000-0000-0000E20F0000}"/>
    <cellStyle name="20% - Accent2 10 2 4 6" xfId="20911" xr:uid="{00000000-0005-0000-0000-0000E30F0000}"/>
    <cellStyle name="20% - Accent2 10 2 5" xfId="1529" xr:uid="{00000000-0005-0000-0000-0000E40F0000}"/>
    <cellStyle name="20% - Accent2 10 2 5 2" xfId="12917" xr:uid="{00000000-0005-0000-0000-0000E50F0000}"/>
    <cellStyle name="20% - Accent2 10 2 5 2 2" xfId="24774" xr:uid="{00000000-0005-0000-0000-0000E60F0000}"/>
    <cellStyle name="20% - Accent2 10 2 5 3" xfId="16868" xr:uid="{00000000-0005-0000-0000-0000E70F0000}"/>
    <cellStyle name="20% - Accent2 10 2 5 3 2" xfId="28560" xr:uid="{00000000-0005-0000-0000-0000E80F0000}"/>
    <cellStyle name="20% - Accent2 10 2 5 4" xfId="20914" xr:uid="{00000000-0005-0000-0000-0000E90F0000}"/>
    <cellStyle name="20% - Accent2 10 2 6" xfId="1530" xr:uid="{00000000-0005-0000-0000-0000EA0F0000}"/>
    <cellStyle name="20% - Accent2 10 2 6 2" xfId="12918" xr:uid="{00000000-0005-0000-0000-0000EB0F0000}"/>
    <cellStyle name="20% - Accent2 10 2 6 2 2" xfId="24775" xr:uid="{00000000-0005-0000-0000-0000EC0F0000}"/>
    <cellStyle name="20% - Accent2 10 2 6 3" xfId="16869" xr:uid="{00000000-0005-0000-0000-0000ED0F0000}"/>
    <cellStyle name="20% - Accent2 10 2 6 3 2" xfId="28561" xr:uid="{00000000-0005-0000-0000-0000EE0F0000}"/>
    <cellStyle name="20% - Accent2 10 2 6 4" xfId="20915" xr:uid="{00000000-0005-0000-0000-0000EF0F0000}"/>
    <cellStyle name="20% - Accent2 10 2 7" xfId="12907" xr:uid="{00000000-0005-0000-0000-0000F00F0000}"/>
    <cellStyle name="20% - Accent2 10 2 7 2" xfId="24764" xr:uid="{00000000-0005-0000-0000-0000F10F0000}"/>
    <cellStyle name="20% - Accent2 10 2 8" xfId="16858" xr:uid="{00000000-0005-0000-0000-0000F20F0000}"/>
    <cellStyle name="20% - Accent2 10 2 8 2" xfId="28550" xr:uid="{00000000-0005-0000-0000-0000F30F0000}"/>
    <cellStyle name="20% - Accent2 10 2 9" xfId="20904" xr:uid="{00000000-0005-0000-0000-0000F40F0000}"/>
    <cellStyle name="20% - Accent2 10 2_Volatility" xfId="1531" xr:uid="{00000000-0005-0000-0000-0000F50F0000}"/>
    <cellStyle name="20% - Accent2 10 3" xfId="1532" xr:uid="{00000000-0005-0000-0000-0000F60F0000}"/>
    <cellStyle name="20% - Accent2 10 3 2" xfId="1533" xr:uid="{00000000-0005-0000-0000-0000F70F0000}"/>
    <cellStyle name="20% - Accent2 10 3 2 2" xfId="1534" xr:uid="{00000000-0005-0000-0000-0000F80F0000}"/>
    <cellStyle name="20% - Accent2 10 3 2 2 2" xfId="12921" xr:uid="{00000000-0005-0000-0000-0000F90F0000}"/>
    <cellStyle name="20% - Accent2 10 3 2 2 2 2" xfId="24778" xr:uid="{00000000-0005-0000-0000-0000FA0F0000}"/>
    <cellStyle name="20% - Accent2 10 3 2 2 3" xfId="16872" xr:uid="{00000000-0005-0000-0000-0000FB0F0000}"/>
    <cellStyle name="20% - Accent2 10 3 2 2 3 2" xfId="28564" xr:uid="{00000000-0005-0000-0000-0000FC0F0000}"/>
    <cellStyle name="20% - Accent2 10 3 2 2 4" xfId="20918" xr:uid="{00000000-0005-0000-0000-0000FD0F0000}"/>
    <cellStyle name="20% - Accent2 10 3 2 3" xfId="1535" xr:uid="{00000000-0005-0000-0000-0000FE0F0000}"/>
    <cellStyle name="20% - Accent2 10 3 2 3 2" xfId="12922" xr:uid="{00000000-0005-0000-0000-0000FF0F0000}"/>
    <cellStyle name="20% - Accent2 10 3 2 3 2 2" xfId="24779" xr:uid="{00000000-0005-0000-0000-000000100000}"/>
    <cellStyle name="20% - Accent2 10 3 2 3 3" xfId="16873" xr:uid="{00000000-0005-0000-0000-000001100000}"/>
    <cellStyle name="20% - Accent2 10 3 2 3 3 2" xfId="28565" xr:uid="{00000000-0005-0000-0000-000002100000}"/>
    <cellStyle name="20% - Accent2 10 3 2 3 4" xfId="20919" xr:uid="{00000000-0005-0000-0000-000003100000}"/>
    <cellStyle name="20% - Accent2 10 3 2 4" xfId="12920" xr:uid="{00000000-0005-0000-0000-000004100000}"/>
    <cellStyle name="20% - Accent2 10 3 2 4 2" xfId="24777" xr:uid="{00000000-0005-0000-0000-000005100000}"/>
    <cellStyle name="20% - Accent2 10 3 2 5" xfId="16871" xr:uid="{00000000-0005-0000-0000-000006100000}"/>
    <cellStyle name="20% - Accent2 10 3 2 5 2" xfId="28563" xr:uid="{00000000-0005-0000-0000-000007100000}"/>
    <cellStyle name="20% - Accent2 10 3 2 6" xfId="20917" xr:uid="{00000000-0005-0000-0000-000008100000}"/>
    <cellStyle name="20% - Accent2 10 3 3" xfId="1536" xr:uid="{00000000-0005-0000-0000-000009100000}"/>
    <cellStyle name="20% - Accent2 10 3 3 2" xfId="1537" xr:uid="{00000000-0005-0000-0000-00000A100000}"/>
    <cellStyle name="20% - Accent2 10 3 3 2 2" xfId="12924" xr:uid="{00000000-0005-0000-0000-00000B100000}"/>
    <cellStyle name="20% - Accent2 10 3 3 2 2 2" xfId="24781" xr:uid="{00000000-0005-0000-0000-00000C100000}"/>
    <cellStyle name="20% - Accent2 10 3 3 2 3" xfId="16875" xr:uid="{00000000-0005-0000-0000-00000D100000}"/>
    <cellStyle name="20% - Accent2 10 3 3 2 3 2" xfId="28567" xr:uid="{00000000-0005-0000-0000-00000E100000}"/>
    <cellStyle name="20% - Accent2 10 3 3 2 4" xfId="20921" xr:uid="{00000000-0005-0000-0000-00000F100000}"/>
    <cellStyle name="20% - Accent2 10 3 3 3" xfId="1538" xr:uid="{00000000-0005-0000-0000-000010100000}"/>
    <cellStyle name="20% - Accent2 10 3 3 3 2" xfId="12925" xr:uid="{00000000-0005-0000-0000-000011100000}"/>
    <cellStyle name="20% - Accent2 10 3 3 3 2 2" xfId="24782" xr:uid="{00000000-0005-0000-0000-000012100000}"/>
    <cellStyle name="20% - Accent2 10 3 3 3 3" xfId="16876" xr:uid="{00000000-0005-0000-0000-000013100000}"/>
    <cellStyle name="20% - Accent2 10 3 3 3 3 2" xfId="28568" xr:uid="{00000000-0005-0000-0000-000014100000}"/>
    <cellStyle name="20% - Accent2 10 3 3 3 4" xfId="20922" xr:uid="{00000000-0005-0000-0000-000015100000}"/>
    <cellStyle name="20% - Accent2 10 3 3 4" xfId="12923" xr:uid="{00000000-0005-0000-0000-000016100000}"/>
    <cellStyle name="20% - Accent2 10 3 3 4 2" xfId="24780" xr:uid="{00000000-0005-0000-0000-000017100000}"/>
    <cellStyle name="20% - Accent2 10 3 3 5" xfId="16874" xr:uid="{00000000-0005-0000-0000-000018100000}"/>
    <cellStyle name="20% - Accent2 10 3 3 5 2" xfId="28566" xr:uid="{00000000-0005-0000-0000-000019100000}"/>
    <cellStyle name="20% - Accent2 10 3 3 6" xfId="20920" xr:uid="{00000000-0005-0000-0000-00001A100000}"/>
    <cellStyle name="20% - Accent2 10 3 4" xfId="1539" xr:uid="{00000000-0005-0000-0000-00001B100000}"/>
    <cellStyle name="20% - Accent2 10 3 4 2" xfId="12926" xr:uid="{00000000-0005-0000-0000-00001C100000}"/>
    <cellStyle name="20% - Accent2 10 3 4 2 2" xfId="24783" xr:uid="{00000000-0005-0000-0000-00001D100000}"/>
    <cellStyle name="20% - Accent2 10 3 4 3" xfId="16877" xr:uid="{00000000-0005-0000-0000-00001E100000}"/>
    <cellStyle name="20% - Accent2 10 3 4 3 2" xfId="28569" xr:uid="{00000000-0005-0000-0000-00001F100000}"/>
    <cellStyle name="20% - Accent2 10 3 4 4" xfId="20923" xr:uid="{00000000-0005-0000-0000-000020100000}"/>
    <cellStyle name="20% - Accent2 10 3 5" xfId="1540" xr:uid="{00000000-0005-0000-0000-000021100000}"/>
    <cellStyle name="20% - Accent2 10 3 5 2" xfId="12927" xr:uid="{00000000-0005-0000-0000-000022100000}"/>
    <cellStyle name="20% - Accent2 10 3 5 2 2" xfId="24784" xr:uid="{00000000-0005-0000-0000-000023100000}"/>
    <cellStyle name="20% - Accent2 10 3 5 3" xfId="16878" xr:uid="{00000000-0005-0000-0000-000024100000}"/>
    <cellStyle name="20% - Accent2 10 3 5 3 2" xfId="28570" xr:uid="{00000000-0005-0000-0000-000025100000}"/>
    <cellStyle name="20% - Accent2 10 3 5 4" xfId="20924" xr:uid="{00000000-0005-0000-0000-000026100000}"/>
    <cellStyle name="20% - Accent2 10 3 6" xfId="12919" xr:uid="{00000000-0005-0000-0000-000027100000}"/>
    <cellStyle name="20% - Accent2 10 3 6 2" xfId="24776" xr:uid="{00000000-0005-0000-0000-000028100000}"/>
    <cellStyle name="20% - Accent2 10 3 7" xfId="16870" xr:uid="{00000000-0005-0000-0000-000029100000}"/>
    <cellStyle name="20% - Accent2 10 3 7 2" xfId="28562" xr:uid="{00000000-0005-0000-0000-00002A100000}"/>
    <cellStyle name="20% - Accent2 10 3 8" xfId="20916" xr:uid="{00000000-0005-0000-0000-00002B100000}"/>
    <cellStyle name="20% - Accent2 10 3_Volatility" xfId="1541" xr:uid="{00000000-0005-0000-0000-00002C100000}"/>
    <cellStyle name="20% - Accent2 10 4" xfId="1542" xr:uid="{00000000-0005-0000-0000-00002D100000}"/>
    <cellStyle name="20% - Accent2 10 4 2" xfId="1543" xr:uid="{00000000-0005-0000-0000-00002E100000}"/>
    <cellStyle name="20% - Accent2 10 4 2 2" xfId="12929" xr:uid="{00000000-0005-0000-0000-00002F100000}"/>
    <cellStyle name="20% - Accent2 10 4 2 2 2" xfId="24786" xr:uid="{00000000-0005-0000-0000-000030100000}"/>
    <cellStyle name="20% - Accent2 10 4 2 3" xfId="16880" xr:uid="{00000000-0005-0000-0000-000031100000}"/>
    <cellStyle name="20% - Accent2 10 4 2 3 2" xfId="28572" xr:uid="{00000000-0005-0000-0000-000032100000}"/>
    <cellStyle name="20% - Accent2 10 4 2 4" xfId="20926" xr:uid="{00000000-0005-0000-0000-000033100000}"/>
    <cellStyle name="20% - Accent2 10 4 3" xfId="1544" xr:uid="{00000000-0005-0000-0000-000034100000}"/>
    <cellStyle name="20% - Accent2 10 4 3 2" xfId="12930" xr:uid="{00000000-0005-0000-0000-000035100000}"/>
    <cellStyle name="20% - Accent2 10 4 3 2 2" xfId="24787" xr:uid="{00000000-0005-0000-0000-000036100000}"/>
    <cellStyle name="20% - Accent2 10 4 3 3" xfId="16881" xr:uid="{00000000-0005-0000-0000-000037100000}"/>
    <cellStyle name="20% - Accent2 10 4 3 3 2" xfId="28573" xr:uid="{00000000-0005-0000-0000-000038100000}"/>
    <cellStyle name="20% - Accent2 10 4 3 4" xfId="20927" xr:uid="{00000000-0005-0000-0000-000039100000}"/>
    <cellStyle name="20% - Accent2 10 4 4" xfId="12928" xr:uid="{00000000-0005-0000-0000-00003A100000}"/>
    <cellStyle name="20% - Accent2 10 4 4 2" xfId="24785" xr:uid="{00000000-0005-0000-0000-00003B100000}"/>
    <cellStyle name="20% - Accent2 10 4 5" xfId="16879" xr:uid="{00000000-0005-0000-0000-00003C100000}"/>
    <cellStyle name="20% - Accent2 10 4 5 2" xfId="28571" xr:uid="{00000000-0005-0000-0000-00003D100000}"/>
    <cellStyle name="20% - Accent2 10 4 6" xfId="20925" xr:uid="{00000000-0005-0000-0000-00003E100000}"/>
    <cellStyle name="20% - Accent2 10 5" xfId="1545" xr:uid="{00000000-0005-0000-0000-00003F100000}"/>
    <cellStyle name="20% - Accent2 10 5 2" xfId="1546" xr:uid="{00000000-0005-0000-0000-000040100000}"/>
    <cellStyle name="20% - Accent2 10 5 2 2" xfId="12932" xr:uid="{00000000-0005-0000-0000-000041100000}"/>
    <cellStyle name="20% - Accent2 10 5 2 2 2" xfId="24789" xr:uid="{00000000-0005-0000-0000-000042100000}"/>
    <cellStyle name="20% - Accent2 10 5 2 3" xfId="16883" xr:uid="{00000000-0005-0000-0000-000043100000}"/>
    <cellStyle name="20% - Accent2 10 5 2 3 2" xfId="28575" xr:uid="{00000000-0005-0000-0000-000044100000}"/>
    <cellStyle name="20% - Accent2 10 5 2 4" xfId="20929" xr:uid="{00000000-0005-0000-0000-000045100000}"/>
    <cellStyle name="20% - Accent2 10 5 3" xfId="1547" xr:uid="{00000000-0005-0000-0000-000046100000}"/>
    <cellStyle name="20% - Accent2 10 5 3 2" xfId="12933" xr:uid="{00000000-0005-0000-0000-000047100000}"/>
    <cellStyle name="20% - Accent2 10 5 3 2 2" xfId="24790" xr:uid="{00000000-0005-0000-0000-000048100000}"/>
    <cellStyle name="20% - Accent2 10 5 3 3" xfId="16884" xr:uid="{00000000-0005-0000-0000-000049100000}"/>
    <cellStyle name="20% - Accent2 10 5 3 3 2" xfId="28576" xr:uid="{00000000-0005-0000-0000-00004A100000}"/>
    <cellStyle name="20% - Accent2 10 5 3 4" xfId="20930" xr:uid="{00000000-0005-0000-0000-00004B100000}"/>
    <cellStyle name="20% - Accent2 10 5 4" xfId="12931" xr:uid="{00000000-0005-0000-0000-00004C100000}"/>
    <cellStyle name="20% - Accent2 10 5 4 2" xfId="24788" xr:uid="{00000000-0005-0000-0000-00004D100000}"/>
    <cellStyle name="20% - Accent2 10 5 5" xfId="16882" xr:uid="{00000000-0005-0000-0000-00004E100000}"/>
    <cellStyle name="20% - Accent2 10 5 5 2" xfId="28574" xr:uid="{00000000-0005-0000-0000-00004F100000}"/>
    <cellStyle name="20% - Accent2 10 5 6" xfId="20928" xr:uid="{00000000-0005-0000-0000-000050100000}"/>
    <cellStyle name="20% - Accent2 10 6" xfId="1548" xr:uid="{00000000-0005-0000-0000-000051100000}"/>
    <cellStyle name="20% - Accent2 10 6 2" xfId="1549" xr:uid="{00000000-0005-0000-0000-000052100000}"/>
    <cellStyle name="20% - Accent2 10 6 2 2" xfId="12935" xr:uid="{00000000-0005-0000-0000-000053100000}"/>
    <cellStyle name="20% - Accent2 10 6 2 2 2" xfId="24792" xr:uid="{00000000-0005-0000-0000-000054100000}"/>
    <cellStyle name="20% - Accent2 10 6 2 3" xfId="16886" xr:uid="{00000000-0005-0000-0000-000055100000}"/>
    <cellStyle name="20% - Accent2 10 6 2 3 2" xfId="28578" xr:uid="{00000000-0005-0000-0000-000056100000}"/>
    <cellStyle name="20% - Accent2 10 6 2 4" xfId="20932" xr:uid="{00000000-0005-0000-0000-000057100000}"/>
    <cellStyle name="20% - Accent2 10 6 3" xfId="1550" xr:uid="{00000000-0005-0000-0000-000058100000}"/>
    <cellStyle name="20% - Accent2 10 6 3 2" xfId="12936" xr:uid="{00000000-0005-0000-0000-000059100000}"/>
    <cellStyle name="20% - Accent2 10 6 3 2 2" xfId="24793" xr:uid="{00000000-0005-0000-0000-00005A100000}"/>
    <cellStyle name="20% - Accent2 10 6 3 3" xfId="16887" xr:uid="{00000000-0005-0000-0000-00005B100000}"/>
    <cellStyle name="20% - Accent2 10 6 3 3 2" xfId="28579" xr:uid="{00000000-0005-0000-0000-00005C100000}"/>
    <cellStyle name="20% - Accent2 10 6 3 4" xfId="20933" xr:uid="{00000000-0005-0000-0000-00005D100000}"/>
    <cellStyle name="20% - Accent2 10 6 4" xfId="12934" xr:uid="{00000000-0005-0000-0000-00005E100000}"/>
    <cellStyle name="20% - Accent2 10 6 4 2" xfId="24791" xr:uid="{00000000-0005-0000-0000-00005F100000}"/>
    <cellStyle name="20% - Accent2 10 6 5" xfId="16885" xr:uid="{00000000-0005-0000-0000-000060100000}"/>
    <cellStyle name="20% - Accent2 10 6 5 2" xfId="28577" xr:uid="{00000000-0005-0000-0000-000061100000}"/>
    <cellStyle name="20% - Accent2 10 6 6" xfId="20931" xr:uid="{00000000-0005-0000-0000-000062100000}"/>
    <cellStyle name="20% - Accent2 10 7" xfId="1551" xr:uid="{00000000-0005-0000-0000-000063100000}"/>
    <cellStyle name="20% - Accent2 10 7 2" xfId="12937" xr:uid="{00000000-0005-0000-0000-000064100000}"/>
    <cellStyle name="20% - Accent2 10 7 2 2" xfId="24794" xr:uid="{00000000-0005-0000-0000-000065100000}"/>
    <cellStyle name="20% - Accent2 10 7 3" xfId="16888" xr:uid="{00000000-0005-0000-0000-000066100000}"/>
    <cellStyle name="20% - Accent2 10 7 3 2" xfId="28580" xr:uid="{00000000-0005-0000-0000-000067100000}"/>
    <cellStyle name="20% - Accent2 10 7 4" xfId="20934" xr:uid="{00000000-0005-0000-0000-000068100000}"/>
    <cellStyle name="20% - Accent2 10 8" xfId="1552" xr:uid="{00000000-0005-0000-0000-000069100000}"/>
    <cellStyle name="20% - Accent2 10 8 2" xfId="12938" xr:uid="{00000000-0005-0000-0000-00006A100000}"/>
    <cellStyle name="20% - Accent2 10 8 2 2" xfId="24795" xr:uid="{00000000-0005-0000-0000-00006B100000}"/>
    <cellStyle name="20% - Accent2 10 8 3" xfId="16889" xr:uid="{00000000-0005-0000-0000-00006C100000}"/>
    <cellStyle name="20% - Accent2 10 8 3 2" xfId="28581" xr:uid="{00000000-0005-0000-0000-00006D100000}"/>
    <cellStyle name="20% - Accent2 10 8 4" xfId="20935" xr:uid="{00000000-0005-0000-0000-00006E100000}"/>
    <cellStyle name="20% - Accent2 10 9" xfId="12906" xr:uid="{00000000-0005-0000-0000-00006F100000}"/>
    <cellStyle name="20% - Accent2 10 9 2" xfId="24763" xr:uid="{00000000-0005-0000-0000-000070100000}"/>
    <cellStyle name="20% - Accent2 10_Volatility" xfId="1553" xr:uid="{00000000-0005-0000-0000-000071100000}"/>
    <cellStyle name="20% - Accent2 11" xfId="1554" xr:uid="{00000000-0005-0000-0000-000072100000}"/>
    <cellStyle name="20% - Accent2 11 10" xfId="16890" xr:uid="{00000000-0005-0000-0000-000073100000}"/>
    <cellStyle name="20% - Accent2 11 10 2" xfId="28582" xr:uid="{00000000-0005-0000-0000-000074100000}"/>
    <cellStyle name="20% - Accent2 11 11" xfId="20936" xr:uid="{00000000-0005-0000-0000-000075100000}"/>
    <cellStyle name="20% - Accent2 11 2" xfId="1555" xr:uid="{00000000-0005-0000-0000-000076100000}"/>
    <cellStyle name="20% - Accent2 11 2 2" xfId="1556" xr:uid="{00000000-0005-0000-0000-000077100000}"/>
    <cellStyle name="20% - Accent2 11 2 2 2" xfId="1557" xr:uid="{00000000-0005-0000-0000-000078100000}"/>
    <cellStyle name="20% - Accent2 11 2 2 2 2" xfId="12942" xr:uid="{00000000-0005-0000-0000-000079100000}"/>
    <cellStyle name="20% - Accent2 11 2 2 2 2 2" xfId="24799" xr:uid="{00000000-0005-0000-0000-00007A100000}"/>
    <cellStyle name="20% - Accent2 11 2 2 2 3" xfId="16893" xr:uid="{00000000-0005-0000-0000-00007B100000}"/>
    <cellStyle name="20% - Accent2 11 2 2 2 3 2" xfId="28585" xr:uid="{00000000-0005-0000-0000-00007C100000}"/>
    <cellStyle name="20% - Accent2 11 2 2 2 4" xfId="20939" xr:uid="{00000000-0005-0000-0000-00007D100000}"/>
    <cellStyle name="20% - Accent2 11 2 2 3" xfId="1558" xr:uid="{00000000-0005-0000-0000-00007E100000}"/>
    <cellStyle name="20% - Accent2 11 2 2 3 2" xfId="12943" xr:uid="{00000000-0005-0000-0000-00007F100000}"/>
    <cellStyle name="20% - Accent2 11 2 2 3 2 2" xfId="24800" xr:uid="{00000000-0005-0000-0000-000080100000}"/>
    <cellStyle name="20% - Accent2 11 2 2 3 3" xfId="16894" xr:uid="{00000000-0005-0000-0000-000081100000}"/>
    <cellStyle name="20% - Accent2 11 2 2 3 3 2" xfId="28586" xr:uid="{00000000-0005-0000-0000-000082100000}"/>
    <cellStyle name="20% - Accent2 11 2 2 3 4" xfId="20940" xr:uid="{00000000-0005-0000-0000-000083100000}"/>
    <cellStyle name="20% - Accent2 11 2 2 4" xfId="12941" xr:uid="{00000000-0005-0000-0000-000084100000}"/>
    <cellStyle name="20% - Accent2 11 2 2 4 2" xfId="24798" xr:uid="{00000000-0005-0000-0000-000085100000}"/>
    <cellStyle name="20% - Accent2 11 2 2 5" xfId="16892" xr:uid="{00000000-0005-0000-0000-000086100000}"/>
    <cellStyle name="20% - Accent2 11 2 2 5 2" xfId="28584" xr:uid="{00000000-0005-0000-0000-000087100000}"/>
    <cellStyle name="20% - Accent2 11 2 2 6" xfId="20938" xr:uid="{00000000-0005-0000-0000-000088100000}"/>
    <cellStyle name="20% - Accent2 11 2 3" xfId="1559" xr:uid="{00000000-0005-0000-0000-000089100000}"/>
    <cellStyle name="20% - Accent2 11 2 3 2" xfId="1560" xr:uid="{00000000-0005-0000-0000-00008A100000}"/>
    <cellStyle name="20% - Accent2 11 2 3 2 2" xfId="12945" xr:uid="{00000000-0005-0000-0000-00008B100000}"/>
    <cellStyle name="20% - Accent2 11 2 3 2 2 2" xfId="24802" xr:uid="{00000000-0005-0000-0000-00008C100000}"/>
    <cellStyle name="20% - Accent2 11 2 3 2 3" xfId="16896" xr:uid="{00000000-0005-0000-0000-00008D100000}"/>
    <cellStyle name="20% - Accent2 11 2 3 2 3 2" xfId="28588" xr:uid="{00000000-0005-0000-0000-00008E100000}"/>
    <cellStyle name="20% - Accent2 11 2 3 2 4" xfId="20942" xr:uid="{00000000-0005-0000-0000-00008F100000}"/>
    <cellStyle name="20% - Accent2 11 2 3 3" xfId="1561" xr:uid="{00000000-0005-0000-0000-000090100000}"/>
    <cellStyle name="20% - Accent2 11 2 3 3 2" xfId="12946" xr:uid="{00000000-0005-0000-0000-000091100000}"/>
    <cellStyle name="20% - Accent2 11 2 3 3 2 2" xfId="24803" xr:uid="{00000000-0005-0000-0000-000092100000}"/>
    <cellStyle name="20% - Accent2 11 2 3 3 3" xfId="16897" xr:uid="{00000000-0005-0000-0000-000093100000}"/>
    <cellStyle name="20% - Accent2 11 2 3 3 3 2" xfId="28589" xr:uid="{00000000-0005-0000-0000-000094100000}"/>
    <cellStyle name="20% - Accent2 11 2 3 3 4" xfId="20943" xr:uid="{00000000-0005-0000-0000-000095100000}"/>
    <cellStyle name="20% - Accent2 11 2 3 4" xfId="12944" xr:uid="{00000000-0005-0000-0000-000096100000}"/>
    <cellStyle name="20% - Accent2 11 2 3 4 2" xfId="24801" xr:uid="{00000000-0005-0000-0000-000097100000}"/>
    <cellStyle name="20% - Accent2 11 2 3 5" xfId="16895" xr:uid="{00000000-0005-0000-0000-000098100000}"/>
    <cellStyle name="20% - Accent2 11 2 3 5 2" xfId="28587" xr:uid="{00000000-0005-0000-0000-000099100000}"/>
    <cellStyle name="20% - Accent2 11 2 3 6" xfId="20941" xr:uid="{00000000-0005-0000-0000-00009A100000}"/>
    <cellStyle name="20% - Accent2 11 2 4" xfId="1562" xr:uid="{00000000-0005-0000-0000-00009B100000}"/>
    <cellStyle name="20% - Accent2 11 2 4 2" xfId="1563" xr:uid="{00000000-0005-0000-0000-00009C100000}"/>
    <cellStyle name="20% - Accent2 11 2 4 2 2" xfId="12948" xr:uid="{00000000-0005-0000-0000-00009D100000}"/>
    <cellStyle name="20% - Accent2 11 2 4 2 2 2" xfId="24805" xr:uid="{00000000-0005-0000-0000-00009E100000}"/>
    <cellStyle name="20% - Accent2 11 2 4 2 3" xfId="16899" xr:uid="{00000000-0005-0000-0000-00009F100000}"/>
    <cellStyle name="20% - Accent2 11 2 4 2 3 2" xfId="28591" xr:uid="{00000000-0005-0000-0000-0000A0100000}"/>
    <cellStyle name="20% - Accent2 11 2 4 2 4" xfId="20945" xr:uid="{00000000-0005-0000-0000-0000A1100000}"/>
    <cellStyle name="20% - Accent2 11 2 4 3" xfId="1564" xr:uid="{00000000-0005-0000-0000-0000A2100000}"/>
    <cellStyle name="20% - Accent2 11 2 4 3 2" xfId="12949" xr:uid="{00000000-0005-0000-0000-0000A3100000}"/>
    <cellStyle name="20% - Accent2 11 2 4 3 2 2" xfId="24806" xr:uid="{00000000-0005-0000-0000-0000A4100000}"/>
    <cellStyle name="20% - Accent2 11 2 4 3 3" xfId="16900" xr:uid="{00000000-0005-0000-0000-0000A5100000}"/>
    <cellStyle name="20% - Accent2 11 2 4 3 3 2" xfId="28592" xr:uid="{00000000-0005-0000-0000-0000A6100000}"/>
    <cellStyle name="20% - Accent2 11 2 4 3 4" xfId="20946" xr:uid="{00000000-0005-0000-0000-0000A7100000}"/>
    <cellStyle name="20% - Accent2 11 2 4 4" xfId="12947" xr:uid="{00000000-0005-0000-0000-0000A8100000}"/>
    <cellStyle name="20% - Accent2 11 2 4 4 2" xfId="24804" xr:uid="{00000000-0005-0000-0000-0000A9100000}"/>
    <cellStyle name="20% - Accent2 11 2 4 5" xfId="16898" xr:uid="{00000000-0005-0000-0000-0000AA100000}"/>
    <cellStyle name="20% - Accent2 11 2 4 5 2" xfId="28590" xr:uid="{00000000-0005-0000-0000-0000AB100000}"/>
    <cellStyle name="20% - Accent2 11 2 4 6" xfId="20944" xr:uid="{00000000-0005-0000-0000-0000AC100000}"/>
    <cellStyle name="20% - Accent2 11 2 5" xfId="1565" xr:uid="{00000000-0005-0000-0000-0000AD100000}"/>
    <cellStyle name="20% - Accent2 11 2 5 2" xfId="12950" xr:uid="{00000000-0005-0000-0000-0000AE100000}"/>
    <cellStyle name="20% - Accent2 11 2 5 2 2" xfId="24807" xr:uid="{00000000-0005-0000-0000-0000AF100000}"/>
    <cellStyle name="20% - Accent2 11 2 5 3" xfId="16901" xr:uid="{00000000-0005-0000-0000-0000B0100000}"/>
    <cellStyle name="20% - Accent2 11 2 5 3 2" xfId="28593" xr:uid="{00000000-0005-0000-0000-0000B1100000}"/>
    <cellStyle name="20% - Accent2 11 2 5 4" xfId="20947" xr:uid="{00000000-0005-0000-0000-0000B2100000}"/>
    <cellStyle name="20% - Accent2 11 2 6" xfId="1566" xr:uid="{00000000-0005-0000-0000-0000B3100000}"/>
    <cellStyle name="20% - Accent2 11 2 6 2" xfId="12951" xr:uid="{00000000-0005-0000-0000-0000B4100000}"/>
    <cellStyle name="20% - Accent2 11 2 6 2 2" xfId="24808" xr:uid="{00000000-0005-0000-0000-0000B5100000}"/>
    <cellStyle name="20% - Accent2 11 2 6 3" xfId="16902" xr:uid="{00000000-0005-0000-0000-0000B6100000}"/>
    <cellStyle name="20% - Accent2 11 2 6 3 2" xfId="28594" xr:uid="{00000000-0005-0000-0000-0000B7100000}"/>
    <cellStyle name="20% - Accent2 11 2 6 4" xfId="20948" xr:uid="{00000000-0005-0000-0000-0000B8100000}"/>
    <cellStyle name="20% - Accent2 11 2 7" xfId="12940" xr:uid="{00000000-0005-0000-0000-0000B9100000}"/>
    <cellStyle name="20% - Accent2 11 2 7 2" xfId="24797" xr:uid="{00000000-0005-0000-0000-0000BA100000}"/>
    <cellStyle name="20% - Accent2 11 2 8" xfId="16891" xr:uid="{00000000-0005-0000-0000-0000BB100000}"/>
    <cellStyle name="20% - Accent2 11 2 8 2" xfId="28583" xr:uid="{00000000-0005-0000-0000-0000BC100000}"/>
    <cellStyle name="20% - Accent2 11 2 9" xfId="20937" xr:uid="{00000000-0005-0000-0000-0000BD100000}"/>
    <cellStyle name="20% - Accent2 11 2_Volatility" xfId="1567" xr:uid="{00000000-0005-0000-0000-0000BE100000}"/>
    <cellStyle name="20% - Accent2 11 3" xfId="1568" xr:uid="{00000000-0005-0000-0000-0000BF100000}"/>
    <cellStyle name="20% - Accent2 11 3 2" xfId="1569" xr:uid="{00000000-0005-0000-0000-0000C0100000}"/>
    <cellStyle name="20% - Accent2 11 3 2 2" xfId="1570" xr:uid="{00000000-0005-0000-0000-0000C1100000}"/>
    <cellStyle name="20% - Accent2 11 3 2 2 2" xfId="12954" xr:uid="{00000000-0005-0000-0000-0000C2100000}"/>
    <cellStyle name="20% - Accent2 11 3 2 2 2 2" xfId="24811" xr:uid="{00000000-0005-0000-0000-0000C3100000}"/>
    <cellStyle name="20% - Accent2 11 3 2 2 3" xfId="16905" xr:uid="{00000000-0005-0000-0000-0000C4100000}"/>
    <cellStyle name="20% - Accent2 11 3 2 2 3 2" xfId="28597" xr:uid="{00000000-0005-0000-0000-0000C5100000}"/>
    <cellStyle name="20% - Accent2 11 3 2 2 4" xfId="20951" xr:uid="{00000000-0005-0000-0000-0000C6100000}"/>
    <cellStyle name="20% - Accent2 11 3 2 3" xfId="1571" xr:uid="{00000000-0005-0000-0000-0000C7100000}"/>
    <cellStyle name="20% - Accent2 11 3 2 3 2" xfId="12955" xr:uid="{00000000-0005-0000-0000-0000C8100000}"/>
    <cellStyle name="20% - Accent2 11 3 2 3 2 2" xfId="24812" xr:uid="{00000000-0005-0000-0000-0000C9100000}"/>
    <cellStyle name="20% - Accent2 11 3 2 3 3" xfId="16906" xr:uid="{00000000-0005-0000-0000-0000CA100000}"/>
    <cellStyle name="20% - Accent2 11 3 2 3 3 2" xfId="28598" xr:uid="{00000000-0005-0000-0000-0000CB100000}"/>
    <cellStyle name="20% - Accent2 11 3 2 3 4" xfId="20952" xr:uid="{00000000-0005-0000-0000-0000CC100000}"/>
    <cellStyle name="20% - Accent2 11 3 2 4" xfId="12953" xr:uid="{00000000-0005-0000-0000-0000CD100000}"/>
    <cellStyle name="20% - Accent2 11 3 2 4 2" xfId="24810" xr:uid="{00000000-0005-0000-0000-0000CE100000}"/>
    <cellStyle name="20% - Accent2 11 3 2 5" xfId="16904" xr:uid="{00000000-0005-0000-0000-0000CF100000}"/>
    <cellStyle name="20% - Accent2 11 3 2 5 2" xfId="28596" xr:uid="{00000000-0005-0000-0000-0000D0100000}"/>
    <cellStyle name="20% - Accent2 11 3 2 6" xfId="20950" xr:uid="{00000000-0005-0000-0000-0000D1100000}"/>
    <cellStyle name="20% - Accent2 11 3 3" xfId="1572" xr:uid="{00000000-0005-0000-0000-0000D2100000}"/>
    <cellStyle name="20% - Accent2 11 3 3 2" xfId="1573" xr:uid="{00000000-0005-0000-0000-0000D3100000}"/>
    <cellStyle name="20% - Accent2 11 3 3 2 2" xfId="12957" xr:uid="{00000000-0005-0000-0000-0000D4100000}"/>
    <cellStyle name="20% - Accent2 11 3 3 2 2 2" xfId="24814" xr:uid="{00000000-0005-0000-0000-0000D5100000}"/>
    <cellStyle name="20% - Accent2 11 3 3 2 3" xfId="16908" xr:uid="{00000000-0005-0000-0000-0000D6100000}"/>
    <cellStyle name="20% - Accent2 11 3 3 2 3 2" xfId="28600" xr:uid="{00000000-0005-0000-0000-0000D7100000}"/>
    <cellStyle name="20% - Accent2 11 3 3 2 4" xfId="20954" xr:uid="{00000000-0005-0000-0000-0000D8100000}"/>
    <cellStyle name="20% - Accent2 11 3 3 3" xfId="1574" xr:uid="{00000000-0005-0000-0000-0000D9100000}"/>
    <cellStyle name="20% - Accent2 11 3 3 3 2" xfId="12958" xr:uid="{00000000-0005-0000-0000-0000DA100000}"/>
    <cellStyle name="20% - Accent2 11 3 3 3 2 2" xfId="24815" xr:uid="{00000000-0005-0000-0000-0000DB100000}"/>
    <cellStyle name="20% - Accent2 11 3 3 3 3" xfId="16909" xr:uid="{00000000-0005-0000-0000-0000DC100000}"/>
    <cellStyle name="20% - Accent2 11 3 3 3 3 2" xfId="28601" xr:uid="{00000000-0005-0000-0000-0000DD100000}"/>
    <cellStyle name="20% - Accent2 11 3 3 3 4" xfId="20955" xr:uid="{00000000-0005-0000-0000-0000DE100000}"/>
    <cellStyle name="20% - Accent2 11 3 3 4" xfId="12956" xr:uid="{00000000-0005-0000-0000-0000DF100000}"/>
    <cellStyle name="20% - Accent2 11 3 3 4 2" xfId="24813" xr:uid="{00000000-0005-0000-0000-0000E0100000}"/>
    <cellStyle name="20% - Accent2 11 3 3 5" xfId="16907" xr:uid="{00000000-0005-0000-0000-0000E1100000}"/>
    <cellStyle name="20% - Accent2 11 3 3 5 2" xfId="28599" xr:uid="{00000000-0005-0000-0000-0000E2100000}"/>
    <cellStyle name="20% - Accent2 11 3 3 6" xfId="20953" xr:uid="{00000000-0005-0000-0000-0000E3100000}"/>
    <cellStyle name="20% - Accent2 11 3 4" xfId="1575" xr:uid="{00000000-0005-0000-0000-0000E4100000}"/>
    <cellStyle name="20% - Accent2 11 3 4 2" xfId="12959" xr:uid="{00000000-0005-0000-0000-0000E5100000}"/>
    <cellStyle name="20% - Accent2 11 3 4 2 2" xfId="24816" xr:uid="{00000000-0005-0000-0000-0000E6100000}"/>
    <cellStyle name="20% - Accent2 11 3 4 3" xfId="16910" xr:uid="{00000000-0005-0000-0000-0000E7100000}"/>
    <cellStyle name="20% - Accent2 11 3 4 3 2" xfId="28602" xr:uid="{00000000-0005-0000-0000-0000E8100000}"/>
    <cellStyle name="20% - Accent2 11 3 4 4" xfId="20956" xr:uid="{00000000-0005-0000-0000-0000E9100000}"/>
    <cellStyle name="20% - Accent2 11 3 5" xfId="1576" xr:uid="{00000000-0005-0000-0000-0000EA100000}"/>
    <cellStyle name="20% - Accent2 11 3 5 2" xfId="12960" xr:uid="{00000000-0005-0000-0000-0000EB100000}"/>
    <cellStyle name="20% - Accent2 11 3 5 2 2" xfId="24817" xr:uid="{00000000-0005-0000-0000-0000EC100000}"/>
    <cellStyle name="20% - Accent2 11 3 5 3" xfId="16911" xr:uid="{00000000-0005-0000-0000-0000ED100000}"/>
    <cellStyle name="20% - Accent2 11 3 5 3 2" xfId="28603" xr:uid="{00000000-0005-0000-0000-0000EE100000}"/>
    <cellStyle name="20% - Accent2 11 3 5 4" xfId="20957" xr:uid="{00000000-0005-0000-0000-0000EF100000}"/>
    <cellStyle name="20% - Accent2 11 3 6" xfId="12952" xr:uid="{00000000-0005-0000-0000-0000F0100000}"/>
    <cellStyle name="20% - Accent2 11 3 6 2" xfId="24809" xr:uid="{00000000-0005-0000-0000-0000F1100000}"/>
    <cellStyle name="20% - Accent2 11 3 7" xfId="16903" xr:uid="{00000000-0005-0000-0000-0000F2100000}"/>
    <cellStyle name="20% - Accent2 11 3 7 2" xfId="28595" xr:uid="{00000000-0005-0000-0000-0000F3100000}"/>
    <cellStyle name="20% - Accent2 11 3 8" xfId="20949" xr:uid="{00000000-0005-0000-0000-0000F4100000}"/>
    <cellStyle name="20% - Accent2 11 3_Volatility" xfId="1577" xr:uid="{00000000-0005-0000-0000-0000F5100000}"/>
    <cellStyle name="20% - Accent2 11 4" xfId="1578" xr:uid="{00000000-0005-0000-0000-0000F6100000}"/>
    <cellStyle name="20% - Accent2 11 4 2" xfId="1579" xr:uid="{00000000-0005-0000-0000-0000F7100000}"/>
    <cellStyle name="20% - Accent2 11 4 2 2" xfId="12962" xr:uid="{00000000-0005-0000-0000-0000F8100000}"/>
    <cellStyle name="20% - Accent2 11 4 2 2 2" xfId="24819" xr:uid="{00000000-0005-0000-0000-0000F9100000}"/>
    <cellStyle name="20% - Accent2 11 4 2 3" xfId="16913" xr:uid="{00000000-0005-0000-0000-0000FA100000}"/>
    <cellStyle name="20% - Accent2 11 4 2 3 2" xfId="28605" xr:uid="{00000000-0005-0000-0000-0000FB100000}"/>
    <cellStyle name="20% - Accent2 11 4 2 4" xfId="20959" xr:uid="{00000000-0005-0000-0000-0000FC100000}"/>
    <cellStyle name="20% - Accent2 11 4 3" xfId="1580" xr:uid="{00000000-0005-0000-0000-0000FD100000}"/>
    <cellStyle name="20% - Accent2 11 4 3 2" xfId="12963" xr:uid="{00000000-0005-0000-0000-0000FE100000}"/>
    <cellStyle name="20% - Accent2 11 4 3 2 2" xfId="24820" xr:uid="{00000000-0005-0000-0000-0000FF100000}"/>
    <cellStyle name="20% - Accent2 11 4 3 3" xfId="16914" xr:uid="{00000000-0005-0000-0000-000000110000}"/>
    <cellStyle name="20% - Accent2 11 4 3 3 2" xfId="28606" xr:uid="{00000000-0005-0000-0000-000001110000}"/>
    <cellStyle name="20% - Accent2 11 4 3 4" xfId="20960" xr:uid="{00000000-0005-0000-0000-000002110000}"/>
    <cellStyle name="20% - Accent2 11 4 4" xfId="12961" xr:uid="{00000000-0005-0000-0000-000003110000}"/>
    <cellStyle name="20% - Accent2 11 4 4 2" xfId="24818" xr:uid="{00000000-0005-0000-0000-000004110000}"/>
    <cellStyle name="20% - Accent2 11 4 5" xfId="16912" xr:uid="{00000000-0005-0000-0000-000005110000}"/>
    <cellStyle name="20% - Accent2 11 4 5 2" xfId="28604" xr:uid="{00000000-0005-0000-0000-000006110000}"/>
    <cellStyle name="20% - Accent2 11 4 6" xfId="20958" xr:uid="{00000000-0005-0000-0000-000007110000}"/>
    <cellStyle name="20% - Accent2 11 5" xfId="1581" xr:uid="{00000000-0005-0000-0000-000008110000}"/>
    <cellStyle name="20% - Accent2 11 5 2" xfId="1582" xr:uid="{00000000-0005-0000-0000-000009110000}"/>
    <cellStyle name="20% - Accent2 11 5 2 2" xfId="12965" xr:uid="{00000000-0005-0000-0000-00000A110000}"/>
    <cellStyle name="20% - Accent2 11 5 2 2 2" xfId="24822" xr:uid="{00000000-0005-0000-0000-00000B110000}"/>
    <cellStyle name="20% - Accent2 11 5 2 3" xfId="16916" xr:uid="{00000000-0005-0000-0000-00000C110000}"/>
    <cellStyle name="20% - Accent2 11 5 2 3 2" xfId="28608" xr:uid="{00000000-0005-0000-0000-00000D110000}"/>
    <cellStyle name="20% - Accent2 11 5 2 4" xfId="20962" xr:uid="{00000000-0005-0000-0000-00000E110000}"/>
    <cellStyle name="20% - Accent2 11 5 3" xfId="1583" xr:uid="{00000000-0005-0000-0000-00000F110000}"/>
    <cellStyle name="20% - Accent2 11 5 3 2" xfId="12966" xr:uid="{00000000-0005-0000-0000-000010110000}"/>
    <cellStyle name="20% - Accent2 11 5 3 2 2" xfId="24823" xr:uid="{00000000-0005-0000-0000-000011110000}"/>
    <cellStyle name="20% - Accent2 11 5 3 3" xfId="16917" xr:uid="{00000000-0005-0000-0000-000012110000}"/>
    <cellStyle name="20% - Accent2 11 5 3 3 2" xfId="28609" xr:uid="{00000000-0005-0000-0000-000013110000}"/>
    <cellStyle name="20% - Accent2 11 5 3 4" xfId="20963" xr:uid="{00000000-0005-0000-0000-000014110000}"/>
    <cellStyle name="20% - Accent2 11 5 4" xfId="12964" xr:uid="{00000000-0005-0000-0000-000015110000}"/>
    <cellStyle name="20% - Accent2 11 5 4 2" xfId="24821" xr:uid="{00000000-0005-0000-0000-000016110000}"/>
    <cellStyle name="20% - Accent2 11 5 5" xfId="16915" xr:uid="{00000000-0005-0000-0000-000017110000}"/>
    <cellStyle name="20% - Accent2 11 5 5 2" xfId="28607" xr:uid="{00000000-0005-0000-0000-000018110000}"/>
    <cellStyle name="20% - Accent2 11 5 6" xfId="20961" xr:uid="{00000000-0005-0000-0000-000019110000}"/>
    <cellStyle name="20% - Accent2 11 6" xfId="1584" xr:uid="{00000000-0005-0000-0000-00001A110000}"/>
    <cellStyle name="20% - Accent2 11 6 2" xfId="1585" xr:uid="{00000000-0005-0000-0000-00001B110000}"/>
    <cellStyle name="20% - Accent2 11 6 2 2" xfId="12968" xr:uid="{00000000-0005-0000-0000-00001C110000}"/>
    <cellStyle name="20% - Accent2 11 6 2 2 2" xfId="24825" xr:uid="{00000000-0005-0000-0000-00001D110000}"/>
    <cellStyle name="20% - Accent2 11 6 2 3" xfId="16919" xr:uid="{00000000-0005-0000-0000-00001E110000}"/>
    <cellStyle name="20% - Accent2 11 6 2 3 2" xfId="28611" xr:uid="{00000000-0005-0000-0000-00001F110000}"/>
    <cellStyle name="20% - Accent2 11 6 2 4" xfId="20965" xr:uid="{00000000-0005-0000-0000-000020110000}"/>
    <cellStyle name="20% - Accent2 11 6 3" xfId="1586" xr:uid="{00000000-0005-0000-0000-000021110000}"/>
    <cellStyle name="20% - Accent2 11 6 3 2" xfId="12969" xr:uid="{00000000-0005-0000-0000-000022110000}"/>
    <cellStyle name="20% - Accent2 11 6 3 2 2" xfId="24826" xr:uid="{00000000-0005-0000-0000-000023110000}"/>
    <cellStyle name="20% - Accent2 11 6 3 3" xfId="16920" xr:uid="{00000000-0005-0000-0000-000024110000}"/>
    <cellStyle name="20% - Accent2 11 6 3 3 2" xfId="28612" xr:uid="{00000000-0005-0000-0000-000025110000}"/>
    <cellStyle name="20% - Accent2 11 6 3 4" xfId="20966" xr:uid="{00000000-0005-0000-0000-000026110000}"/>
    <cellStyle name="20% - Accent2 11 6 4" xfId="12967" xr:uid="{00000000-0005-0000-0000-000027110000}"/>
    <cellStyle name="20% - Accent2 11 6 4 2" xfId="24824" xr:uid="{00000000-0005-0000-0000-000028110000}"/>
    <cellStyle name="20% - Accent2 11 6 5" xfId="16918" xr:uid="{00000000-0005-0000-0000-000029110000}"/>
    <cellStyle name="20% - Accent2 11 6 5 2" xfId="28610" xr:uid="{00000000-0005-0000-0000-00002A110000}"/>
    <cellStyle name="20% - Accent2 11 6 6" xfId="20964" xr:uid="{00000000-0005-0000-0000-00002B110000}"/>
    <cellStyle name="20% - Accent2 11 7" xfId="1587" xr:uid="{00000000-0005-0000-0000-00002C110000}"/>
    <cellStyle name="20% - Accent2 11 7 2" xfId="12970" xr:uid="{00000000-0005-0000-0000-00002D110000}"/>
    <cellStyle name="20% - Accent2 11 7 2 2" xfId="24827" xr:uid="{00000000-0005-0000-0000-00002E110000}"/>
    <cellStyle name="20% - Accent2 11 7 3" xfId="16921" xr:uid="{00000000-0005-0000-0000-00002F110000}"/>
    <cellStyle name="20% - Accent2 11 7 3 2" xfId="28613" xr:uid="{00000000-0005-0000-0000-000030110000}"/>
    <cellStyle name="20% - Accent2 11 7 4" xfId="20967" xr:uid="{00000000-0005-0000-0000-000031110000}"/>
    <cellStyle name="20% - Accent2 11 8" xfId="1588" xr:uid="{00000000-0005-0000-0000-000032110000}"/>
    <cellStyle name="20% - Accent2 11 8 2" xfId="12971" xr:uid="{00000000-0005-0000-0000-000033110000}"/>
    <cellStyle name="20% - Accent2 11 8 2 2" xfId="24828" xr:uid="{00000000-0005-0000-0000-000034110000}"/>
    <cellStyle name="20% - Accent2 11 8 3" xfId="16922" xr:uid="{00000000-0005-0000-0000-000035110000}"/>
    <cellStyle name="20% - Accent2 11 8 3 2" xfId="28614" xr:uid="{00000000-0005-0000-0000-000036110000}"/>
    <cellStyle name="20% - Accent2 11 8 4" xfId="20968" xr:uid="{00000000-0005-0000-0000-000037110000}"/>
    <cellStyle name="20% - Accent2 11 9" xfId="12939" xr:uid="{00000000-0005-0000-0000-000038110000}"/>
    <cellStyle name="20% - Accent2 11 9 2" xfId="24796" xr:uid="{00000000-0005-0000-0000-000039110000}"/>
    <cellStyle name="20% - Accent2 11_Volatility" xfId="1589" xr:uid="{00000000-0005-0000-0000-00003A110000}"/>
    <cellStyle name="20% - Accent2 12" xfId="1590" xr:uid="{00000000-0005-0000-0000-00003B110000}"/>
    <cellStyle name="20% - Accent2 12 10" xfId="16923" xr:uid="{00000000-0005-0000-0000-00003C110000}"/>
    <cellStyle name="20% - Accent2 12 10 2" xfId="28615" xr:uid="{00000000-0005-0000-0000-00003D110000}"/>
    <cellStyle name="20% - Accent2 12 11" xfId="20969" xr:uid="{00000000-0005-0000-0000-00003E110000}"/>
    <cellStyle name="20% - Accent2 12 2" xfId="1591" xr:uid="{00000000-0005-0000-0000-00003F110000}"/>
    <cellStyle name="20% - Accent2 12 2 2" xfId="1592" xr:uid="{00000000-0005-0000-0000-000040110000}"/>
    <cellStyle name="20% - Accent2 12 2 2 2" xfId="1593" xr:uid="{00000000-0005-0000-0000-000041110000}"/>
    <cellStyle name="20% - Accent2 12 2 2 2 2" xfId="12975" xr:uid="{00000000-0005-0000-0000-000042110000}"/>
    <cellStyle name="20% - Accent2 12 2 2 2 2 2" xfId="24832" xr:uid="{00000000-0005-0000-0000-000043110000}"/>
    <cellStyle name="20% - Accent2 12 2 2 2 3" xfId="16926" xr:uid="{00000000-0005-0000-0000-000044110000}"/>
    <cellStyle name="20% - Accent2 12 2 2 2 3 2" xfId="28618" xr:uid="{00000000-0005-0000-0000-000045110000}"/>
    <cellStyle name="20% - Accent2 12 2 2 2 4" xfId="20972" xr:uid="{00000000-0005-0000-0000-000046110000}"/>
    <cellStyle name="20% - Accent2 12 2 2 3" xfId="1594" xr:uid="{00000000-0005-0000-0000-000047110000}"/>
    <cellStyle name="20% - Accent2 12 2 2 3 2" xfId="12976" xr:uid="{00000000-0005-0000-0000-000048110000}"/>
    <cellStyle name="20% - Accent2 12 2 2 3 2 2" xfId="24833" xr:uid="{00000000-0005-0000-0000-000049110000}"/>
    <cellStyle name="20% - Accent2 12 2 2 3 3" xfId="16927" xr:uid="{00000000-0005-0000-0000-00004A110000}"/>
    <cellStyle name="20% - Accent2 12 2 2 3 3 2" xfId="28619" xr:uid="{00000000-0005-0000-0000-00004B110000}"/>
    <cellStyle name="20% - Accent2 12 2 2 3 4" xfId="20973" xr:uid="{00000000-0005-0000-0000-00004C110000}"/>
    <cellStyle name="20% - Accent2 12 2 2 4" xfId="12974" xr:uid="{00000000-0005-0000-0000-00004D110000}"/>
    <cellStyle name="20% - Accent2 12 2 2 4 2" xfId="24831" xr:uid="{00000000-0005-0000-0000-00004E110000}"/>
    <cellStyle name="20% - Accent2 12 2 2 5" xfId="16925" xr:uid="{00000000-0005-0000-0000-00004F110000}"/>
    <cellStyle name="20% - Accent2 12 2 2 5 2" xfId="28617" xr:uid="{00000000-0005-0000-0000-000050110000}"/>
    <cellStyle name="20% - Accent2 12 2 2 6" xfId="20971" xr:uid="{00000000-0005-0000-0000-000051110000}"/>
    <cellStyle name="20% - Accent2 12 2 3" xfId="1595" xr:uid="{00000000-0005-0000-0000-000052110000}"/>
    <cellStyle name="20% - Accent2 12 2 3 2" xfId="1596" xr:uid="{00000000-0005-0000-0000-000053110000}"/>
    <cellStyle name="20% - Accent2 12 2 3 2 2" xfId="12978" xr:uid="{00000000-0005-0000-0000-000054110000}"/>
    <cellStyle name="20% - Accent2 12 2 3 2 2 2" xfId="24835" xr:uid="{00000000-0005-0000-0000-000055110000}"/>
    <cellStyle name="20% - Accent2 12 2 3 2 3" xfId="16929" xr:uid="{00000000-0005-0000-0000-000056110000}"/>
    <cellStyle name="20% - Accent2 12 2 3 2 3 2" xfId="28621" xr:uid="{00000000-0005-0000-0000-000057110000}"/>
    <cellStyle name="20% - Accent2 12 2 3 2 4" xfId="20975" xr:uid="{00000000-0005-0000-0000-000058110000}"/>
    <cellStyle name="20% - Accent2 12 2 3 3" xfId="1597" xr:uid="{00000000-0005-0000-0000-000059110000}"/>
    <cellStyle name="20% - Accent2 12 2 3 3 2" xfId="12979" xr:uid="{00000000-0005-0000-0000-00005A110000}"/>
    <cellStyle name="20% - Accent2 12 2 3 3 2 2" xfId="24836" xr:uid="{00000000-0005-0000-0000-00005B110000}"/>
    <cellStyle name="20% - Accent2 12 2 3 3 3" xfId="16930" xr:uid="{00000000-0005-0000-0000-00005C110000}"/>
    <cellStyle name="20% - Accent2 12 2 3 3 3 2" xfId="28622" xr:uid="{00000000-0005-0000-0000-00005D110000}"/>
    <cellStyle name="20% - Accent2 12 2 3 3 4" xfId="20976" xr:uid="{00000000-0005-0000-0000-00005E110000}"/>
    <cellStyle name="20% - Accent2 12 2 3 4" xfId="12977" xr:uid="{00000000-0005-0000-0000-00005F110000}"/>
    <cellStyle name="20% - Accent2 12 2 3 4 2" xfId="24834" xr:uid="{00000000-0005-0000-0000-000060110000}"/>
    <cellStyle name="20% - Accent2 12 2 3 5" xfId="16928" xr:uid="{00000000-0005-0000-0000-000061110000}"/>
    <cellStyle name="20% - Accent2 12 2 3 5 2" xfId="28620" xr:uid="{00000000-0005-0000-0000-000062110000}"/>
    <cellStyle name="20% - Accent2 12 2 3 6" xfId="20974" xr:uid="{00000000-0005-0000-0000-000063110000}"/>
    <cellStyle name="20% - Accent2 12 2 4" xfId="1598" xr:uid="{00000000-0005-0000-0000-000064110000}"/>
    <cellStyle name="20% - Accent2 12 2 4 2" xfId="1599" xr:uid="{00000000-0005-0000-0000-000065110000}"/>
    <cellStyle name="20% - Accent2 12 2 4 2 2" xfId="12981" xr:uid="{00000000-0005-0000-0000-000066110000}"/>
    <cellStyle name="20% - Accent2 12 2 4 2 2 2" xfId="24838" xr:uid="{00000000-0005-0000-0000-000067110000}"/>
    <cellStyle name="20% - Accent2 12 2 4 2 3" xfId="16932" xr:uid="{00000000-0005-0000-0000-000068110000}"/>
    <cellStyle name="20% - Accent2 12 2 4 2 3 2" xfId="28624" xr:uid="{00000000-0005-0000-0000-000069110000}"/>
    <cellStyle name="20% - Accent2 12 2 4 2 4" xfId="20978" xr:uid="{00000000-0005-0000-0000-00006A110000}"/>
    <cellStyle name="20% - Accent2 12 2 4 3" xfId="1600" xr:uid="{00000000-0005-0000-0000-00006B110000}"/>
    <cellStyle name="20% - Accent2 12 2 4 3 2" xfId="12982" xr:uid="{00000000-0005-0000-0000-00006C110000}"/>
    <cellStyle name="20% - Accent2 12 2 4 3 2 2" xfId="24839" xr:uid="{00000000-0005-0000-0000-00006D110000}"/>
    <cellStyle name="20% - Accent2 12 2 4 3 3" xfId="16933" xr:uid="{00000000-0005-0000-0000-00006E110000}"/>
    <cellStyle name="20% - Accent2 12 2 4 3 3 2" xfId="28625" xr:uid="{00000000-0005-0000-0000-00006F110000}"/>
    <cellStyle name="20% - Accent2 12 2 4 3 4" xfId="20979" xr:uid="{00000000-0005-0000-0000-000070110000}"/>
    <cellStyle name="20% - Accent2 12 2 4 4" xfId="12980" xr:uid="{00000000-0005-0000-0000-000071110000}"/>
    <cellStyle name="20% - Accent2 12 2 4 4 2" xfId="24837" xr:uid="{00000000-0005-0000-0000-000072110000}"/>
    <cellStyle name="20% - Accent2 12 2 4 5" xfId="16931" xr:uid="{00000000-0005-0000-0000-000073110000}"/>
    <cellStyle name="20% - Accent2 12 2 4 5 2" xfId="28623" xr:uid="{00000000-0005-0000-0000-000074110000}"/>
    <cellStyle name="20% - Accent2 12 2 4 6" xfId="20977" xr:uid="{00000000-0005-0000-0000-000075110000}"/>
    <cellStyle name="20% - Accent2 12 2 5" xfId="1601" xr:uid="{00000000-0005-0000-0000-000076110000}"/>
    <cellStyle name="20% - Accent2 12 2 5 2" xfId="12983" xr:uid="{00000000-0005-0000-0000-000077110000}"/>
    <cellStyle name="20% - Accent2 12 2 5 2 2" xfId="24840" xr:uid="{00000000-0005-0000-0000-000078110000}"/>
    <cellStyle name="20% - Accent2 12 2 5 3" xfId="16934" xr:uid="{00000000-0005-0000-0000-000079110000}"/>
    <cellStyle name="20% - Accent2 12 2 5 3 2" xfId="28626" xr:uid="{00000000-0005-0000-0000-00007A110000}"/>
    <cellStyle name="20% - Accent2 12 2 5 4" xfId="20980" xr:uid="{00000000-0005-0000-0000-00007B110000}"/>
    <cellStyle name="20% - Accent2 12 2 6" xfId="1602" xr:uid="{00000000-0005-0000-0000-00007C110000}"/>
    <cellStyle name="20% - Accent2 12 2 6 2" xfId="12984" xr:uid="{00000000-0005-0000-0000-00007D110000}"/>
    <cellStyle name="20% - Accent2 12 2 6 2 2" xfId="24841" xr:uid="{00000000-0005-0000-0000-00007E110000}"/>
    <cellStyle name="20% - Accent2 12 2 6 3" xfId="16935" xr:uid="{00000000-0005-0000-0000-00007F110000}"/>
    <cellStyle name="20% - Accent2 12 2 6 3 2" xfId="28627" xr:uid="{00000000-0005-0000-0000-000080110000}"/>
    <cellStyle name="20% - Accent2 12 2 6 4" xfId="20981" xr:uid="{00000000-0005-0000-0000-000081110000}"/>
    <cellStyle name="20% - Accent2 12 2 7" xfId="12973" xr:uid="{00000000-0005-0000-0000-000082110000}"/>
    <cellStyle name="20% - Accent2 12 2 7 2" xfId="24830" xr:uid="{00000000-0005-0000-0000-000083110000}"/>
    <cellStyle name="20% - Accent2 12 2 8" xfId="16924" xr:uid="{00000000-0005-0000-0000-000084110000}"/>
    <cellStyle name="20% - Accent2 12 2 8 2" xfId="28616" xr:uid="{00000000-0005-0000-0000-000085110000}"/>
    <cellStyle name="20% - Accent2 12 2 9" xfId="20970" xr:uid="{00000000-0005-0000-0000-000086110000}"/>
    <cellStyle name="20% - Accent2 12 2_Volatility" xfId="1603" xr:uid="{00000000-0005-0000-0000-000087110000}"/>
    <cellStyle name="20% - Accent2 12 3" xfId="1604" xr:uid="{00000000-0005-0000-0000-000088110000}"/>
    <cellStyle name="20% - Accent2 12 3 2" xfId="1605" xr:uid="{00000000-0005-0000-0000-000089110000}"/>
    <cellStyle name="20% - Accent2 12 3 2 2" xfId="1606" xr:uid="{00000000-0005-0000-0000-00008A110000}"/>
    <cellStyle name="20% - Accent2 12 3 2 2 2" xfId="12987" xr:uid="{00000000-0005-0000-0000-00008B110000}"/>
    <cellStyle name="20% - Accent2 12 3 2 2 2 2" xfId="24844" xr:uid="{00000000-0005-0000-0000-00008C110000}"/>
    <cellStyle name="20% - Accent2 12 3 2 2 3" xfId="16938" xr:uid="{00000000-0005-0000-0000-00008D110000}"/>
    <cellStyle name="20% - Accent2 12 3 2 2 3 2" xfId="28630" xr:uid="{00000000-0005-0000-0000-00008E110000}"/>
    <cellStyle name="20% - Accent2 12 3 2 2 4" xfId="20984" xr:uid="{00000000-0005-0000-0000-00008F110000}"/>
    <cellStyle name="20% - Accent2 12 3 2 3" xfId="1607" xr:uid="{00000000-0005-0000-0000-000090110000}"/>
    <cellStyle name="20% - Accent2 12 3 2 3 2" xfId="12988" xr:uid="{00000000-0005-0000-0000-000091110000}"/>
    <cellStyle name="20% - Accent2 12 3 2 3 2 2" xfId="24845" xr:uid="{00000000-0005-0000-0000-000092110000}"/>
    <cellStyle name="20% - Accent2 12 3 2 3 3" xfId="16939" xr:uid="{00000000-0005-0000-0000-000093110000}"/>
    <cellStyle name="20% - Accent2 12 3 2 3 3 2" xfId="28631" xr:uid="{00000000-0005-0000-0000-000094110000}"/>
    <cellStyle name="20% - Accent2 12 3 2 3 4" xfId="20985" xr:uid="{00000000-0005-0000-0000-000095110000}"/>
    <cellStyle name="20% - Accent2 12 3 2 4" xfId="12986" xr:uid="{00000000-0005-0000-0000-000096110000}"/>
    <cellStyle name="20% - Accent2 12 3 2 4 2" xfId="24843" xr:uid="{00000000-0005-0000-0000-000097110000}"/>
    <cellStyle name="20% - Accent2 12 3 2 5" xfId="16937" xr:uid="{00000000-0005-0000-0000-000098110000}"/>
    <cellStyle name="20% - Accent2 12 3 2 5 2" xfId="28629" xr:uid="{00000000-0005-0000-0000-000099110000}"/>
    <cellStyle name="20% - Accent2 12 3 2 6" xfId="20983" xr:uid="{00000000-0005-0000-0000-00009A110000}"/>
    <cellStyle name="20% - Accent2 12 3 3" xfId="1608" xr:uid="{00000000-0005-0000-0000-00009B110000}"/>
    <cellStyle name="20% - Accent2 12 3 3 2" xfId="1609" xr:uid="{00000000-0005-0000-0000-00009C110000}"/>
    <cellStyle name="20% - Accent2 12 3 3 2 2" xfId="12990" xr:uid="{00000000-0005-0000-0000-00009D110000}"/>
    <cellStyle name="20% - Accent2 12 3 3 2 2 2" xfId="24847" xr:uid="{00000000-0005-0000-0000-00009E110000}"/>
    <cellStyle name="20% - Accent2 12 3 3 2 3" xfId="16941" xr:uid="{00000000-0005-0000-0000-00009F110000}"/>
    <cellStyle name="20% - Accent2 12 3 3 2 3 2" xfId="28633" xr:uid="{00000000-0005-0000-0000-0000A0110000}"/>
    <cellStyle name="20% - Accent2 12 3 3 2 4" xfId="20987" xr:uid="{00000000-0005-0000-0000-0000A1110000}"/>
    <cellStyle name="20% - Accent2 12 3 3 3" xfId="1610" xr:uid="{00000000-0005-0000-0000-0000A2110000}"/>
    <cellStyle name="20% - Accent2 12 3 3 3 2" xfId="12991" xr:uid="{00000000-0005-0000-0000-0000A3110000}"/>
    <cellStyle name="20% - Accent2 12 3 3 3 2 2" xfId="24848" xr:uid="{00000000-0005-0000-0000-0000A4110000}"/>
    <cellStyle name="20% - Accent2 12 3 3 3 3" xfId="16942" xr:uid="{00000000-0005-0000-0000-0000A5110000}"/>
    <cellStyle name="20% - Accent2 12 3 3 3 3 2" xfId="28634" xr:uid="{00000000-0005-0000-0000-0000A6110000}"/>
    <cellStyle name="20% - Accent2 12 3 3 3 4" xfId="20988" xr:uid="{00000000-0005-0000-0000-0000A7110000}"/>
    <cellStyle name="20% - Accent2 12 3 3 4" xfId="12989" xr:uid="{00000000-0005-0000-0000-0000A8110000}"/>
    <cellStyle name="20% - Accent2 12 3 3 4 2" xfId="24846" xr:uid="{00000000-0005-0000-0000-0000A9110000}"/>
    <cellStyle name="20% - Accent2 12 3 3 5" xfId="16940" xr:uid="{00000000-0005-0000-0000-0000AA110000}"/>
    <cellStyle name="20% - Accent2 12 3 3 5 2" xfId="28632" xr:uid="{00000000-0005-0000-0000-0000AB110000}"/>
    <cellStyle name="20% - Accent2 12 3 3 6" xfId="20986" xr:uid="{00000000-0005-0000-0000-0000AC110000}"/>
    <cellStyle name="20% - Accent2 12 3 4" xfId="1611" xr:uid="{00000000-0005-0000-0000-0000AD110000}"/>
    <cellStyle name="20% - Accent2 12 3 4 2" xfId="12992" xr:uid="{00000000-0005-0000-0000-0000AE110000}"/>
    <cellStyle name="20% - Accent2 12 3 4 2 2" xfId="24849" xr:uid="{00000000-0005-0000-0000-0000AF110000}"/>
    <cellStyle name="20% - Accent2 12 3 4 3" xfId="16943" xr:uid="{00000000-0005-0000-0000-0000B0110000}"/>
    <cellStyle name="20% - Accent2 12 3 4 3 2" xfId="28635" xr:uid="{00000000-0005-0000-0000-0000B1110000}"/>
    <cellStyle name="20% - Accent2 12 3 4 4" xfId="20989" xr:uid="{00000000-0005-0000-0000-0000B2110000}"/>
    <cellStyle name="20% - Accent2 12 3 5" xfId="1612" xr:uid="{00000000-0005-0000-0000-0000B3110000}"/>
    <cellStyle name="20% - Accent2 12 3 5 2" xfId="12993" xr:uid="{00000000-0005-0000-0000-0000B4110000}"/>
    <cellStyle name="20% - Accent2 12 3 5 2 2" xfId="24850" xr:uid="{00000000-0005-0000-0000-0000B5110000}"/>
    <cellStyle name="20% - Accent2 12 3 5 3" xfId="16944" xr:uid="{00000000-0005-0000-0000-0000B6110000}"/>
    <cellStyle name="20% - Accent2 12 3 5 3 2" xfId="28636" xr:uid="{00000000-0005-0000-0000-0000B7110000}"/>
    <cellStyle name="20% - Accent2 12 3 5 4" xfId="20990" xr:uid="{00000000-0005-0000-0000-0000B8110000}"/>
    <cellStyle name="20% - Accent2 12 3 6" xfId="12985" xr:uid="{00000000-0005-0000-0000-0000B9110000}"/>
    <cellStyle name="20% - Accent2 12 3 6 2" xfId="24842" xr:uid="{00000000-0005-0000-0000-0000BA110000}"/>
    <cellStyle name="20% - Accent2 12 3 7" xfId="16936" xr:uid="{00000000-0005-0000-0000-0000BB110000}"/>
    <cellStyle name="20% - Accent2 12 3 7 2" xfId="28628" xr:uid="{00000000-0005-0000-0000-0000BC110000}"/>
    <cellStyle name="20% - Accent2 12 3 8" xfId="20982" xr:uid="{00000000-0005-0000-0000-0000BD110000}"/>
    <cellStyle name="20% - Accent2 12 3_Volatility" xfId="1613" xr:uid="{00000000-0005-0000-0000-0000BE110000}"/>
    <cellStyle name="20% - Accent2 12 4" xfId="1614" xr:uid="{00000000-0005-0000-0000-0000BF110000}"/>
    <cellStyle name="20% - Accent2 12 4 2" xfId="1615" xr:uid="{00000000-0005-0000-0000-0000C0110000}"/>
    <cellStyle name="20% - Accent2 12 4 2 2" xfId="12995" xr:uid="{00000000-0005-0000-0000-0000C1110000}"/>
    <cellStyle name="20% - Accent2 12 4 2 2 2" xfId="24852" xr:uid="{00000000-0005-0000-0000-0000C2110000}"/>
    <cellStyle name="20% - Accent2 12 4 2 3" xfId="16946" xr:uid="{00000000-0005-0000-0000-0000C3110000}"/>
    <cellStyle name="20% - Accent2 12 4 2 3 2" xfId="28638" xr:uid="{00000000-0005-0000-0000-0000C4110000}"/>
    <cellStyle name="20% - Accent2 12 4 2 4" xfId="20992" xr:uid="{00000000-0005-0000-0000-0000C5110000}"/>
    <cellStyle name="20% - Accent2 12 4 3" xfId="1616" xr:uid="{00000000-0005-0000-0000-0000C6110000}"/>
    <cellStyle name="20% - Accent2 12 4 3 2" xfId="12996" xr:uid="{00000000-0005-0000-0000-0000C7110000}"/>
    <cellStyle name="20% - Accent2 12 4 3 2 2" xfId="24853" xr:uid="{00000000-0005-0000-0000-0000C8110000}"/>
    <cellStyle name="20% - Accent2 12 4 3 3" xfId="16947" xr:uid="{00000000-0005-0000-0000-0000C9110000}"/>
    <cellStyle name="20% - Accent2 12 4 3 3 2" xfId="28639" xr:uid="{00000000-0005-0000-0000-0000CA110000}"/>
    <cellStyle name="20% - Accent2 12 4 3 4" xfId="20993" xr:uid="{00000000-0005-0000-0000-0000CB110000}"/>
    <cellStyle name="20% - Accent2 12 4 4" xfId="12994" xr:uid="{00000000-0005-0000-0000-0000CC110000}"/>
    <cellStyle name="20% - Accent2 12 4 4 2" xfId="24851" xr:uid="{00000000-0005-0000-0000-0000CD110000}"/>
    <cellStyle name="20% - Accent2 12 4 5" xfId="16945" xr:uid="{00000000-0005-0000-0000-0000CE110000}"/>
    <cellStyle name="20% - Accent2 12 4 5 2" xfId="28637" xr:uid="{00000000-0005-0000-0000-0000CF110000}"/>
    <cellStyle name="20% - Accent2 12 4 6" xfId="20991" xr:uid="{00000000-0005-0000-0000-0000D0110000}"/>
    <cellStyle name="20% - Accent2 12 5" xfId="1617" xr:uid="{00000000-0005-0000-0000-0000D1110000}"/>
    <cellStyle name="20% - Accent2 12 5 2" xfId="1618" xr:uid="{00000000-0005-0000-0000-0000D2110000}"/>
    <cellStyle name="20% - Accent2 12 5 2 2" xfId="12998" xr:uid="{00000000-0005-0000-0000-0000D3110000}"/>
    <cellStyle name="20% - Accent2 12 5 2 2 2" xfId="24855" xr:uid="{00000000-0005-0000-0000-0000D4110000}"/>
    <cellStyle name="20% - Accent2 12 5 2 3" xfId="16949" xr:uid="{00000000-0005-0000-0000-0000D5110000}"/>
    <cellStyle name="20% - Accent2 12 5 2 3 2" xfId="28641" xr:uid="{00000000-0005-0000-0000-0000D6110000}"/>
    <cellStyle name="20% - Accent2 12 5 2 4" xfId="20995" xr:uid="{00000000-0005-0000-0000-0000D7110000}"/>
    <cellStyle name="20% - Accent2 12 5 3" xfId="1619" xr:uid="{00000000-0005-0000-0000-0000D8110000}"/>
    <cellStyle name="20% - Accent2 12 5 3 2" xfId="12999" xr:uid="{00000000-0005-0000-0000-0000D9110000}"/>
    <cellStyle name="20% - Accent2 12 5 3 2 2" xfId="24856" xr:uid="{00000000-0005-0000-0000-0000DA110000}"/>
    <cellStyle name="20% - Accent2 12 5 3 3" xfId="16950" xr:uid="{00000000-0005-0000-0000-0000DB110000}"/>
    <cellStyle name="20% - Accent2 12 5 3 3 2" xfId="28642" xr:uid="{00000000-0005-0000-0000-0000DC110000}"/>
    <cellStyle name="20% - Accent2 12 5 3 4" xfId="20996" xr:uid="{00000000-0005-0000-0000-0000DD110000}"/>
    <cellStyle name="20% - Accent2 12 5 4" xfId="12997" xr:uid="{00000000-0005-0000-0000-0000DE110000}"/>
    <cellStyle name="20% - Accent2 12 5 4 2" xfId="24854" xr:uid="{00000000-0005-0000-0000-0000DF110000}"/>
    <cellStyle name="20% - Accent2 12 5 5" xfId="16948" xr:uid="{00000000-0005-0000-0000-0000E0110000}"/>
    <cellStyle name="20% - Accent2 12 5 5 2" xfId="28640" xr:uid="{00000000-0005-0000-0000-0000E1110000}"/>
    <cellStyle name="20% - Accent2 12 5 6" xfId="20994" xr:uid="{00000000-0005-0000-0000-0000E2110000}"/>
    <cellStyle name="20% - Accent2 12 6" xfId="1620" xr:uid="{00000000-0005-0000-0000-0000E3110000}"/>
    <cellStyle name="20% - Accent2 12 6 2" xfId="1621" xr:uid="{00000000-0005-0000-0000-0000E4110000}"/>
    <cellStyle name="20% - Accent2 12 6 2 2" xfId="13001" xr:uid="{00000000-0005-0000-0000-0000E5110000}"/>
    <cellStyle name="20% - Accent2 12 6 2 2 2" xfId="24858" xr:uid="{00000000-0005-0000-0000-0000E6110000}"/>
    <cellStyle name="20% - Accent2 12 6 2 3" xfId="16952" xr:uid="{00000000-0005-0000-0000-0000E7110000}"/>
    <cellStyle name="20% - Accent2 12 6 2 3 2" xfId="28644" xr:uid="{00000000-0005-0000-0000-0000E8110000}"/>
    <cellStyle name="20% - Accent2 12 6 2 4" xfId="20998" xr:uid="{00000000-0005-0000-0000-0000E9110000}"/>
    <cellStyle name="20% - Accent2 12 6 3" xfId="1622" xr:uid="{00000000-0005-0000-0000-0000EA110000}"/>
    <cellStyle name="20% - Accent2 12 6 3 2" xfId="13002" xr:uid="{00000000-0005-0000-0000-0000EB110000}"/>
    <cellStyle name="20% - Accent2 12 6 3 2 2" xfId="24859" xr:uid="{00000000-0005-0000-0000-0000EC110000}"/>
    <cellStyle name="20% - Accent2 12 6 3 3" xfId="16953" xr:uid="{00000000-0005-0000-0000-0000ED110000}"/>
    <cellStyle name="20% - Accent2 12 6 3 3 2" xfId="28645" xr:uid="{00000000-0005-0000-0000-0000EE110000}"/>
    <cellStyle name="20% - Accent2 12 6 3 4" xfId="20999" xr:uid="{00000000-0005-0000-0000-0000EF110000}"/>
    <cellStyle name="20% - Accent2 12 6 4" xfId="13000" xr:uid="{00000000-0005-0000-0000-0000F0110000}"/>
    <cellStyle name="20% - Accent2 12 6 4 2" xfId="24857" xr:uid="{00000000-0005-0000-0000-0000F1110000}"/>
    <cellStyle name="20% - Accent2 12 6 5" xfId="16951" xr:uid="{00000000-0005-0000-0000-0000F2110000}"/>
    <cellStyle name="20% - Accent2 12 6 5 2" xfId="28643" xr:uid="{00000000-0005-0000-0000-0000F3110000}"/>
    <cellStyle name="20% - Accent2 12 6 6" xfId="20997" xr:uid="{00000000-0005-0000-0000-0000F4110000}"/>
    <cellStyle name="20% - Accent2 12 7" xfId="1623" xr:uid="{00000000-0005-0000-0000-0000F5110000}"/>
    <cellStyle name="20% - Accent2 12 7 2" xfId="13003" xr:uid="{00000000-0005-0000-0000-0000F6110000}"/>
    <cellStyle name="20% - Accent2 12 7 2 2" xfId="24860" xr:uid="{00000000-0005-0000-0000-0000F7110000}"/>
    <cellStyle name="20% - Accent2 12 7 3" xfId="16954" xr:uid="{00000000-0005-0000-0000-0000F8110000}"/>
    <cellStyle name="20% - Accent2 12 7 3 2" xfId="28646" xr:uid="{00000000-0005-0000-0000-0000F9110000}"/>
    <cellStyle name="20% - Accent2 12 7 4" xfId="21000" xr:uid="{00000000-0005-0000-0000-0000FA110000}"/>
    <cellStyle name="20% - Accent2 12 8" xfId="1624" xr:uid="{00000000-0005-0000-0000-0000FB110000}"/>
    <cellStyle name="20% - Accent2 12 8 2" xfId="13004" xr:uid="{00000000-0005-0000-0000-0000FC110000}"/>
    <cellStyle name="20% - Accent2 12 8 2 2" xfId="24861" xr:uid="{00000000-0005-0000-0000-0000FD110000}"/>
    <cellStyle name="20% - Accent2 12 8 3" xfId="16955" xr:uid="{00000000-0005-0000-0000-0000FE110000}"/>
    <cellStyle name="20% - Accent2 12 8 3 2" xfId="28647" xr:uid="{00000000-0005-0000-0000-0000FF110000}"/>
    <cellStyle name="20% - Accent2 12 8 4" xfId="21001" xr:uid="{00000000-0005-0000-0000-000000120000}"/>
    <cellStyle name="20% - Accent2 12 9" xfId="12972" xr:uid="{00000000-0005-0000-0000-000001120000}"/>
    <cellStyle name="20% - Accent2 12 9 2" xfId="24829" xr:uid="{00000000-0005-0000-0000-000002120000}"/>
    <cellStyle name="20% - Accent2 12_Volatility" xfId="1625" xr:uid="{00000000-0005-0000-0000-000003120000}"/>
    <cellStyle name="20% - Accent2 13" xfId="1626" xr:uid="{00000000-0005-0000-0000-000004120000}"/>
    <cellStyle name="20% - Accent2 13 10" xfId="16956" xr:uid="{00000000-0005-0000-0000-000005120000}"/>
    <cellStyle name="20% - Accent2 13 10 2" xfId="28648" xr:uid="{00000000-0005-0000-0000-000006120000}"/>
    <cellStyle name="20% - Accent2 13 11" xfId="21002" xr:uid="{00000000-0005-0000-0000-000007120000}"/>
    <cellStyle name="20% - Accent2 13 2" xfId="1627" xr:uid="{00000000-0005-0000-0000-000008120000}"/>
    <cellStyle name="20% - Accent2 13 2 2" xfId="1628" xr:uid="{00000000-0005-0000-0000-000009120000}"/>
    <cellStyle name="20% - Accent2 13 2 2 2" xfId="1629" xr:uid="{00000000-0005-0000-0000-00000A120000}"/>
    <cellStyle name="20% - Accent2 13 2 2 2 2" xfId="13008" xr:uid="{00000000-0005-0000-0000-00000B120000}"/>
    <cellStyle name="20% - Accent2 13 2 2 2 2 2" xfId="24865" xr:uid="{00000000-0005-0000-0000-00000C120000}"/>
    <cellStyle name="20% - Accent2 13 2 2 2 3" xfId="16959" xr:uid="{00000000-0005-0000-0000-00000D120000}"/>
    <cellStyle name="20% - Accent2 13 2 2 2 3 2" xfId="28651" xr:uid="{00000000-0005-0000-0000-00000E120000}"/>
    <cellStyle name="20% - Accent2 13 2 2 2 4" xfId="21005" xr:uid="{00000000-0005-0000-0000-00000F120000}"/>
    <cellStyle name="20% - Accent2 13 2 2 3" xfId="1630" xr:uid="{00000000-0005-0000-0000-000010120000}"/>
    <cellStyle name="20% - Accent2 13 2 2 3 2" xfId="13009" xr:uid="{00000000-0005-0000-0000-000011120000}"/>
    <cellStyle name="20% - Accent2 13 2 2 3 2 2" xfId="24866" xr:uid="{00000000-0005-0000-0000-000012120000}"/>
    <cellStyle name="20% - Accent2 13 2 2 3 3" xfId="16960" xr:uid="{00000000-0005-0000-0000-000013120000}"/>
    <cellStyle name="20% - Accent2 13 2 2 3 3 2" xfId="28652" xr:uid="{00000000-0005-0000-0000-000014120000}"/>
    <cellStyle name="20% - Accent2 13 2 2 3 4" xfId="21006" xr:uid="{00000000-0005-0000-0000-000015120000}"/>
    <cellStyle name="20% - Accent2 13 2 2 4" xfId="13007" xr:uid="{00000000-0005-0000-0000-000016120000}"/>
    <cellStyle name="20% - Accent2 13 2 2 4 2" xfId="24864" xr:uid="{00000000-0005-0000-0000-000017120000}"/>
    <cellStyle name="20% - Accent2 13 2 2 5" xfId="16958" xr:uid="{00000000-0005-0000-0000-000018120000}"/>
    <cellStyle name="20% - Accent2 13 2 2 5 2" xfId="28650" xr:uid="{00000000-0005-0000-0000-000019120000}"/>
    <cellStyle name="20% - Accent2 13 2 2 6" xfId="21004" xr:uid="{00000000-0005-0000-0000-00001A120000}"/>
    <cellStyle name="20% - Accent2 13 2 3" xfId="1631" xr:uid="{00000000-0005-0000-0000-00001B120000}"/>
    <cellStyle name="20% - Accent2 13 2 3 2" xfId="1632" xr:uid="{00000000-0005-0000-0000-00001C120000}"/>
    <cellStyle name="20% - Accent2 13 2 3 2 2" xfId="13011" xr:uid="{00000000-0005-0000-0000-00001D120000}"/>
    <cellStyle name="20% - Accent2 13 2 3 2 2 2" xfId="24868" xr:uid="{00000000-0005-0000-0000-00001E120000}"/>
    <cellStyle name="20% - Accent2 13 2 3 2 3" xfId="16962" xr:uid="{00000000-0005-0000-0000-00001F120000}"/>
    <cellStyle name="20% - Accent2 13 2 3 2 3 2" xfId="28654" xr:uid="{00000000-0005-0000-0000-000020120000}"/>
    <cellStyle name="20% - Accent2 13 2 3 2 4" xfId="21008" xr:uid="{00000000-0005-0000-0000-000021120000}"/>
    <cellStyle name="20% - Accent2 13 2 3 3" xfId="1633" xr:uid="{00000000-0005-0000-0000-000022120000}"/>
    <cellStyle name="20% - Accent2 13 2 3 3 2" xfId="13012" xr:uid="{00000000-0005-0000-0000-000023120000}"/>
    <cellStyle name="20% - Accent2 13 2 3 3 2 2" xfId="24869" xr:uid="{00000000-0005-0000-0000-000024120000}"/>
    <cellStyle name="20% - Accent2 13 2 3 3 3" xfId="16963" xr:uid="{00000000-0005-0000-0000-000025120000}"/>
    <cellStyle name="20% - Accent2 13 2 3 3 3 2" xfId="28655" xr:uid="{00000000-0005-0000-0000-000026120000}"/>
    <cellStyle name="20% - Accent2 13 2 3 3 4" xfId="21009" xr:uid="{00000000-0005-0000-0000-000027120000}"/>
    <cellStyle name="20% - Accent2 13 2 3 4" xfId="13010" xr:uid="{00000000-0005-0000-0000-000028120000}"/>
    <cellStyle name="20% - Accent2 13 2 3 4 2" xfId="24867" xr:uid="{00000000-0005-0000-0000-000029120000}"/>
    <cellStyle name="20% - Accent2 13 2 3 5" xfId="16961" xr:uid="{00000000-0005-0000-0000-00002A120000}"/>
    <cellStyle name="20% - Accent2 13 2 3 5 2" xfId="28653" xr:uid="{00000000-0005-0000-0000-00002B120000}"/>
    <cellStyle name="20% - Accent2 13 2 3 6" xfId="21007" xr:uid="{00000000-0005-0000-0000-00002C120000}"/>
    <cellStyle name="20% - Accent2 13 2 4" xfId="1634" xr:uid="{00000000-0005-0000-0000-00002D120000}"/>
    <cellStyle name="20% - Accent2 13 2 4 2" xfId="1635" xr:uid="{00000000-0005-0000-0000-00002E120000}"/>
    <cellStyle name="20% - Accent2 13 2 4 2 2" xfId="13014" xr:uid="{00000000-0005-0000-0000-00002F120000}"/>
    <cellStyle name="20% - Accent2 13 2 4 2 2 2" xfId="24871" xr:uid="{00000000-0005-0000-0000-000030120000}"/>
    <cellStyle name="20% - Accent2 13 2 4 2 3" xfId="16965" xr:uid="{00000000-0005-0000-0000-000031120000}"/>
    <cellStyle name="20% - Accent2 13 2 4 2 3 2" xfId="28657" xr:uid="{00000000-0005-0000-0000-000032120000}"/>
    <cellStyle name="20% - Accent2 13 2 4 2 4" xfId="21011" xr:uid="{00000000-0005-0000-0000-000033120000}"/>
    <cellStyle name="20% - Accent2 13 2 4 3" xfId="1636" xr:uid="{00000000-0005-0000-0000-000034120000}"/>
    <cellStyle name="20% - Accent2 13 2 4 3 2" xfId="13015" xr:uid="{00000000-0005-0000-0000-000035120000}"/>
    <cellStyle name="20% - Accent2 13 2 4 3 2 2" xfId="24872" xr:uid="{00000000-0005-0000-0000-000036120000}"/>
    <cellStyle name="20% - Accent2 13 2 4 3 3" xfId="16966" xr:uid="{00000000-0005-0000-0000-000037120000}"/>
    <cellStyle name="20% - Accent2 13 2 4 3 3 2" xfId="28658" xr:uid="{00000000-0005-0000-0000-000038120000}"/>
    <cellStyle name="20% - Accent2 13 2 4 3 4" xfId="21012" xr:uid="{00000000-0005-0000-0000-000039120000}"/>
    <cellStyle name="20% - Accent2 13 2 4 4" xfId="13013" xr:uid="{00000000-0005-0000-0000-00003A120000}"/>
    <cellStyle name="20% - Accent2 13 2 4 4 2" xfId="24870" xr:uid="{00000000-0005-0000-0000-00003B120000}"/>
    <cellStyle name="20% - Accent2 13 2 4 5" xfId="16964" xr:uid="{00000000-0005-0000-0000-00003C120000}"/>
    <cellStyle name="20% - Accent2 13 2 4 5 2" xfId="28656" xr:uid="{00000000-0005-0000-0000-00003D120000}"/>
    <cellStyle name="20% - Accent2 13 2 4 6" xfId="21010" xr:uid="{00000000-0005-0000-0000-00003E120000}"/>
    <cellStyle name="20% - Accent2 13 2 5" xfId="1637" xr:uid="{00000000-0005-0000-0000-00003F120000}"/>
    <cellStyle name="20% - Accent2 13 2 5 2" xfId="13016" xr:uid="{00000000-0005-0000-0000-000040120000}"/>
    <cellStyle name="20% - Accent2 13 2 5 2 2" xfId="24873" xr:uid="{00000000-0005-0000-0000-000041120000}"/>
    <cellStyle name="20% - Accent2 13 2 5 3" xfId="16967" xr:uid="{00000000-0005-0000-0000-000042120000}"/>
    <cellStyle name="20% - Accent2 13 2 5 3 2" xfId="28659" xr:uid="{00000000-0005-0000-0000-000043120000}"/>
    <cellStyle name="20% - Accent2 13 2 5 4" xfId="21013" xr:uid="{00000000-0005-0000-0000-000044120000}"/>
    <cellStyle name="20% - Accent2 13 2 6" xfId="1638" xr:uid="{00000000-0005-0000-0000-000045120000}"/>
    <cellStyle name="20% - Accent2 13 2 6 2" xfId="13017" xr:uid="{00000000-0005-0000-0000-000046120000}"/>
    <cellStyle name="20% - Accent2 13 2 6 2 2" xfId="24874" xr:uid="{00000000-0005-0000-0000-000047120000}"/>
    <cellStyle name="20% - Accent2 13 2 6 3" xfId="16968" xr:uid="{00000000-0005-0000-0000-000048120000}"/>
    <cellStyle name="20% - Accent2 13 2 6 3 2" xfId="28660" xr:uid="{00000000-0005-0000-0000-000049120000}"/>
    <cellStyle name="20% - Accent2 13 2 6 4" xfId="21014" xr:uid="{00000000-0005-0000-0000-00004A120000}"/>
    <cellStyle name="20% - Accent2 13 2 7" xfId="13006" xr:uid="{00000000-0005-0000-0000-00004B120000}"/>
    <cellStyle name="20% - Accent2 13 2 7 2" xfId="24863" xr:uid="{00000000-0005-0000-0000-00004C120000}"/>
    <cellStyle name="20% - Accent2 13 2 8" xfId="16957" xr:uid="{00000000-0005-0000-0000-00004D120000}"/>
    <cellStyle name="20% - Accent2 13 2 8 2" xfId="28649" xr:uid="{00000000-0005-0000-0000-00004E120000}"/>
    <cellStyle name="20% - Accent2 13 2 9" xfId="21003" xr:uid="{00000000-0005-0000-0000-00004F120000}"/>
    <cellStyle name="20% - Accent2 13 2_Volatility" xfId="1639" xr:uid="{00000000-0005-0000-0000-000050120000}"/>
    <cellStyle name="20% - Accent2 13 3" xfId="1640" xr:uid="{00000000-0005-0000-0000-000051120000}"/>
    <cellStyle name="20% - Accent2 13 3 2" xfId="1641" xr:uid="{00000000-0005-0000-0000-000052120000}"/>
    <cellStyle name="20% - Accent2 13 3 2 2" xfId="1642" xr:uid="{00000000-0005-0000-0000-000053120000}"/>
    <cellStyle name="20% - Accent2 13 3 2 2 2" xfId="13020" xr:uid="{00000000-0005-0000-0000-000054120000}"/>
    <cellStyle name="20% - Accent2 13 3 2 2 2 2" xfId="24877" xr:uid="{00000000-0005-0000-0000-000055120000}"/>
    <cellStyle name="20% - Accent2 13 3 2 2 3" xfId="16971" xr:uid="{00000000-0005-0000-0000-000056120000}"/>
    <cellStyle name="20% - Accent2 13 3 2 2 3 2" xfId="28663" xr:uid="{00000000-0005-0000-0000-000057120000}"/>
    <cellStyle name="20% - Accent2 13 3 2 2 4" xfId="21017" xr:uid="{00000000-0005-0000-0000-000058120000}"/>
    <cellStyle name="20% - Accent2 13 3 2 3" xfId="1643" xr:uid="{00000000-0005-0000-0000-000059120000}"/>
    <cellStyle name="20% - Accent2 13 3 2 3 2" xfId="13021" xr:uid="{00000000-0005-0000-0000-00005A120000}"/>
    <cellStyle name="20% - Accent2 13 3 2 3 2 2" xfId="24878" xr:uid="{00000000-0005-0000-0000-00005B120000}"/>
    <cellStyle name="20% - Accent2 13 3 2 3 3" xfId="16972" xr:uid="{00000000-0005-0000-0000-00005C120000}"/>
    <cellStyle name="20% - Accent2 13 3 2 3 3 2" xfId="28664" xr:uid="{00000000-0005-0000-0000-00005D120000}"/>
    <cellStyle name="20% - Accent2 13 3 2 3 4" xfId="21018" xr:uid="{00000000-0005-0000-0000-00005E120000}"/>
    <cellStyle name="20% - Accent2 13 3 2 4" xfId="13019" xr:uid="{00000000-0005-0000-0000-00005F120000}"/>
    <cellStyle name="20% - Accent2 13 3 2 4 2" xfId="24876" xr:uid="{00000000-0005-0000-0000-000060120000}"/>
    <cellStyle name="20% - Accent2 13 3 2 5" xfId="16970" xr:uid="{00000000-0005-0000-0000-000061120000}"/>
    <cellStyle name="20% - Accent2 13 3 2 5 2" xfId="28662" xr:uid="{00000000-0005-0000-0000-000062120000}"/>
    <cellStyle name="20% - Accent2 13 3 2 6" xfId="21016" xr:uid="{00000000-0005-0000-0000-000063120000}"/>
    <cellStyle name="20% - Accent2 13 3 3" xfId="1644" xr:uid="{00000000-0005-0000-0000-000064120000}"/>
    <cellStyle name="20% - Accent2 13 3 3 2" xfId="1645" xr:uid="{00000000-0005-0000-0000-000065120000}"/>
    <cellStyle name="20% - Accent2 13 3 3 2 2" xfId="13023" xr:uid="{00000000-0005-0000-0000-000066120000}"/>
    <cellStyle name="20% - Accent2 13 3 3 2 2 2" xfId="24880" xr:uid="{00000000-0005-0000-0000-000067120000}"/>
    <cellStyle name="20% - Accent2 13 3 3 2 3" xfId="16974" xr:uid="{00000000-0005-0000-0000-000068120000}"/>
    <cellStyle name="20% - Accent2 13 3 3 2 3 2" xfId="28666" xr:uid="{00000000-0005-0000-0000-000069120000}"/>
    <cellStyle name="20% - Accent2 13 3 3 2 4" xfId="21020" xr:uid="{00000000-0005-0000-0000-00006A120000}"/>
    <cellStyle name="20% - Accent2 13 3 3 3" xfId="1646" xr:uid="{00000000-0005-0000-0000-00006B120000}"/>
    <cellStyle name="20% - Accent2 13 3 3 3 2" xfId="13024" xr:uid="{00000000-0005-0000-0000-00006C120000}"/>
    <cellStyle name="20% - Accent2 13 3 3 3 2 2" xfId="24881" xr:uid="{00000000-0005-0000-0000-00006D120000}"/>
    <cellStyle name="20% - Accent2 13 3 3 3 3" xfId="16975" xr:uid="{00000000-0005-0000-0000-00006E120000}"/>
    <cellStyle name="20% - Accent2 13 3 3 3 3 2" xfId="28667" xr:uid="{00000000-0005-0000-0000-00006F120000}"/>
    <cellStyle name="20% - Accent2 13 3 3 3 4" xfId="21021" xr:uid="{00000000-0005-0000-0000-000070120000}"/>
    <cellStyle name="20% - Accent2 13 3 3 4" xfId="13022" xr:uid="{00000000-0005-0000-0000-000071120000}"/>
    <cellStyle name="20% - Accent2 13 3 3 4 2" xfId="24879" xr:uid="{00000000-0005-0000-0000-000072120000}"/>
    <cellStyle name="20% - Accent2 13 3 3 5" xfId="16973" xr:uid="{00000000-0005-0000-0000-000073120000}"/>
    <cellStyle name="20% - Accent2 13 3 3 5 2" xfId="28665" xr:uid="{00000000-0005-0000-0000-000074120000}"/>
    <cellStyle name="20% - Accent2 13 3 3 6" xfId="21019" xr:uid="{00000000-0005-0000-0000-000075120000}"/>
    <cellStyle name="20% - Accent2 13 3 4" xfId="1647" xr:uid="{00000000-0005-0000-0000-000076120000}"/>
    <cellStyle name="20% - Accent2 13 3 4 2" xfId="13025" xr:uid="{00000000-0005-0000-0000-000077120000}"/>
    <cellStyle name="20% - Accent2 13 3 4 2 2" xfId="24882" xr:uid="{00000000-0005-0000-0000-000078120000}"/>
    <cellStyle name="20% - Accent2 13 3 4 3" xfId="16976" xr:uid="{00000000-0005-0000-0000-000079120000}"/>
    <cellStyle name="20% - Accent2 13 3 4 3 2" xfId="28668" xr:uid="{00000000-0005-0000-0000-00007A120000}"/>
    <cellStyle name="20% - Accent2 13 3 4 4" xfId="21022" xr:uid="{00000000-0005-0000-0000-00007B120000}"/>
    <cellStyle name="20% - Accent2 13 3 5" xfId="1648" xr:uid="{00000000-0005-0000-0000-00007C120000}"/>
    <cellStyle name="20% - Accent2 13 3 5 2" xfId="13026" xr:uid="{00000000-0005-0000-0000-00007D120000}"/>
    <cellStyle name="20% - Accent2 13 3 5 2 2" xfId="24883" xr:uid="{00000000-0005-0000-0000-00007E120000}"/>
    <cellStyle name="20% - Accent2 13 3 5 3" xfId="16977" xr:uid="{00000000-0005-0000-0000-00007F120000}"/>
    <cellStyle name="20% - Accent2 13 3 5 3 2" xfId="28669" xr:uid="{00000000-0005-0000-0000-000080120000}"/>
    <cellStyle name="20% - Accent2 13 3 5 4" xfId="21023" xr:uid="{00000000-0005-0000-0000-000081120000}"/>
    <cellStyle name="20% - Accent2 13 3 6" xfId="13018" xr:uid="{00000000-0005-0000-0000-000082120000}"/>
    <cellStyle name="20% - Accent2 13 3 6 2" xfId="24875" xr:uid="{00000000-0005-0000-0000-000083120000}"/>
    <cellStyle name="20% - Accent2 13 3 7" xfId="16969" xr:uid="{00000000-0005-0000-0000-000084120000}"/>
    <cellStyle name="20% - Accent2 13 3 7 2" xfId="28661" xr:uid="{00000000-0005-0000-0000-000085120000}"/>
    <cellStyle name="20% - Accent2 13 3 8" xfId="21015" xr:uid="{00000000-0005-0000-0000-000086120000}"/>
    <cellStyle name="20% - Accent2 13 3_Volatility" xfId="1649" xr:uid="{00000000-0005-0000-0000-000087120000}"/>
    <cellStyle name="20% - Accent2 13 4" xfId="1650" xr:uid="{00000000-0005-0000-0000-000088120000}"/>
    <cellStyle name="20% - Accent2 13 4 2" xfId="1651" xr:uid="{00000000-0005-0000-0000-000089120000}"/>
    <cellStyle name="20% - Accent2 13 4 2 2" xfId="13028" xr:uid="{00000000-0005-0000-0000-00008A120000}"/>
    <cellStyle name="20% - Accent2 13 4 2 2 2" xfId="24885" xr:uid="{00000000-0005-0000-0000-00008B120000}"/>
    <cellStyle name="20% - Accent2 13 4 2 3" xfId="16979" xr:uid="{00000000-0005-0000-0000-00008C120000}"/>
    <cellStyle name="20% - Accent2 13 4 2 3 2" xfId="28671" xr:uid="{00000000-0005-0000-0000-00008D120000}"/>
    <cellStyle name="20% - Accent2 13 4 2 4" xfId="21025" xr:uid="{00000000-0005-0000-0000-00008E120000}"/>
    <cellStyle name="20% - Accent2 13 4 3" xfId="1652" xr:uid="{00000000-0005-0000-0000-00008F120000}"/>
    <cellStyle name="20% - Accent2 13 4 3 2" xfId="13029" xr:uid="{00000000-0005-0000-0000-000090120000}"/>
    <cellStyle name="20% - Accent2 13 4 3 2 2" xfId="24886" xr:uid="{00000000-0005-0000-0000-000091120000}"/>
    <cellStyle name="20% - Accent2 13 4 3 3" xfId="16980" xr:uid="{00000000-0005-0000-0000-000092120000}"/>
    <cellStyle name="20% - Accent2 13 4 3 3 2" xfId="28672" xr:uid="{00000000-0005-0000-0000-000093120000}"/>
    <cellStyle name="20% - Accent2 13 4 3 4" xfId="21026" xr:uid="{00000000-0005-0000-0000-000094120000}"/>
    <cellStyle name="20% - Accent2 13 4 4" xfId="13027" xr:uid="{00000000-0005-0000-0000-000095120000}"/>
    <cellStyle name="20% - Accent2 13 4 4 2" xfId="24884" xr:uid="{00000000-0005-0000-0000-000096120000}"/>
    <cellStyle name="20% - Accent2 13 4 5" xfId="16978" xr:uid="{00000000-0005-0000-0000-000097120000}"/>
    <cellStyle name="20% - Accent2 13 4 5 2" xfId="28670" xr:uid="{00000000-0005-0000-0000-000098120000}"/>
    <cellStyle name="20% - Accent2 13 4 6" xfId="21024" xr:uid="{00000000-0005-0000-0000-000099120000}"/>
    <cellStyle name="20% - Accent2 13 5" xfId="1653" xr:uid="{00000000-0005-0000-0000-00009A120000}"/>
    <cellStyle name="20% - Accent2 13 5 2" xfId="1654" xr:uid="{00000000-0005-0000-0000-00009B120000}"/>
    <cellStyle name="20% - Accent2 13 5 2 2" xfId="13031" xr:uid="{00000000-0005-0000-0000-00009C120000}"/>
    <cellStyle name="20% - Accent2 13 5 2 2 2" xfId="24888" xr:uid="{00000000-0005-0000-0000-00009D120000}"/>
    <cellStyle name="20% - Accent2 13 5 2 3" xfId="16982" xr:uid="{00000000-0005-0000-0000-00009E120000}"/>
    <cellStyle name="20% - Accent2 13 5 2 3 2" xfId="28674" xr:uid="{00000000-0005-0000-0000-00009F120000}"/>
    <cellStyle name="20% - Accent2 13 5 2 4" xfId="21028" xr:uid="{00000000-0005-0000-0000-0000A0120000}"/>
    <cellStyle name="20% - Accent2 13 5 3" xfId="1655" xr:uid="{00000000-0005-0000-0000-0000A1120000}"/>
    <cellStyle name="20% - Accent2 13 5 3 2" xfId="13032" xr:uid="{00000000-0005-0000-0000-0000A2120000}"/>
    <cellStyle name="20% - Accent2 13 5 3 2 2" xfId="24889" xr:uid="{00000000-0005-0000-0000-0000A3120000}"/>
    <cellStyle name="20% - Accent2 13 5 3 3" xfId="16983" xr:uid="{00000000-0005-0000-0000-0000A4120000}"/>
    <cellStyle name="20% - Accent2 13 5 3 3 2" xfId="28675" xr:uid="{00000000-0005-0000-0000-0000A5120000}"/>
    <cellStyle name="20% - Accent2 13 5 3 4" xfId="21029" xr:uid="{00000000-0005-0000-0000-0000A6120000}"/>
    <cellStyle name="20% - Accent2 13 5 4" xfId="13030" xr:uid="{00000000-0005-0000-0000-0000A7120000}"/>
    <cellStyle name="20% - Accent2 13 5 4 2" xfId="24887" xr:uid="{00000000-0005-0000-0000-0000A8120000}"/>
    <cellStyle name="20% - Accent2 13 5 5" xfId="16981" xr:uid="{00000000-0005-0000-0000-0000A9120000}"/>
    <cellStyle name="20% - Accent2 13 5 5 2" xfId="28673" xr:uid="{00000000-0005-0000-0000-0000AA120000}"/>
    <cellStyle name="20% - Accent2 13 5 6" xfId="21027" xr:uid="{00000000-0005-0000-0000-0000AB120000}"/>
    <cellStyle name="20% - Accent2 13 6" xfId="1656" xr:uid="{00000000-0005-0000-0000-0000AC120000}"/>
    <cellStyle name="20% - Accent2 13 6 2" xfId="1657" xr:uid="{00000000-0005-0000-0000-0000AD120000}"/>
    <cellStyle name="20% - Accent2 13 6 2 2" xfId="13034" xr:uid="{00000000-0005-0000-0000-0000AE120000}"/>
    <cellStyle name="20% - Accent2 13 6 2 2 2" xfId="24891" xr:uid="{00000000-0005-0000-0000-0000AF120000}"/>
    <cellStyle name="20% - Accent2 13 6 2 3" xfId="16985" xr:uid="{00000000-0005-0000-0000-0000B0120000}"/>
    <cellStyle name="20% - Accent2 13 6 2 3 2" xfId="28677" xr:uid="{00000000-0005-0000-0000-0000B1120000}"/>
    <cellStyle name="20% - Accent2 13 6 2 4" xfId="21031" xr:uid="{00000000-0005-0000-0000-0000B2120000}"/>
    <cellStyle name="20% - Accent2 13 6 3" xfId="1658" xr:uid="{00000000-0005-0000-0000-0000B3120000}"/>
    <cellStyle name="20% - Accent2 13 6 3 2" xfId="13035" xr:uid="{00000000-0005-0000-0000-0000B4120000}"/>
    <cellStyle name="20% - Accent2 13 6 3 2 2" xfId="24892" xr:uid="{00000000-0005-0000-0000-0000B5120000}"/>
    <cellStyle name="20% - Accent2 13 6 3 3" xfId="16986" xr:uid="{00000000-0005-0000-0000-0000B6120000}"/>
    <cellStyle name="20% - Accent2 13 6 3 3 2" xfId="28678" xr:uid="{00000000-0005-0000-0000-0000B7120000}"/>
    <cellStyle name="20% - Accent2 13 6 3 4" xfId="21032" xr:uid="{00000000-0005-0000-0000-0000B8120000}"/>
    <cellStyle name="20% - Accent2 13 6 4" xfId="13033" xr:uid="{00000000-0005-0000-0000-0000B9120000}"/>
    <cellStyle name="20% - Accent2 13 6 4 2" xfId="24890" xr:uid="{00000000-0005-0000-0000-0000BA120000}"/>
    <cellStyle name="20% - Accent2 13 6 5" xfId="16984" xr:uid="{00000000-0005-0000-0000-0000BB120000}"/>
    <cellStyle name="20% - Accent2 13 6 5 2" xfId="28676" xr:uid="{00000000-0005-0000-0000-0000BC120000}"/>
    <cellStyle name="20% - Accent2 13 6 6" xfId="21030" xr:uid="{00000000-0005-0000-0000-0000BD120000}"/>
    <cellStyle name="20% - Accent2 13 7" xfId="1659" xr:uid="{00000000-0005-0000-0000-0000BE120000}"/>
    <cellStyle name="20% - Accent2 13 7 2" xfId="13036" xr:uid="{00000000-0005-0000-0000-0000BF120000}"/>
    <cellStyle name="20% - Accent2 13 7 2 2" xfId="24893" xr:uid="{00000000-0005-0000-0000-0000C0120000}"/>
    <cellStyle name="20% - Accent2 13 7 3" xfId="16987" xr:uid="{00000000-0005-0000-0000-0000C1120000}"/>
    <cellStyle name="20% - Accent2 13 7 3 2" xfId="28679" xr:uid="{00000000-0005-0000-0000-0000C2120000}"/>
    <cellStyle name="20% - Accent2 13 7 4" xfId="21033" xr:uid="{00000000-0005-0000-0000-0000C3120000}"/>
    <cellStyle name="20% - Accent2 13 8" xfId="1660" xr:uid="{00000000-0005-0000-0000-0000C4120000}"/>
    <cellStyle name="20% - Accent2 13 8 2" xfId="13037" xr:uid="{00000000-0005-0000-0000-0000C5120000}"/>
    <cellStyle name="20% - Accent2 13 8 2 2" xfId="24894" xr:uid="{00000000-0005-0000-0000-0000C6120000}"/>
    <cellStyle name="20% - Accent2 13 8 3" xfId="16988" xr:uid="{00000000-0005-0000-0000-0000C7120000}"/>
    <cellStyle name="20% - Accent2 13 8 3 2" xfId="28680" xr:uid="{00000000-0005-0000-0000-0000C8120000}"/>
    <cellStyle name="20% - Accent2 13 8 4" xfId="21034" xr:uid="{00000000-0005-0000-0000-0000C9120000}"/>
    <cellStyle name="20% - Accent2 13 9" xfId="13005" xr:uid="{00000000-0005-0000-0000-0000CA120000}"/>
    <cellStyle name="20% - Accent2 13 9 2" xfId="24862" xr:uid="{00000000-0005-0000-0000-0000CB120000}"/>
    <cellStyle name="20% - Accent2 13_Volatility" xfId="1661" xr:uid="{00000000-0005-0000-0000-0000CC120000}"/>
    <cellStyle name="20% - Accent2 14" xfId="1662" xr:uid="{00000000-0005-0000-0000-0000CD120000}"/>
    <cellStyle name="20% - Accent2 14 10" xfId="16989" xr:uid="{00000000-0005-0000-0000-0000CE120000}"/>
    <cellStyle name="20% - Accent2 14 10 2" xfId="28681" xr:uid="{00000000-0005-0000-0000-0000CF120000}"/>
    <cellStyle name="20% - Accent2 14 11" xfId="21035" xr:uid="{00000000-0005-0000-0000-0000D0120000}"/>
    <cellStyle name="20% - Accent2 14 2" xfId="1663" xr:uid="{00000000-0005-0000-0000-0000D1120000}"/>
    <cellStyle name="20% - Accent2 14 2 2" xfId="1664" xr:uid="{00000000-0005-0000-0000-0000D2120000}"/>
    <cellStyle name="20% - Accent2 14 2 2 2" xfId="1665" xr:uid="{00000000-0005-0000-0000-0000D3120000}"/>
    <cellStyle name="20% - Accent2 14 2 2 2 2" xfId="13041" xr:uid="{00000000-0005-0000-0000-0000D4120000}"/>
    <cellStyle name="20% - Accent2 14 2 2 2 2 2" xfId="24898" xr:uid="{00000000-0005-0000-0000-0000D5120000}"/>
    <cellStyle name="20% - Accent2 14 2 2 2 3" xfId="16992" xr:uid="{00000000-0005-0000-0000-0000D6120000}"/>
    <cellStyle name="20% - Accent2 14 2 2 2 3 2" xfId="28684" xr:uid="{00000000-0005-0000-0000-0000D7120000}"/>
    <cellStyle name="20% - Accent2 14 2 2 2 4" xfId="21038" xr:uid="{00000000-0005-0000-0000-0000D8120000}"/>
    <cellStyle name="20% - Accent2 14 2 2 3" xfId="1666" xr:uid="{00000000-0005-0000-0000-0000D9120000}"/>
    <cellStyle name="20% - Accent2 14 2 2 3 2" xfId="13042" xr:uid="{00000000-0005-0000-0000-0000DA120000}"/>
    <cellStyle name="20% - Accent2 14 2 2 3 2 2" xfId="24899" xr:uid="{00000000-0005-0000-0000-0000DB120000}"/>
    <cellStyle name="20% - Accent2 14 2 2 3 3" xfId="16993" xr:uid="{00000000-0005-0000-0000-0000DC120000}"/>
    <cellStyle name="20% - Accent2 14 2 2 3 3 2" xfId="28685" xr:uid="{00000000-0005-0000-0000-0000DD120000}"/>
    <cellStyle name="20% - Accent2 14 2 2 3 4" xfId="21039" xr:uid="{00000000-0005-0000-0000-0000DE120000}"/>
    <cellStyle name="20% - Accent2 14 2 2 4" xfId="13040" xr:uid="{00000000-0005-0000-0000-0000DF120000}"/>
    <cellStyle name="20% - Accent2 14 2 2 4 2" xfId="24897" xr:uid="{00000000-0005-0000-0000-0000E0120000}"/>
    <cellStyle name="20% - Accent2 14 2 2 5" xfId="16991" xr:uid="{00000000-0005-0000-0000-0000E1120000}"/>
    <cellStyle name="20% - Accent2 14 2 2 5 2" xfId="28683" xr:uid="{00000000-0005-0000-0000-0000E2120000}"/>
    <cellStyle name="20% - Accent2 14 2 2 6" xfId="21037" xr:uid="{00000000-0005-0000-0000-0000E3120000}"/>
    <cellStyle name="20% - Accent2 14 2 3" xfId="1667" xr:uid="{00000000-0005-0000-0000-0000E4120000}"/>
    <cellStyle name="20% - Accent2 14 2 3 2" xfId="1668" xr:uid="{00000000-0005-0000-0000-0000E5120000}"/>
    <cellStyle name="20% - Accent2 14 2 3 2 2" xfId="13044" xr:uid="{00000000-0005-0000-0000-0000E6120000}"/>
    <cellStyle name="20% - Accent2 14 2 3 2 2 2" xfId="24901" xr:uid="{00000000-0005-0000-0000-0000E7120000}"/>
    <cellStyle name="20% - Accent2 14 2 3 2 3" xfId="16995" xr:uid="{00000000-0005-0000-0000-0000E8120000}"/>
    <cellStyle name="20% - Accent2 14 2 3 2 3 2" xfId="28687" xr:uid="{00000000-0005-0000-0000-0000E9120000}"/>
    <cellStyle name="20% - Accent2 14 2 3 2 4" xfId="21041" xr:uid="{00000000-0005-0000-0000-0000EA120000}"/>
    <cellStyle name="20% - Accent2 14 2 3 3" xfId="1669" xr:uid="{00000000-0005-0000-0000-0000EB120000}"/>
    <cellStyle name="20% - Accent2 14 2 3 3 2" xfId="13045" xr:uid="{00000000-0005-0000-0000-0000EC120000}"/>
    <cellStyle name="20% - Accent2 14 2 3 3 2 2" xfId="24902" xr:uid="{00000000-0005-0000-0000-0000ED120000}"/>
    <cellStyle name="20% - Accent2 14 2 3 3 3" xfId="16996" xr:uid="{00000000-0005-0000-0000-0000EE120000}"/>
    <cellStyle name="20% - Accent2 14 2 3 3 3 2" xfId="28688" xr:uid="{00000000-0005-0000-0000-0000EF120000}"/>
    <cellStyle name="20% - Accent2 14 2 3 3 4" xfId="21042" xr:uid="{00000000-0005-0000-0000-0000F0120000}"/>
    <cellStyle name="20% - Accent2 14 2 3 4" xfId="13043" xr:uid="{00000000-0005-0000-0000-0000F1120000}"/>
    <cellStyle name="20% - Accent2 14 2 3 4 2" xfId="24900" xr:uid="{00000000-0005-0000-0000-0000F2120000}"/>
    <cellStyle name="20% - Accent2 14 2 3 5" xfId="16994" xr:uid="{00000000-0005-0000-0000-0000F3120000}"/>
    <cellStyle name="20% - Accent2 14 2 3 5 2" xfId="28686" xr:uid="{00000000-0005-0000-0000-0000F4120000}"/>
    <cellStyle name="20% - Accent2 14 2 3 6" xfId="21040" xr:uid="{00000000-0005-0000-0000-0000F5120000}"/>
    <cellStyle name="20% - Accent2 14 2 4" xfId="1670" xr:uid="{00000000-0005-0000-0000-0000F6120000}"/>
    <cellStyle name="20% - Accent2 14 2 4 2" xfId="1671" xr:uid="{00000000-0005-0000-0000-0000F7120000}"/>
    <cellStyle name="20% - Accent2 14 2 4 2 2" xfId="13047" xr:uid="{00000000-0005-0000-0000-0000F8120000}"/>
    <cellStyle name="20% - Accent2 14 2 4 2 2 2" xfId="24904" xr:uid="{00000000-0005-0000-0000-0000F9120000}"/>
    <cellStyle name="20% - Accent2 14 2 4 2 3" xfId="16998" xr:uid="{00000000-0005-0000-0000-0000FA120000}"/>
    <cellStyle name="20% - Accent2 14 2 4 2 3 2" xfId="28690" xr:uid="{00000000-0005-0000-0000-0000FB120000}"/>
    <cellStyle name="20% - Accent2 14 2 4 2 4" xfId="21044" xr:uid="{00000000-0005-0000-0000-0000FC120000}"/>
    <cellStyle name="20% - Accent2 14 2 4 3" xfId="1672" xr:uid="{00000000-0005-0000-0000-0000FD120000}"/>
    <cellStyle name="20% - Accent2 14 2 4 3 2" xfId="13048" xr:uid="{00000000-0005-0000-0000-0000FE120000}"/>
    <cellStyle name="20% - Accent2 14 2 4 3 2 2" xfId="24905" xr:uid="{00000000-0005-0000-0000-0000FF120000}"/>
    <cellStyle name="20% - Accent2 14 2 4 3 3" xfId="16999" xr:uid="{00000000-0005-0000-0000-000000130000}"/>
    <cellStyle name="20% - Accent2 14 2 4 3 3 2" xfId="28691" xr:uid="{00000000-0005-0000-0000-000001130000}"/>
    <cellStyle name="20% - Accent2 14 2 4 3 4" xfId="21045" xr:uid="{00000000-0005-0000-0000-000002130000}"/>
    <cellStyle name="20% - Accent2 14 2 4 4" xfId="13046" xr:uid="{00000000-0005-0000-0000-000003130000}"/>
    <cellStyle name="20% - Accent2 14 2 4 4 2" xfId="24903" xr:uid="{00000000-0005-0000-0000-000004130000}"/>
    <cellStyle name="20% - Accent2 14 2 4 5" xfId="16997" xr:uid="{00000000-0005-0000-0000-000005130000}"/>
    <cellStyle name="20% - Accent2 14 2 4 5 2" xfId="28689" xr:uid="{00000000-0005-0000-0000-000006130000}"/>
    <cellStyle name="20% - Accent2 14 2 4 6" xfId="21043" xr:uid="{00000000-0005-0000-0000-000007130000}"/>
    <cellStyle name="20% - Accent2 14 2 5" xfId="1673" xr:uid="{00000000-0005-0000-0000-000008130000}"/>
    <cellStyle name="20% - Accent2 14 2 5 2" xfId="13049" xr:uid="{00000000-0005-0000-0000-000009130000}"/>
    <cellStyle name="20% - Accent2 14 2 5 2 2" xfId="24906" xr:uid="{00000000-0005-0000-0000-00000A130000}"/>
    <cellStyle name="20% - Accent2 14 2 5 3" xfId="17000" xr:uid="{00000000-0005-0000-0000-00000B130000}"/>
    <cellStyle name="20% - Accent2 14 2 5 3 2" xfId="28692" xr:uid="{00000000-0005-0000-0000-00000C130000}"/>
    <cellStyle name="20% - Accent2 14 2 5 4" xfId="21046" xr:uid="{00000000-0005-0000-0000-00000D130000}"/>
    <cellStyle name="20% - Accent2 14 2 6" xfId="1674" xr:uid="{00000000-0005-0000-0000-00000E130000}"/>
    <cellStyle name="20% - Accent2 14 2 6 2" xfId="13050" xr:uid="{00000000-0005-0000-0000-00000F130000}"/>
    <cellStyle name="20% - Accent2 14 2 6 2 2" xfId="24907" xr:uid="{00000000-0005-0000-0000-000010130000}"/>
    <cellStyle name="20% - Accent2 14 2 6 3" xfId="17001" xr:uid="{00000000-0005-0000-0000-000011130000}"/>
    <cellStyle name="20% - Accent2 14 2 6 3 2" xfId="28693" xr:uid="{00000000-0005-0000-0000-000012130000}"/>
    <cellStyle name="20% - Accent2 14 2 6 4" xfId="21047" xr:uid="{00000000-0005-0000-0000-000013130000}"/>
    <cellStyle name="20% - Accent2 14 2 7" xfId="13039" xr:uid="{00000000-0005-0000-0000-000014130000}"/>
    <cellStyle name="20% - Accent2 14 2 7 2" xfId="24896" xr:uid="{00000000-0005-0000-0000-000015130000}"/>
    <cellStyle name="20% - Accent2 14 2 8" xfId="16990" xr:uid="{00000000-0005-0000-0000-000016130000}"/>
    <cellStyle name="20% - Accent2 14 2 8 2" xfId="28682" xr:uid="{00000000-0005-0000-0000-000017130000}"/>
    <cellStyle name="20% - Accent2 14 2 9" xfId="21036" xr:uid="{00000000-0005-0000-0000-000018130000}"/>
    <cellStyle name="20% - Accent2 14 2_Volatility" xfId="1675" xr:uid="{00000000-0005-0000-0000-000019130000}"/>
    <cellStyle name="20% - Accent2 14 3" xfId="1676" xr:uid="{00000000-0005-0000-0000-00001A130000}"/>
    <cellStyle name="20% - Accent2 14 3 2" xfId="1677" xr:uid="{00000000-0005-0000-0000-00001B130000}"/>
    <cellStyle name="20% - Accent2 14 3 2 2" xfId="1678" xr:uid="{00000000-0005-0000-0000-00001C130000}"/>
    <cellStyle name="20% - Accent2 14 3 2 2 2" xfId="13053" xr:uid="{00000000-0005-0000-0000-00001D130000}"/>
    <cellStyle name="20% - Accent2 14 3 2 2 2 2" xfId="24910" xr:uid="{00000000-0005-0000-0000-00001E130000}"/>
    <cellStyle name="20% - Accent2 14 3 2 2 3" xfId="17004" xr:uid="{00000000-0005-0000-0000-00001F130000}"/>
    <cellStyle name="20% - Accent2 14 3 2 2 3 2" xfId="28696" xr:uid="{00000000-0005-0000-0000-000020130000}"/>
    <cellStyle name="20% - Accent2 14 3 2 2 4" xfId="21050" xr:uid="{00000000-0005-0000-0000-000021130000}"/>
    <cellStyle name="20% - Accent2 14 3 2 3" xfId="1679" xr:uid="{00000000-0005-0000-0000-000022130000}"/>
    <cellStyle name="20% - Accent2 14 3 2 3 2" xfId="13054" xr:uid="{00000000-0005-0000-0000-000023130000}"/>
    <cellStyle name="20% - Accent2 14 3 2 3 2 2" xfId="24911" xr:uid="{00000000-0005-0000-0000-000024130000}"/>
    <cellStyle name="20% - Accent2 14 3 2 3 3" xfId="17005" xr:uid="{00000000-0005-0000-0000-000025130000}"/>
    <cellStyle name="20% - Accent2 14 3 2 3 3 2" xfId="28697" xr:uid="{00000000-0005-0000-0000-000026130000}"/>
    <cellStyle name="20% - Accent2 14 3 2 3 4" xfId="21051" xr:uid="{00000000-0005-0000-0000-000027130000}"/>
    <cellStyle name="20% - Accent2 14 3 2 4" xfId="13052" xr:uid="{00000000-0005-0000-0000-000028130000}"/>
    <cellStyle name="20% - Accent2 14 3 2 4 2" xfId="24909" xr:uid="{00000000-0005-0000-0000-000029130000}"/>
    <cellStyle name="20% - Accent2 14 3 2 5" xfId="17003" xr:uid="{00000000-0005-0000-0000-00002A130000}"/>
    <cellStyle name="20% - Accent2 14 3 2 5 2" xfId="28695" xr:uid="{00000000-0005-0000-0000-00002B130000}"/>
    <cellStyle name="20% - Accent2 14 3 2 6" xfId="21049" xr:uid="{00000000-0005-0000-0000-00002C130000}"/>
    <cellStyle name="20% - Accent2 14 3 3" xfId="1680" xr:uid="{00000000-0005-0000-0000-00002D130000}"/>
    <cellStyle name="20% - Accent2 14 3 3 2" xfId="1681" xr:uid="{00000000-0005-0000-0000-00002E130000}"/>
    <cellStyle name="20% - Accent2 14 3 3 2 2" xfId="13056" xr:uid="{00000000-0005-0000-0000-00002F130000}"/>
    <cellStyle name="20% - Accent2 14 3 3 2 2 2" xfId="24913" xr:uid="{00000000-0005-0000-0000-000030130000}"/>
    <cellStyle name="20% - Accent2 14 3 3 2 3" xfId="17007" xr:uid="{00000000-0005-0000-0000-000031130000}"/>
    <cellStyle name="20% - Accent2 14 3 3 2 3 2" xfId="28699" xr:uid="{00000000-0005-0000-0000-000032130000}"/>
    <cellStyle name="20% - Accent2 14 3 3 2 4" xfId="21053" xr:uid="{00000000-0005-0000-0000-000033130000}"/>
    <cellStyle name="20% - Accent2 14 3 3 3" xfId="1682" xr:uid="{00000000-0005-0000-0000-000034130000}"/>
    <cellStyle name="20% - Accent2 14 3 3 3 2" xfId="13057" xr:uid="{00000000-0005-0000-0000-000035130000}"/>
    <cellStyle name="20% - Accent2 14 3 3 3 2 2" xfId="24914" xr:uid="{00000000-0005-0000-0000-000036130000}"/>
    <cellStyle name="20% - Accent2 14 3 3 3 3" xfId="17008" xr:uid="{00000000-0005-0000-0000-000037130000}"/>
    <cellStyle name="20% - Accent2 14 3 3 3 3 2" xfId="28700" xr:uid="{00000000-0005-0000-0000-000038130000}"/>
    <cellStyle name="20% - Accent2 14 3 3 3 4" xfId="21054" xr:uid="{00000000-0005-0000-0000-000039130000}"/>
    <cellStyle name="20% - Accent2 14 3 3 4" xfId="13055" xr:uid="{00000000-0005-0000-0000-00003A130000}"/>
    <cellStyle name="20% - Accent2 14 3 3 4 2" xfId="24912" xr:uid="{00000000-0005-0000-0000-00003B130000}"/>
    <cellStyle name="20% - Accent2 14 3 3 5" xfId="17006" xr:uid="{00000000-0005-0000-0000-00003C130000}"/>
    <cellStyle name="20% - Accent2 14 3 3 5 2" xfId="28698" xr:uid="{00000000-0005-0000-0000-00003D130000}"/>
    <cellStyle name="20% - Accent2 14 3 3 6" xfId="21052" xr:uid="{00000000-0005-0000-0000-00003E130000}"/>
    <cellStyle name="20% - Accent2 14 3 4" xfId="1683" xr:uid="{00000000-0005-0000-0000-00003F130000}"/>
    <cellStyle name="20% - Accent2 14 3 4 2" xfId="13058" xr:uid="{00000000-0005-0000-0000-000040130000}"/>
    <cellStyle name="20% - Accent2 14 3 4 2 2" xfId="24915" xr:uid="{00000000-0005-0000-0000-000041130000}"/>
    <cellStyle name="20% - Accent2 14 3 4 3" xfId="17009" xr:uid="{00000000-0005-0000-0000-000042130000}"/>
    <cellStyle name="20% - Accent2 14 3 4 3 2" xfId="28701" xr:uid="{00000000-0005-0000-0000-000043130000}"/>
    <cellStyle name="20% - Accent2 14 3 4 4" xfId="21055" xr:uid="{00000000-0005-0000-0000-000044130000}"/>
    <cellStyle name="20% - Accent2 14 3 5" xfId="1684" xr:uid="{00000000-0005-0000-0000-000045130000}"/>
    <cellStyle name="20% - Accent2 14 3 5 2" xfId="13059" xr:uid="{00000000-0005-0000-0000-000046130000}"/>
    <cellStyle name="20% - Accent2 14 3 5 2 2" xfId="24916" xr:uid="{00000000-0005-0000-0000-000047130000}"/>
    <cellStyle name="20% - Accent2 14 3 5 3" xfId="17010" xr:uid="{00000000-0005-0000-0000-000048130000}"/>
    <cellStyle name="20% - Accent2 14 3 5 3 2" xfId="28702" xr:uid="{00000000-0005-0000-0000-000049130000}"/>
    <cellStyle name="20% - Accent2 14 3 5 4" xfId="21056" xr:uid="{00000000-0005-0000-0000-00004A130000}"/>
    <cellStyle name="20% - Accent2 14 3 6" xfId="13051" xr:uid="{00000000-0005-0000-0000-00004B130000}"/>
    <cellStyle name="20% - Accent2 14 3 6 2" xfId="24908" xr:uid="{00000000-0005-0000-0000-00004C130000}"/>
    <cellStyle name="20% - Accent2 14 3 7" xfId="17002" xr:uid="{00000000-0005-0000-0000-00004D130000}"/>
    <cellStyle name="20% - Accent2 14 3 7 2" xfId="28694" xr:uid="{00000000-0005-0000-0000-00004E130000}"/>
    <cellStyle name="20% - Accent2 14 3 8" xfId="21048" xr:uid="{00000000-0005-0000-0000-00004F130000}"/>
    <cellStyle name="20% - Accent2 14 3_Volatility" xfId="1685" xr:uid="{00000000-0005-0000-0000-000050130000}"/>
    <cellStyle name="20% - Accent2 14 4" xfId="1686" xr:uid="{00000000-0005-0000-0000-000051130000}"/>
    <cellStyle name="20% - Accent2 14 4 2" xfId="1687" xr:uid="{00000000-0005-0000-0000-000052130000}"/>
    <cellStyle name="20% - Accent2 14 4 2 2" xfId="13061" xr:uid="{00000000-0005-0000-0000-000053130000}"/>
    <cellStyle name="20% - Accent2 14 4 2 2 2" xfId="24918" xr:uid="{00000000-0005-0000-0000-000054130000}"/>
    <cellStyle name="20% - Accent2 14 4 2 3" xfId="17012" xr:uid="{00000000-0005-0000-0000-000055130000}"/>
    <cellStyle name="20% - Accent2 14 4 2 3 2" xfId="28704" xr:uid="{00000000-0005-0000-0000-000056130000}"/>
    <cellStyle name="20% - Accent2 14 4 2 4" xfId="21058" xr:uid="{00000000-0005-0000-0000-000057130000}"/>
    <cellStyle name="20% - Accent2 14 4 3" xfId="1688" xr:uid="{00000000-0005-0000-0000-000058130000}"/>
    <cellStyle name="20% - Accent2 14 4 3 2" xfId="13062" xr:uid="{00000000-0005-0000-0000-000059130000}"/>
    <cellStyle name="20% - Accent2 14 4 3 2 2" xfId="24919" xr:uid="{00000000-0005-0000-0000-00005A130000}"/>
    <cellStyle name="20% - Accent2 14 4 3 3" xfId="17013" xr:uid="{00000000-0005-0000-0000-00005B130000}"/>
    <cellStyle name="20% - Accent2 14 4 3 3 2" xfId="28705" xr:uid="{00000000-0005-0000-0000-00005C130000}"/>
    <cellStyle name="20% - Accent2 14 4 3 4" xfId="21059" xr:uid="{00000000-0005-0000-0000-00005D130000}"/>
    <cellStyle name="20% - Accent2 14 4 4" xfId="13060" xr:uid="{00000000-0005-0000-0000-00005E130000}"/>
    <cellStyle name="20% - Accent2 14 4 4 2" xfId="24917" xr:uid="{00000000-0005-0000-0000-00005F130000}"/>
    <cellStyle name="20% - Accent2 14 4 5" xfId="17011" xr:uid="{00000000-0005-0000-0000-000060130000}"/>
    <cellStyle name="20% - Accent2 14 4 5 2" xfId="28703" xr:uid="{00000000-0005-0000-0000-000061130000}"/>
    <cellStyle name="20% - Accent2 14 4 6" xfId="21057" xr:uid="{00000000-0005-0000-0000-000062130000}"/>
    <cellStyle name="20% - Accent2 14 5" xfId="1689" xr:uid="{00000000-0005-0000-0000-000063130000}"/>
    <cellStyle name="20% - Accent2 14 5 2" xfId="1690" xr:uid="{00000000-0005-0000-0000-000064130000}"/>
    <cellStyle name="20% - Accent2 14 5 2 2" xfId="13064" xr:uid="{00000000-0005-0000-0000-000065130000}"/>
    <cellStyle name="20% - Accent2 14 5 2 2 2" xfId="24921" xr:uid="{00000000-0005-0000-0000-000066130000}"/>
    <cellStyle name="20% - Accent2 14 5 2 3" xfId="17015" xr:uid="{00000000-0005-0000-0000-000067130000}"/>
    <cellStyle name="20% - Accent2 14 5 2 3 2" xfId="28707" xr:uid="{00000000-0005-0000-0000-000068130000}"/>
    <cellStyle name="20% - Accent2 14 5 2 4" xfId="21061" xr:uid="{00000000-0005-0000-0000-000069130000}"/>
    <cellStyle name="20% - Accent2 14 5 3" xfId="1691" xr:uid="{00000000-0005-0000-0000-00006A130000}"/>
    <cellStyle name="20% - Accent2 14 5 3 2" xfId="13065" xr:uid="{00000000-0005-0000-0000-00006B130000}"/>
    <cellStyle name="20% - Accent2 14 5 3 2 2" xfId="24922" xr:uid="{00000000-0005-0000-0000-00006C130000}"/>
    <cellStyle name="20% - Accent2 14 5 3 3" xfId="17016" xr:uid="{00000000-0005-0000-0000-00006D130000}"/>
    <cellStyle name="20% - Accent2 14 5 3 3 2" xfId="28708" xr:uid="{00000000-0005-0000-0000-00006E130000}"/>
    <cellStyle name="20% - Accent2 14 5 3 4" xfId="21062" xr:uid="{00000000-0005-0000-0000-00006F130000}"/>
    <cellStyle name="20% - Accent2 14 5 4" xfId="13063" xr:uid="{00000000-0005-0000-0000-000070130000}"/>
    <cellStyle name="20% - Accent2 14 5 4 2" xfId="24920" xr:uid="{00000000-0005-0000-0000-000071130000}"/>
    <cellStyle name="20% - Accent2 14 5 5" xfId="17014" xr:uid="{00000000-0005-0000-0000-000072130000}"/>
    <cellStyle name="20% - Accent2 14 5 5 2" xfId="28706" xr:uid="{00000000-0005-0000-0000-000073130000}"/>
    <cellStyle name="20% - Accent2 14 5 6" xfId="21060" xr:uid="{00000000-0005-0000-0000-000074130000}"/>
    <cellStyle name="20% - Accent2 14 6" xfId="1692" xr:uid="{00000000-0005-0000-0000-000075130000}"/>
    <cellStyle name="20% - Accent2 14 6 2" xfId="1693" xr:uid="{00000000-0005-0000-0000-000076130000}"/>
    <cellStyle name="20% - Accent2 14 6 2 2" xfId="13067" xr:uid="{00000000-0005-0000-0000-000077130000}"/>
    <cellStyle name="20% - Accent2 14 6 2 2 2" xfId="24924" xr:uid="{00000000-0005-0000-0000-000078130000}"/>
    <cellStyle name="20% - Accent2 14 6 2 3" xfId="17018" xr:uid="{00000000-0005-0000-0000-000079130000}"/>
    <cellStyle name="20% - Accent2 14 6 2 3 2" xfId="28710" xr:uid="{00000000-0005-0000-0000-00007A130000}"/>
    <cellStyle name="20% - Accent2 14 6 2 4" xfId="21064" xr:uid="{00000000-0005-0000-0000-00007B130000}"/>
    <cellStyle name="20% - Accent2 14 6 3" xfId="1694" xr:uid="{00000000-0005-0000-0000-00007C130000}"/>
    <cellStyle name="20% - Accent2 14 6 3 2" xfId="13068" xr:uid="{00000000-0005-0000-0000-00007D130000}"/>
    <cellStyle name="20% - Accent2 14 6 3 2 2" xfId="24925" xr:uid="{00000000-0005-0000-0000-00007E130000}"/>
    <cellStyle name="20% - Accent2 14 6 3 3" xfId="17019" xr:uid="{00000000-0005-0000-0000-00007F130000}"/>
    <cellStyle name="20% - Accent2 14 6 3 3 2" xfId="28711" xr:uid="{00000000-0005-0000-0000-000080130000}"/>
    <cellStyle name="20% - Accent2 14 6 3 4" xfId="21065" xr:uid="{00000000-0005-0000-0000-000081130000}"/>
    <cellStyle name="20% - Accent2 14 6 4" xfId="13066" xr:uid="{00000000-0005-0000-0000-000082130000}"/>
    <cellStyle name="20% - Accent2 14 6 4 2" xfId="24923" xr:uid="{00000000-0005-0000-0000-000083130000}"/>
    <cellStyle name="20% - Accent2 14 6 5" xfId="17017" xr:uid="{00000000-0005-0000-0000-000084130000}"/>
    <cellStyle name="20% - Accent2 14 6 5 2" xfId="28709" xr:uid="{00000000-0005-0000-0000-000085130000}"/>
    <cellStyle name="20% - Accent2 14 6 6" xfId="21063" xr:uid="{00000000-0005-0000-0000-000086130000}"/>
    <cellStyle name="20% - Accent2 14 7" xfId="1695" xr:uid="{00000000-0005-0000-0000-000087130000}"/>
    <cellStyle name="20% - Accent2 14 7 2" xfId="13069" xr:uid="{00000000-0005-0000-0000-000088130000}"/>
    <cellStyle name="20% - Accent2 14 7 2 2" xfId="24926" xr:uid="{00000000-0005-0000-0000-000089130000}"/>
    <cellStyle name="20% - Accent2 14 7 3" xfId="17020" xr:uid="{00000000-0005-0000-0000-00008A130000}"/>
    <cellStyle name="20% - Accent2 14 7 3 2" xfId="28712" xr:uid="{00000000-0005-0000-0000-00008B130000}"/>
    <cellStyle name="20% - Accent2 14 7 4" xfId="21066" xr:uid="{00000000-0005-0000-0000-00008C130000}"/>
    <cellStyle name="20% - Accent2 14 8" xfId="1696" xr:uid="{00000000-0005-0000-0000-00008D130000}"/>
    <cellStyle name="20% - Accent2 14 8 2" xfId="13070" xr:uid="{00000000-0005-0000-0000-00008E130000}"/>
    <cellStyle name="20% - Accent2 14 8 2 2" xfId="24927" xr:uid="{00000000-0005-0000-0000-00008F130000}"/>
    <cellStyle name="20% - Accent2 14 8 3" xfId="17021" xr:uid="{00000000-0005-0000-0000-000090130000}"/>
    <cellStyle name="20% - Accent2 14 8 3 2" xfId="28713" xr:uid="{00000000-0005-0000-0000-000091130000}"/>
    <cellStyle name="20% - Accent2 14 8 4" xfId="21067" xr:uid="{00000000-0005-0000-0000-000092130000}"/>
    <cellStyle name="20% - Accent2 14 9" xfId="13038" xr:uid="{00000000-0005-0000-0000-000093130000}"/>
    <cellStyle name="20% - Accent2 14 9 2" xfId="24895" xr:uid="{00000000-0005-0000-0000-000094130000}"/>
    <cellStyle name="20% - Accent2 14_Volatility" xfId="1697" xr:uid="{00000000-0005-0000-0000-000095130000}"/>
    <cellStyle name="20% - Accent2 15" xfId="1698" xr:uid="{00000000-0005-0000-0000-000096130000}"/>
    <cellStyle name="20% - Accent2 15 10" xfId="17022" xr:uid="{00000000-0005-0000-0000-000097130000}"/>
    <cellStyle name="20% - Accent2 15 10 2" xfId="28714" xr:uid="{00000000-0005-0000-0000-000098130000}"/>
    <cellStyle name="20% - Accent2 15 11" xfId="21068" xr:uid="{00000000-0005-0000-0000-000099130000}"/>
    <cellStyle name="20% - Accent2 15 2" xfId="1699" xr:uid="{00000000-0005-0000-0000-00009A130000}"/>
    <cellStyle name="20% - Accent2 15 2 2" xfId="1700" xr:uid="{00000000-0005-0000-0000-00009B130000}"/>
    <cellStyle name="20% - Accent2 15 2 2 2" xfId="1701" xr:uid="{00000000-0005-0000-0000-00009C130000}"/>
    <cellStyle name="20% - Accent2 15 2 2 2 2" xfId="13074" xr:uid="{00000000-0005-0000-0000-00009D130000}"/>
    <cellStyle name="20% - Accent2 15 2 2 2 2 2" xfId="24931" xr:uid="{00000000-0005-0000-0000-00009E130000}"/>
    <cellStyle name="20% - Accent2 15 2 2 2 3" xfId="17025" xr:uid="{00000000-0005-0000-0000-00009F130000}"/>
    <cellStyle name="20% - Accent2 15 2 2 2 3 2" xfId="28717" xr:uid="{00000000-0005-0000-0000-0000A0130000}"/>
    <cellStyle name="20% - Accent2 15 2 2 2 4" xfId="21071" xr:uid="{00000000-0005-0000-0000-0000A1130000}"/>
    <cellStyle name="20% - Accent2 15 2 2 3" xfId="1702" xr:uid="{00000000-0005-0000-0000-0000A2130000}"/>
    <cellStyle name="20% - Accent2 15 2 2 3 2" xfId="13075" xr:uid="{00000000-0005-0000-0000-0000A3130000}"/>
    <cellStyle name="20% - Accent2 15 2 2 3 2 2" xfId="24932" xr:uid="{00000000-0005-0000-0000-0000A4130000}"/>
    <cellStyle name="20% - Accent2 15 2 2 3 3" xfId="17026" xr:uid="{00000000-0005-0000-0000-0000A5130000}"/>
    <cellStyle name="20% - Accent2 15 2 2 3 3 2" xfId="28718" xr:uid="{00000000-0005-0000-0000-0000A6130000}"/>
    <cellStyle name="20% - Accent2 15 2 2 3 4" xfId="21072" xr:uid="{00000000-0005-0000-0000-0000A7130000}"/>
    <cellStyle name="20% - Accent2 15 2 2 4" xfId="13073" xr:uid="{00000000-0005-0000-0000-0000A8130000}"/>
    <cellStyle name="20% - Accent2 15 2 2 4 2" xfId="24930" xr:uid="{00000000-0005-0000-0000-0000A9130000}"/>
    <cellStyle name="20% - Accent2 15 2 2 5" xfId="17024" xr:uid="{00000000-0005-0000-0000-0000AA130000}"/>
    <cellStyle name="20% - Accent2 15 2 2 5 2" xfId="28716" xr:uid="{00000000-0005-0000-0000-0000AB130000}"/>
    <cellStyle name="20% - Accent2 15 2 2 6" xfId="21070" xr:uid="{00000000-0005-0000-0000-0000AC130000}"/>
    <cellStyle name="20% - Accent2 15 2 3" xfId="1703" xr:uid="{00000000-0005-0000-0000-0000AD130000}"/>
    <cellStyle name="20% - Accent2 15 2 3 2" xfId="1704" xr:uid="{00000000-0005-0000-0000-0000AE130000}"/>
    <cellStyle name="20% - Accent2 15 2 3 2 2" xfId="13077" xr:uid="{00000000-0005-0000-0000-0000AF130000}"/>
    <cellStyle name="20% - Accent2 15 2 3 2 2 2" xfId="24934" xr:uid="{00000000-0005-0000-0000-0000B0130000}"/>
    <cellStyle name="20% - Accent2 15 2 3 2 3" xfId="17028" xr:uid="{00000000-0005-0000-0000-0000B1130000}"/>
    <cellStyle name="20% - Accent2 15 2 3 2 3 2" xfId="28720" xr:uid="{00000000-0005-0000-0000-0000B2130000}"/>
    <cellStyle name="20% - Accent2 15 2 3 2 4" xfId="21074" xr:uid="{00000000-0005-0000-0000-0000B3130000}"/>
    <cellStyle name="20% - Accent2 15 2 3 3" xfId="1705" xr:uid="{00000000-0005-0000-0000-0000B4130000}"/>
    <cellStyle name="20% - Accent2 15 2 3 3 2" xfId="13078" xr:uid="{00000000-0005-0000-0000-0000B5130000}"/>
    <cellStyle name="20% - Accent2 15 2 3 3 2 2" xfId="24935" xr:uid="{00000000-0005-0000-0000-0000B6130000}"/>
    <cellStyle name="20% - Accent2 15 2 3 3 3" xfId="17029" xr:uid="{00000000-0005-0000-0000-0000B7130000}"/>
    <cellStyle name="20% - Accent2 15 2 3 3 3 2" xfId="28721" xr:uid="{00000000-0005-0000-0000-0000B8130000}"/>
    <cellStyle name="20% - Accent2 15 2 3 3 4" xfId="21075" xr:uid="{00000000-0005-0000-0000-0000B9130000}"/>
    <cellStyle name="20% - Accent2 15 2 3 4" xfId="13076" xr:uid="{00000000-0005-0000-0000-0000BA130000}"/>
    <cellStyle name="20% - Accent2 15 2 3 4 2" xfId="24933" xr:uid="{00000000-0005-0000-0000-0000BB130000}"/>
    <cellStyle name="20% - Accent2 15 2 3 5" xfId="17027" xr:uid="{00000000-0005-0000-0000-0000BC130000}"/>
    <cellStyle name="20% - Accent2 15 2 3 5 2" xfId="28719" xr:uid="{00000000-0005-0000-0000-0000BD130000}"/>
    <cellStyle name="20% - Accent2 15 2 3 6" xfId="21073" xr:uid="{00000000-0005-0000-0000-0000BE130000}"/>
    <cellStyle name="20% - Accent2 15 2 4" xfId="1706" xr:uid="{00000000-0005-0000-0000-0000BF130000}"/>
    <cellStyle name="20% - Accent2 15 2 4 2" xfId="1707" xr:uid="{00000000-0005-0000-0000-0000C0130000}"/>
    <cellStyle name="20% - Accent2 15 2 4 2 2" xfId="13080" xr:uid="{00000000-0005-0000-0000-0000C1130000}"/>
    <cellStyle name="20% - Accent2 15 2 4 2 2 2" xfId="24937" xr:uid="{00000000-0005-0000-0000-0000C2130000}"/>
    <cellStyle name="20% - Accent2 15 2 4 2 3" xfId="17031" xr:uid="{00000000-0005-0000-0000-0000C3130000}"/>
    <cellStyle name="20% - Accent2 15 2 4 2 3 2" xfId="28723" xr:uid="{00000000-0005-0000-0000-0000C4130000}"/>
    <cellStyle name="20% - Accent2 15 2 4 2 4" xfId="21077" xr:uid="{00000000-0005-0000-0000-0000C5130000}"/>
    <cellStyle name="20% - Accent2 15 2 4 3" xfId="1708" xr:uid="{00000000-0005-0000-0000-0000C6130000}"/>
    <cellStyle name="20% - Accent2 15 2 4 3 2" xfId="13081" xr:uid="{00000000-0005-0000-0000-0000C7130000}"/>
    <cellStyle name="20% - Accent2 15 2 4 3 2 2" xfId="24938" xr:uid="{00000000-0005-0000-0000-0000C8130000}"/>
    <cellStyle name="20% - Accent2 15 2 4 3 3" xfId="17032" xr:uid="{00000000-0005-0000-0000-0000C9130000}"/>
    <cellStyle name="20% - Accent2 15 2 4 3 3 2" xfId="28724" xr:uid="{00000000-0005-0000-0000-0000CA130000}"/>
    <cellStyle name="20% - Accent2 15 2 4 3 4" xfId="21078" xr:uid="{00000000-0005-0000-0000-0000CB130000}"/>
    <cellStyle name="20% - Accent2 15 2 4 4" xfId="13079" xr:uid="{00000000-0005-0000-0000-0000CC130000}"/>
    <cellStyle name="20% - Accent2 15 2 4 4 2" xfId="24936" xr:uid="{00000000-0005-0000-0000-0000CD130000}"/>
    <cellStyle name="20% - Accent2 15 2 4 5" xfId="17030" xr:uid="{00000000-0005-0000-0000-0000CE130000}"/>
    <cellStyle name="20% - Accent2 15 2 4 5 2" xfId="28722" xr:uid="{00000000-0005-0000-0000-0000CF130000}"/>
    <cellStyle name="20% - Accent2 15 2 4 6" xfId="21076" xr:uid="{00000000-0005-0000-0000-0000D0130000}"/>
    <cellStyle name="20% - Accent2 15 2 5" xfId="1709" xr:uid="{00000000-0005-0000-0000-0000D1130000}"/>
    <cellStyle name="20% - Accent2 15 2 5 2" xfId="13082" xr:uid="{00000000-0005-0000-0000-0000D2130000}"/>
    <cellStyle name="20% - Accent2 15 2 5 2 2" xfId="24939" xr:uid="{00000000-0005-0000-0000-0000D3130000}"/>
    <cellStyle name="20% - Accent2 15 2 5 3" xfId="17033" xr:uid="{00000000-0005-0000-0000-0000D4130000}"/>
    <cellStyle name="20% - Accent2 15 2 5 3 2" xfId="28725" xr:uid="{00000000-0005-0000-0000-0000D5130000}"/>
    <cellStyle name="20% - Accent2 15 2 5 4" xfId="21079" xr:uid="{00000000-0005-0000-0000-0000D6130000}"/>
    <cellStyle name="20% - Accent2 15 2 6" xfId="1710" xr:uid="{00000000-0005-0000-0000-0000D7130000}"/>
    <cellStyle name="20% - Accent2 15 2 6 2" xfId="13083" xr:uid="{00000000-0005-0000-0000-0000D8130000}"/>
    <cellStyle name="20% - Accent2 15 2 6 2 2" xfId="24940" xr:uid="{00000000-0005-0000-0000-0000D9130000}"/>
    <cellStyle name="20% - Accent2 15 2 6 3" xfId="17034" xr:uid="{00000000-0005-0000-0000-0000DA130000}"/>
    <cellStyle name="20% - Accent2 15 2 6 3 2" xfId="28726" xr:uid="{00000000-0005-0000-0000-0000DB130000}"/>
    <cellStyle name="20% - Accent2 15 2 6 4" xfId="21080" xr:uid="{00000000-0005-0000-0000-0000DC130000}"/>
    <cellStyle name="20% - Accent2 15 2 7" xfId="13072" xr:uid="{00000000-0005-0000-0000-0000DD130000}"/>
    <cellStyle name="20% - Accent2 15 2 7 2" xfId="24929" xr:uid="{00000000-0005-0000-0000-0000DE130000}"/>
    <cellStyle name="20% - Accent2 15 2 8" xfId="17023" xr:uid="{00000000-0005-0000-0000-0000DF130000}"/>
    <cellStyle name="20% - Accent2 15 2 8 2" xfId="28715" xr:uid="{00000000-0005-0000-0000-0000E0130000}"/>
    <cellStyle name="20% - Accent2 15 2 9" xfId="21069" xr:uid="{00000000-0005-0000-0000-0000E1130000}"/>
    <cellStyle name="20% - Accent2 15 2_Volatility" xfId="1711" xr:uid="{00000000-0005-0000-0000-0000E2130000}"/>
    <cellStyle name="20% - Accent2 15 3" xfId="1712" xr:uid="{00000000-0005-0000-0000-0000E3130000}"/>
    <cellStyle name="20% - Accent2 15 3 2" xfId="1713" xr:uid="{00000000-0005-0000-0000-0000E4130000}"/>
    <cellStyle name="20% - Accent2 15 3 2 2" xfId="1714" xr:uid="{00000000-0005-0000-0000-0000E5130000}"/>
    <cellStyle name="20% - Accent2 15 3 2 2 2" xfId="13086" xr:uid="{00000000-0005-0000-0000-0000E6130000}"/>
    <cellStyle name="20% - Accent2 15 3 2 2 2 2" xfId="24943" xr:uid="{00000000-0005-0000-0000-0000E7130000}"/>
    <cellStyle name="20% - Accent2 15 3 2 2 3" xfId="17037" xr:uid="{00000000-0005-0000-0000-0000E8130000}"/>
    <cellStyle name="20% - Accent2 15 3 2 2 3 2" xfId="28729" xr:uid="{00000000-0005-0000-0000-0000E9130000}"/>
    <cellStyle name="20% - Accent2 15 3 2 2 4" xfId="21083" xr:uid="{00000000-0005-0000-0000-0000EA130000}"/>
    <cellStyle name="20% - Accent2 15 3 2 3" xfId="1715" xr:uid="{00000000-0005-0000-0000-0000EB130000}"/>
    <cellStyle name="20% - Accent2 15 3 2 3 2" xfId="13087" xr:uid="{00000000-0005-0000-0000-0000EC130000}"/>
    <cellStyle name="20% - Accent2 15 3 2 3 2 2" xfId="24944" xr:uid="{00000000-0005-0000-0000-0000ED130000}"/>
    <cellStyle name="20% - Accent2 15 3 2 3 3" xfId="17038" xr:uid="{00000000-0005-0000-0000-0000EE130000}"/>
    <cellStyle name="20% - Accent2 15 3 2 3 3 2" xfId="28730" xr:uid="{00000000-0005-0000-0000-0000EF130000}"/>
    <cellStyle name="20% - Accent2 15 3 2 3 4" xfId="21084" xr:uid="{00000000-0005-0000-0000-0000F0130000}"/>
    <cellStyle name="20% - Accent2 15 3 2 4" xfId="13085" xr:uid="{00000000-0005-0000-0000-0000F1130000}"/>
    <cellStyle name="20% - Accent2 15 3 2 4 2" xfId="24942" xr:uid="{00000000-0005-0000-0000-0000F2130000}"/>
    <cellStyle name="20% - Accent2 15 3 2 5" xfId="17036" xr:uid="{00000000-0005-0000-0000-0000F3130000}"/>
    <cellStyle name="20% - Accent2 15 3 2 5 2" xfId="28728" xr:uid="{00000000-0005-0000-0000-0000F4130000}"/>
    <cellStyle name="20% - Accent2 15 3 2 6" xfId="21082" xr:uid="{00000000-0005-0000-0000-0000F5130000}"/>
    <cellStyle name="20% - Accent2 15 3 3" xfId="1716" xr:uid="{00000000-0005-0000-0000-0000F6130000}"/>
    <cellStyle name="20% - Accent2 15 3 3 2" xfId="1717" xr:uid="{00000000-0005-0000-0000-0000F7130000}"/>
    <cellStyle name="20% - Accent2 15 3 3 2 2" xfId="13089" xr:uid="{00000000-0005-0000-0000-0000F8130000}"/>
    <cellStyle name="20% - Accent2 15 3 3 2 2 2" xfId="24946" xr:uid="{00000000-0005-0000-0000-0000F9130000}"/>
    <cellStyle name="20% - Accent2 15 3 3 2 3" xfId="17040" xr:uid="{00000000-0005-0000-0000-0000FA130000}"/>
    <cellStyle name="20% - Accent2 15 3 3 2 3 2" xfId="28732" xr:uid="{00000000-0005-0000-0000-0000FB130000}"/>
    <cellStyle name="20% - Accent2 15 3 3 2 4" xfId="21086" xr:uid="{00000000-0005-0000-0000-0000FC130000}"/>
    <cellStyle name="20% - Accent2 15 3 3 3" xfId="1718" xr:uid="{00000000-0005-0000-0000-0000FD130000}"/>
    <cellStyle name="20% - Accent2 15 3 3 3 2" xfId="13090" xr:uid="{00000000-0005-0000-0000-0000FE130000}"/>
    <cellStyle name="20% - Accent2 15 3 3 3 2 2" xfId="24947" xr:uid="{00000000-0005-0000-0000-0000FF130000}"/>
    <cellStyle name="20% - Accent2 15 3 3 3 3" xfId="17041" xr:uid="{00000000-0005-0000-0000-000000140000}"/>
    <cellStyle name="20% - Accent2 15 3 3 3 3 2" xfId="28733" xr:uid="{00000000-0005-0000-0000-000001140000}"/>
    <cellStyle name="20% - Accent2 15 3 3 3 4" xfId="21087" xr:uid="{00000000-0005-0000-0000-000002140000}"/>
    <cellStyle name="20% - Accent2 15 3 3 4" xfId="13088" xr:uid="{00000000-0005-0000-0000-000003140000}"/>
    <cellStyle name="20% - Accent2 15 3 3 4 2" xfId="24945" xr:uid="{00000000-0005-0000-0000-000004140000}"/>
    <cellStyle name="20% - Accent2 15 3 3 5" xfId="17039" xr:uid="{00000000-0005-0000-0000-000005140000}"/>
    <cellStyle name="20% - Accent2 15 3 3 5 2" xfId="28731" xr:uid="{00000000-0005-0000-0000-000006140000}"/>
    <cellStyle name="20% - Accent2 15 3 3 6" xfId="21085" xr:uid="{00000000-0005-0000-0000-000007140000}"/>
    <cellStyle name="20% - Accent2 15 3 4" xfId="1719" xr:uid="{00000000-0005-0000-0000-000008140000}"/>
    <cellStyle name="20% - Accent2 15 3 4 2" xfId="13091" xr:uid="{00000000-0005-0000-0000-000009140000}"/>
    <cellStyle name="20% - Accent2 15 3 4 2 2" xfId="24948" xr:uid="{00000000-0005-0000-0000-00000A140000}"/>
    <cellStyle name="20% - Accent2 15 3 4 3" xfId="17042" xr:uid="{00000000-0005-0000-0000-00000B140000}"/>
    <cellStyle name="20% - Accent2 15 3 4 3 2" xfId="28734" xr:uid="{00000000-0005-0000-0000-00000C140000}"/>
    <cellStyle name="20% - Accent2 15 3 4 4" xfId="21088" xr:uid="{00000000-0005-0000-0000-00000D140000}"/>
    <cellStyle name="20% - Accent2 15 3 5" xfId="1720" xr:uid="{00000000-0005-0000-0000-00000E140000}"/>
    <cellStyle name="20% - Accent2 15 3 5 2" xfId="13092" xr:uid="{00000000-0005-0000-0000-00000F140000}"/>
    <cellStyle name="20% - Accent2 15 3 5 2 2" xfId="24949" xr:uid="{00000000-0005-0000-0000-000010140000}"/>
    <cellStyle name="20% - Accent2 15 3 5 3" xfId="17043" xr:uid="{00000000-0005-0000-0000-000011140000}"/>
    <cellStyle name="20% - Accent2 15 3 5 3 2" xfId="28735" xr:uid="{00000000-0005-0000-0000-000012140000}"/>
    <cellStyle name="20% - Accent2 15 3 5 4" xfId="21089" xr:uid="{00000000-0005-0000-0000-000013140000}"/>
    <cellStyle name="20% - Accent2 15 3 6" xfId="13084" xr:uid="{00000000-0005-0000-0000-000014140000}"/>
    <cellStyle name="20% - Accent2 15 3 6 2" xfId="24941" xr:uid="{00000000-0005-0000-0000-000015140000}"/>
    <cellStyle name="20% - Accent2 15 3 7" xfId="17035" xr:uid="{00000000-0005-0000-0000-000016140000}"/>
    <cellStyle name="20% - Accent2 15 3 7 2" xfId="28727" xr:uid="{00000000-0005-0000-0000-000017140000}"/>
    <cellStyle name="20% - Accent2 15 3 8" xfId="21081" xr:uid="{00000000-0005-0000-0000-000018140000}"/>
    <cellStyle name="20% - Accent2 15 3_Volatility" xfId="1721" xr:uid="{00000000-0005-0000-0000-000019140000}"/>
    <cellStyle name="20% - Accent2 15 4" xfId="1722" xr:uid="{00000000-0005-0000-0000-00001A140000}"/>
    <cellStyle name="20% - Accent2 15 4 2" xfId="1723" xr:uid="{00000000-0005-0000-0000-00001B140000}"/>
    <cellStyle name="20% - Accent2 15 4 2 2" xfId="13094" xr:uid="{00000000-0005-0000-0000-00001C140000}"/>
    <cellStyle name="20% - Accent2 15 4 2 2 2" xfId="24951" xr:uid="{00000000-0005-0000-0000-00001D140000}"/>
    <cellStyle name="20% - Accent2 15 4 2 3" xfId="17045" xr:uid="{00000000-0005-0000-0000-00001E140000}"/>
    <cellStyle name="20% - Accent2 15 4 2 3 2" xfId="28737" xr:uid="{00000000-0005-0000-0000-00001F140000}"/>
    <cellStyle name="20% - Accent2 15 4 2 4" xfId="21091" xr:uid="{00000000-0005-0000-0000-000020140000}"/>
    <cellStyle name="20% - Accent2 15 4 3" xfId="1724" xr:uid="{00000000-0005-0000-0000-000021140000}"/>
    <cellStyle name="20% - Accent2 15 4 3 2" xfId="13095" xr:uid="{00000000-0005-0000-0000-000022140000}"/>
    <cellStyle name="20% - Accent2 15 4 3 2 2" xfId="24952" xr:uid="{00000000-0005-0000-0000-000023140000}"/>
    <cellStyle name="20% - Accent2 15 4 3 3" xfId="17046" xr:uid="{00000000-0005-0000-0000-000024140000}"/>
    <cellStyle name="20% - Accent2 15 4 3 3 2" xfId="28738" xr:uid="{00000000-0005-0000-0000-000025140000}"/>
    <cellStyle name="20% - Accent2 15 4 3 4" xfId="21092" xr:uid="{00000000-0005-0000-0000-000026140000}"/>
    <cellStyle name="20% - Accent2 15 4 4" xfId="13093" xr:uid="{00000000-0005-0000-0000-000027140000}"/>
    <cellStyle name="20% - Accent2 15 4 4 2" xfId="24950" xr:uid="{00000000-0005-0000-0000-000028140000}"/>
    <cellStyle name="20% - Accent2 15 4 5" xfId="17044" xr:uid="{00000000-0005-0000-0000-000029140000}"/>
    <cellStyle name="20% - Accent2 15 4 5 2" xfId="28736" xr:uid="{00000000-0005-0000-0000-00002A140000}"/>
    <cellStyle name="20% - Accent2 15 4 6" xfId="21090" xr:uid="{00000000-0005-0000-0000-00002B140000}"/>
    <cellStyle name="20% - Accent2 15 5" xfId="1725" xr:uid="{00000000-0005-0000-0000-00002C140000}"/>
    <cellStyle name="20% - Accent2 15 5 2" xfId="1726" xr:uid="{00000000-0005-0000-0000-00002D140000}"/>
    <cellStyle name="20% - Accent2 15 5 2 2" xfId="13097" xr:uid="{00000000-0005-0000-0000-00002E140000}"/>
    <cellStyle name="20% - Accent2 15 5 2 2 2" xfId="24954" xr:uid="{00000000-0005-0000-0000-00002F140000}"/>
    <cellStyle name="20% - Accent2 15 5 2 3" xfId="17048" xr:uid="{00000000-0005-0000-0000-000030140000}"/>
    <cellStyle name="20% - Accent2 15 5 2 3 2" xfId="28740" xr:uid="{00000000-0005-0000-0000-000031140000}"/>
    <cellStyle name="20% - Accent2 15 5 2 4" xfId="21094" xr:uid="{00000000-0005-0000-0000-000032140000}"/>
    <cellStyle name="20% - Accent2 15 5 3" xfId="1727" xr:uid="{00000000-0005-0000-0000-000033140000}"/>
    <cellStyle name="20% - Accent2 15 5 3 2" xfId="13098" xr:uid="{00000000-0005-0000-0000-000034140000}"/>
    <cellStyle name="20% - Accent2 15 5 3 2 2" xfId="24955" xr:uid="{00000000-0005-0000-0000-000035140000}"/>
    <cellStyle name="20% - Accent2 15 5 3 3" xfId="17049" xr:uid="{00000000-0005-0000-0000-000036140000}"/>
    <cellStyle name="20% - Accent2 15 5 3 3 2" xfId="28741" xr:uid="{00000000-0005-0000-0000-000037140000}"/>
    <cellStyle name="20% - Accent2 15 5 3 4" xfId="21095" xr:uid="{00000000-0005-0000-0000-000038140000}"/>
    <cellStyle name="20% - Accent2 15 5 4" xfId="13096" xr:uid="{00000000-0005-0000-0000-000039140000}"/>
    <cellStyle name="20% - Accent2 15 5 4 2" xfId="24953" xr:uid="{00000000-0005-0000-0000-00003A140000}"/>
    <cellStyle name="20% - Accent2 15 5 5" xfId="17047" xr:uid="{00000000-0005-0000-0000-00003B140000}"/>
    <cellStyle name="20% - Accent2 15 5 5 2" xfId="28739" xr:uid="{00000000-0005-0000-0000-00003C140000}"/>
    <cellStyle name="20% - Accent2 15 5 6" xfId="21093" xr:uid="{00000000-0005-0000-0000-00003D140000}"/>
    <cellStyle name="20% - Accent2 15 6" xfId="1728" xr:uid="{00000000-0005-0000-0000-00003E140000}"/>
    <cellStyle name="20% - Accent2 15 6 2" xfId="1729" xr:uid="{00000000-0005-0000-0000-00003F140000}"/>
    <cellStyle name="20% - Accent2 15 6 2 2" xfId="13100" xr:uid="{00000000-0005-0000-0000-000040140000}"/>
    <cellStyle name="20% - Accent2 15 6 2 2 2" xfId="24957" xr:uid="{00000000-0005-0000-0000-000041140000}"/>
    <cellStyle name="20% - Accent2 15 6 2 3" xfId="17051" xr:uid="{00000000-0005-0000-0000-000042140000}"/>
    <cellStyle name="20% - Accent2 15 6 2 3 2" xfId="28743" xr:uid="{00000000-0005-0000-0000-000043140000}"/>
    <cellStyle name="20% - Accent2 15 6 2 4" xfId="21097" xr:uid="{00000000-0005-0000-0000-000044140000}"/>
    <cellStyle name="20% - Accent2 15 6 3" xfId="1730" xr:uid="{00000000-0005-0000-0000-000045140000}"/>
    <cellStyle name="20% - Accent2 15 6 3 2" xfId="13101" xr:uid="{00000000-0005-0000-0000-000046140000}"/>
    <cellStyle name="20% - Accent2 15 6 3 2 2" xfId="24958" xr:uid="{00000000-0005-0000-0000-000047140000}"/>
    <cellStyle name="20% - Accent2 15 6 3 3" xfId="17052" xr:uid="{00000000-0005-0000-0000-000048140000}"/>
    <cellStyle name="20% - Accent2 15 6 3 3 2" xfId="28744" xr:uid="{00000000-0005-0000-0000-000049140000}"/>
    <cellStyle name="20% - Accent2 15 6 3 4" xfId="21098" xr:uid="{00000000-0005-0000-0000-00004A140000}"/>
    <cellStyle name="20% - Accent2 15 6 4" xfId="13099" xr:uid="{00000000-0005-0000-0000-00004B140000}"/>
    <cellStyle name="20% - Accent2 15 6 4 2" xfId="24956" xr:uid="{00000000-0005-0000-0000-00004C140000}"/>
    <cellStyle name="20% - Accent2 15 6 5" xfId="17050" xr:uid="{00000000-0005-0000-0000-00004D140000}"/>
    <cellStyle name="20% - Accent2 15 6 5 2" xfId="28742" xr:uid="{00000000-0005-0000-0000-00004E140000}"/>
    <cellStyle name="20% - Accent2 15 6 6" xfId="21096" xr:uid="{00000000-0005-0000-0000-00004F140000}"/>
    <cellStyle name="20% - Accent2 15 7" xfId="1731" xr:uid="{00000000-0005-0000-0000-000050140000}"/>
    <cellStyle name="20% - Accent2 15 7 2" xfId="13102" xr:uid="{00000000-0005-0000-0000-000051140000}"/>
    <cellStyle name="20% - Accent2 15 7 2 2" xfId="24959" xr:uid="{00000000-0005-0000-0000-000052140000}"/>
    <cellStyle name="20% - Accent2 15 7 3" xfId="17053" xr:uid="{00000000-0005-0000-0000-000053140000}"/>
    <cellStyle name="20% - Accent2 15 7 3 2" xfId="28745" xr:uid="{00000000-0005-0000-0000-000054140000}"/>
    <cellStyle name="20% - Accent2 15 7 4" xfId="21099" xr:uid="{00000000-0005-0000-0000-000055140000}"/>
    <cellStyle name="20% - Accent2 15 8" xfId="1732" xr:uid="{00000000-0005-0000-0000-000056140000}"/>
    <cellStyle name="20% - Accent2 15 8 2" xfId="13103" xr:uid="{00000000-0005-0000-0000-000057140000}"/>
    <cellStyle name="20% - Accent2 15 8 2 2" xfId="24960" xr:uid="{00000000-0005-0000-0000-000058140000}"/>
    <cellStyle name="20% - Accent2 15 8 3" xfId="17054" xr:uid="{00000000-0005-0000-0000-000059140000}"/>
    <cellStyle name="20% - Accent2 15 8 3 2" xfId="28746" xr:uid="{00000000-0005-0000-0000-00005A140000}"/>
    <cellStyle name="20% - Accent2 15 8 4" xfId="21100" xr:uid="{00000000-0005-0000-0000-00005B140000}"/>
    <cellStyle name="20% - Accent2 15 9" xfId="13071" xr:uid="{00000000-0005-0000-0000-00005C140000}"/>
    <cellStyle name="20% - Accent2 15 9 2" xfId="24928" xr:uid="{00000000-0005-0000-0000-00005D140000}"/>
    <cellStyle name="20% - Accent2 15_Volatility" xfId="1733" xr:uid="{00000000-0005-0000-0000-00005E140000}"/>
    <cellStyle name="20% - Accent2 16" xfId="1734" xr:uid="{00000000-0005-0000-0000-00005F140000}"/>
    <cellStyle name="20% - Accent2 16 2" xfId="13104" xr:uid="{00000000-0005-0000-0000-000060140000}"/>
    <cellStyle name="20% - Accent2 16 2 2" xfId="24961" xr:uid="{00000000-0005-0000-0000-000061140000}"/>
    <cellStyle name="20% - Accent2 16 3" xfId="17055" xr:uid="{00000000-0005-0000-0000-000062140000}"/>
    <cellStyle name="20% - Accent2 16 3 2" xfId="28747" xr:uid="{00000000-0005-0000-0000-000063140000}"/>
    <cellStyle name="20% - Accent2 16 4" xfId="21101" xr:uid="{00000000-0005-0000-0000-000064140000}"/>
    <cellStyle name="20% - Accent2 17" xfId="1735" xr:uid="{00000000-0005-0000-0000-000065140000}"/>
    <cellStyle name="20% - Accent2 17 2" xfId="13105" xr:uid="{00000000-0005-0000-0000-000066140000}"/>
    <cellStyle name="20% - Accent2 17 2 2" xfId="24962" xr:uid="{00000000-0005-0000-0000-000067140000}"/>
    <cellStyle name="20% - Accent2 17 3" xfId="17056" xr:uid="{00000000-0005-0000-0000-000068140000}"/>
    <cellStyle name="20% - Accent2 17 3 2" xfId="28748" xr:uid="{00000000-0005-0000-0000-000069140000}"/>
    <cellStyle name="20% - Accent2 17 4" xfId="21102" xr:uid="{00000000-0005-0000-0000-00006A140000}"/>
    <cellStyle name="20% - Accent2 18" xfId="1736" xr:uid="{00000000-0005-0000-0000-00006B140000}"/>
    <cellStyle name="20% - Accent2 18 2" xfId="13106" xr:uid="{00000000-0005-0000-0000-00006C140000}"/>
    <cellStyle name="20% - Accent2 18 2 2" xfId="24963" xr:uid="{00000000-0005-0000-0000-00006D140000}"/>
    <cellStyle name="20% - Accent2 18 3" xfId="17057" xr:uid="{00000000-0005-0000-0000-00006E140000}"/>
    <cellStyle name="20% - Accent2 18 3 2" xfId="28749" xr:uid="{00000000-0005-0000-0000-00006F140000}"/>
    <cellStyle name="20% - Accent2 18 4" xfId="21103" xr:uid="{00000000-0005-0000-0000-000070140000}"/>
    <cellStyle name="20% - Accent2 19" xfId="1737" xr:uid="{00000000-0005-0000-0000-000071140000}"/>
    <cellStyle name="20% - Accent2 19 2" xfId="13107" xr:uid="{00000000-0005-0000-0000-000072140000}"/>
    <cellStyle name="20% - Accent2 19 2 2" xfId="24964" xr:uid="{00000000-0005-0000-0000-000073140000}"/>
    <cellStyle name="20% - Accent2 19 3" xfId="17058" xr:uid="{00000000-0005-0000-0000-000074140000}"/>
    <cellStyle name="20% - Accent2 19 3 2" xfId="28750" xr:uid="{00000000-0005-0000-0000-000075140000}"/>
    <cellStyle name="20% - Accent2 19 4" xfId="21104" xr:uid="{00000000-0005-0000-0000-000076140000}"/>
    <cellStyle name="20% - Accent2 2" xfId="1738" xr:uid="{00000000-0005-0000-0000-000077140000}"/>
    <cellStyle name="20% - Accent2 2 10" xfId="17059" xr:uid="{00000000-0005-0000-0000-000078140000}"/>
    <cellStyle name="20% - Accent2 2 10 2" xfId="28751" xr:uid="{00000000-0005-0000-0000-000079140000}"/>
    <cellStyle name="20% - Accent2 2 11" xfId="21105" xr:uid="{00000000-0005-0000-0000-00007A140000}"/>
    <cellStyle name="20% - Accent2 2 2" xfId="1739" xr:uid="{00000000-0005-0000-0000-00007B140000}"/>
    <cellStyle name="20% - Accent2 2 2 2" xfId="1740" xr:uid="{00000000-0005-0000-0000-00007C140000}"/>
    <cellStyle name="20% - Accent2 2 2 2 2" xfId="1741" xr:uid="{00000000-0005-0000-0000-00007D140000}"/>
    <cellStyle name="20% - Accent2 2 2 2 2 2" xfId="13111" xr:uid="{00000000-0005-0000-0000-00007E140000}"/>
    <cellStyle name="20% - Accent2 2 2 2 2 2 2" xfId="24968" xr:uid="{00000000-0005-0000-0000-00007F140000}"/>
    <cellStyle name="20% - Accent2 2 2 2 2 3" xfId="17062" xr:uid="{00000000-0005-0000-0000-000080140000}"/>
    <cellStyle name="20% - Accent2 2 2 2 2 3 2" xfId="28754" xr:uid="{00000000-0005-0000-0000-000081140000}"/>
    <cellStyle name="20% - Accent2 2 2 2 2 4" xfId="21108" xr:uid="{00000000-0005-0000-0000-000082140000}"/>
    <cellStyle name="20% - Accent2 2 2 2 3" xfId="1742" xr:uid="{00000000-0005-0000-0000-000083140000}"/>
    <cellStyle name="20% - Accent2 2 2 2 3 2" xfId="13112" xr:uid="{00000000-0005-0000-0000-000084140000}"/>
    <cellStyle name="20% - Accent2 2 2 2 3 2 2" xfId="24969" xr:uid="{00000000-0005-0000-0000-000085140000}"/>
    <cellStyle name="20% - Accent2 2 2 2 3 3" xfId="17063" xr:uid="{00000000-0005-0000-0000-000086140000}"/>
    <cellStyle name="20% - Accent2 2 2 2 3 3 2" xfId="28755" xr:uid="{00000000-0005-0000-0000-000087140000}"/>
    <cellStyle name="20% - Accent2 2 2 2 3 4" xfId="21109" xr:uid="{00000000-0005-0000-0000-000088140000}"/>
    <cellStyle name="20% - Accent2 2 2 2 4" xfId="13110" xr:uid="{00000000-0005-0000-0000-000089140000}"/>
    <cellStyle name="20% - Accent2 2 2 2 4 2" xfId="24967" xr:uid="{00000000-0005-0000-0000-00008A140000}"/>
    <cellStyle name="20% - Accent2 2 2 2 5" xfId="17061" xr:uid="{00000000-0005-0000-0000-00008B140000}"/>
    <cellStyle name="20% - Accent2 2 2 2 5 2" xfId="28753" xr:uid="{00000000-0005-0000-0000-00008C140000}"/>
    <cellStyle name="20% - Accent2 2 2 2 6" xfId="21107" xr:uid="{00000000-0005-0000-0000-00008D140000}"/>
    <cellStyle name="20% - Accent2 2 2 3" xfId="1743" xr:uid="{00000000-0005-0000-0000-00008E140000}"/>
    <cellStyle name="20% - Accent2 2 2 3 2" xfId="1744" xr:uid="{00000000-0005-0000-0000-00008F140000}"/>
    <cellStyle name="20% - Accent2 2 2 3 2 2" xfId="13114" xr:uid="{00000000-0005-0000-0000-000090140000}"/>
    <cellStyle name="20% - Accent2 2 2 3 2 2 2" xfId="24971" xr:uid="{00000000-0005-0000-0000-000091140000}"/>
    <cellStyle name="20% - Accent2 2 2 3 2 3" xfId="17065" xr:uid="{00000000-0005-0000-0000-000092140000}"/>
    <cellStyle name="20% - Accent2 2 2 3 2 3 2" xfId="28757" xr:uid="{00000000-0005-0000-0000-000093140000}"/>
    <cellStyle name="20% - Accent2 2 2 3 2 4" xfId="21111" xr:uid="{00000000-0005-0000-0000-000094140000}"/>
    <cellStyle name="20% - Accent2 2 2 3 3" xfId="1745" xr:uid="{00000000-0005-0000-0000-000095140000}"/>
    <cellStyle name="20% - Accent2 2 2 3 3 2" xfId="13115" xr:uid="{00000000-0005-0000-0000-000096140000}"/>
    <cellStyle name="20% - Accent2 2 2 3 3 2 2" xfId="24972" xr:uid="{00000000-0005-0000-0000-000097140000}"/>
    <cellStyle name="20% - Accent2 2 2 3 3 3" xfId="17066" xr:uid="{00000000-0005-0000-0000-000098140000}"/>
    <cellStyle name="20% - Accent2 2 2 3 3 3 2" xfId="28758" xr:uid="{00000000-0005-0000-0000-000099140000}"/>
    <cellStyle name="20% - Accent2 2 2 3 3 4" xfId="21112" xr:uid="{00000000-0005-0000-0000-00009A140000}"/>
    <cellStyle name="20% - Accent2 2 2 3 4" xfId="13113" xr:uid="{00000000-0005-0000-0000-00009B140000}"/>
    <cellStyle name="20% - Accent2 2 2 3 4 2" xfId="24970" xr:uid="{00000000-0005-0000-0000-00009C140000}"/>
    <cellStyle name="20% - Accent2 2 2 3 5" xfId="17064" xr:uid="{00000000-0005-0000-0000-00009D140000}"/>
    <cellStyle name="20% - Accent2 2 2 3 5 2" xfId="28756" xr:uid="{00000000-0005-0000-0000-00009E140000}"/>
    <cellStyle name="20% - Accent2 2 2 3 6" xfId="21110" xr:uid="{00000000-0005-0000-0000-00009F140000}"/>
    <cellStyle name="20% - Accent2 2 2 4" xfId="1746" xr:uid="{00000000-0005-0000-0000-0000A0140000}"/>
    <cellStyle name="20% - Accent2 2 2 4 2" xfId="1747" xr:uid="{00000000-0005-0000-0000-0000A1140000}"/>
    <cellStyle name="20% - Accent2 2 2 4 2 2" xfId="13117" xr:uid="{00000000-0005-0000-0000-0000A2140000}"/>
    <cellStyle name="20% - Accent2 2 2 4 2 2 2" xfId="24974" xr:uid="{00000000-0005-0000-0000-0000A3140000}"/>
    <cellStyle name="20% - Accent2 2 2 4 2 3" xfId="17068" xr:uid="{00000000-0005-0000-0000-0000A4140000}"/>
    <cellStyle name="20% - Accent2 2 2 4 2 3 2" xfId="28760" xr:uid="{00000000-0005-0000-0000-0000A5140000}"/>
    <cellStyle name="20% - Accent2 2 2 4 2 4" xfId="21114" xr:uid="{00000000-0005-0000-0000-0000A6140000}"/>
    <cellStyle name="20% - Accent2 2 2 4 3" xfId="1748" xr:uid="{00000000-0005-0000-0000-0000A7140000}"/>
    <cellStyle name="20% - Accent2 2 2 4 3 2" xfId="13118" xr:uid="{00000000-0005-0000-0000-0000A8140000}"/>
    <cellStyle name="20% - Accent2 2 2 4 3 2 2" xfId="24975" xr:uid="{00000000-0005-0000-0000-0000A9140000}"/>
    <cellStyle name="20% - Accent2 2 2 4 3 3" xfId="17069" xr:uid="{00000000-0005-0000-0000-0000AA140000}"/>
    <cellStyle name="20% - Accent2 2 2 4 3 3 2" xfId="28761" xr:uid="{00000000-0005-0000-0000-0000AB140000}"/>
    <cellStyle name="20% - Accent2 2 2 4 3 4" xfId="21115" xr:uid="{00000000-0005-0000-0000-0000AC140000}"/>
    <cellStyle name="20% - Accent2 2 2 4 4" xfId="13116" xr:uid="{00000000-0005-0000-0000-0000AD140000}"/>
    <cellStyle name="20% - Accent2 2 2 4 4 2" xfId="24973" xr:uid="{00000000-0005-0000-0000-0000AE140000}"/>
    <cellStyle name="20% - Accent2 2 2 4 5" xfId="17067" xr:uid="{00000000-0005-0000-0000-0000AF140000}"/>
    <cellStyle name="20% - Accent2 2 2 4 5 2" xfId="28759" xr:uid="{00000000-0005-0000-0000-0000B0140000}"/>
    <cellStyle name="20% - Accent2 2 2 4 6" xfId="21113" xr:uid="{00000000-0005-0000-0000-0000B1140000}"/>
    <cellStyle name="20% - Accent2 2 2 5" xfId="1749" xr:uid="{00000000-0005-0000-0000-0000B2140000}"/>
    <cellStyle name="20% - Accent2 2 2 5 2" xfId="13119" xr:uid="{00000000-0005-0000-0000-0000B3140000}"/>
    <cellStyle name="20% - Accent2 2 2 5 2 2" xfId="24976" xr:uid="{00000000-0005-0000-0000-0000B4140000}"/>
    <cellStyle name="20% - Accent2 2 2 5 3" xfId="17070" xr:uid="{00000000-0005-0000-0000-0000B5140000}"/>
    <cellStyle name="20% - Accent2 2 2 5 3 2" xfId="28762" xr:uid="{00000000-0005-0000-0000-0000B6140000}"/>
    <cellStyle name="20% - Accent2 2 2 5 4" xfId="21116" xr:uid="{00000000-0005-0000-0000-0000B7140000}"/>
    <cellStyle name="20% - Accent2 2 2 6" xfId="1750" xr:uid="{00000000-0005-0000-0000-0000B8140000}"/>
    <cellStyle name="20% - Accent2 2 2 6 2" xfId="13120" xr:uid="{00000000-0005-0000-0000-0000B9140000}"/>
    <cellStyle name="20% - Accent2 2 2 6 2 2" xfId="24977" xr:uid="{00000000-0005-0000-0000-0000BA140000}"/>
    <cellStyle name="20% - Accent2 2 2 6 3" xfId="17071" xr:uid="{00000000-0005-0000-0000-0000BB140000}"/>
    <cellStyle name="20% - Accent2 2 2 6 3 2" xfId="28763" xr:uid="{00000000-0005-0000-0000-0000BC140000}"/>
    <cellStyle name="20% - Accent2 2 2 6 4" xfId="21117" xr:uid="{00000000-0005-0000-0000-0000BD140000}"/>
    <cellStyle name="20% - Accent2 2 2 7" xfId="13109" xr:uid="{00000000-0005-0000-0000-0000BE140000}"/>
    <cellStyle name="20% - Accent2 2 2 7 2" xfId="24966" xr:uid="{00000000-0005-0000-0000-0000BF140000}"/>
    <cellStyle name="20% - Accent2 2 2 8" xfId="17060" xr:uid="{00000000-0005-0000-0000-0000C0140000}"/>
    <cellStyle name="20% - Accent2 2 2 8 2" xfId="28752" xr:uid="{00000000-0005-0000-0000-0000C1140000}"/>
    <cellStyle name="20% - Accent2 2 2 9" xfId="21106" xr:uid="{00000000-0005-0000-0000-0000C2140000}"/>
    <cellStyle name="20% - Accent2 2 2_Volatility" xfId="1751" xr:uid="{00000000-0005-0000-0000-0000C3140000}"/>
    <cellStyle name="20% - Accent2 2 3" xfId="1752" xr:uid="{00000000-0005-0000-0000-0000C4140000}"/>
    <cellStyle name="20% - Accent2 2 3 2" xfId="1753" xr:uid="{00000000-0005-0000-0000-0000C5140000}"/>
    <cellStyle name="20% - Accent2 2 3 2 2" xfId="1754" xr:uid="{00000000-0005-0000-0000-0000C6140000}"/>
    <cellStyle name="20% - Accent2 2 3 2 2 2" xfId="13123" xr:uid="{00000000-0005-0000-0000-0000C7140000}"/>
    <cellStyle name="20% - Accent2 2 3 2 2 2 2" xfId="24980" xr:uid="{00000000-0005-0000-0000-0000C8140000}"/>
    <cellStyle name="20% - Accent2 2 3 2 2 3" xfId="17074" xr:uid="{00000000-0005-0000-0000-0000C9140000}"/>
    <cellStyle name="20% - Accent2 2 3 2 2 3 2" xfId="28766" xr:uid="{00000000-0005-0000-0000-0000CA140000}"/>
    <cellStyle name="20% - Accent2 2 3 2 2 4" xfId="21120" xr:uid="{00000000-0005-0000-0000-0000CB140000}"/>
    <cellStyle name="20% - Accent2 2 3 2 3" xfId="1755" xr:uid="{00000000-0005-0000-0000-0000CC140000}"/>
    <cellStyle name="20% - Accent2 2 3 2 3 2" xfId="13124" xr:uid="{00000000-0005-0000-0000-0000CD140000}"/>
    <cellStyle name="20% - Accent2 2 3 2 3 2 2" xfId="24981" xr:uid="{00000000-0005-0000-0000-0000CE140000}"/>
    <cellStyle name="20% - Accent2 2 3 2 3 3" xfId="17075" xr:uid="{00000000-0005-0000-0000-0000CF140000}"/>
    <cellStyle name="20% - Accent2 2 3 2 3 3 2" xfId="28767" xr:uid="{00000000-0005-0000-0000-0000D0140000}"/>
    <cellStyle name="20% - Accent2 2 3 2 3 4" xfId="21121" xr:uid="{00000000-0005-0000-0000-0000D1140000}"/>
    <cellStyle name="20% - Accent2 2 3 2 4" xfId="13122" xr:uid="{00000000-0005-0000-0000-0000D2140000}"/>
    <cellStyle name="20% - Accent2 2 3 2 4 2" xfId="24979" xr:uid="{00000000-0005-0000-0000-0000D3140000}"/>
    <cellStyle name="20% - Accent2 2 3 2 5" xfId="17073" xr:uid="{00000000-0005-0000-0000-0000D4140000}"/>
    <cellStyle name="20% - Accent2 2 3 2 5 2" xfId="28765" xr:uid="{00000000-0005-0000-0000-0000D5140000}"/>
    <cellStyle name="20% - Accent2 2 3 2 6" xfId="21119" xr:uid="{00000000-0005-0000-0000-0000D6140000}"/>
    <cellStyle name="20% - Accent2 2 3 3" xfId="1756" xr:uid="{00000000-0005-0000-0000-0000D7140000}"/>
    <cellStyle name="20% - Accent2 2 3 3 2" xfId="1757" xr:uid="{00000000-0005-0000-0000-0000D8140000}"/>
    <cellStyle name="20% - Accent2 2 3 3 2 2" xfId="13126" xr:uid="{00000000-0005-0000-0000-0000D9140000}"/>
    <cellStyle name="20% - Accent2 2 3 3 2 2 2" xfId="24983" xr:uid="{00000000-0005-0000-0000-0000DA140000}"/>
    <cellStyle name="20% - Accent2 2 3 3 2 3" xfId="17077" xr:uid="{00000000-0005-0000-0000-0000DB140000}"/>
    <cellStyle name="20% - Accent2 2 3 3 2 3 2" xfId="28769" xr:uid="{00000000-0005-0000-0000-0000DC140000}"/>
    <cellStyle name="20% - Accent2 2 3 3 2 4" xfId="21123" xr:uid="{00000000-0005-0000-0000-0000DD140000}"/>
    <cellStyle name="20% - Accent2 2 3 3 3" xfId="1758" xr:uid="{00000000-0005-0000-0000-0000DE140000}"/>
    <cellStyle name="20% - Accent2 2 3 3 3 2" xfId="13127" xr:uid="{00000000-0005-0000-0000-0000DF140000}"/>
    <cellStyle name="20% - Accent2 2 3 3 3 2 2" xfId="24984" xr:uid="{00000000-0005-0000-0000-0000E0140000}"/>
    <cellStyle name="20% - Accent2 2 3 3 3 3" xfId="17078" xr:uid="{00000000-0005-0000-0000-0000E1140000}"/>
    <cellStyle name="20% - Accent2 2 3 3 3 3 2" xfId="28770" xr:uid="{00000000-0005-0000-0000-0000E2140000}"/>
    <cellStyle name="20% - Accent2 2 3 3 3 4" xfId="21124" xr:uid="{00000000-0005-0000-0000-0000E3140000}"/>
    <cellStyle name="20% - Accent2 2 3 3 4" xfId="13125" xr:uid="{00000000-0005-0000-0000-0000E4140000}"/>
    <cellStyle name="20% - Accent2 2 3 3 4 2" xfId="24982" xr:uid="{00000000-0005-0000-0000-0000E5140000}"/>
    <cellStyle name="20% - Accent2 2 3 3 5" xfId="17076" xr:uid="{00000000-0005-0000-0000-0000E6140000}"/>
    <cellStyle name="20% - Accent2 2 3 3 5 2" xfId="28768" xr:uid="{00000000-0005-0000-0000-0000E7140000}"/>
    <cellStyle name="20% - Accent2 2 3 3 6" xfId="21122" xr:uid="{00000000-0005-0000-0000-0000E8140000}"/>
    <cellStyle name="20% - Accent2 2 3 4" xfId="1759" xr:uid="{00000000-0005-0000-0000-0000E9140000}"/>
    <cellStyle name="20% - Accent2 2 3 4 2" xfId="13128" xr:uid="{00000000-0005-0000-0000-0000EA140000}"/>
    <cellStyle name="20% - Accent2 2 3 4 2 2" xfId="24985" xr:uid="{00000000-0005-0000-0000-0000EB140000}"/>
    <cellStyle name="20% - Accent2 2 3 4 3" xfId="17079" xr:uid="{00000000-0005-0000-0000-0000EC140000}"/>
    <cellStyle name="20% - Accent2 2 3 4 3 2" xfId="28771" xr:uid="{00000000-0005-0000-0000-0000ED140000}"/>
    <cellStyle name="20% - Accent2 2 3 4 4" xfId="21125" xr:uid="{00000000-0005-0000-0000-0000EE140000}"/>
    <cellStyle name="20% - Accent2 2 3 5" xfId="1760" xr:uid="{00000000-0005-0000-0000-0000EF140000}"/>
    <cellStyle name="20% - Accent2 2 3 5 2" xfId="13129" xr:uid="{00000000-0005-0000-0000-0000F0140000}"/>
    <cellStyle name="20% - Accent2 2 3 5 2 2" xfId="24986" xr:uid="{00000000-0005-0000-0000-0000F1140000}"/>
    <cellStyle name="20% - Accent2 2 3 5 3" xfId="17080" xr:uid="{00000000-0005-0000-0000-0000F2140000}"/>
    <cellStyle name="20% - Accent2 2 3 5 3 2" xfId="28772" xr:uid="{00000000-0005-0000-0000-0000F3140000}"/>
    <cellStyle name="20% - Accent2 2 3 5 4" xfId="21126" xr:uid="{00000000-0005-0000-0000-0000F4140000}"/>
    <cellStyle name="20% - Accent2 2 3 6" xfId="13121" xr:uid="{00000000-0005-0000-0000-0000F5140000}"/>
    <cellStyle name="20% - Accent2 2 3 6 2" xfId="24978" xr:uid="{00000000-0005-0000-0000-0000F6140000}"/>
    <cellStyle name="20% - Accent2 2 3 7" xfId="17072" xr:uid="{00000000-0005-0000-0000-0000F7140000}"/>
    <cellStyle name="20% - Accent2 2 3 7 2" xfId="28764" xr:uid="{00000000-0005-0000-0000-0000F8140000}"/>
    <cellStyle name="20% - Accent2 2 3 8" xfId="21118" xr:uid="{00000000-0005-0000-0000-0000F9140000}"/>
    <cellStyle name="20% - Accent2 2 3_Volatility" xfId="1761" xr:uid="{00000000-0005-0000-0000-0000FA140000}"/>
    <cellStyle name="20% - Accent2 2 4" xfId="1762" xr:uid="{00000000-0005-0000-0000-0000FB140000}"/>
    <cellStyle name="20% - Accent2 2 4 2" xfId="1763" xr:uid="{00000000-0005-0000-0000-0000FC140000}"/>
    <cellStyle name="20% - Accent2 2 4 2 2" xfId="13131" xr:uid="{00000000-0005-0000-0000-0000FD140000}"/>
    <cellStyle name="20% - Accent2 2 4 2 2 2" xfId="24988" xr:uid="{00000000-0005-0000-0000-0000FE140000}"/>
    <cellStyle name="20% - Accent2 2 4 2 3" xfId="17082" xr:uid="{00000000-0005-0000-0000-0000FF140000}"/>
    <cellStyle name="20% - Accent2 2 4 2 3 2" xfId="28774" xr:uid="{00000000-0005-0000-0000-000000150000}"/>
    <cellStyle name="20% - Accent2 2 4 2 4" xfId="21128" xr:uid="{00000000-0005-0000-0000-000001150000}"/>
    <cellStyle name="20% - Accent2 2 4 3" xfId="1764" xr:uid="{00000000-0005-0000-0000-000002150000}"/>
    <cellStyle name="20% - Accent2 2 4 3 2" xfId="13132" xr:uid="{00000000-0005-0000-0000-000003150000}"/>
    <cellStyle name="20% - Accent2 2 4 3 2 2" xfId="24989" xr:uid="{00000000-0005-0000-0000-000004150000}"/>
    <cellStyle name="20% - Accent2 2 4 3 3" xfId="17083" xr:uid="{00000000-0005-0000-0000-000005150000}"/>
    <cellStyle name="20% - Accent2 2 4 3 3 2" xfId="28775" xr:uid="{00000000-0005-0000-0000-000006150000}"/>
    <cellStyle name="20% - Accent2 2 4 3 4" xfId="21129" xr:uid="{00000000-0005-0000-0000-000007150000}"/>
    <cellStyle name="20% - Accent2 2 4 4" xfId="13130" xr:uid="{00000000-0005-0000-0000-000008150000}"/>
    <cellStyle name="20% - Accent2 2 4 4 2" xfId="24987" xr:uid="{00000000-0005-0000-0000-000009150000}"/>
    <cellStyle name="20% - Accent2 2 4 5" xfId="17081" xr:uid="{00000000-0005-0000-0000-00000A150000}"/>
    <cellStyle name="20% - Accent2 2 4 5 2" xfId="28773" xr:uid="{00000000-0005-0000-0000-00000B150000}"/>
    <cellStyle name="20% - Accent2 2 4 6" xfId="21127" xr:uid="{00000000-0005-0000-0000-00000C150000}"/>
    <cellStyle name="20% - Accent2 2 5" xfId="1765" xr:uid="{00000000-0005-0000-0000-00000D150000}"/>
    <cellStyle name="20% - Accent2 2 5 2" xfId="1766" xr:uid="{00000000-0005-0000-0000-00000E150000}"/>
    <cellStyle name="20% - Accent2 2 5 2 2" xfId="13134" xr:uid="{00000000-0005-0000-0000-00000F150000}"/>
    <cellStyle name="20% - Accent2 2 5 2 2 2" xfId="24991" xr:uid="{00000000-0005-0000-0000-000010150000}"/>
    <cellStyle name="20% - Accent2 2 5 2 3" xfId="17085" xr:uid="{00000000-0005-0000-0000-000011150000}"/>
    <cellStyle name="20% - Accent2 2 5 2 3 2" xfId="28777" xr:uid="{00000000-0005-0000-0000-000012150000}"/>
    <cellStyle name="20% - Accent2 2 5 2 4" xfId="21131" xr:uid="{00000000-0005-0000-0000-000013150000}"/>
    <cellStyle name="20% - Accent2 2 5 3" xfId="1767" xr:uid="{00000000-0005-0000-0000-000014150000}"/>
    <cellStyle name="20% - Accent2 2 5 3 2" xfId="13135" xr:uid="{00000000-0005-0000-0000-000015150000}"/>
    <cellStyle name="20% - Accent2 2 5 3 2 2" xfId="24992" xr:uid="{00000000-0005-0000-0000-000016150000}"/>
    <cellStyle name="20% - Accent2 2 5 3 3" xfId="17086" xr:uid="{00000000-0005-0000-0000-000017150000}"/>
    <cellStyle name="20% - Accent2 2 5 3 3 2" xfId="28778" xr:uid="{00000000-0005-0000-0000-000018150000}"/>
    <cellStyle name="20% - Accent2 2 5 3 4" xfId="21132" xr:uid="{00000000-0005-0000-0000-000019150000}"/>
    <cellStyle name="20% - Accent2 2 5 4" xfId="13133" xr:uid="{00000000-0005-0000-0000-00001A150000}"/>
    <cellStyle name="20% - Accent2 2 5 4 2" xfId="24990" xr:uid="{00000000-0005-0000-0000-00001B150000}"/>
    <cellStyle name="20% - Accent2 2 5 5" xfId="17084" xr:uid="{00000000-0005-0000-0000-00001C150000}"/>
    <cellStyle name="20% - Accent2 2 5 5 2" xfId="28776" xr:uid="{00000000-0005-0000-0000-00001D150000}"/>
    <cellStyle name="20% - Accent2 2 5 6" xfId="21130" xr:uid="{00000000-0005-0000-0000-00001E150000}"/>
    <cellStyle name="20% - Accent2 2 6" xfId="1768" xr:uid="{00000000-0005-0000-0000-00001F150000}"/>
    <cellStyle name="20% - Accent2 2 6 2" xfId="1769" xr:uid="{00000000-0005-0000-0000-000020150000}"/>
    <cellStyle name="20% - Accent2 2 6 2 2" xfId="13137" xr:uid="{00000000-0005-0000-0000-000021150000}"/>
    <cellStyle name="20% - Accent2 2 6 2 2 2" xfId="24994" xr:uid="{00000000-0005-0000-0000-000022150000}"/>
    <cellStyle name="20% - Accent2 2 6 2 3" xfId="17088" xr:uid="{00000000-0005-0000-0000-000023150000}"/>
    <cellStyle name="20% - Accent2 2 6 2 3 2" xfId="28780" xr:uid="{00000000-0005-0000-0000-000024150000}"/>
    <cellStyle name="20% - Accent2 2 6 2 4" xfId="21134" xr:uid="{00000000-0005-0000-0000-000025150000}"/>
    <cellStyle name="20% - Accent2 2 6 3" xfId="1770" xr:uid="{00000000-0005-0000-0000-000026150000}"/>
    <cellStyle name="20% - Accent2 2 6 3 2" xfId="13138" xr:uid="{00000000-0005-0000-0000-000027150000}"/>
    <cellStyle name="20% - Accent2 2 6 3 2 2" xfId="24995" xr:uid="{00000000-0005-0000-0000-000028150000}"/>
    <cellStyle name="20% - Accent2 2 6 3 3" xfId="17089" xr:uid="{00000000-0005-0000-0000-000029150000}"/>
    <cellStyle name="20% - Accent2 2 6 3 3 2" xfId="28781" xr:uid="{00000000-0005-0000-0000-00002A150000}"/>
    <cellStyle name="20% - Accent2 2 6 3 4" xfId="21135" xr:uid="{00000000-0005-0000-0000-00002B150000}"/>
    <cellStyle name="20% - Accent2 2 6 4" xfId="13136" xr:uid="{00000000-0005-0000-0000-00002C150000}"/>
    <cellStyle name="20% - Accent2 2 6 4 2" xfId="24993" xr:uid="{00000000-0005-0000-0000-00002D150000}"/>
    <cellStyle name="20% - Accent2 2 6 5" xfId="17087" xr:uid="{00000000-0005-0000-0000-00002E150000}"/>
    <cellStyle name="20% - Accent2 2 6 5 2" xfId="28779" xr:uid="{00000000-0005-0000-0000-00002F150000}"/>
    <cellStyle name="20% - Accent2 2 6 6" xfId="21133" xr:uid="{00000000-0005-0000-0000-000030150000}"/>
    <cellStyle name="20% - Accent2 2 7" xfId="1771" xr:uid="{00000000-0005-0000-0000-000031150000}"/>
    <cellStyle name="20% - Accent2 2 7 2" xfId="13139" xr:uid="{00000000-0005-0000-0000-000032150000}"/>
    <cellStyle name="20% - Accent2 2 7 2 2" xfId="24996" xr:uid="{00000000-0005-0000-0000-000033150000}"/>
    <cellStyle name="20% - Accent2 2 7 3" xfId="17090" xr:uid="{00000000-0005-0000-0000-000034150000}"/>
    <cellStyle name="20% - Accent2 2 7 3 2" xfId="28782" xr:uid="{00000000-0005-0000-0000-000035150000}"/>
    <cellStyle name="20% - Accent2 2 7 4" xfId="21136" xr:uid="{00000000-0005-0000-0000-000036150000}"/>
    <cellStyle name="20% - Accent2 2 8" xfId="1772" xr:uid="{00000000-0005-0000-0000-000037150000}"/>
    <cellStyle name="20% - Accent2 2 8 2" xfId="13140" xr:uid="{00000000-0005-0000-0000-000038150000}"/>
    <cellStyle name="20% - Accent2 2 8 2 2" xfId="24997" xr:uid="{00000000-0005-0000-0000-000039150000}"/>
    <cellStyle name="20% - Accent2 2 8 3" xfId="17091" xr:uid="{00000000-0005-0000-0000-00003A150000}"/>
    <cellStyle name="20% - Accent2 2 8 3 2" xfId="28783" xr:uid="{00000000-0005-0000-0000-00003B150000}"/>
    <cellStyle name="20% - Accent2 2 8 4" xfId="21137" xr:uid="{00000000-0005-0000-0000-00003C150000}"/>
    <cellStyle name="20% - Accent2 2 9" xfId="13108" xr:uid="{00000000-0005-0000-0000-00003D150000}"/>
    <cellStyle name="20% - Accent2 2 9 2" xfId="24965" xr:uid="{00000000-0005-0000-0000-00003E150000}"/>
    <cellStyle name="20% - Accent2 2_Volatility" xfId="1773" xr:uid="{00000000-0005-0000-0000-00003F150000}"/>
    <cellStyle name="20% - Accent2 3" xfId="1774" xr:uid="{00000000-0005-0000-0000-000040150000}"/>
    <cellStyle name="20% - Accent2 3 10" xfId="17092" xr:uid="{00000000-0005-0000-0000-000041150000}"/>
    <cellStyle name="20% - Accent2 3 10 2" xfId="28784" xr:uid="{00000000-0005-0000-0000-000042150000}"/>
    <cellStyle name="20% - Accent2 3 11" xfId="21138" xr:uid="{00000000-0005-0000-0000-000043150000}"/>
    <cellStyle name="20% - Accent2 3 2" xfId="1775" xr:uid="{00000000-0005-0000-0000-000044150000}"/>
    <cellStyle name="20% - Accent2 3 2 2" xfId="1776" xr:uid="{00000000-0005-0000-0000-000045150000}"/>
    <cellStyle name="20% - Accent2 3 2 2 2" xfId="1777" xr:uid="{00000000-0005-0000-0000-000046150000}"/>
    <cellStyle name="20% - Accent2 3 2 2 2 2" xfId="13144" xr:uid="{00000000-0005-0000-0000-000047150000}"/>
    <cellStyle name="20% - Accent2 3 2 2 2 2 2" xfId="25001" xr:uid="{00000000-0005-0000-0000-000048150000}"/>
    <cellStyle name="20% - Accent2 3 2 2 2 3" xfId="17095" xr:uid="{00000000-0005-0000-0000-000049150000}"/>
    <cellStyle name="20% - Accent2 3 2 2 2 3 2" xfId="28787" xr:uid="{00000000-0005-0000-0000-00004A150000}"/>
    <cellStyle name="20% - Accent2 3 2 2 2 4" xfId="21141" xr:uid="{00000000-0005-0000-0000-00004B150000}"/>
    <cellStyle name="20% - Accent2 3 2 2 3" xfId="1778" xr:uid="{00000000-0005-0000-0000-00004C150000}"/>
    <cellStyle name="20% - Accent2 3 2 2 3 2" xfId="13145" xr:uid="{00000000-0005-0000-0000-00004D150000}"/>
    <cellStyle name="20% - Accent2 3 2 2 3 2 2" xfId="25002" xr:uid="{00000000-0005-0000-0000-00004E150000}"/>
    <cellStyle name="20% - Accent2 3 2 2 3 3" xfId="17096" xr:uid="{00000000-0005-0000-0000-00004F150000}"/>
    <cellStyle name="20% - Accent2 3 2 2 3 3 2" xfId="28788" xr:uid="{00000000-0005-0000-0000-000050150000}"/>
    <cellStyle name="20% - Accent2 3 2 2 3 4" xfId="21142" xr:uid="{00000000-0005-0000-0000-000051150000}"/>
    <cellStyle name="20% - Accent2 3 2 2 4" xfId="13143" xr:uid="{00000000-0005-0000-0000-000052150000}"/>
    <cellStyle name="20% - Accent2 3 2 2 4 2" xfId="25000" xr:uid="{00000000-0005-0000-0000-000053150000}"/>
    <cellStyle name="20% - Accent2 3 2 2 5" xfId="17094" xr:uid="{00000000-0005-0000-0000-000054150000}"/>
    <cellStyle name="20% - Accent2 3 2 2 5 2" xfId="28786" xr:uid="{00000000-0005-0000-0000-000055150000}"/>
    <cellStyle name="20% - Accent2 3 2 2 6" xfId="21140" xr:uid="{00000000-0005-0000-0000-000056150000}"/>
    <cellStyle name="20% - Accent2 3 2 3" xfId="1779" xr:uid="{00000000-0005-0000-0000-000057150000}"/>
    <cellStyle name="20% - Accent2 3 2 3 2" xfId="1780" xr:uid="{00000000-0005-0000-0000-000058150000}"/>
    <cellStyle name="20% - Accent2 3 2 3 2 2" xfId="13147" xr:uid="{00000000-0005-0000-0000-000059150000}"/>
    <cellStyle name="20% - Accent2 3 2 3 2 2 2" xfId="25004" xr:uid="{00000000-0005-0000-0000-00005A150000}"/>
    <cellStyle name="20% - Accent2 3 2 3 2 3" xfId="17098" xr:uid="{00000000-0005-0000-0000-00005B150000}"/>
    <cellStyle name="20% - Accent2 3 2 3 2 3 2" xfId="28790" xr:uid="{00000000-0005-0000-0000-00005C150000}"/>
    <cellStyle name="20% - Accent2 3 2 3 2 4" xfId="21144" xr:uid="{00000000-0005-0000-0000-00005D150000}"/>
    <cellStyle name="20% - Accent2 3 2 3 3" xfId="1781" xr:uid="{00000000-0005-0000-0000-00005E150000}"/>
    <cellStyle name="20% - Accent2 3 2 3 3 2" xfId="13148" xr:uid="{00000000-0005-0000-0000-00005F150000}"/>
    <cellStyle name="20% - Accent2 3 2 3 3 2 2" xfId="25005" xr:uid="{00000000-0005-0000-0000-000060150000}"/>
    <cellStyle name="20% - Accent2 3 2 3 3 3" xfId="17099" xr:uid="{00000000-0005-0000-0000-000061150000}"/>
    <cellStyle name="20% - Accent2 3 2 3 3 3 2" xfId="28791" xr:uid="{00000000-0005-0000-0000-000062150000}"/>
    <cellStyle name="20% - Accent2 3 2 3 3 4" xfId="21145" xr:uid="{00000000-0005-0000-0000-000063150000}"/>
    <cellStyle name="20% - Accent2 3 2 3 4" xfId="13146" xr:uid="{00000000-0005-0000-0000-000064150000}"/>
    <cellStyle name="20% - Accent2 3 2 3 4 2" xfId="25003" xr:uid="{00000000-0005-0000-0000-000065150000}"/>
    <cellStyle name="20% - Accent2 3 2 3 5" xfId="17097" xr:uid="{00000000-0005-0000-0000-000066150000}"/>
    <cellStyle name="20% - Accent2 3 2 3 5 2" xfId="28789" xr:uid="{00000000-0005-0000-0000-000067150000}"/>
    <cellStyle name="20% - Accent2 3 2 3 6" xfId="21143" xr:uid="{00000000-0005-0000-0000-000068150000}"/>
    <cellStyle name="20% - Accent2 3 2 4" xfId="1782" xr:uid="{00000000-0005-0000-0000-000069150000}"/>
    <cellStyle name="20% - Accent2 3 2 4 2" xfId="1783" xr:uid="{00000000-0005-0000-0000-00006A150000}"/>
    <cellStyle name="20% - Accent2 3 2 4 2 2" xfId="13150" xr:uid="{00000000-0005-0000-0000-00006B150000}"/>
    <cellStyle name="20% - Accent2 3 2 4 2 2 2" xfId="25007" xr:uid="{00000000-0005-0000-0000-00006C150000}"/>
    <cellStyle name="20% - Accent2 3 2 4 2 3" xfId="17101" xr:uid="{00000000-0005-0000-0000-00006D150000}"/>
    <cellStyle name="20% - Accent2 3 2 4 2 3 2" xfId="28793" xr:uid="{00000000-0005-0000-0000-00006E150000}"/>
    <cellStyle name="20% - Accent2 3 2 4 2 4" xfId="21147" xr:uid="{00000000-0005-0000-0000-00006F150000}"/>
    <cellStyle name="20% - Accent2 3 2 4 3" xfId="1784" xr:uid="{00000000-0005-0000-0000-000070150000}"/>
    <cellStyle name="20% - Accent2 3 2 4 3 2" xfId="13151" xr:uid="{00000000-0005-0000-0000-000071150000}"/>
    <cellStyle name="20% - Accent2 3 2 4 3 2 2" xfId="25008" xr:uid="{00000000-0005-0000-0000-000072150000}"/>
    <cellStyle name="20% - Accent2 3 2 4 3 3" xfId="17102" xr:uid="{00000000-0005-0000-0000-000073150000}"/>
    <cellStyle name="20% - Accent2 3 2 4 3 3 2" xfId="28794" xr:uid="{00000000-0005-0000-0000-000074150000}"/>
    <cellStyle name="20% - Accent2 3 2 4 3 4" xfId="21148" xr:uid="{00000000-0005-0000-0000-000075150000}"/>
    <cellStyle name="20% - Accent2 3 2 4 4" xfId="13149" xr:uid="{00000000-0005-0000-0000-000076150000}"/>
    <cellStyle name="20% - Accent2 3 2 4 4 2" xfId="25006" xr:uid="{00000000-0005-0000-0000-000077150000}"/>
    <cellStyle name="20% - Accent2 3 2 4 5" xfId="17100" xr:uid="{00000000-0005-0000-0000-000078150000}"/>
    <cellStyle name="20% - Accent2 3 2 4 5 2" xfId="28792" xr:uid="{00000000-0005-0000-0000-000079150000}"/>
    <cellStyle name="20% - Accent2 3 2 4 6" xfId="21146" xr:uid="{00000000-0005-0000-0000-00007A150000}"/>
    <cellStyle name="20% - Accent2 3 2 5" xfId="1785" xr:uid="{00000000-0005-0000-0000-00007B150000}"/>
    <cellStyle name="20% - Accent2 3 2 5 2" xfId="13152" xr:uid="{00000000-0005-0000-0000-00007C150000}"/>
    <cellStyle name="20% - Accent2 3 2 5 2 2" xfId="25009" xr:uid="{00000000-0005-0000-0000-00007D150000}"/>
    <cellStyle name="20% - Accent2 3 2 5 3" xfId="17103" xr:uid="{00000000-0005-0000-0000-00007E150000}"/>
    <cellStyle name="20% - Accent2 3 2 5 3 2" xfId="28795" xr:uid="{00000000-0005-0000-0000-00007F150000}"/>
    <cellStyle name="20% - Accent2 3 2 5 4" xfId="21149" xr:uid="{00000000-0005-0000-0000-000080150000}"/>
    <cellStyle name="20% - Accent2 3 2 6" xfId="1786" xr:uid="{00000000-0005-0000-0000-000081150000}"/>
    <cellStyle name="20% - Accent2 3 2 6 2" xfId="13153" xr:uid="{00000000-0005-0000-0000-000082150000}"/>
    <cellStyle name="20% - Accent2 3 2 6 2 2" xfId="25010" xr:uid="{00000000-0005-0000-0000-000083150000}"/>
    <cellStyle name="20% - Accent2 3 2 6 3" xfId="17104" xr:uid="{00000000-0005-0000-0000-000084150000}"/>
    <cellStyle name="20% - Accent2 3 2 6 3 2" xfId="28796" xr:uid="{00000000-0005-0000-0000-000085150000}"/>
    <cellStyle name="20% - Accent2 3 2 6 4" xfId="21150" xr:uid="{00000000-0005-0000-0000-000086150000}"/>
    <cellStyle name="20% - Accent2 3 2 7" xfId="13142" xr:uid="{00000000-0005-0000-0000-000087150000}"/>
    <cellStyle name="20% - Accent2 3 2 7 2" xfId="24999" xr:uid="{00000000-0005-0000-0000-000088150000}"/>
    <cellStyle name="20% - Accent2 3 2 8" xfId="17093" xr:uid="{00000000-0005-0000-0000-000089150000}"/>
    <cellStyle name="20% - Accent2 3 2 8 2" xfId="28785" xr:uid="{00000000-0005-0000-0000-00008A150000}"/>
    <cellStyle name="20% - Accent2 3 2 9" xfId="21139" xr:uid="{00000000-0005-0000-0000-00008B150000}"/>
    <cellStyle name="20% - Accent2 3 2_Volatility" xfId="1787" xr:uid="{00000000-0005-0000-0000-00008C150000}"/>
    <cellStyle name="20% - Accent2 3 3" xfId="1788" xr:uid="{00000000-0005-0000-0000-00008D150000}"/>
    <cellStyle name="20% - Accent2 3 3 2" xfId="1789" xr:uid="{00000000-0005-0000-0000-00008E150000}"/>
    <cellStyle name="20% - Accent2 3 3 2 2" xfId="1790" xr:uid="{00000000-0005-0000-0000-00008F150000}"/>
    <cellStyle name="20% - Accent2 3 3 2 2 2" xfId="13156" xr:uid="{00000000-0005-0000-0000-000090150000}"/>
    <cellStyle name="20% - Accent2 3 3 2 2 2 2" xfId="25013" xr:uid="{00000000-0005-0000-0000-000091150000}"/>
    <cellStyle name="20% - Accent2 3 3 2 2 3" xfId="17107" xr:uid="{00000000-0005-0000-0000-000092150000}"/>
    <cellStyle name="20% - Accent2 3 3 2 2 3 2" xfId="28799" xr:uid="{00000000-0005-0000-0000-000093150000}"/>
    <cellStyle name="20% - Accent2 3 3 2 2 4" xfId="21153" xr:uid="{00000000-0005-0000-0000-000094150000}"/>
    <cellStyle name="20% - Accent2 3 3 2 3" xfId="1791" xr:uid="{00000000-0005-0000-0000-000095150000}"/>
    <cellStyle name="20% - Accent2 3 3 2 3 2" xfId="13157" xr:uid="{00000000-0005-0000-0000-000096150000}"/>
    <cellStyle name="20% - Accent2 3 3 2 3 2 2" xfId="25014" xr:uid="{00000000-0005-0000-0000-000097150000}"/>
    <cellStyle name="20% - Accent2 3 3 2 3 3" xfId="17108" xr:uid="{00000000-0005-0000-0000-000098150000}"/>
    <cellStyle name="20% - Accent2 3 3 2 3 3 2" xfId="28800" xr:uid="{00000000-0005-0000-0000-000099150000}"/>
    <cellStyle name="20% - Accent2 3 3 2 3 4" xfId="21154" xr:uid="{00000000-0005-0000-0000-00009A150000}"/>
    <cellStyle name="20% - Accent2 3 3 2 4" xfId="13155" xr:uid="{00000000-0005-0000-0000-00009B150000}"/>
    <cellStyle name="20% - Accent2 3 3 2 4 2" xfId="25012" xr:uid="{00000000-0005-0000-0000-00009C150000}"/>
    <cellStyle name="20% - Accent2 3 3 2 5" xfId="17106" xr:uid="{00000000-0005-0000-0000-00009D150000}"/>
    <cellStyle name="20% - Accent2 3 3 2 5 2" xfId="28798" xr:uid="{00000000-0005-0000-0000-00009E150000}"/>
    <cellStyle name="20% - Accent2 3 3 2 6" xfId="21152" xr:uid="{00000000-0005-0000-0000-00009F150000}"/>
    <cellStyle name="20% - Accent2 3 3 3" xfId="1792" xr:uid="{00000000-0005-0000-0000-0000A0150000}"/>
    <cellStyle name="20% - Accent2 3 3 3 2" xfId="1793" xr:uid="{00000000-0005-0000-0000-0000A1150000}"/>
    <cellStyle name="20% - Accent2 3 3 3 2 2" xfId="13159" xr:uid="{00000000-0005-0000-0000-0000A2150000}"/>
    <cellStyle name="20% - Accent2 3 3 3 2 2 2" xfId="25016" xr:uid="{00000000-0005-0000-0000-0000A3150000}"/>
    <cellStyle name="20% - Accent2 3 3 3 2 3" xfId="17110" xr:uid="{00000000-0005-0000-0000-0000A4150000}"/>
    <cellStyle name="20% - Accent2 3 3 3 2 3 2" xfId="28802" xr:uid="{00000000-0005-0000-0000-0000A5150000}"/>
    <cellStyle name="20% - Accent2 3 3 3 2 4" xfId="21156" xr:uid="{00000000-0005-0000-0000-0000A6150000}"/>
    <cellStyle name="20% - Accent2 3 3 3 3" xfId="1794" xr:uid="{00000000-0005-0000-0000-0000A7150000}"/>
    <cellStyle name="20% - Accent2 3 3 3 3 2" xfId="13160" xr:uid="{00000000-0005-0000-0000-0000A8150000}"/>
    <cellStyle name="20% - Accent2 3 3 3 3 2 2" xfId="25017" xr:uid="{00000000-0005-0000-0000-0000A9150000}"/>
    <cellStyle name="20% - Accent2 3 3 3 3 3" xfId="17111" xr:uid="{00000000-0005-0000-0000-0000AA150000}"/>
    <cellStyle name="20% - Accent2 3 3 3 3 3 2" xfId="28803" xr:uid="{00000000-0005-0000-0000-0000AB150000}"/>
    <cellStyle name="20% - Accent2 3 3 3 3 4" xfId="21157" xr:uid="{00000000-0005-0000-0000-0000AC150000}"/>
    <cellStyle name="20% - Accent2 3 3 3 4" xfId="13158" xr:uid="{00000000-0005-0000-0000-0000AD150000}"/>
    <cellStyle name="20% - Accent2 3 3 3 4 2" xfId="25015" xr:uid="{00000000-0005-0000-0000-0000AE150000}"/>
    <cellStyle name="20% - Accent2 3 3 3 5" xfId="17109" xr:uid="{00000000-0005-0000-0000-0000AF150000}"/>
    <cellStyle name="20% - Accent2 3 3 3 5 2" xfId="28801" xr:uid="{00000000-0005-0000-0000-0000B0150000}"/>
    <cellStyle name="20% - Accent2 3 3 3 6" xfId="21155" xr:uid="{00000000-0005-0000-0000-0000B1150000}"/>
    <cellStyle name="20% - Accent2 3 3 4" xfId="1795" xr:uid="{00000000-0005-0000-0000-0000B2150000}"/>
    <cellStyle name="20% - Accent2 3 3 4 2" xfId="13161" xr:uid="{00000000-0005-0000-0000-0000B3150000}"/>
    <cellStyle name="20% - Accent2 3 3 4 2 2" xfId="25018" xr:uid="{00000000-0005-0000-0000-0000B4150000}"/>
    <cellStyle name="20% - Accent2 3 3 4 3" xfId="17112" xr:uid="{00000000-0005-0000-0000-0000B5150000}"/>
    <cellStyle name="20% - Accent2 3 3 4 3 2" xfId="28804" xr:uid="{00000000-0005-0000-0000-0000B6150000}"/>
    <cellStyle name="20% - Accent2 3 3 4 4" xfId="21158" xr:uid="{00000000-0005-0000-0000-0000B7150000}"/>
    <cellStyle name="20% - Accent2 3 3 5" xfId="1796" xr:uid="{00000000-0005-0000-0000-0000B8150000}"/>
    <cellStyle name="20% - Accent2 3 3 5 2" xfId="13162" xr:uid="{00000000-0005-0000-0000-0000B9150000}"/>
    <cellStyle name="20% - Accent2 3 3 5 2 2" xfId="25019" xr:uid="{00000000-0005-0000-0000-0000BA150000}"/>
    <cellStyle name="20% - Accent2 3 3 5 3" xfId="17113" xr:uid="{00000000-0005-0000-0000-0000BB150000}"/>
    <cellStyle name="20% - Accent2 3 3 5 3 2" xfId="28805" xr:uid="{00000000-0005-0000-0000-0000BC150000}"/>
    <cellStyle name="20% - Accent2 3 3 5 4" xfId="21159" xr:uid="{00000000-0005-0000-0000-0000BD150000}"/>
    <cellStyle name="20% - Accent2 3 3 6" xfId="13154" xr:uid="{00000000-0005-0000-0000-0000BE150000}"/>
    <cellStyle name="20% - Accent2 3 3 6 2" xfId="25011" xr:uid="{00000000-0005-0000-0000-0000BF150000}"/>
    <cellStyle name="20% - Accent2 3 3 7" xfId="17105" xr:uid="{00000000-0005-0000-0000-0000C0150000}"/>
    <cellStyle name="20% - Accent2 3 3 7 2" xfId="28797" xr:uid="{00000000-0005-0000-0000-0000C1150000}"/>
    <cellStyle name="20% - Accent2 3 3 8" xfId="21151" xr:uid="{00000000-0005-0000-0000-0000C2150000}"/>
    <cellStyle name="20% - Accent2 3 3_Volatility" xfId="1797" xr:uid="{00000000-0005-0000-0000-0000C3150000}"/>
    <cellStyle name="20% - Accent2 3 4" xfId="1798" xr:uid="{00000000-0005-0000-0000-0000C4150000}"/>
    <cellStyle name="20% - Accent2 3 4 2" xfId="1799" xr:uid="{00000000-0005-0000-0000-0000C5150000}"/>
    <cellStyle name="20% - Accent2 3 4 2 2" xfId="13164" xr:uid="{00000000-0005-0000-0000-0000C6150000}"/>
    <cellStyle name="20% - Accent2 3 4 2 2 2" xfId="25021" xr:uid="{00000000-0005-0000-0000-0000C7150000}"/>
    <cellStyle name="20% - Accent2 3 4 2 3" xfId="17115" xr:uid="{00000000-0005-0000-0000-0000C8150000}"/>
    <cellStyle name="20% - Accent2 3 4 2 3 2" xfId="28807" xr:uid="{00000000-0005-0000-0000-0000C9150000}"/>
    <cellStyle name="20% - Accent2 3 4 2 4" xfId="21161" xr:uid="{00000000-0005-0000-0000-0000CA150000}"/>
    <cellStyle name="20% - Accent2 3 4 3" xfId="1800" xr:uid="{00000000-0005-0000-0000-0000CB150000}"/>
    <cellStyle name="20% - Accent2 3 4 3 2" xfId="13165" xr:uid="{00000000-0005-0000-0000-0000CC150000}"/>
    <cellStyle name="20% - Accent2 3 4 3 2 2" xfId="25022" xr:uid="{00000000-0005-0000-0000-0000CD150000}"/>
    <cellStyle name="20% - Accent2 3 4 3 3" xfId="17116" xr:uid="{00000000-0005-0000-0000-0000CE150000}"/>
    <cellStyle name="20% - Accent2 3 4 3 3 2" xfId="28808" xr:uid="{00000000-0005-0000-0000-0000CF150000}"/>
    <cellStyle name="20% - Accent2 3 4 3 4" xfId="21162" xr:uid="{00000000-0005-0000-0000-0000D0150000}"/>
    <cellStyle name="20% - Accent2 3 4 4" xfId="13163" xr:uid="{00000000-0005-0000-0000-0000D1150000}"/>
    <cellStyle name="20% - Accent2 3 4 4 2" xfId="25020" xr:uid="{00000000-0005-0000-0000-0000D2150000}"/>
    <cellStyle name="20% - Accent2 3 4 5" xfId="17114" xr:uid="{00000000-0005-0000-0000-0000D3150000}"/>
    <cellStyle name="20% - Accent2 3 4 5 2" xfId="28806" xr:uid="{00000000-0005-0000-0000-0000D4150000}"/>
    <cellStyle name="20% - Accent2 3 4 6" xfId="21160" xr:uid="{00000000-0005-0000-0000-0000D5150000}"/>
    <cellStyle name="20% - Accent2 3 5" xfId="1801" xr:uid="{00000000-0005-0000-0000-0000D6150000}"/>
    <cellStyle name="20% - Accent2 3 5 2" xfId="1802" xr:uid="{00000000-0005-0000-0000-0000D7150000}"/>
    <cellStyle name="20% - Accent2 3 5 2 2" xfId="13167" xr:uid="{00000000-0005-0000-0000-0000D8150000}"/>
    <cellStyle name="20% - Accent2 3 5 2 2 2" xfId="25024" xr:uid="{00000000-0005-0000-0000-0000D9150000}"/>
    <cellStyle name="20% - Accent2 3 5 2 3" xfId="17118" xr:uid="{00000000-0005-0000-0000-0000DA150000}"/>
    <cellStyle name="20% - Accent2 3 5 2 3 2" xfId="28810" xr:uid="{00000000-0005-0000-0000-0000DB150000}"/>
    <cellStyle name="20% - Accent2 3 5 2 4" xfId="21164" xr:uid="{00000000-0005-0000-0000-0000DC150000}"/>
    <cellStyle name="20% - Accent2 3 5 3" xfId="1803" xr:uid="{00000000-0005-0000-0000-0000DD150000}"/>
    <cellStyle name="20% - Accent2 3 5 3 2" xfId="13168" xr:uid="{00000000-0005-0000-0000-0000DE150000}"/>
    <cellStyle name="20% - Accent2 3 5 3 2 2" xfId="25025" xr:uid="{00000000-0005-0000-0000-0000DF150000}"/>
    <cellStyle name="20% - Accent2 3 5 3 3" xfId="17119" xr:uid="{00000000-0005-0000-0000-0000E0150000}"/>
    <cellStyle name="20% - Accent2 3 5 3 3 2" xfId="28811" xr:uid="{00000000-0005-0000-0000-0000E1150000}"/>
    <cellStyle name="20% - Accent2 3 5 3 4" xfId="21165" xr:uid="{00000000-0005-0000-0000-0000E2150000}"/>
    <cellStyle name="20% - Accent2 3 5 4" xfId="13166" xr:uid="{00000000-0005-0000-0000-0000E3150000}"/>
    <cellStyle name="20% - Accent2 3 5 4 2" xfId="25023" xr:uid="{00000000-0005-0000-0000-0000E4150000}"/>
    <cellStyle name="20% - Accent2 3 5 5" xfId="17117" xr:uid="{00000000-0005-0000-0000-0000E5150000}"/>
    <cellStyle name="20% - Accent2 3 5 5 2" xfId="28809" xr:uid="{00000000-0005-0000-0000-0000E6150000}"/>
    <cellStyle name="20% - Accent2 3 5 6" xfId="21163" xr:uid="{00000000-0005-0000-0000-0000E7150000}"/>
    <cellStyle name="20% - Accent2 3 6" xfId="1804" xr:uid="{00000000-0005-0000-0000-0000E8150000}"/>
    <cellStyle name="20% - Accent2 3 6 2" xfId="1805" xr:uid="{00000000-0005-0000-0000-0000E9150000}"/>
    <cellStyle name="20% - Accent2 3 6 2 2" xfId="13170" xr:uid="{00000000-0005-0000-0000-0000EA150000}"/>
    <cellStyle name="20% - Accent2 3 6 2 2 2" xfId="25027" xr:uid="{00000000-0005-0000-0000-0000EB150000}"/>
    <cellStyle name="20% - Accent2 3 6 2 3" xfId="17121" xr:uid="{00000000-0005-0000-0000-0000EC150000}"/>
    <cellStyle name="20% - Accent2 3 6 2 3 2" xfId="28813" xr:uid="{00000000-0005-0000-0000-0000ED150000}"/>
    <cellStyle name="20% - Accent2 3 6 2 4" xfId="21167" xr:uid="{00000000-0005-0000-0000-0000EE150000}"/>
    <cellStyle name="20% - Accent2 3 6 3" xfId="1806" xr:uid="{00000000-0005-0000-0000-0000EF150000}"/>
    <cellStyle name="20% - Accent2 3 6 3 2" xfId="13171" xr:uid="{00000000-0005-0000-0000-0000F0150000}"/>
    <cellStyle name="20% - Accent2 3 6 3 2 2" xfId="25028" xr:uid="{00000000-0005-0000-0000-0000F1150000}"/>
    <cellStyle name="20% - Accent2 3 6 3 3" xfId="17122" xr:uid="{00000000-0005-0000-0000-0000F2150000}"/>
    <cellStyle name="20% - Accent2 3 6 3 3 2" xfId="28814" xr:uid="{00000000-0005-0000-0000-0000F3150000}"/>
    <cellStyle name="20% - Accent2 3 6 3 4" xfId="21168" xr:uid="{00000000-0005-0000-0000-0000F4150000}"/>
    <cellStyle name="20% - Accent2 3 6 4" xfId="13169" xr:uid="{00000000-0005-0000-0000-0000F5150000}"/>
    <cellStyle name="20% - Accent2 3 6 4 2" xfId="25026" xr:uid="{00000000-0005-0000-0000-0000F6150000}"/>
    <cellStyle name="20% - Accent2 3 6 5" xfId="17120" xr:uid="{00000000-0005-0000-0000-0000F7150000}"/>
    <cellStyle name="20% - Accent2 3 6 5 2" xfId="28812" xr:uid="{00000000-0005-0000-0000-0000F8150000}"/>
    <cellStyle name="20% - Accent2 3 6 6" xfId="21166" xr:uid="{00000000-0005-0000-0000-0000F9150000}"/>
    <cellStyle name="20% - Accent2 3 7" xfId="1807" xr:uid="{00000000-0005-0000-0000-0000FA150000}"/>
    <cellStyle name="20% - Accent2 3 7 2" xfId="13172" xr:uid="{00000000-0005-0000-0000-0000FB150000}"/>
    <cellStyle name="20% - Accent2 3 7 2 2" xfId="25029" xr:uid="{00000000-0005-0000-0000-0000FC150000}"/>
    <cellStyle name="20% - Accent2 3 7 3" xfId="17123" xr:uid="{00000000-0005-0000-0000-0000FD150000}"/>
    <cellStyle name="20% - Accent2 3 7 3 2" xfId="28815" xr:uid="{00000000-0005-0000-0000-0000FE150000}"/>
    <cellStyle name="20% - Accent2 3 7 4" xfId="21169" xr:uid="{00000000-0005-0000-0000-0000FF150000}"/>
    <cellStyle name="20% - Accent2 3 8" xfId="1808" xr:uid="{00000000-0005-0000-0000-000000160000}"/>
    <cellStyle name="20% - Accent2 3 8 2" xfId="13173" xr:uid="{00000000-0005-0000-0000-000001160000}"/>
    <cellStyle name="20% - Accent2 3 8 2 2" xfId="25030" xr:uid="{00000000-0005-0000-0000-000002160000}"/>
    <cellStyle name="20% - Accent2 3 8 3" xfId="17124" xr:uid="{00000000-0005-0000-0000-000003160000}"/>
    <cellStyle name="20% - Accent2 3 8 3 2" xfId="28816" xr:uid="{00000000-0005-0000-0000-000004160000}"/>
    <cellStyle name="20% - Accent2 3 8 4" xfId="21170" xr:uid="{00000000-0005-0000-0000-000005160000}"/>
    <cellStyle name="20% - Accent2 3 9" xfId="13141" xr:uid="{00000000-0005-0000-0000-000006160000}"/>
    <cellStyle name="20% - Accent2 3 9 2" xfId="24998" xr:uid="{00000000-0005-0000-0000-000007160000}"/>
    <cellStyle name="20% - Accent2 3_Volatility" xfId="1809" xr:uid="{00000000-0005-0000-0000-000008160000}"/>
    <cellStyle name="20% - Accent2 4" xfId="1810" xr:uid="{00000000-0005-0000-0000-000009160000}"/>
    <cellStyle name="20% - Accent2 4 10" xfId="17125" xr:uid="{00000000-0005-0000-0000-00000A160000}"/>
    <cellStyle name="20% - Accent2 4 10 2" xfId="28817" xr:uid="{00000000-0005-0000-0000-00000B160000}"/>
    <cellStyle name="20% - Accent2 4 11" xfId="21171" xr:uid="{00000000-0005-0000-0000-00000C160000}"/>
    <cellStyle name="20% - Accent2 4 2" xfId="1811" xr:uid="{00000000-0005-0000-0000-00000D160000}"/>
    <cellStyle name="20% - Accent2 4 2 2" xfId="1812" xr:uid="{00000000-0005-0000-0000-00000E160000}"/>
    <cellStyle name="20% - Accent2 4 2 2 2" xfId="1813" xr:uid="{00000000-0005-0000-0000-00000F160000}"/>
    <cellStyle name="20% - Accent2 4 2 2 2 2" xfId="13177" xr:uid="{00000000-0005-0000-0000-000010160000}"/>
    <cellStyle name="20% - Accent2 4 2 2 2 2 2" xfId="25034" xr:uid="{00000000-0005-0000-0000-000011160000}"/>
    <cellStyle name="20% - Accent2 4 2 2 2 3" xfId="17128" xr:uid="{00000000-0005-0000-0000-000012160000}"/>
    <cellStyle name="20% - Accent2 4 2 2 2 3 2" xfId="28820" xr:uid="{00000000-0005-0000-0000-000013160000}"/>
    <cellStyle name="20% - Accent2 4 2 2 2 4" xfId="21174" xr:uid="{00000000-0005-0000-0000-000014160000}"/>
    <cellStyle name="20% - Accent2 4 2 2 3" xfId="1814" xr:uid="{00000000-0005-0000-0000-000015160000}"/>
    <cellStyle name="20% - Accent2 4 2 2 3 2" xfId="13178" xr:uid="{00000000-0005-0000-0000-000016160000}"/>
    <cellStyle name="20% - Accent2 4 2 2 3 2 2" xfId="25035" xr:uid="{00000000-0005-0000-0000-000017160000}"/>
    <cellStyle name="20% - Accent2 4 2 2 3 3" xfId="17129" xr:uid="{00000000-0005-0000-0000-000018160000}"/>
    <cellStyle name="20% - Accent2 4 2 2 3 3 2" xfId="28821" xr:uid="{00000000-0005-0000-0000-000019160000}"/>
    <cellStyle name="20% - Accent2 4 2 2 3 4" xfId="21175" xr:uid="{00000000-0005-0000-0000-00001A160000}"/>
    <cellStyle name="20% - Accent2 4 2 2 4" xfId="13176" xr:uid="{00000000-0005-0000-0000-00001B160000}"/>
    <cellStyle name="20% - Accent2 4 2 2 4 2" xfId="25033" xr:uid="{00000000-0005-0000-0000-00001C160000}"/>
    <cellStyle name="20% - Accent2 4 2 2 5" xfId="17127" xr:uid="{00000000-0005-0000-0000-00001D160000}"/>
    <cellStyle name="20% - Accent2 4 2 2 5 2" xfId="28819" xr:uid="{00000000-0005-0000-0000-00001E160000}"/>
    <cellStyle name="20% - Accent2 4 2 2 6" xfId="21173" xr:uid="{00000000-0005-0000-0000-00001F160000}"/>
    <cellStyle name="20% - Accent2 4 2 3" xfId="1815" xr:uid="{00000000-0005-0000-0000-000020160000}"/>
    <cellStyle name="20% - Accent2 4 2 3 2" xfId="1816" xr:uid="{00000000-0005-0000-0000-000021160000}"/>
    <cellStyle name="20% - Accent2 4 2 3 2 2" xfId="13180" xr:uid="{00000000-0005-0000-0000-000022160000}"/>
    <cellStyle name="20% - Accent2 4 2 3 2 2 2" xfId="25037" xr:uid="{00000000-0005-0000-0000-000023160000}"/>
    <cellStyle name="20% - Accent2 4 2 3 2 3" xfId="17131" xr:uid="{00000000-0005-0000-0000-000024160000}"/>
    <cellStyle name="20% - Accent2 4 2 3 2 3 2" xfId="28823" xr:uid="{00000000-0005-0000-0000-000025160000}"/>
    <cellStyle name="20% - Accent2 4 2 3 2 4" xfId="21177" xr:uid="{00000000-0005-0000-0000-000026160000}"/>
    <cellStyle name="20% - Accent2 4 2 3 3" xfId="1817" xr:uid="{00000000-0005-0000-0000-000027160000}"/>
    <cellStyle name="20% - Accent2 4 2 3 3 2" xfId="13181" xr:uid="{00000000-0005-0000-0000-000028160000}"/>
    <cellStyle name="20% - Accent2 4 2 3 3 2 2" xfId="25038" xr:uid="{00000000-0005-0000-0000-000029160000}"/>
    <cellStyle name="20% - Accent2 4 2 3 3 3" xfId="17132" xr:uid="{00000000-0005-0000-0000-00002A160000}"/>
    <cellStyle name="20% - Accent2 4 2 3 3 3 2" xfId="28824" xr:uid="{00000000-0005-0000-0000-00002B160000}"/>
    <cellStyle name="20% - Accent2 4 2 3 3 4" xfId="21178" xr:uid="{00000000-0005-0000-0000-00002C160000}"/>
    <cellStyle name="20% - Accent2 4 2 3 4" xfId="13179" xr:uid="{00000000-0005-0000-0000-00002D160000}"/>
    <cellStyle name="20% - Accent2 4 2 3 4 2" xfId="25036" xr:uid="{00000000-0005-0000-0000-00002E160000}"/>
    <cellStyle name="20% - Accent2 4 2 3 5" xfId="17130" xr:uid="{00000000-0005-0000-0000-00002F160000}"/>
    <cellStyle name="20% - Accent2 4 2 3 5 2" xfId="28822" xr:uid="{00000000-0005-0000-0000-000030160000}"/>
    <cellStyle name="20% - Accent2 4 2 3 6" xfId="21176" xr:uid="{00000000-0005-0000-0000-000031160000}"/>
    <cellStyle name="20% - Accent2 4 2 4" xfId="1818" xr:uid="{00000000-0005-0000-0000-000032160000}"/>
    <cellStyle name="20% - Accent2 4 2 4 2" xfId="1819" xr:uid="{00000000-0005-0000-0000-000033160000}"/>
    <cellStyle name="20% - Accent2 4 2 4 2 2" xfId="13183" xr:uid="{00000000-0005-0000-0000-000034160000}"/>
    <cellStyle name="20% - Accent2 4 2 4 2 2 2" xfId="25040" xr:uid="{00000000-0005-0000-0000-000035160000}"/>
    <cellStyle name="20% - Accent2 4 2 4 2 3" xfId="17134" xr:uid="{00000000-0005-0000-0000-000036160000}"/>
    <cellStyle name="20% - Accent2 4 2 4 2 3 2" xfId="28826" xr:uid="{00000000-0005-0000-0000-000037160000}"/>
    <cellStyle name="20% - Accent2 4 2 4 2 4" xfId="21180" xr:uid="{00000000-0005-0000-0000-000038160000}"/>
    <cellStyle name="20% - Accent2 4 2 4 3" xfId="1820" xr:uid="{00000000-0005-0000-0000-000039160000}"/>
    <cellStyle name="20% - Accent2 4 2 4 3 2" xfId="13184" xr:uid="{00000000-0005-0000-0000-00003A160000}"/>
    <cellStyle name="20% - Accent2 4 2 4 3 2 2" xfId="25041" xr:uid="{00000000-0005-0000-0000-00003B160000}"/>
    <cellStyle name="20% - Accent2 4 2 4 3 3" xfId="17135" xr:uid="{00000000-0005-0000-0000-00003C160000}"/>
    <cellStyle name="20% - Accent2 4 2 4 3 3 2" xfId="28827" xr:uid="{00000000-0005-0000-0000-00003D160000}"/>
    <cellStyle name="20% - Accent2 4 2 4 3 4" xfId="21181" xr:uid="{00000000-0005-0000-0000-00003E160000}"/>
    <cellStyle name="20% - Accent2 4 2 4 4" xfId="13182" xr:uid="{00000000-0005-0000-0000-00003F160000}"/>
    <cellStyle name="20% - Accent2 4 2 4 4 2" xfId="25039" xr:uid="{00000000-0005-0000-0000-000040160000}"/>
    <cellStyle name="20% - Accent2 4 2 4 5" xfId="17133" xr:uid="{00000000-0005-0000-0000-000041160000}"/>
    <cellStyle name="20% - Accent2 4 2 4 5 2" xfId="28825" xr:uid="{00000000-0005-0000-0000-000042160000}"/>
    <cellStyle name="20% - Accent2 4 2 4 6" xfId="21179" xr:uid="{00000000-0005-0000-0000-000043160000}"/>
    <cellStyle name="20% - Accent2 4 2 5" xfId="1821" xr:uid="{00000000-0005-0000-0000-000044160000}"/>
    <cellStyle name="20% - Accent2 4 2 5 2" xfId="13185" xr:uid="{00000000-0005-0000-0000-000045160000}"/>
    <cellStyle name="20% - Accent2 4 2 5 2 2" xfId="25042" xr:uid="{00000000-0005-0000-0000-000046160000}"/>
    <cellStyle name="20% - Accent2 4 2 5 3" xfId="17136" xr:uid="{00000000-0005-0000-0000-000047160000}"/>
    <cellStyle name="20% - Accent2 4 2 5 3 2" xfId="28828" xr:uid="{00000000-0005-0000-0000-000048160000}"/>
    <cellStyle name="20% - Accent2 4 2 5 4" xfId="21182" xr:uid="{00000000-0005-0000-0000-000049160000}"/>
    <cellStyle name="20% - Accent2 4 2 6" xfId="1822" xr:uid="{00000000-0005-0000-0000-00004A160000}"/>
    <cellStyle name="20% - Accent2 4 2 6 2" xfId="13186" xr:uid="{00000000-0005-0000-0000-00004B160000}"/>
    <cellStyle name="20% - Accent2 4 2 6 2 2" xfId="25043" xr:uid="{00000000-0005-0000-0000-00004C160000}"/>
    <cellStyle name="20% - Accent2 4 2 6 3" xfId="17137" xr:uid="{00000000-0005-0000-0000-00004D160000}"/>
    <cellStyle name="20% - Accent2 4 2 6 3 2" xfId="28829" xr:uid="{00000000-0005-0000-0000-00004E160000}"/>
    <cellStyle name="20% - Accent2 4 2 6 4" xfId="21183" xr:uid="{00000000-0005-0000-0000-00004F160000}"/>
    <cellStyle name="20% - Accent2 4 2 7" xfId="13175" xr:uid="{00000000-0005-0000-0000-000050160000}"/>
    <cellStyle name="20% - Accent2 4 2 7 2" xfId="25032" xr:uid="{00000000-0005-0000-0000-000051160000}"/>
    <cellStyle name="20% - Accent2 4 2 8" xfId="17126" xr:uid="{00000000-0005-0000-0000-000052160000}"/>
    <cellStyle name="20% - Accent2 4 2 8 2" xfId="28818" xr:uid="{00000000-0005-0000-0000-000053160000}"/>
    <cellStyle name="20% - Accent2 4 2 9" xfId="21172" xr:uid="{00000000-0005-0000-0000-000054160000}"/>
    <cellStyle name="20% - Accent2 4 2_Volatility" xfId="1823" xr:uid="{00000000-0005-0000-0000-000055160000}"/>
    <cellStyle name="20% - Accent2 4 3" xfId="1824" xr:uid="{00000000-0005-0000-0000-000056160000}"/>
    <cellStyle name="20% - Accent2 4 3 2" xfId="1825" xr:uid="{00000000-0005-0000-0000-000057160000}"/>
    <cellStyle name="20% - Accent2 4 3 2 2" xfId="1826" xr:uid="{00000000-0005-0000-0000-000058160000}"/>
    <cellStyle name="20% - Accent2 4 3 2 2 2" xfId="13189" xr:uid="{00000000-0005-0000-0000-000059160000}"/>
    <cellStyle name="20% - Accent2 4 3 2 2 2 2" xfId="25046" xr:uid="{00000000-0005-0000-0000-00005A160000}"/>
    <cellStyle name="20% - Accent2 4 3 2 2 3" xfId="17140" xr:uid="{00000000-0005-0000-0000-00005B160000}"/>
    <cellStyle name="20% - Accent2 4 3 2 2 3 2" xfId="28832" xr:uid="{00000000-0005-0000-0000-00005C160000}"/>
    <cellStyle name="20% - Accent2 4 3 2 2 4" xfId="21186" xr:uid="{00000000-0005-0000-0000-00005D160000}"/>
    <cellStyle name="20% - Accent2 4 3 2 3" xfId="1827" xr:uid="{00000000-0005-0000-0000-00005E160000}"/>
    <cellStyle name="20% - Accent2 4 3 2 3 2" xfId="13190" xr:uid="{00000000-0005-0000-0000-00005F160000}"/>
    <cellStyle name="20% - Accent2 4 3 2 3 2 2" xfId="25047" xr:uid="{00000000-0005-0000-0000-000060160000}"/>
    <cellStyle name="20% - Accent2 4 3 2 3 3" xfId="17141" xr:uid="{00000000-0005-0000-0000-000061160000}"/>
    <cellStyle name="20% - Accent2 4 3 2 3 3 2" xfId="28833" xr:uid="{00000000-0005-0000-0000-000062160000}"/>
    <cellStyle name="20% - Accent2 4 3 2 3 4" xfId="21187" xr:uid="{00000000-0005-0000-0000-000063160000}"/>
    <cellStyle name="20% - Accent2 4 3 2 4" xfId="13188" xr:uid="{00000000-0005-0000-0000-000064160000}"/>
    <cellStyle name="20% - Accent2 4 3 2 4 2" xfId="25045" xr:uid="{00000000-0005-0000-0000-000065160000}"/>
    <cellStyle name="20% - Accent2 4 3 2 5" xfId="17139" xr:uid="{00000000-0005-0000-0000-000066160000}"/>
    <cellStyle name="20% - Accent2 4 3 2 5 2" xfId="28831" xr:uid="{00000000-0005-0000-0000-000067160000}"/>
    <cellStyle name="20% - Accent2 4 3 2 6" xfId="21185" xr:uid="{00000000-0005-0000-0000-000068160000}"/>
    <cellStyle name="20% - Accent2 4 3 3" xfId="1828" xr:uid="{00000000-0005-0000-0000-000069160000}"/>
    <cellStyle name="20% - Accent2 4 3 3 2" xfId="1829" xr:uid="{00000000-0005-0000-0000-00006A160000}"/>
    <cellStyle name="20% - Accent2 4 3 3 2 2" xfId="13192" xr:uid="{00000000-0005-0000-0000-00006B160000}"/>
    <cellStyle name="20% - Accent2 4 3 3 2 2 2" xfId="25049" xr:uid="{00000000-0005-0000-0000-00006C160000}"/>
    <cellStyle name="20% - Accent2 4 3 3 2 3" xfId="17143" xr:uid="{00000000-0005-0000-0000-00006D160000}"/>
    <cellStyle name="20% - Accent2 4 3 3 2 3 2" xfId="28835" xr:uid="{00000000-0005-0000-0000-00006E160000}"/>
    <cellStyle name="20% - Accent2 4 3 3 2 4" xfId="21189" xr:uid="{00000000-0005-0000-0000-00006F160000}"/>
    <cellStyle name="20% - Accent2 4 3 3 3" xfId="1830" xr:uid="{00000000-0005-0000-0000-000070160000}"/>
    <cellStyle name="20% - Accent2 4 3 3 3 2" xfId="13193" xr:uid="{00000000-0005-0000-0000-000071160000}"/>
    <cellStyle name="20% - Accent2 4 3 3 3 2 2" xfId="25050" xr:uid="{00000000-0005-0000-0000-000072160000}"/>
    <cellStyle name="20% - Accent2 4 3 3 3 3" xfId="17144" xr:uid="{00000000-0005-0000-0000-000073160000}"/>
    <cellStyle name="20% - Accent2 4 3 3 3 3 2" xfId="28836" xr:uid="{00000000-0005-0000-0000-000074160000}"/>
    <cellStyle name="20% - Accent2 4 3 3 3 4" xfId="21190" xr:uid="{00000000-0005-0000-0000-000075160000}"/>
    <cellStyle name="20% - Accent2 4 3 3 4" xfId="13191" xr:uid="{00000000-0005-0000-0000-000076160000}"/>
    <cellStyle name="20% - Accent2 4 3 3 4 2" xfId="25048" xr:uid="{00000000-0005-0000-0000-000077160000}"/>
    <cellStyle name="20% - Accent2 4 3 3 5" xfId="17142" xr:uid="{00000000-0005-0000-0000-000078160000}"/>
    <cellStyle name="20% - Accent2 4 3 3 5 2" xfId="28834" xr:uid="{00000000-0005-0000-0000-000079160000}"/>
    <cellStyle name="20% - Accent2 4 3 3 6" xfId="21188" xr:uid="{00000000-0005-0000-0000-00007A160000}"/>
    <cellStyle name="20% - Accent2 4 3 4" xfId="1831" xr:uid="{00000000-0005-0000-0000-00007B160000}"/>
    <cellStyle name="20% - Accent2 4 3 4 2" xfId="13194" xr:uid="{00000000-0005-0000-0000-00007C160000}"/>
    <cellStyle name="20% - Accent2 4 3 4 2 2" xfId="25051" xr:uid="{00000000-0005-0000-0000-00007D160000}"/>
    <cellStyle name="20% - Accent2 4 3 4 3" xfId="17145" xr:uid="{00000000-0005-0000-0000-00007E160000}"/>
    <cellStyle name="20% - Accent2 4 3 4 3 2" xfId="28837" xr:uid="{00000000-0005-0000-0000-00007F160000}"/>
    <cellStyle name="20% - Accent2 4 3 4 4" xfId="21191" xr:uid="{00000000-0005-0000-0000-000080160000}"/>
    <cellStyle name="20% - Accent2 4 3 5" xfId="1832" xr:uid="{00000000-0005-0000-0000-000081160000}"/>
    <cellStyle name="20% - Accent2 4 3 5 2" xfId="13195" xr:uid="{00000000-0005-0000-0000-000082160000}"/>
    <cellStyle name="20% - Accent2 4 3 5 2 2" xfId="25052" xr:uid="{00000000-0005-0000-0000-000083160000}"/>
    <cellStyle name="20% - Accent2 4 3 5 3" xfId="17146" xr:uid="{00000000-0005-0000-0000-000084160000}"/>
    <cellStyle name="20% - Accent2 4 3 5 3 2" xfId="28838" xr:uid="{00000000-0005-0000-0000-000085160000}"/>
    <cellStyle name="20% - Accent2 4 3 5 4" xfId="21192" xr:uid="{00000000-0005-0000-0000-000086160000}"/>
    <cellStyle name="20% - Accent2 4 3 6" xfId="13187" xr:uid="{00000000-0005-0000-0000-000087160000}"/>
    <cellStyle name="20% - Accent2 4 3 6 2" xfId="25044" xr:uid="{00000000-0005-0000-0000-000088160000}"/>
    <cellStyle name="20% - Accent2 4 3 7" xfId="17138" xr:uid="{00000000-0005-0000-0000-000089160000}"/>
    <cellStyle name="20% - Accent2 4 3 7 2" xfId="28830" xr:uid="{00000000-0005-0000-0000-00008A160000}"/>
    <cellStyle name="20% - Accent2 4 3 8" xfId="21184" xr:uid="{00000000-0005-0000-0000-00008B160000}"/>
    <cellStyle name="20% - Accent2 4 3_Volatility" xfId="1833" xr:uid="{00000000-0005-0000-0000-00008C160000}"/>
    <cellStyle name="20% - Accent2 4 4" xfId="1834" xr:uid="{00000000-0005-0000-0000-00008D160000}"/>
    <cellStyle name="20% - Accent2 4 4 2" xfId="1835" xr:uid="{00000000-0005-0000-0000-00008E160000}"/>
    <cellStyle name="20% - Accent2 4 4 2 2" xfId="13197" xr:uid="{00000000-0005-0000-0000-00008F160000}"/>
    <cellStyle name="20% - Accent2 4 4 2 2 2" xfId="25054" xr:uid="{00000000-0005-0000-0000-000090160000}"/>
    <cellStyle name="20% - Accent2 4 4 2 3" xfId="17148" xr:uid="{00000000-0005-0000-0000-000091160000}"/>
    <cellStyle name="20% - Accent2 4 4 2 3 2" xfId="28840" xr:uid="{00000000-0005-0000-0000-000092160000}"/>
    <cellStyle name="20% - Accent2 4 4 2 4" xfId="21194" xr:uid="{00000000-0005-0000-0000-000093160000}"/>
    <cellStyle name="20% - Accent2 4 4 3" xfId="1836" xr:uid="{00000000-0005-0000-0000-000094160000}"/>
    <cellStyle name="20% - Accent2 4 4 3 2" xfId="13198" xr:uid="{00000000-0005-0000-0000-000095160000}"/>
    <cellStyle name="20% - Accent2 4 4 3 2 2" xfId="25055" xr:uid="{00000000-0005-0000-0000-000096160000}"/>
    <cellStyle name="20% - Accent2 4 4 3 3" xfId="17149" xr:uid="{00000000-0005-0000-0000-000097160000}"/>
    <cellStyle name="20% - Accent2 4 4 3 3 2" xfId="28841" xr:uid="{00000000-0005-0000-0000-000098160000}"/>
    <cellStyle name="20% - Accent2 4 4 3 4" xfId="21195" xr:uid="{00000000-0005-0000-0000-000099160000}"/>
    <cellStyle name="20% - Accent2 4 4 4" xfId="13196" xr:uid="{00000000-0005-0000-0000-00009A160000}"/>
    <cellStyle name="20% - Accent2 4 4 4 2" xfId="25053" xr:uid="{00000000-0005-0000-0000-00009B160000}"/>
    <cellStyle name="20% - Accent2 4 4 5" xfId="17147" xr:uid="{00000000-0005-0000-0000-00009C160000}"/>
    <cellStyle name="20% - Accent2 4 4 5 2" xfId="28839" xr:uid="{00000000-0005-0000-0000-00009D160000}"/>
    <cellStyle name="20% - Accent2 4 4 6" xfId="21193" xr:uid="{00000000-0005-0000-0000-00009E160000}"/>
    <cellStyle name="20% - Accent2 4 5" xfId="1837" xr:uid="{00000000-0005-0000-0000-00009F160000}"/>
    <cellStyle name="20% - Accent2 4 5 2" xfId="1838" xr:uid="{00000000-0005-0000-0000-0000A0160000}"/>
    <cellStyle name="20% - Accent2 4 5 2 2" xfId="13200" xr:uid="{00000000-0005-0000-0000-0000A1160000}"/>
    <cellStyle name="20% - Accent2 4 5 2 2 2" xfId="25057" xr:uid="{00000000-0005-0000-0000-0000A2160000}"/>
    <cellStyle name="20% - Accent2 4 5 2 3" xfId="17151" xr:uid="{00000000-0005-0000-0000-0000A3160000}"/>
    <cellStyle name="20% - Accent2 4 5 2 3 2" xfId="28843" xr:uid="{00000000-0005-0000-0000-0000A4160000}"/>
    <cellStyle name="20% - Accent2 4 5 2 4" xfId="21197" xr:uid="{00000000-0005-0000-0000-0000A5160000}"/>
    <cellStyle name="20% - Accent2 4 5 3" xfId="1839" xr:uid="{00000000-0005-0000-0000-0000A6160000}"/>
    <cellStyle name="20% - Accent2 4 5 3 2" xfId="13201" xr:uid="{00000000-0005-0000-0000-0000A7160000}"/>
    <cellStyle name="20% - Accent2 4 5 3 2 2" xfId="25058" xr:uid="{00000000-0005-0000-0000-0000A8160000}"/>
    <cellStyle name="20% - Accent2 4 5 3 3" xfId="17152" xr:uid="{00000000-0005-0000-0000-0000A9160000}"/>
    <cellStyle name="20% - Accent2 4 5 3 3 2" xfId="28844" xr:uid="{00000000-0005-0000-0000-0000AA160000}"/>
    <cellStyle name="20% - Accent2 4 5 3 4" xfId="21198" xr:uid="{00000000-0005-0000-0000-0000AB160000}"/>
    <cellStyle name="20% - Accent2 4 5 4" xfId="13199" xr:uid="{00000000-0005-0000-0000-0000AC160000}"/>
    <cellStyle name="20% - Accent2 4 5 4 2" xfId="25056" xr:uid="{00000000-0005-0000-0000-0000AD160000}"/>
    <cellStyle name="20% - Accent2 4 5 5" xfId="17150" xr:uid="{00000000-0005-0000-0000-0000AE160000}"/>
    <cellStyle name="20% - Accent2 4 5 5 2" xfId="28842" xr:uid="{00000000-0005-0000-0000-0000AF160000}"/>
    <cellStyle name="20% - Accent2 4 5 6" xfId="21196" xr:uid="{00000000-0005-0000-0000-0000B0160000}"/>
    <cellStyle name="20% - Accent2 4 6" xfId="1840" xr:uid="{00000000-0005-0000-0000-0000B1160000}"/>
    <cellStyle name="20% - Accent2 4 6 2" xfId="1841" xr:uid="{00000000-0005-0000-0000-0000B2160000}"/>
    <cellStyle name="20% - Accent2 4 6 2 2" xfId="13203" xr:uid="{00000000-0005-0000-0000-0000B3160000}"/>
    <cellStyle name="20% - Accent2 4 6 2 2 2" xfId="25060" xr:uid="{00000000-0005-0000-0000-0000B4160000}"/>
    <cellStyle name="20% - Accent2 4 6 2 3" xfId="17154" xr:uid="{00000000-0005-0000-0000-0000B5160000}"/>
    <cellStyle name="20% - Accent2 4 6 2 3 2" xfId="28846" xr:uid="{00000000-0005-0000-0000-0000B6160000}"/>
    <cellStyle name="20% - Accent2 4 6 2 4" xfId="21200" xr:uid="{00000000-0005-0000-0000-0000B7160000}"/>
    <cellStyle name="20% - Accent2 4 6 3" xfId="1842" xr:uid="{00000000-0005-0000-0000-0000B8160000}"/>
    <cellStyle name="20% - Accent2 4 6 3 2" xfId="13204" xr:uid="{00000000-0005-0000-0000-0000B9160000}"/>
    <cellStyle name="20% - Accent2 4 6 3 2 2" xfId="25061" xr:uid="{00000000-0005-0000-0000-0000BA160000}"/>
    <cellStyle name="20% - Accent2 4 6 3 3" xfId="17155" xr:uid="{00000000-0005-0000-0000-0000BB160000}"/>
    <cellStyle name="20% - Accent2 4 6 3 3 2" xfId="28847" xr:uid="{00000000-0005-0000-0000-0000BC160000}"/>
    <cellStyle name="20% - Accent2 4 6 3 4" xfId="21201" xr:uid="{00000000-0005-0000-0000-0000BD160000}"/>
    <cellStyle name="20% - Accent2 4 6 4" xfId="13202" xr:uid="{00000000-0005-0000-0000-0000BE160000}"/>
    <cellStyle name="20% - Accent2 4 6 4 2" xfId="25059" xr:uid="{00000000-0005-0000-0000-0000BF160000}"/>
    <cellStyle name="20% - Accent2 4 6 5" xfId="17153" xr:uid="{00000000-0005-0000-0000-0000C0160000}"/>
    <cellStyle name="20% - Accent2 4 6 5 2" xfId="28845" xr:uid="{00000000-0005-0000-0000-0000C1160000}"/>
    <cellStyle name="20% - Accent2 4 6 6" xfId="21199" xr:uid="{00000000-0005-0000-0000-0000C2160000}"/>
    <cellStyle name="20% - Accent2 4 7" xfId="1843" xr:uid="{00000000-0005-0000-0000-0000C3160000}"/>
    <cellStyle name="20% - Accent2 4 7 2" xfId="13205" xr:uid="{00000000-0005-0000-0000-0000C4160000}"/>
    <cellStyle name="20% - Accent2 4 7 2 2" xfId="25062" xr:uid="{00000000-0005-0000-0000-0000C5160000}"/>
    <cellStyle name="20% - Accent2 4 7 3" xfId="17156" xr:uid="{00000000-0005-0000-0000-0000C6160000}"/>
    <cellStyle name="20% - Accent2 4 7 3 2" xfId="28848" xr:uid="{00000000-0005-0000-0000-0000C7160000}"/>
    <cellStyle name="20% - Accent2 4 7 4" xfId="21202" xr:uid="{00000000-0005-0000-0000-0000C8160000}"/>
    <cellStyle name="20% - Accent2 4 8" xfId="1844" xr:uid="{00000000-0005-0000-0000-0000C9160000}"/>
    <cellStyle name="20% - Accent2 4 8 2" xfId="13206" xr:uid="{00000000-0005-0000-0000-0000CA160000}"/>
    <cellStyle name="20% - Accent2 4 8 2 2" xfId="25063" xr:uid="{00000000-0005-0000-0000-0000CB160000}"/>
    <cellStyle name="20% - Accent2 4 8 3" xfId="17157" xr:uid="{00000000-0005-0000-0000-0000CC160000}"/>
    <cellStyle name="20% - Accent2 4 8 3 2" xfId="28849" xr:uid="{00000000-0005-0000-0000-0000CD160000}"/>
    <cellStyle name="20% - Accent2 4 8 4" xfId="21203" xr:uid="{00000000-0005-0000-0000-0000CE160000}"/>
    <cellStyle name="20% - Accent2 4 9" xfId="13174" xr:uid="{00000000-0005-0000-0000-0000CF160000}"/>
    <cellStyle name="20% - Accent2 4 9 2" xfId="25031" xr:uid="{00000000-0005-0000-0000-0000D0160000}"/>
    <cellStyle name="20% - Accent2 4_Volatility" xfId="1845" xr:uid="{00000000-0005-0000-0000-0000D1160000}"/>
    <cellStyle name="20% - Accent2 5" xfId="1846" xr:uid="{00000000-0005-0000-0000-0000D2160000}"/>
    <cellStyle name="20% - Accent2 5 10" xfId="17158" xr:uid="{00000000-0005-0000-0000-0000D3160000}"/>
    <cellStyle name="20% - Accent2 5 10 2" xfId="28850" xr:uid="{00000000-0005-0000-0000-0000D4160000}"/>
    <cellStyle name="20% - Accent2 5 11" xfId="21204" xr:uid="{00000000-0005-0000-0000-0000D5160000}"/>
    <cellStyle name="20% - Accent2 5 2" xfId="1847" xr:uid="{00000000-0005-0000-0000-0000D6160000}"/>
    <cellStyle name="20% - Accent2 5 2 2" xfId="1848" xr:uid="{00000000-0005-0000-0000-0000D7160000}"/>
    <cellStyle name="20% - Accent2 5 2 2 2" xfId="1849" xr:uid="{00000000-0005-0000-0000-0000D8160000}"/>
    <cellStyle name="20% - Accent2 5 2 2 2 2" xfId="13210" xr:uid="{00000000-0005-0000-0000-0000D9160000}"/>
    <cellStyle name="20% - Accent2 5 2 2 2 2 2" xfId="25067" xr:uid="{00000000-0005-0000-0000-0000DA160000}"/>
    <cellStyle name="20% - Accent2 5 2 2 2 3" xfId="17161" xr:uid="{00000000-0005-0000-0000-0000DB160000}"/>
    <cellStyle name="20% - Accent2 5 2 2 2 3 2" xfId="28853" xr:uid="{00000000-0005-0000-0000-0000DC160000}"/>
    <cellStyle name="20% - Accent2 5 2 2 2 4" xfId="21207" xr:uid="{00000000-0005-0000-0000-0000DD160000}"/>
    <cellStyle name="20% - Accent2 5 2 2 3" xfId="1850" xr:uid="{00000000-0005-0000-0000-0000DE160000}"/>
    <cellStyle name="20% - Accent2 5 2 2 3 2" xfId="13211" xr:uid="{00000000-0005-0000-0000-0000DF160000}"/>
    <cellStyle name="20% - Accent2 5 2 2 3 2 2" xfId="25068" xr:uid="{00000000-0005-0000-0000-0000E0160000}"/>
    <cellStyle name="20% - Accent2 5 2 2 3 3" xfId="17162" xr:uid="{00000000-0005-0000-0000-0000E1160000}"/>
    <cellStyle name="20% - Accent2 5 2 2 3 3 2" xfId="28854" xr:uid="{00000000-0005-0000-0000-0000E2160000}"/>
    <cellStyle name="20% - Accent2 5 2 2 3 4" xfId="21208" xr:uid="{00000000-0005-0000-0000-0000E3160000}"/>
    <cellStyle name="20% - Accent2 5 2 2 4" xfId="13209" xr:uid="{00000000-0005-0000-0000-0000E4160000}"/>
    <cellStyle name="20% - Accent2 5 2 2 4 2" xfId="25066" xr:uid="{00000000-0005-0000-0000-0000E5160000}"/>
    <cellStyle name="20% - Accent2 5 2 2 5" xfId="17160" xr:uid="{00000000-0005-0000-0000-0000E6160000}"/>
    <cellStyle name="20% - Accent2 5 2 2 5 2" xfId="28852" xr:uid="{00000000-0005-0000-0000-0000E7160000}"/>
    <cellStyle name="20% - Accent2 5 2 2 6" xfId="21206" xr:uid="{00000000-0005-0000-0000-0000E8160000}"/>
    <cellStyle name="20% - Accent2 5 2 3" xfId="1851" xr:uid="{00000000-0005-0000-0000-0000E9160000}"/>
    <cellStyle name="20% - Accent2 5 2 3 2" xfId="1852" xr:uid="{00000000-0005-0000-0000-0000EA160000}"/>
    <cellStyle name="20% - Accent2 5 2 3 2 2" xfId="13213" xr:uid="{00000000-0005-0000-0000-0000EB160000}"/>
    <cellStyle name="20% - Accent2 5 2 3 2 2 2" xfId="25070" xr:uid="{00000000-0005-0000-0000-0000EC160000}"/>
    <cellStyle name="20% - Accent2 5 2 3 2 3" xfId="17164" xr:uid="{00000000-0005-0000-0000-0000ED160000}"/>
    <cellStyle name="20% - Accent2 5 2 3 2 3 2" xfId="28856" xr:uid="{00000000-0005-0000-0000-0000EE160000}"/>
    <cellStyle name="20% - Accent2 5 2 3 2 4" xfId="21210" xr:uid="{00000000-0005-0000-0000-0000EF160000}"/>
    <cellStyle name="20% - Accent2 5 2 3 3" xfId="1853" xr:uid="{00000000-0005-0000-0000-0000F0160000}"/>
    <cellStyle name="20% - Accent2 5 2 3 3 2" xfId="13214" xr:uid="{00000000-0005-0000-0000-0000F1160000}"/>
    <cellStyle name="20% - Accent2 5 2 3 3 2 2" xfId="25071" xr:uid="{00000000-0005-0000-0000-0000F2160000}"/>
    <cellStyle name="20% - Accent2 5 2 3 3 3" xfId="17165" xr:uid="{00000000-0005-0000-0000-0000F3160000}"/>
    <cellStyle name="20% - Accent2 5 2 3 3 3 2" xfId="28857" xr:uid="{00000000-0005-0000-0000-0000F4160000}"/>
    <cellStyle name="20% - Accent2 5 2 3 3 4" xfId="21211" xr:uid="{00000000-0005-0000-0000-0000F5160000}"/>
    <cellStyle name="20% - Accent2 5 2 3 4" xfId="13212" xr:uid="{00000000-0005-0000-0000-0000F6160000}"/>
    <cellStyle name="20% - Accent2 5 2 3 4 2" xfId="25069" xr:uid="{00000000-0005-0000-0000-0000F7160000}"/>
    <cellStyle name="20% - Accent2 5 2 3 5" xfId="17163" xr:uid="{00000000-0005-0000-0000-0000F8160000}"/>
    <cellStyle name="20% - Accent2 5 2 3 5 2" xfId="28855" xr:uid="{00000000-0005-0000-0000-0000F9160000}"/>
    <cellStyle name="20% - Accent2 5 2 3 6" xfId="21209" xr:uid="{00000000-0005-0000-0000-0000FA160000}"/>
    <cellStyle name="20% - Accent2 5 2 4" xfId="1854" xr:uid="{00000000-0005-0000-0000-0000FB160000}"/>
    <cellStyle name="20% - Accent2 5 2 4 2" xfId="1855" xr:uid="{00000000-0005-0000-0000-0000FC160000}"/>
    <cellStyle name="20% - Accent2 5 2 4 2 2" xfId="13216" xr:uid="{00000000-0005-0000-0000-0000FD160000}"/>
    <cellStyle name="20% - Accent2 5 2 4 2 2 2" xfId="25073" xr:uid="{00000000-0005-0000-0000-0000FE160000}"/>
    <cellStyle name="20% - Accent2 5 2 4 2 3" xfId="17167" xr:uid="{00000000-0005-0000-0000-0000FF160000}"/>
    <cellStyle name="20% - Accent2 5 2 4 2 3 2" xfId="28859" xr:uid="{00000000-0005-0000-0000-000000170000}"/>
    <cellStyle name="20% - Accent2 5 2 4 2 4" xfId="21213" xr:uid="{00000000-0005-0000-0000-000001170000}"/>
    <cellStyle name="20% - Accent2 5 2 4 3" xfId="1856" xr:uid="{00000000-0005-0000-0000-000002170000}"/>
    <cellStyle name="20% - Accent2 5 2 4 3 2" xfId="13217" xr:uid="{00000000-0005-0000-0000-000003170000}"/>
    <cellStyle name="20% - Accent2 5 2 4 3 2 2" xfId="25074" xr:uid="{00000000-0005-0000-0000-000004170000}"/>
    <cellStyle name="20% - Accent2 5 2 4 3 3" xfId="17168" xr:uid="{00000000-0005-0000-0000-000005170000}"/>
    <cellStyle name="20% - Accent2 5 2 4 3 3 2" xfId="28860" xr:uid="{00000000-0005-0000-0000-000006170000}"/>
    <cellStyle name="20% - Accent2 5 2 4 3 4" xfId="21214" xr:uid="{00000000-0005-0000-0000-000007170000}"/>
    <cellStyle name="20% - Accent2 5 2 4 4" xfId="13215" xr:uid="{00000000-0005-0000-0000-000008170000}"/>
    <cellStyle name="20% - Accent2 5 2 4 4 2" xfId="25072" xr:uid="{00000000-0005-0000-0000-000009170000}"/>
    <cellStyle name="20% - Accent2 5 2 4 5" xfId="17166" xr:uid="{00000000-0005-0000-0000-00000A170000}"/>
    <cellStyle name="20% - Accent2 5 2 4 5 2" xfId="28858" xr:uid="{00000000-0005-0000-0000-00000B170000}"/>
    <cellStyle name="20% - Accent2 5 2 4 6" xfId="21212" xr:uid="{00000000-0005-0000-0000-00000C170000}"/>
    <cellStyle name="20% - Accent2 5 2 5" xfId="1857" xr:uid="{00000000-0005-0000-0000-00000D170000}"/>
    <cellStyle name="20% - Accent2 5 2 5 2" xfId="13218" xr:uid="{00000000-0005-0000-0000-00000E170000}"/>
    <cellStyle name="20% - Accent2 5 2 5 2 2" xfId="25075" xr:uid="{00000000-0005-0000-0000-00000F170000}"/>
    <cellStyle name="20% - Accent2 5 2 5 3" xfId="17169" xr:uid="{00000000-0005-0000-0000-000010170000}"/>
    <cellStyle name="20% - Accent2 5 2 5 3 2" xfId="28861" xr:uid="{00000000-0005-0000-0000-000011170000}"/>
    <cellStyle name="20% - Accent2 5 2 5 4" xfId="21215" xr:uid="{00000000-0005-0000-0000-000012170000}"/>
    <cellStyle name="20% - Accent2 5 2 6" xfId="1858" xr:uid="{00000000-0005-0000-0000-000013170000}"/>
    <cellStyle name="20% - Accent2 5 2 6 2" xfId="13219" xr:uid="{00000000-0005-0000-0000-000014170000}"/>
    <cellStyle name="20% - Accent2 5 2 6 2 2" xfId="25076" xr:uid="{00000000-0005-0000-0000-000015170000}"/>
    <cellStyle name="20% - Accent2 5 2 6 3" xfId="17170" xr:uid="{00000000-0005-0000-0000-000016170000}"/>
    <cellStyle name="20% - Accent2 5 2 6 3 2" xfId="28862" xr:uid="{00000000-0005-0000-0000-000017170000}"/>
    <cellStyle name="20% - Accent2 5 2 6 4" xfId="21216" xr:uid="{00000000-0005-0000-0000-000018170000}"/>
    <cellStyle name="20% - Accent2 5 2 7" xfId="13208" xr:uid="{00000000-0005-0000-0000-000019170000}"/>
    <cellStyle name="20% - Accent2 5 2 7 2" xfId="25065" xr:uid="{00000000-0005-0000-0000-00001A170000}"/>
    <cellStyle name="20% - Accent2 5 2 8" xfId="17159" xr:uid="{00000000-0005-0000-0000-00001B170000}"/>
    <cellStyle name="20% - Accent2 5 2 8 2" xfId="28851" xr:uid="{00000000-0005-0000-0000-00001C170000}"/>
    <cellStyle name="20% - Accent2 5 2 9" xfId="21205" xr:uid="{00000000-0005-0000-0000-00001D170000}"/>
    <cellStyle name="20% - Accent2 5 2_Volatility" xfId="1859" xr:uid="{00000000-0005-0000-0000-00001E170000}"/>
    <cellStyle name="20% - Accent2 5 3" xfId="1860" xr:uid="{00000000-0005-0000-0000-00001F170000}"/>
    <cellStyle name="20% - Accent2 5 3 2" xfId="1861" xr:uid="{00000000-0005-0000-0000-000020170000}"/>
    <cellStyle name="20% - Accent2 5 3 2 2" xfId="1862" xr:uid="{00000000-0005-0000-0000-000021170000}"/>
    <cellStyle name="20% - Accent2 5 3 2 2 2" xfId="13222" xr:uid="{00000000-0005-0000-0000-000022170000}"/>
    <cellStyle name="20% - Accent2 5 3 2 2 2 2" xfId="25079" xr:uid="{00000000-0005-0000-0000-000023170000}"/>
    <cellStyle name="20% - Accent2 5 3 2 2 3" xfId="17173" xr:uid="{00000000-0005-0000-0000-000024170000}"/>
    <cellStyle name="20% - Accent2 5 3 2 2 3 2" xfId="28865" xr:uid="{00000000-0005-0000-0000-000025170000}"/>
    <cellStyle name="20% - Accent2 5 3 2 2 4" xfId="21219" xr:uid="{00000000-0005-0000-0000-000026170000}"/>
    <cellStyle name="20% - Accent2 5 3 2 3" xfId="1863" xr:uid="{00000000-0005-0000-0000-000027170000}"/>
    <cellStyle name="20% - Accent2 5 3 2 3 2" xfId="13223" xr:uid="{00000000-0005-0000-0000-000028170000}"/>
    <cellStyle name="20% - Accent2 5 3 2 3 2 2" xfId="25080" xr:uid="{00000000-0005-0000-0000-000029170000}"/>
    <cellStyle name="20% - Accent2 5 3 2 3 3" xfId="17174" xr:uid="{00000000-0005-0000-0000-00002A170000}"/>
    <cellStyle name="20% - Accent2 5 3 2 3 3 2" xfId="28866" xr:uid="{00000000-0005-0000-0000-00002B170000}"/>
    <cellStyle name="20% - Accent2 5 3 2 3 4" xfId="21220" xr:uid="{00000000-0005-0000-0000-00002C170000}"/>
    <cellStyle name="20% - Accent2 5 3 2 4" xfId="13221" xr:uid="{00000000-0005-0000-0000-00002D170000}"/>
    <cellStyle name="20% - Accent2 5 3 2 4 2" xfId="25078" xr:uid="{00000000-0005-0000-0000-00002E170000}"/>
    <cellStyle name="20% - Accent2 5 3 2 5" xfId="17172" xr:uid="{00000000-0005-0000-0000-00002F170000}"/>
    <cellStyle name="20% - Accent2 5 3 2 5 2" xfId="28864" xr:uid="{00000000-0005-0000-0000-000030170000}"/>
    <cellStyle name="20% - Accent2 5 3 2 6" xfId="21218" xr:uid="{00000000-0005-0000-0000-000031170000}"/>
    <cellStyle name="20% - Accent2 5 3 3" xfId="1864" xr:uid="{00000000-0005-0000-0000-000032170000}"/>
    <cellStyle name="20% - Accent2 5 3 3 2" xfId="1865" xr:uid="{00000000-0005-0000-0000-000033170000}"/>
    <cellStyle name="20% - Accent2 5 3 3 2 2" xfId="13225" xr:uid="{00000000-0005-0000-0000-000034170000}"/>
    <cellStyle name="20% - Accent2 5 3 3 2 2 2" xfId="25082" xr:uid="{00000000-0005-0000-0000-000035170000}"/>
    <cellStyle name="20% - Accent2 5 3 3 2 3" xfId="17176" xr:uid="{00000000-0005-0000-0000-000036170000}"/>
    <cellStyle name="20% - Accent2 5 3 3 2 3 2" xfId="28868" xr:uid="{00000000-0005-0000-0000-000037170000}"/>
    <cellStyle name="20% - Accent2 5 3 3 2 4" xfId="21222" xr:uid="{00000000-0005-0000-0000-000038170000}"/>
    <cellStyle name="20% - Accent2 5 3 3 3" xfId="1866" xr:uid="{00000000-0005-0000-0000-000039170000}"/>
    <cellStyle name="20% - Accent2 5 3 3 3 2" xfId="13226" xr:uid="{00000000-0005-0000-0000-00003A170000}"/>
    <cellStyle name="20% - Accent2 5 3 3 3 2 2" xfId="25083" xr:uid="{00000000-0005-0000-0000-00003B170000}"/>
    <cellStyle name="20% - Accent2 5 3 3 3 3" xfId="17177" xr:uid="{00000000-0005-0000-0000-00003C170000}"/>
    <cellStyle name="20% - Accent2 5 3 3 3 3 2" xfId="28869" xr:uid="{00000000-0005-0000-0000-00003D170000}"/>
    <cellStyle name="20% - Accent2 5 3 3 3 4" xfId="21223" xr:uid="{00000000-0005-0000-0000-00003E170000}"/>
    <cellStyle name="20% - Accent2 5 3 3 4" xfId="13224" xr:uid="{00000000-0005-0000-0000-00003F170000}"/>
    <cellStyle name="20% - Accent2 5 3 3 4 2" xfId="25081" xr:uid="{00000000-0005-0000-0000-000040170000}"/>
    <cellStyle name="20% - Accent2 5 3 3 5" xfId="17175" xr:uid="{00000000-0005-0000-0000-000041170000}"/>
    <cellStyle name="20% - Accent2 5 3 3 5 2" xfId="28867" xr:uid="{00000000-0005-0000-0000-000042170000}"/>
    <cellStyle name="20% - Accent2 5 3 3 6" xfId="21221" xr:uid="{00000000-0005-0000-0000-000043170000}"/>
    <cellStyle name="20% - Accent2 5 3 4" xfId="1867" xr:uid="{00000000-0005-0000-0000-000044170000}"/>
    <cellStyle name="20% - Accent2 5 3 4 2" xfId="13227" xr:uid="{00000000-0005-0000-0000-000045170000}"/>
    <cellStyle name="20% - Accent2 5 3 4 2 2" xfId="25084" xr:uid="{00000000-0005-0000-0000-000046170000}"/>
    <cellStyle name="20% - Accent2 5 3 4 3" xfId="17178" xr:uid="{00000000-0005-0000-0000-000047170000}"/>
    <cellStyle name="20% - Accent2 5 3 4 3 2" xfId="28870" xr:uid="{00000000-0005-0000-0000-000048170000}"/>
    <cellStyle name="20% - Accent2 5 3 4 4" xfId="21224" xr:uid="{00000000-0005-0000-0000-000049170000}"/>
    <cellStyle name="20% - Accent2 5 3 5" xfId="1868" xr:uid="{00000000-0005-0000-0000-00004A170000}"/>
    <cellStyle name="20% - Accent2 5 3 5 2" xfId="13228" xr:uid="{00000000-0005-0000-0000-00004B170000}"/>
    <cellStyle name="20% - Accent2 5 3 5 2 2" xfId="25085" xr:uid="{00000000-0005-0000-0000-00004C170000}"/>
    <cellStyle name="20% - Accent2 5 3 5 3" xfId="17179" xr:uid="{00000000-0005-0000-0000-00004D170000}"/>
    <cellStyle name="20% - Accent2 5 3 5 3 2" xfId="28871" xr:uid="{00000000-0005-0000-0000-00004E170000}"/>
    <cellStyle name="20% - Accent2 5 3 5 4" xfId="21225" xr:uid="{00000000-0005-0000-0000-00004F170000}"/>
    <cellStyle name="20% - Accent2 5 3 6" xfId="13220" xr:uid="{00000000-0005-0000-0000-000050170000}"/>
    <cellStyle name="20% - Accent2 5 3 6 2" xfId="25077" xr:uid="{00000000-0005-0000-0000-000051170000}"/>
    <cellStyle name="20% - Accent2 5 3 7" xfId="17171" xr:uid="{00000000-0005-0000-0000-000052170000}"/>
    <cellStyle name="20% - Accent2 5 3 7 2" xfId="28863" xr:uid="{00000000-0005-0000-0000-000053170000}"/>
    <cellStyle name="20% - Accent2 5 3 8" xfId="21217" xr:uid="{00000000-0005-0000-0000-000054170000}"/>
    <cellStyle name="20% - Accent2 5 3_Volatility" xfId="1869" xr:uid="{00000000-0005-0000-0000-000055170000}"/>
    <cellStyle name="20% - Accent2 5 4" xfId="1870" xr:uid="{00000000-0005-0000-0000-000056170000}"/>
    <cellStyle name="20% - Accent2 5 4 2" xfId="1871" xr:uid="{00000000-0005-0000-0000-000057170000}"/>
    <cellStyle name="20% - Accent2 5 4 2 2" xfId="13230" xr:uid="{00000000-0005-0000-0000-000058170000}"/>
    <cellStyle name="20% - Accent2 5 4 2 2 2" xfId="25087" xr:uid="{00000000-0005-0000-0000-000059170000}"/>
    <cellStyle name="20% - Accent2 5 4 2 3" xfId="17181" xr:uid="{00000000-0005-0000-0000-00005A170000}"/>
    <cellStyle name="20% - Accent2 5 4 2 3 2" xfId="28873" xr:uid="{00000000-0005-0000-0000-00005B170000}"/>
    <cellStyle name="20% - Accent2 5 4 2 4" xfId="21227" xr:uid="{00000000-0005-0000-0000-00005C170000}"/>
    <cellStyle name="20% - Accent2 5 4 3" xfId="1872" xr:uid="{00000000-0005-0000-0000-00005D170000}"/>
    <cellStyle name="20% - Accent2 5 4 3 2" xfId="13231" xr:uid="{00000000-0005-0000-0000-00005E170000}"/>
    <cellStyle name="20% - Accent2 5 4 3 2 2" xfId="25088" xr:uid="{00000000-0005-0000-0000-00005F170000}"/>
    <cellStyle name="20% - Accent2 5 4 3 3" xfId="17182" xr:uid="{00000000-0005-0000-0000-000060170000}"/>
    <cellStyle name="20% - Accent2 5 4 3 3 2" xfId="28874" xr:uid="{00000000-0005-0000-0000-000061170000}"/>
    <cellStyle name="20% - Accent2 5 4 3 4" xfId="21228" xr:uid="{00000000-0005-0000-0000-000062170000}"/>
    <cellStyle name="20% - Accent2 5 4 4" xfId="13229" xr:uid="{00000000-0005-0000-0000-000063170000}"/>
    <cellStyle name="20% - Accent2 5 4 4 2" xfId="25086" xr:uid="{00000000-0005-0000-0000-000064170000}"/>
    <cellStyle name="20% - Accent2 5 4 5" xfId="17180" xr:uid="{00000000-0005-0000-0000-000065170000}"/>
    <cellStyle name="20% - Accent2 5 4 5 2" xfId="28872" xr:uid="{00000000-0005-0000-0000-000066170000}"/>
    <cellStyle name="20% - Accent2 5 4 6" xfId="21226" xr:uid="{00000000-0005-0000-0000-000067170000}"/>
    <cellStyle name="20% - Accent2 5 5" xfId="1873" xr:uid="{00000000-0005-0000-0000-000068170000}"/>
    <cellStyle name="20% - Accent2 5 5 2" xfId="1874" xr:uid="{00000000-0005-0000-0000-000069170000}"/>
    <cellStyle name="20% - Accent2 5 5 2 2" xfId="13233" xr:uid="{00000000-0005-0000-0000-00006A170000}"/>
    <cellStyle name="20% - Accent2 5 5 2 2 2" xfId="25090" xr:uid="{00000000-0005-0000-0000-00006B170000}"/>
    <cellStyle name="20% - Accent2 5 5 2 3" xfId="17184" xr:uid="{00000000-0005-0000-0000-00006C170000}"/>
    <cellStyle name="20% - Accent2 5 5 2 3 2" xfId="28876" xr:uid="{00000000-0005-0000-0000-00006D170000}"/>
    <cellStyle name="20% - Accent2 5 5 2 4" xfId="21230" xr:uid="{00000000-0005-0000-0000-00006E170000}"/>
    <cellStyle name="20% - Accent2 5 5 3" xfId="1875" xr:uid="{00000000-0005-0000-0000-00006F170000}"/>
    <cellStyle name="20% - Accent2 5 5 3 2" xfId="13234" xr:uid="{00000000-0005-0000-0000-000070170000}"/>
    <cellStyle name="20% - Accent2 5 5 3 2 2" xfId="25091" xr:uid="{00000000-0005-0000-0000-000071170000}"/>
    <cellStyle name="20% - Accent2 5 5 3 3" xfId="17185" xr:uid="{00000000-0005-0000-0000-000072170000}"/>
    <cellStyle name="20% - Accent2 5 5 3 3 2" xfId="28877" xr:uid="{00000000-0005-0000-0000-000073170000}"/>
    <cellStyle name="20% - Accent2 5 5 3 4" xfId="21231" xr:uid="{00000000-0005-0000-0000-000074170000}"/>
    <cellStyle name="20% - Accent2 5 5 4" xfId="13232" xr:uid="{00000000-0005-0000-0000-000075170000}"/>
    <cellStyle name="20% - Accent2 5 5 4 2" xfId="25089" xr:uid="{00000000-0005-0000-0000-000076170000}"/>
    <cellStyle name="20% - Accent2 5 5 5" xfId="17183" xr:uid="{00000000-0005-0000-0000-000077170000}"/>
    <cellStyle name="20% - Accent2 5 5 5 2" xfId="28875" xr:uid="{00000000-0005-0000-0000-000078170000}"/>
    <cellStyle name="20% - Accent2 5 5 6" xfId="21229" xr:uid="{00000000-0005-0000-0000-000079170000}"/>
    <cellStyle name="20% - Accent2 5 6" xfId="1876" xr:uid="{00000000-0005-0000-0000-00007A170000}"/>
    <cellStyle name="20% - Accent2 5 6 2" xfId="1877" xr:uid="{00000000-0005-0000-0000-00007B170000}"/>
    <cellStyle name="20% - Accent2 5 6 2 2" xfId="13236" xr:uid="{00000000-0005-0000-0000-00007C170000}"/>
    <cellStyle name="20% - Accent2 5 6 2 2 2" xfId="25093" xr:uid="{00000000-0005-0000-0000-00007D170000}"/>
    <cellStyle name="20% - Accent2 5 6 2 3" xfId="17187" xr:uid="{00000000-0005-0000-0000-00007E170000}"/>
    <cellStyle name="20% - Accent2 5 6 2 3 2" xfId="28879" xr:uid="{00000000-0005-0000-0000-00007F170000}"/>
    <cellStyle name="20% - Accent2 5 6 2 4" xfId="21233" xr:uid="{00000000-0005-0000-0000-000080170000}"/>
    <cellStyle name="20% - Accent2 5 6 3" xfId="1878" xr:uid="{00000000-0005-0000-0000-000081170000}"/>
    <cellStyle name="20% - Accent2 5 6 3 2" xfId="13237" xr:uid="{00000000-0005-0000-0000-000082170000}"/>
    <cellStyle name="20% - Accent2 5 6 3 2 2" xfId="25094" xr:uid="{00000000-0005-0000-0000-000083170000}"/>
    <cellStyle name="20% - Accent2 5 6 3 3" xfId="17188" xr:uid="{00000000-0005-0000-0000-000084170000}"/>
    <cellStyle name="20% - Accent2 5 6 3 3 2" xfId="28880" xr:uid="{00000000-0005-0000-0000-000085170000}"/>
    <cellStyle name="20% - Accent2 5 6 3 4" xfId="21234" xr:uid="{00000000-0005-0000-0000-000086170000}"/>
    <cellStyle name="20% - Accent2 5 6 4" xfId="13235" xr:uid="{00000000-0005-0000-0000-000087170000}"/>
    <cellStyle name="20% - Accent2 5 6 4 2" xfId="25092" xr:uid="{00000000-0005-0000-0000-000088170000}"/>
    <cellStyle name="20% - Accent2 5 6 5" xfId="17186" xr:uid="{00000000-0005-0000-0000-000089170000}"/>
    <cellStyle name="20% - Accent2 5 6 5 2" xfId="28878" xr:uid="{00000000-0005-0000-0000-00008A170000}"/>
    <cellStyle name="20% - Accent2 5 6 6" xfId="21232" xr:uid="{00000000-0005-0000-0000-00008B170000}"/>
    <cellStyle name="20% - Accent2 5 7" xfId="1879" xr:uid="{00000000-0005-0000-0000-00008C170000}"/>
    <cellStyle name="20% - Accent2 5 7 2" xfId="13238" xr:uid="{00000000-0005-0000-0000-00008D170000}"/>
    <cellStyle name="20% - Accent2 5 7 2 2" xfId="25095" xr:uid="{00000000-0005-0000-0000-00008E170000}"/>
    <cellStyle name="20% - Accent2 5 7 3" xfId="17189" xr:uid="{00000000-0005-0000-0000-00008F170000}"/>
    <cellStyle name="20% - Accent2 5 7 3 2" xfId="28881" xr:uid="{00000000-0005-0000-0000-000090170000}"/>
    <cellStyle name="20% - Accent2 5 7 4" xfId="21235" xr:uid="{00000000-0005-0000-0000-000091170000}"/>
    <cellStyle name="20% - Accent2 5 8" xfId="1880" xr:uid="{00000000-0005-0000-0000-000092170000}"/>
    <cellStyle name="20% - Accent2 5 8 2" xfId="13239" xr:uid="{00000000-0005-0000-0000-000093170000}"/>
    <cellStyle name="20% - Accent2 5 8 2 2" xfId="25096" xr:uid="{00000000-0005-0000-0000-000094170000}"/>
    <cellStyle name="20% - Accent2 5 8 3" xfId="17190" xr:uid="{00000000-0005-0000-0000-000095170000}"/>
    <cellStyle name="20% - Accent2 5 8 3 2" xfId="28882" xr:uid="{00000000-0005-0000-0000-000096170000}"/>
    <cellStyle name="20% - Accent2 5 8 4" xfId="21236" xr:uid="{00000000-0005-0000-0000-000097170000}"/>
    <cellStyle name="20% - Accent2 5 9" xfId="13207" xr:uid="{00000000-0005-0000-0000-000098170000}"/>
    <cellStyle name="20% - Accent2 5 9 2" xfId="25064" xr:uid="{00000000-0005-0000-0000-000099170000}"/>
    <cellStyle name="20% - Accent2 5_Volatility" xfId="1881" xr:uid="{00000000-0005-0000-0000-00009A170000}"/>
    <cellStyle name="20% - Accent2 6" xfId="1882" xr:uid="{00000000-0005-0000-0000-00009B170000}"/>
    <cellStyle name="20% - Accent2 6 10" xfId="17191" xr:uid="{00000000-0005-0000-0000-00009C170000}"/>
    <cellStyle name="20% - Accent2 6 10 2" xfId="28883" xr:uid="{00000000-0005-0000-0000-00009D170000}"/>
    <cellStyle name="20% - Accent2 6 11" xfId="21237" xr:uid="{00000000-0005-0000-0000-00009E170000}"/>
    <cellStyle name="20% - Accent2 6 2" xfId="1883" xr:uid="{00000000-0005-0000-0000-00009F170000}"/>
    <cellStyle name="20% - Accent2 6 2 2" xfId="1884" xr:uid="{00000000-0005-0000-0000-0000A0170000}"/>
    <cellStyle name="20% - Accent2 6 2 2 2" xfId="1885" xr:uid="{00000000-0005-0000-0000-0000A1170000}"/>
    <cellStyle name="20% - Accent2 6 2 2 2 2" xfId="13243" xr:uid="{00000000-0005-0000-0000-0000A2170000}"/>
    <cellStyle name="20% - Accent2 6 2 2 2 2 2" xfId="25100" xr:uid="{00000000-0005-0000-0000-0000A3170000}"/>
    <cellStyle name="20% - Accent2 6 2 2 2 3" xfId="17194" xr:uid="{00000000-0005-0000-0000-0000A4170000}"/>
    <cellStyle name="20% - Accent2 6 2 2 2 3 2" xfId="28886" xr:uid="{00000000-0005-0000-0000-0000A5170000}"/>
    <cellStyle name="20% - Accent2 6 2 2 2 4" xfId="21240" xr:uid="{00000000-0005-0000-0000-0000A6170000}"/>
    <cellStyle name="20% - Accent2 6 2 2 3" xfId="1886" xr:uid="{00000000-0005-0000-0000-0000A7170000}"/>
    <cellStyle name="20% - Accent2 6 2 2 3 2" xfId="13244" xr:uid="{00000000-0005-0000-0000-0000A8170000}"/>
    <cellStyle name="20% - Accent2 6 2 2 3 2 2" xfId="25101" xr:uid="{00000000-0005-0000-0000-0000A9170000}"/>
    <cellStyle name="20% - Accent2 6 2 2 3 3" xfId="17195" xr:uid="{00000000-0005-0000-0000-0000AA170000}"/>
    <cellStyle name="20% - Accent2 6 2 2 3 3 2" xfId="28887" xr:uid="{00000000-0005-0000-0000-0000AB170000}"/>
    <cellStyle name="20% - Accent2 6 2 2 3 4" xfId="21241" xr:uid="{00000000-0005-0000-0000-0000AC170000}"/>
    <cellStyle name="20% - Accent2 6 2 2 4" xfId="13242" xr:uid="{00000000-0005-0000-0000-0000AD170000}"/>
    <cellStyle name="20% - Accent2 6 2 2 4 2" xfId="25099" xr:uid="{00000000-0005-0000-0000-0000AE170000}"/>
    <cellStyle name="20% - Accent2 6 2 2 5" xfId="17193" xr:uid="{00000000-0005-0000-0000-0000AF170000}"/>
    <cellStyle name="20% - Accent2 6 2 2 5 2" xfId="28885" xr:uid="{00000000-0005-0000-0000-0000B0170000}"/>
    <cellStyle name="20% - Accent2 6 2 2 6" xfId="21239" xr:uid="{00000000-0005-0000-0000-0000B1170000}"/>
    <cellStyle name="20% - Accent2 6 2 3" xfId="1887" xr:uid="{00000000-0005-0000-0000-0000B2170000}"/>
    <cellStyle name="20% - Accent2 6 2 3 2" xfId="1888" xr:uid="{00000000-0005-0000-0000-0000B3170000}"/>
    <cellStyle name="20% - Accent2 6 2 3 2 2" xfId="13246" xr:uid="{00000000-0005-0000-0000-0000B4170000}"/>
    <cellStyle name="20% - Accent2 6 2 3 2 2 2" xfId="25103" xr:uid="{00000000-0005-0000-0000-0000B5170000}"/>
    <cellStyle name="20% - Accent2 6 2 3 2 3" xfId="17197" xr:uid="{00000000-0005-0000-0000-0000B6170000}"/>
    <cellStyle name="20% - Accent2 6 2 3 2 3 2" xfId="28889" xr:uid="{00000000-0005-0000-0000-0000B7170000}"/>
    <cellStyle name="20% - Accent2 6 2 3 2 4" xfId="21243" xr:uid="{00000000-0005-0000-0000-0000B8170000}"/>
    <cellStyle name="20% - Accent2 6 2 3 3" xfId="1889" xr:uid="{00000000-0005-0000-0000-0000B9170000}"/>
    <cellStyle name="20% - Accent2 6 2 3 3 2" xfId="13247" xr:uid="{00000000-0005-0000-0000-0000BA170000}"/>
    <cellStyle name="20% - Accent2 6 2 3 3 2 2" xfId="25104" xr:uid="{00000000-0005-0000-0000-0000BB170000}"/>
    <cellStyle name="20% - Accent2 6 2 3 3 3" xfId="17198" xr:uid="{00000000-0005-0000-0000-0000BC170000}"/>
    <cellStyle name="20% - Accent2 6 2 3 3 3 2" xfId="28890" xr:uid="{00000000-0005-0000-0000-0000BD170000}"/>
    <cellStyle name="20% - Accent2 6 2 3 3 4" xfId="21244" xr:uid="{00000000-0005-0000-0000-0000BE170000}"/>
    <cellStyle name="20% - Accent2 6 2 3 4" xfId="13245" xr:uid="{00000000-0005-0000-0000-0000BF170000}"/>
    <cellStyle name="20% - Accent2 6 2 3 4 2" xfId="25102" xr:uid="{00000000-0005-0000-0000-0000C0170000}"/>
    <cellStyle name="20% - Accent2 6 2 3 5" xfId="17196" xr:uid="{00000000-0005-0000-0000-0000C1170000}"/>
    <cellStyle name="20% - Accent2 6 2 3 5 2" xfId="28888" xr:uid="{00000000-0005-0000-0000-0000C2170000}"/>
    <cellStyle name="20% - Accent2 6 2 3 6" xfId="21242" xr:uid="{00000000-0005-0000-0000-0000C3170000}"/>
    <cellStyle name="20% - Accent2 6 2 4" xfId="1890" xr:uid="{00000000-0005-0000-0000-0000C4170000}"/>
    <cellStyle name="20% - Accent2 6 2 4 2" xfId="1891" xr:uid="{00000000-0005-0000-0000-0000C5170000}"/>
    <cellStyle name="20% - Accent2 6 2 4 2 2" xfId="13249" xr:uid="{00000000-0005-0000-0000-0000C6170000}"/>
    <cellStyle name="20% - Accent2 6 2 4 2 2 2" xfId="25106" xr:uid="{00000000-0005-0000-0000-0000C7170000}"/>
    <cellStyle name="20% - Accent2 6 2 4 2 3" xfId="17200" xr:uid="{00000000-0005-0000-0000-0000C8170000}"/>
    <cellStyle name="20% - Accent2 6 2 4 2 3 2" xfId="28892" xr:uid="{00000000-0005-0000-0000-0000C9170000}"/>
    <cellStyle name="20% - Accent2 6 2 4 2 4" xfId="21246" xr:uid="{00000000-0005-0000-0000-0000CA170000}"/>
    <cellStyle name="20% - Accent2 6 2 4 3" xfId="1892" xr:uid="{00000000-0005-0000-0000-0000CB170000}"/>
    <cellStyle name="20% - Accent2 6 2 4 3 2" xfId="13250" xr:uid="{00000000-0005-0000-0000-0000CC170000}"/>
    <cellStyle name="20% - Accent2 6 2 4 3 2 2" xfId="25107" xr:uid="{00000000-0005-0000-0000-0000CD170000}"/>
    <cellStyle name="20% - Accent2 6 2 4 3 3" xfId="17201" xr:uid="{00000000-0005-0000-0000-0000CE170000}"/>
    <cellStyle name="20% - Accent2 6 2 4 3 3 2" xfId="28893" xr:uid="{00000000-0005-0000-0000-0000CF170000}"/>
    <cellStyle name="20% - Accent2 6 2 4 3 4" xfId="21247" xr:uid="{00000000-0005-0000-0000-0000D0170000}"/>
    <cellStyle name="20% - Accent2 6 2 4 4" xfId="13248" xr:uid="{00000000-0005-0000-0000-0000D1170000}"/>
    <cellStyle name="20% - Accent2 6 2 4 4 2" xfId="25105" xr:uid="{00000000-0005-0000-0000-0000D2170000}"/>
    <cellStyle name="20% - Accent2 6 2 4 5" xfId="17199" xr:uid="{00000000-0005-0000-0000-0000D3170000}"/>
    <cellStyle name="20% - Accent2 6 2 4 5 2" xfId="28891" xr:uid="{00000000-0005-0000-0000-0000D4170000}"/>
    <cellStyle name="20% - Accent2 6 2 4 6" xfId="21245" xr:uid="{00000000-0005-0000-0000-0000D5170000}"/>
    <cellStyle name="20% - Accent2 6 2 5" xfId="1893" xr:uid="{00000000-0005-0000-0000-0000D6170000}"/>
    <cellStyle name="20% - Accent2 6 2 5 2" xfId="13251" xr:uid="{00000000-0005-0000-0000-0000D7170000}"/>
    <cellStyle name="20% - Accent2 6 2 5 2 2" xfId="25108" xr:uid="{00000000-0005-0000-0000-0000D8170000}"/>
    <cellStyle name="20% - Accent2 6 2 5 3" xfId="17202" xr:uid="{00000000-0005-0000-0000-0000D9170000}"/>
    <cellStyle name="20% - Accent2 6 2 5 3 2" xfId="28894" xr:uid="{00000000-0005-0000-0000-0000DA170000}"/>
    <cellStyle name="20% - Accent2 6 2 5 4" xfId="21248" xr:uid="{00000000-0005-0000-0000-0000DB170000}"/>
    <cellStyle name="20% - Accent2 6 2 6" xfId="1894" xr:uid="{00000000-0005-0000-0000-0000DC170000}"/>
    <cellStyle name="20% - Accent2 6 2 6 2" xfId="13252" xr:uid="{00000000-0005-0000-0000-0000DD170000}"/>
    <cellStyle name="20% - Accent2 6 2 6 2 2" xfId="25109" xr:uid="{00000000-0005-0000-0000-0000DE170000}"/>
    <cellStyle name="20% - Accent2 6 2 6 3" xfId="17203" xr:uid="{00000000-0005-0000-0000-0000DF170000}"/>
    <cellStyle name="20% - Accent2 6 2 6 3 2" xfId="28895" xr:uid="{00000000-0005-0000-0000-0000E0170000}"/>
    <cellStyle name="20% - Accent2 6 2 6 4" xfId="21249" xr:uid="{00000000-0005-0000-0000-0000E1170000}"/>
    <cellStyle name="20% - Accent2 6 2 7" xfId="13241" xr:uid="{00000000-0005-0000-0000-0000E2170000}"/>
    <cellStyle name="20% - Accent2 6 2 7 2" xfId="25098" xr:uid="{00000000-0005-0000-0000-0000E3170000}"/>
    <cellStyle name="20% - Accent2 6 2 8" xfId="17192" xr:uid="{00000000-0005-0000-0000-0000E4170000}"/>
    <cellStyle name="20% - Accent2 6 2 8 2" xfId="28884" xr:uid="{00000000-0005-0000-0000-0000E5170000}"/>
    <cellStyle name="20% - Accent2 6 2 9" xfId="21238" xr:uid="{00000000-0005-0000-0000-0000E6170000}"/>
    <cellStyle name="20% - Accent2 6 2_Volatility" xfId="1895" xr:uid="{00000000-0005-0000-0000-0000E7170000}"/>
    <cellStyle name="20% - Accent2 6 3" xfId="1896" xr:uid="{00000000-0005-0000-0000-0000E8170000}"/>
    <cellStyle name="20% - Accent2 6 3 2" xfId="1897" xr:uid="{00000000-0005-0000-0000-0000E9170000}"/>
    <cellStyle name="20% - Accent2 6 3 2 2" xfId="1898" xr:uid="{00000000-0005-0000-0000-0000EA170000}"/>
    <cellStyle name="20% - Accent2 6 3 2 2 2" xfId="13255" xr:uid="{00000000-0005-0000-0000-0000EB170000}"/>
    <cellStyle name="20% - Accent2 6 3 2 2 2 2" xfId="25112" xr:uid="{00000000-0005-0000-0000-0000EC170000}"/>
    <cellStyle name="20% - Accent2 6 3 2 2 3" xfId="17206" xr:uid="{00000000-0005-0000-0000-0000ED170000}"/>
    <cellStyle name="20% - Accent2 6 3 2 2 3 2" xfId="28898" xr:uid="{00000000-0005-0000-0000-0000EE170000}"/>
    <cellStyle name="20% - Accent2 6 3 2 2 4" xfId="21252" xr:uid="{00000000-0005-0000-0000-0000EF170000}"/>
    <cellStyle name="20% - Accent2 6 3 2 3" xfId="1899" xr:uid="{00000000-0005-0000-0000-0000F0170000}"/>
    <cellStyle name="20% - Accent2 6 3 2 3 2" xfId="13256" xr:uid="{00000000-0005-0000-0000-0000F1170000}"/>
    <cellStyle name="20% - Accent2 6 3 2 3 2 2" xfId="25113" xr:uid="{00000000-0005-0000-0000-0000F2170000}"/>
    <cellStyle name="20% - Accent2 6 3 2 3 3" xfId="17207" xr:uid="{00000000-0005-0000-0000-0000F3170000}"/>
    <cellStyle name="20% - Accent2 6 3 2 3 3 2" xfId="28899" xr:uid="{00000000-0005-0000-0000-0000F4170000}"/>
    <cellStyle name="20% - Accent2 6 3 2 3 4" xfId="21253" xr:uid="{00000000-0005-0000-0000-0000F5170000}"/>
    <cellStyle name="20% - Accent2 6 3 2 4" xfId="13254" xr:uid="{00000000-0005-0000-0000-0000F6170000}"/>
    <cellStyle name="20% - Accent2 6 3 2 4 2" xfId="25111" xr:uid="{00000000-0005-0000-0000-0000F7170000}"/>
    <cellStyle name="20% - Accent2 6 3 2 5" xfId="17205" xr:uid="{00000000-0005-0000-0000-0000F8170000}"/>
    <cellStyle name="20% - Accent2 6 3 2 5 2" xfId="28897" xr:uid="{00000000-0005-0000-0000-0000F9170000}"/>
    <cellStyle name="20% - Accent2 6 3 2 6" xfId="21251" xr:uid="{00000000-0005-0000-0000-0000FA170000}"/>
    <cellStyle name="20% - Accent2 6 3 3" xfId="1900" xr:uid="{00000000-0005-0000-0000-0000FB170000}"/>
    <cellStyle name="20% - Accent2 6 3 3 2" xfId="1901" xr:uid="{00000000-0005-0000-0000-0000FC170000}"/>
    <cellStyle name="20% - Accent2 6 3 3 2 2" xfId="13258" xr:uid="{00000000-0005-0000-0000-0000FD170000}"/>
    <cellStyle name="20% - Accent2 6 3 3 2 2 2" xfId="25115" xr:uid="{00000000-0005-0000-0000-0000FE170000}"/>
    <cellStyle name="20% - Accent2 6 3 3 2 3" xfId="17209" xr:uid="{00000000-0005-0000-0000-0000FF170000}"/>
    <cellStyle name="20% - Accent2 6 3 3 2 3 2" xfId="28901" xr:uid="{00000000-0005-0000-0000-000000180000}"/>
    <cellStyle name="20% - Accent2 6 3 3 2 4" xfId="21255" xr:uid="{00000000-0005-0000-0000-000001180000}"/>
    <cellStyle name="20% - Accent2 6 3 3 3" xfId="1902" xr:uid="{00000000-0005-0000-0000-000002180000}"/>
    <cellStyle name="20% - Accent2 6 3 3 3 2" xfId="13259" xr:uid="{00000000-0005-0000-0000-000003180000}"/>
    <cellStyle name="20% - Accent2 6 3 3 3 2 2" xfId="25116" xr:uid="{00000000-0005-0000-0000-000004180000}"/>
    <cellStyle name="20% - Accent2 6 3 3 3 3" xfId="17210" xr:uid="{00000000-0005-0000-0000-000005180000}"/>
    <cellStyle name="20% - Accent2 6 3 3 3 3 2" xfId="28902" xr:uid="{00000000-0005-0000-0000-000006180000}"/>
    <cellStyle name="20% - Accent2 6 3 3 3 4" xfId="21256" xr:uid="{00000000-0005-0000-0000-000007180000}"/>
    <cellStyle name="20% - Accent2 6 3 3 4" xfId="13257" xr:uid="{00000000-0005-0000-0000-000008180000}"/>
    <cellStyle name="20% - Accent2 6 3 3 4 2" xfId="25114" xr:uid="{00000000-0005-0000-0000-000009180000}"/>
    <cellStyle name="20% - Accent2 6 3 3 5" xfId="17208" xr:uid="{00000000-0005-0000-0000-00000A180000}"/>
    <cellStyle name="20% - Accent2 6 3 3 5 2" xfId="28900" xr:uid="{00000000-0005-0000-0000-00000B180000}"/>
    <cellStyle name="20% - Accent2 6 3 3 6" xfId="21254" xr:uid="{00000000-0005-0000-0000-00000C180000}"/>
    <cellStyle name="20% - Accent2 6 3 4" xfId="1903" xr:uid="{00000000-0005-0000-0000-00000D180000}"/>
    <cellStyle name="20% - Accent2 6 3 4 2" xfId="13260" xr:uid="{00000000-0005-0000-0000-00000E180000}"/>
    <cellStyle name="20% - Accent2 6 3 4 2 2" xfId="25117" xr:uid="{00000000-0005-0000-0000-00000F180000}"/>
    <cellStyle name="20% - Accent2 6 3 4 3" xfId="17211" xr:uid="{00000000-0005-0000-0000-000010180000}"/>
    <cellStyle name="20% - Accent2 6 3 4 3 2" xfId="28903" xr:uid="{00000000-0005-0000-0000-000011180000}"/>
    <cellStyle name="20% - Accent2 6 3 4 4" xfId="21257" xr:uid="{00000000-0005-0000-0000-000012180000}"/>
    <cellStyle name="20% - Accent2 6 3 5" xfId="1904" xr:uid="{00000000-0005-0000-0000-000013180000}"/>
    <cellStyle name="20% - Accent2 6 3 5 2" xfId="13261" xr:uid="{00000000-0005-0000-0000-000014180000}"/>
    <cellStyle name="20% - Accent2 6 3 5 2 2" xfId="25118" xr:uid="{00000000-0005-0000-0000-000015180000}"/>
    <cellStyle name="20% - Accent2 6 3 5 3" xfId="17212" xr:uid="{00000000-0005-0000-0000-000016180000}"/>
    <cellStyle name="20% - Accent2 6 3 5 3 2" xfId="28904" xr:uid="{00000000-0005-0000-0000-000017180000}"/>
    <cellStyle name="20% - Accent2 6 3 5 4" xfId="21258" xr:uid="{00000000-0005-0000-0000-000018180000}"/>
    <cellStyle name="20% - Accent2 6 3 6" xfId="13253" xr:uid="{00000000-0005-0000-0000-000019180000}"/>
    <cellStyle name="20% - Accent2 6 3 6 2" xfId="25110" xr:uid="{00000000-0005-0000-0000-00001A180000}"/>
    <cellStyle name="20% - Accent2 6 3 7" xfId="17204" xr:uid="{00000000-0005-0000-0000-00001B180000}"/>
    <cellStyle name="20% - Accent2 6 3 7 2" xfId="28896" xr:uid="{00000000-0005-0000-0000-00001C180000}"/>
    <cellStyle name="20% - Accent2 6 3 8" xfId="21250" xr:uid="{00000000-0005-0000-0000-00001D180000}"/>
    <cellStyle name="20% - Accent2 6 3_Volatility" xfId="1905" xr:uid="{00000000-0005-0000-0000-00001E180000}"/>
    <cellStyle name="20% - Accent2 6 4" xfId="1906" xr:uid="{00000000-0005-0000-0000-00001F180000}"/>
    <cellStyle name="20% - Accent2 6 4 2" xfId="1907" xr:uid="{00000000-0005-0000-0000-000020180000}"/>
    <cellStyle name="20% - Accent2 6 4 2 2" xfId="13263" xr:uid="{00000000-0005-0000-0000-000021180000}"/>
    <cellStyle name="20% - Accent2 6 4 2 2 2" xfId="25120" xr:uid="{00000000-0005-0000-0000-000022180000}"/>
    <cellStyle name="20% - Accent2 6 4 2 3" xfId="17214" xr:uid="{00000000-0005-0000-0000-000023180000}"/>
    <cellStyle name="20% - Accent2 6 4 2 3 2" xfId="28906" xr:uid="{00000000-0005-0000-0000-000024180000}"/>
    <cellStyle name="20% - Accent2 6 4 2 4" xfId="21260" xr:uid="{00000000-0005-0000-0000-000025180000}"/>
    <cellStyle name="20% - Accent2 6 4 3" xfId="1908" xr:uid="{00000000-0005-0000-0000-000026180000}"/>
    <cellStyle name="20% - Accent2 6 4 3 2" xfId="13264" xr:uid="{00000000-0005-0000-0000-000027180000}"/>
    <cellStyle name="20% - Accent2 6 4 3 2 2" xfId="25121" xr:uid="{00000000-0005-0000-0000-000028180000}"/>
    <cellStyle name="20% - Accent2 6 4 3 3" xfId="17215" xr:uid="{00000000-0005-0000-0000-000029180000}"/>
    <cellStyle name="20% - Accent2 6 4 3 3 2" xfId="28907" xr:uid="{00000000-0005-0000-0000-00002A180000}"/>
    <cellStyle name="20% - Accent2 6 4 3 4" xfId="21261" xr:uid="{00000000-0005-0000-0000-00002B180000}"/>
    <cellStyle name="20% - Accent2 6 4 4" xfId="13262" xr:uid="{00000000-0005-0000-0000-00002C180000}"/>
    <cellStyle name="20% - Accent2 6 4 4 2" xfId="25119" xr:uid="{00000000-0005-0000-0000-00002D180000}"/>
    <cellStyle name="20% - Accent2 6 4 5" xfId="17213" xr:uid="{00000000-0005-0000-0000-00002E180000}"/>
    <cellStyle name="20% - Accent2 6 4 5 2" xfId="28905" xr:uid="{00000000-0005-0000-0000-00002F180000}"/>
    <cellStyle name="20% - Accent2 6 4 6" xfId="21259" xr:uid="{00000000-0005-0000-0000-000030180000}"/>
    <cellStyle name="20% - Accent2 6 5" xfId="1909" xr:uid="{00000000-0005-0000-0000-000031180000}"/>
    <cellStyle name="20% - Accent2 6 5 2" xfId="1910" xr:uid="{00000000-0005-0000-0000-000032180000}"/>
    <cellStyle name="20% - Accent2 6 5 2 2" xfId="13266" xr:uid="{00000000-0005-0000-0000-000033180000}"/>
    <cellStyle name="20% - Accent2 6 5 2 2 2" xfId="25123" xr:uid="{00000000-0005-0000-0000-000034180000}"/>
    <cellStyle name="20% - Accent2 6 5 2 3" xfId="17217" xr:uid="{00000000-0005-0000-0000-000035180000}"/>
    <cellStyle name="20% - Accent2 6 5 2 3 2" xfId="28909" xr:uid="{00000000-0005-0000-0000-000036180000}"/>
    <cellStyle name="20% - Accent2 6 5 2 4" xfId="21263" xr:uid="{00000000-0005-0000-0000-000037180000}"/>
    <cellStyle name="20% - Accent2 6 5 3" xfId="1911" xr:uid="{00000000-0005-0000-0000-000038180000}"/>
    <cellStyle name="20% - Accent2 6 5 3 2" xfId="13267" xr:uid="{00000000-0005-0000-0000-000039180000}"/>
    <cellStyle name="20% - Accent2 6 5 3 2 2" xfId="25124" xr:uid="{00000000-0005-0000-0000-00003A180000}"/>
    <cellStyle name="20% - Accent2 6 5 3 3" xfId="17218" xr:uid="{00000000-0005-0000-0000-00003B180000}"/>
    <cellStyle name="20% - Accent2 6 5 3 3 2" xfId="28910" xr:uid="{00000000-0005-0000-0000-00003C180000}"/>
    <cellStyle name="20% - Accent2 6 5 3 4" xfId="21264" xr:uid="{00000000-0005-0000-0000-00003D180000}"/>
    <cellStyle name="20% - Accent2 6 5 4" xfId="13265" xr:uid="{00000000-0005-0000-0000-00003E180000}"/>
    <cellStyle name="20% - Accent2 6 5 4 2" xfId="25122" xr:uid="{00000000-0005-0000-0000-00003F180000}"/>
    <cellStyle name="20% - Accent2 6 5 5" xfId="17216" xr:uid="{00000000-0005-0000-0000-000040180000}"/>
    <cellStyle name="20% - Accent2 6 5 5 2" xfId="28908" xr:uid="{00000000-0005-0000-0000-000041180000}"/>
    <cellStyle name="20% - Accent2 6 5 6" xfId="21262" xr:uid="{00000000-0005-0000-0000-000042180000}"/>
    <cellStyle name="20% - Accent2 6 6" xfId="1912" xr:uid="{00000000-0005-0000-0000-000043180000}"/>
    <cellStyle name="20% - Accent2 6 6 2" xfId="1913" xr:uid="{00000000-0005-0000-0000-000044180000}"/>
    <cellStyle name="20% - Accent2 6 6 2 2" xfId="13269" xr:uid="{00000000-0005-0000-0000-000045180000}"/>
    <cellStyle name="20% - Accent2 6 6 2 2 2" xfId="25126" xr:uid="{00000000-0005-0000-0000-000046180000}"/>
    <cellStyle name="20% - Accent2 6 6 2 3" xfId="17220" xr:uid="{00000000-0005-0000-0000-000047180000}"/>
    <cellStyle name="20% - Accent2 6 6 2 3 2" xfId="28912" xr:uid="{00000000-0005-0000-0000-000048180000}"/>
    <cellStyle name="20% - Accent2 6 6 2 4" xfId="21266" xr:uid="{00000000-0005-0000-0000-000049180000}"/>
    <cellStyle name="20% - Accent2 6 6 3" xfId="1914" xr:uid="{00000000-0005-0000-0000-00004A180000}"/>
    <cellStyle name="20% - Accent2 6 6 3 2" xfId="13270" xr:uid="{00000000-0005-0000-0000-00004B180000}"/>
    <cellStyle name="20% - Accent2 6 6 3 2 2" xfId="25127" xr:uid="{00000000-0005-0000-0000-00004C180000}"/>
    <cellStyle name="20% - Accent2 6 6 3 3" xfId="17221" xr:uid="{00000000-0005-0000-0000-00004D180000}"/>
    <cellStyle name="20% - Accent2 6 6 3 3 2" xfId="28913" xr:uid="{00000000-0005-0000-0000-00004E180000}"/>
    <cellStyle name="20% - Accent2 6 6 3 4" xfId="21267" xr:uid="{00000000-0005-0000-0000-00004F180000}"/>
    <cellStyle name="20% - Accent2 6 6 4" xfId="13268" xr:uid="{00000000-0005-0000-0000-000050180000}"/>
    <cellStyle name="20% - Accent2 6 6 4 2" xfId="25125" xr:uid="{00000000-0005-0000-0000-000051180000}"/>
    <cellStyle name="20% - Accent2 6 6 5" xfId="17219" xr:uid="{00000000-0005-0000-0000-000052180000}"/>
    <cellStyle name="20% - Accent2 6 6 5 2" xfId="28911" xr:uid="{00000000-0005-0000-0000-000053180000}"/>
    <cellStyle name="20% - Accent2 6 6 6" xfId="21265" xr:uid="{00000000-0005-0000-0000-000054180000}"/>
    <cellStyle name="20% - Accent2 6 7" xfId="1915" xr:uid="{00000000-0005-0000-0000-000055180000}"/>
    <cellStyle name="20% - Accent2 6 7 2" xfId="13271" xr:uid="{00000000-0005-0000-0000-000056180000}"/>
    <cellStyle name="20% - Accent2 6 7 2 2" xfId="25128" xr:uid="{00000000-0005-0000-0000-000057180000}"/>
    <cellStyle name="20% - Accent2 6 7 3" xfId="17222" xr:uid="{00000000-0005-0000-0000-000058180000}"/>
    <cellStyle name="20% - Accent2 6 7 3 2" xfId="28914" xr:uid="{00000000-0005-0000-0000-000059180000}"/>
    <cellStyle name="20% - Accent2 6 7 4" xfId="21268" xr:uid="{00000000-0005-0000-0000-00005A180000}"/>
    <cellStyle name="20% - Accent2 6 8" xfId="1916" xr:uid="{00000000-0005-0000-0000-00005B180000}"/>
    <cellStyle name="20% - Accent2 6 8 2" xfId="13272" xr:uid="{00000000-0005-0000-0000-00005C180000}"/>
    <cellStyle name="20% - Accent2 6 8 2 2" xfId="25129" xr:uid="{00000000-0005-0000-0000-00005D180000}"/>
    <cellStyle name="20% - Accent2 6 8 3" xfId="17223" xr:uid="{00000000-0005-0000-0000-00005E180000}"/>
    <cellStyle name="20% - Accent2 6 8 3 2" xfId="28915" xr:uid="{00000000-0005-0000-0000-00005F180000}"/>
    <cellStyle name="20% - Accent2 6 8 4" xfId="21269" xr:uid="{00000000-0005-0000-0000-000060180000}"/>
    <cellStyle name="20% - Accent2 6 9" xfId="13240" xr:uid="{00000000-0005-0000-0000-000061180000}"/>
    <cellStyle name="20% - Accent2 6 9 2" xfId="25097" xr:uid="{00000000-0005-0000-0000-000062180000}"/>
    <cellStyle name="20% - Accent2 6_Volatility" xfId="1917" xr:uid="{00000000-0005-0000-0000-000063180000}"/>
    <cellStyle name="20% - Accent2 7" xfId="1918" xr:uid="{00000000-0005-0000-0000-000064180000}"/>
    <cellStyle name="20% - Accent2 7 10" xfId="17224" xr:uid="{00000000-0005-0000-0000-000065180000}"/>
    <cellStyle name="20% - Accent2 7 10 2" xfId="28916" xr:uid="{00000000-0005-0000-0000-000066180000}"/>
    <cellStyle name="20% - Accent2 7 11" xfId="21270" xr:uid="{00000000-0005-0000-0000-000067180000}"/>
    <cellStyle name="20% - Accent2 7 2" xfId="1919" xr:uid="{00000000-0005-0000-0000-000068180000}"/>
    <cellStyle name="20% - Accent2 7 2 2" xfId="1920" xr:uid="{00000000-0005-0000-0000-000069180000}"/>
    <cellStyle name="20% - Accent2 7 2 2 2" xfId="1921" xr:uid="{00000000-0005-0000-0000-00006A180000}"/>
    <cellStyle name="20% - Accent2 7 2 2 2 2" xfId="13276" xr:uid="{00000000-0005-0000-0000-00006B180000}"/>
    <cellStyle name="20% - Accent2 7 2 2 2 2 2" xfId="25133" xr:uid="{00000000-0005-0000-0000-00006C180000}"/>
    <cellStyle name="20% - Accent2 7 2 2 2 3" xfId="17227" xr:uid="{00000000-0005-0000-0000-00006D180000}"/>
    <cellStyle name="20% - Accent2 7 2 2 2 3 2" xfId="28919" xr:uid="{00000000-0005-0000-0000-00006E180000}"/>
    <cellStyle name="20% - Accent2 7 2 2 2 4" xfId="21273" xr:uid="{00000000-0005-0000-0000-00006F180000}"/>
    <cellStyle name="20% - Accent2 7 2 2 3" xfId="1922" xr:uid="{00000000-0005-0000-0000-000070180000}"/>
    <cellStyle name="20% - Accent2 7 2 2 3 2" xfId="13277" xr:uid="{00000000-0005-0000-0000-000071180000}"/>
    <cellStyle name="20% - Accent2 7 2 2 3 2 2" xfId="25134" xr:uid="{00000000-0005-0000-0000-000072180000}"/>
    <cellStyle name="20% - Accent2 7 2 2 3 3" xfId="17228" xr:uid="{00000000-0005-0000-0000-000073180000}"/>
    <cellStyle name="20% - Accent2 7 2 2 3 3 2" xfId="28920" xr:uid="{00000000-0005-0000-0000-000074180000}"/>
    <cellStyle name="20% - Accent2 7 2 2 3 4" xfId="21274" xr:uid="{00000000-0005-0000-0000-000075180000}"/>
    <cellStyle name="20% - Accent2 7 2 2 4" xfId="13275" xr:uid="{00000000-0005-0000-0000-000076180000}"/>
    <cellStyle name="20% - Accent2 7 2 2 4 2" xfId="25132" xr:uid="{00000000-0005-0000-0000-000077180000}"/>
    <cellStyle name="20% - Accent2 7 2 2 5" xfId="17226" xr:uid="{00000000-0005-0000-0000-000078180000}"/>
    <cellStyle name="20% - Accent2 7 2 2 5 2" xfId="28918" xr:uid="{00000000-0005-0000-0000-000079180000}"/>
    <cellStyle name="20% - Accent2 7 2 2 6" xfId="21272" xr:uid="{00000000-0005-0000-0000-00007A180000}"/>
    <cellStyle name="20% - Accent2 7 2 3" xfId="1923" xr:uid="{00000000-0005-0000-0000-00007B180000}"/>
    <cellStyle name="20% - Accent2 7 2 3 2" xfId="1924" xr:uid="{00000000-0005-0000-0000-00007C180000}"/>
    <cellStyle name="20% - Accent2 7 2 3 2 2" xfId="13279" xr:uid="{00000000-0005-0000-0000-00007D180000}"/>
    <cellStyle name="20% - Accent2 7 2 3 2 2 2" xfId="25136" xr:uid="{00000000-0005-0000-0000-00007E180000}"/>
    <cellStyle name="20% - Accent2 7 2 3 2 3" xfId="17230" xr:uid="{00000000-0005-0000-0000-00007F180000}"/>
    <cellStyle name="20% - Accent2 7 2 3 2 3 2" xfId="28922" xr:uid="{00000000-0005-0000-0000-000080180000}"/>
    <cellStyle name="20% - Accent2 7 2 3 2 4" xfId="21276" xr:uid="{00000000-0005-0000-0000-000081180000}"/>
    <cellStyle name="20% - Accent2 7 2 3 3" xfId="1925" xr:uid="{00000000-0005-0000-0000-000082180000}"/>
    <cellStyle name="20% - Accent2 7 2 3 3 2" xfId="13280" xr:uid="{00000000-0005-0000-0000-000083180000}"/>
    <cellStyle name="20% - Accent2 7 2 3 3 2 2" xfId="25137" xr:uid="{00000000-0005-0000-0000-000084180000}"/>
    <cellStyle name="20% - Accent2 7 2 3 3 3" xfId="17231" xr:uid="{00000000-0005-0000-0000-000085180000}"/>
    <cellStyle name="20% - Accent2 7 2 3 3 3 2" xfId="28923" xr:uid="{00000000-0005-0000-0000-000086180000}"/>
    <cellStyle name="20% - Accent2 7 2 3 3 4" xfId="21277" xr:uid="{00000000-0005-0000-0000-000087180000}"/>
    <cellStyle name="20% - Accent2 7 2 3 4" xfId="13278" xr:uid="{00000000-0005-0000-0000-000088180000}"/>
    <cellStyle name="20% - Accent2 7 2 3 4 2" xfId="25135" xr:uid="{00000000-0005-0000-0000-000089180000}"/>
    <cellStyle name="20% - Accent2 7 2 3 5" xfId="17229" xr:uid="{00000000-0005-0000-0000-00008A180000}"/>
    <cellStyle name="20% - Accent2 7 2 3 5 2" xfId="28921" xr:uid="{00000000-0005-0000-0000-00008B180000}"/>
    <cellStyle name="20% - Accent2 7 2 3 6" xfId="21275" xr:uid="{00000000-0005-0000-0000-00008C180000}"/>
    <cellStyle name="20% - Accent2 7 2 4" xfId="1926" xr:uid="{00000000-0005-0000-0000-00008D180000}"/>
    <cellStyle name="20% - Accent2 7 2 4 2" xfId="1927" xr:uid="{00000000-0005-0000-0000-00008E180000}"/>
    <cellStyle name="20% - Accent2 7 2 4 2 2" xfId="13282" xr:uid="{00000000-0005-0000-0000-00008F180000}"/>
    <cellStyle name="20% - Accent2 7 2 4 2 2 2" xfId="25139" xr:uid="{00000000-0005-0000-0000-000090180000}"/>
    <cellStyle name="20% - Accent2 7 2 4 2 3" xfId="17233" xr:uid="{00000000-0005-0000-0000-000091180000}"/>
    <cellStyle name="20% - Accent2 7 2 4 2 3 2" xfId="28925" xr:uid="{00000000-0005-0000-0000-000092180000}"/>
    <cellStyle name="20% - Accent2 7 2 4 2 4" xfId="21279" xr:uid="{00000000-0005-0000-0000-000093180000}"/>
    <cellStyle name="20% - Accent2 7 2 4 3" xfId="1928" xr:uid="{00000000-0005-0000-0000-000094180000}"/>
    <cellStyle name="20% - Accent2 7 2 4 3 2" xfId="13283" xr:uid="{00000000-0005-0000-0000-000095180000}"/>
    <cellStyle name="20% - Accent2 7 2 4 3 2 2" xfId="25140" xr:uid="{00000000-0005-0000-0000-000096180000}"/>
    <cellStyle name="20% - Accent2 7 2 4 3 3" xfId="17234" xr:uid="{00000000-0005-0000-0000-000097180000}"/>
    <cellStyle name="20% - Accent2 7 2 4 3 3 2" xfId="28926" xr:uid="{00000000-0005-0000-0000-000098180000}"/>
    <cellStyle name="20% - Accent2 7 2 4 3 4" xfId="21280" xr:uid="{00000000-0005-0000-0000-000099180000}"/>
    <cellStyle name="20% - Accent2 7 2 4 4" xfId="13281" xr:uid="{00000000-0005-0000-0000-00009A180000}"/>
    <cellStyle name="20% - Accent2 7 2 4 4 2" xfId="25138" xr:uid="{00000000-0005-0000-0000-00009B180000}"/>
    <cellStyle name="20% - Accent2 7 2 4 5" xfId="17232" xr:uid="{00000000-0005-0000-0000-00009C180000}"/>
    <cellStyle name="20% - Accent2 7 2 4 5 2" xfId="28924" xr:uid="{00000000-0005-0000-0000-00009D180000}"/>
    <cellStyle name="20% - Accent2 7 2 4 6" xfId="21278" xr:uid="{00000000-0005-0000-0000-00009E180000}"/>
    <cellStyle name="20% - Accent2 7 2 5" xfId="1929" xr:uid="{00000000-0005-0000-0000-00009F180000}"/>
    <cellStyle name="20% - Accent2 7 2 5 2" xfId="13284" xr:uid="{00000000-0005-0000-0000-0000A0180000}"/>
    <cellStyle name="20% - Accent2 7 2 5 2 2" xfId="25141" xr:uid="{00000000-0005-0000-0000-0000A1180000}"/>
    <cellStyle name="20% - Accent2 7 2 5 3" xfId="17235" xr:uid="{00000000-0005-0000-0000-0000A2180000}"/>
    <cellStyle name="20% - Accent2 7 2 5 3 2" xfId="28927" xr:uid="{00000000-0005-0000-0000-0000A3180000}"/>
    <cellStyle name="20% - Accent2 7 2 5 4" xfId="21281" xr:uid="{00000000-0005-0000-0000-0000A4180000}"/>
    <cellStyle name="20% - Accent2 7 2 6" xfId="1930" xr:uid="{00000000-0005-0000-0000-0000A5180000}"/>
    <cellStyle name="20% - Accent2 7 2 6 2" xfId="13285" xr:uid="{00000000-0005-0000-0000-0000A6180000}"/>
    <cellStyle name="20% - Accent2 7 2 6 2 2" xfId="25142" xr:uid="{00000000-0005-0000-0000-0000A7180000}"/>
    <cellStyle name="20% - Accent2 7 2 6 3" xfId="17236" xr:uid="{00000000-0005-0000-0000-0000A8180000}"/>
    <cellStyle name="20% - Accent2 7 2 6 3 2" xfId="28928" xr:uid="{00000000-0005-0000-0000-0000A9180000}"/>
    <cellStyle name="20% - Accent2 7 2 6 4" xfId="21282" xr:uid="{00000000-0005-0000-0000-0000AA180000}"/>
    <cellStyle name="20% - Accent2 7 2 7" xfId="13274" xr:uid="{00000000-0005-0000-0000-0000AB180000}"/>
    <cellStyle name="20% - Accent2 7 2 7 2" xfId="25131" xr:uid="{00000000-0005-0000-0000-0000AC180000}"/>
    <cellStyle name="20% - Accent2 7 2 8" xfId="17225" xr:uid="{00000000-0005-0000-0000-0000AD180000}"/>
    <cellStyle name="20% - Accent2 7 2 8 2" xfId="28917" xr:uid="{00000000-0005-0000-0000-0000AE180000}"/>
    <cellStyle name="20% - Accent2 7 2 9" xfId="21271" xr:uid="{00000000-0005-0000-0000-0000AF180000}"/>
    <cellStyle name="20% - Accent2 7 2_Volatility" xfId="1931" xr:uid="{00000000-0005-0000-0000-0000B0180000}"/>
    <cellStyle name="20% - Accent2 7 3" xfId="1932" xr:uid="{00000000-0005-0000-0000-0000B1180000}"/>
    <cellStyle name="20% - Accent2 7 3 2" xfId="1933" xr:uid="{00000000-0005-0000-0000-0000B2180000}"/>
    <cellStyle name="20% - Accent2 7 3 2 2" xfId="1934" xr:uid="{00000000-0005-0000-0000-0000B3180000}"/>
    <cellStyle name="20% - Accent2 7 3 2 2 2" xfId="13288" xr:uid="{00000000-0005-0000-0000-0000B4180000}"/>
    <cellStyle name="20% - Accent2 7 3 2 2 2 2" xfId="25145" xr:uid="{00000000-0005-0000-0000-0000B5180000}"/>
    <cellStyle name="20% - Accent2 7 3 2 2 3" xfId="17239" xr:uid="{00000000-0005-0000-0000-0000B6180000}"/>
    <cellStyle name="20% - Accent2 7 3 2 2 3 2" xfId="28931" xr:uid="{00000000-0005-0000-0000-0000B7180000}"/>
    <cellStyle name="20% - Accent2 7 3 2 2 4" xfId="21285" xr:uid="{00000000-0005-0000-0000-0000B8180000}"/>
    <cellStyle name="20% - Accent2 7 3 2 3" xfId="1935" xr:uid="{00000000-0005-0000-0000-0000B9180000}"/>
    <cellStyle name="20% - Accent2 7 3 2 3 2" xfId="13289" xr:uid="{00000000-0005-0000-0000-0000BA180000}"/>
    <cellStyle name="20% - Accent2 7 3 2 3 2 2" xfId="25146" xr:uid="{00000000-0005-0000-0000-0000BB180000}"/>
    <cellStyle name="20% - Accent2 7 3 2 3 3" xfId="17240" xr:uid="{00000000-0005-0000-0000-0000BC180000}"/>
    <cellStyle name="20% - Accent2 7 3 2 3 3 2" xfId="28932" xr:uid="{00000000-0005-0000-0000-0000BD180000}"/>
    <cellStyle name="20% - Accent2 7 3 2 3 4" xfId="21286" xr:uid="{00000000-0005-0000-0000-0000BE180000}"/>
    <cellStyle name="20% - Accent2 7 3 2 4" xfId="13287" xr:uid="{00000000-0005-0000-0000-0000BF180000}"/>
    <cellStyle name="20% - Accent2 7 3 2 4 2" xfId="25144" xr:uid="{00000000-0005-0000-0000-0000C0180000}"/>
    <cellStyle name="20% - Accent2 7 3 2 5" xfId="17238" xr:uid="{00000000-0005-0000-0000-0000C1180000}"/>
    <cellStyle name="20% - Accent2 7 3 2 5 2" xfId="28930" xr:uid="{00000000-0005-0000-0000-0000C2180000}"/>
    <cellStyle name="20% - Accent2 7 3 2 6" xfId="21284" xr:uid="{00000000-0005-0000-0000-0000C3180000}"/>
    <cellStyle name="20% - Accent2 7 3 3" xfId="1936" xr:uid="{00000000-0005-0000-0000-0000C4180000}"/>
    <cellStyle name="20% - Accent2 7 3 3 2" xfId="1937" xr:uid="{00000000-0005-0000-0000-0000C5180000}"/>
    <cellStyle name="20% - Accent2 7 3 3 2 2" xfId="13291" xr:uid="{00000000-0005-0000-0000-0000C6180000}"/>
    <cellStyle name="20% - Accent2 7 3 3 2 2 2" xfId="25148" xr:uid="{00000000-0005-0000-0000-0000C7180000}"/>
    <cellStyle name="20% - Accent2 7 3 3 2 3" xfId="17242" xr:uid="{00000000-0005-0000-0000-0000C8180000}"/>
    <cellStyle name="20% - Accent2 7 3 3 2 3 2" xfId="28934" xr:uid="{00000000-0005-0000-0000-0000C9180000}"/>
    <cellStyle name="20% - Accent2 7 3 3 2 4" xfId="21288" xr:uid="{00000000-0005-0000-0000-0000CA180000}"/>
    <cellStyle name="20% - Accent2 7 3 3 3" xfId="1938" xr:uid="{00000000-0005-0000-0000-0000CB180000}"/>
    <cellStyle name="20% - Accent2 7 3 3 3 2" xfId="13292" xr:uid="{00000000-0005-0000-0000-0000CC180000}"/>
    <cellStyle name="20% - Accent2 7 3 3 3 2 2" xfId="25149" xr:uid="{00000000-0005-0000-0000-0000CD180000}"/>
    <cellStyle name="20% - Accent2 7 3 3 3 3" xfId="17243" xr:uid="{00000000-0005-0000-0000-0000CE180000}"/>
    <cellStyle name="20% - Accent2 7 3 3 3 3 2" xfId="28935" xr:uid="{00000000-0005-0000-0000-0000CF180000}"/>
    <cellStyle name="20% - Accent2 7 3 3 3 4" xfId="21289" xr:uid="{00000000-0005-0000-0000-0000D0180000}"/>
    <cellStyle name="20% - Accent2 7 3 3 4" xfId="13290" xr:uid="{00000000-0005-0000-0000-0000D1180000}"/>
    <cellStyle name="20% - Accent2 7 3 3 4 2" xfId="25147" xr:uid="{00000000-0005-0000-0000-0000D2180000}"/>
    <cellStyle name="20% - Accent2 7 3 3 5" xfId="17241" xr:uid="{00000000-0005-0000-0000-0000D3180000}"/>
    <cellStyle name="20% - Accent2 7 3 3 5 2" xfId="28933" xr:uid="{00000000-0005-0000-0000-0000D4180000}"/>
    <cellStyle name="20% - Accent2 7 3 3 6" xfId="21287" xr:uid="{00000000-0005-0000-0000-0000D5180000}"/>
    <cellStyle name="20% - Accent2 7 3 4" xfId="1939" xr:uid="{00000000-0005-0000-0000-0000D6180000}"/>
    <cellStyle name="20% - Accent2 7 3 4 2" xfId="13293" xr:uid="{00000000-0005-0000-0000-0000D7180000}"/>
    <cellStyle name="20% - Accent2 7 3 4 2 2" xfId="25150" xr:uid="{00000000-0005-0000-0000-0000D8180000}"/>
    <cellStyle name="20% - Accent2 7 3 4 3" xfId="17244" xr:uid="{00000000-0005-0000-0000-0000D9180000}"/>
    <cellStyle name="20% - Accent2 7 3 4 3 2" xfId="28936" xr:uid="{00000000-0005-0000-0000-0000DA180000}"/>
    <cellStyle name="20% - Accent2 7 3 4 4" xfId="21290" xr:uid="{00000000-0005-0000-0000-0000DB180000}"/>
    <cellStyle name="20% - Accent2 7 3 5" xfId="1940" xr:uid="{00000000-0005-0000-0000-0000DC180000}"/>
    <cellStyle name="20% - Accent2 7 3 5 2" xfId="13294" xr:uid="{00000000-0005-0000-0000-0000DD180000}"/>
    <cellStyle name="20% - Accent2 7 3 5 2 2" xfId="25151" xr:uid="{00000000-0005-0000-0000-0000DE180000}"/>
    <cellStyle name="20% - Accent2 7 3 5 3" xfId="17245" xr:uid="{00000000-0005-0000-0000-0000DF180000}"/>
    <cellStyle name="20% - Accent2 7 3 5 3 2" xfId="28937" xr:uid="{00000000-0005-0000-0000-0000E0180000}"/>
    <cellStyle name="20% - Accent2 7 3 5 4" xfId="21291" xr:uid="{00000000-0005-0000-0000-0000E1180000}"/>
    <cellStyle name="20% - Accent2 7 3 6" xfId="13286" xr:uid="{00000000-0005-0000-0000-0000E2180000}"/>
    <cellStyle name="20% - Accent2 7 3 6 2" xfId="25143" xr:uid="{00000000-0005-0000-0000-0000E3180000}"/>
    <cellStyle name="20% - Accent2 7 3 7" xfId="17237" xr:uid="{00000000-0005-0000-0000-0000E4180000}"/>
    <cellStyle name="20% - Accent2 7 3 7 2" xfId="28929" xr:uid="{00000000-0005-0000-0000-0000E5180000}"/>
    <cellStyle name="20% - Accent2 7 3 8" xfId="21283" xr:uid="{00000000-0005-0000-0000-0000E6180000}"/>
    <cellStyle name="20% - Accent2 7 3_Volatility" xfId="1941" xr:uid="{00000000-0005-0000-0000-0000E7180000}"/>
    <cellStyle name="20% - Accent2 7 4" xfId="1942" xr:uid="{00000000-0005-0000-0000-0000E8180000}"/>
    <cellStyle name="20% - Accent2 7 4 2" xfId="1943" xr:uid="{00000000-0005-0000-0000-0000E9180000}"/>
    <cellStyle name="20% - Accent2 7 4 2 2" xfId="13296" xr:uid="{00000000-0005-0000-0000-0000EA180000}"/>
    <cellStyle name="20% - Accent2 7 4 2 2 2" xfId="25153" xr:uid="{00000000-0005-0000-0000-0000EB180000}"/>
    <cellStyle name="20% - Accent2 7 4 2 3" xfId="17247" xr:uid="{00000000-0005-0000-0000-0000EC180000}"/>
    <cellStyle name="20% - Accent2 7 4 2 3 2" xfId="28939" xr:uid="{00000000-0005-0000-0000-0000ED180000}"/>
    <cellStyle name="20% - Accent2 7 4 2 4" xfId="21293" xr:uid="{00000000-0005-0000-0000-0000EE180000}"/>
    <cellStyle name="20% - Accent2 7 4 3" xfId="1944" xr:uid="{00000000-0005-0000-0000-0000EF180000}"/>
    <cellStyle name="20% - Accent2 7 4 3 2" xfId="13297" xr:uid="{00000000-0005-0000-0000-0000F0180000}"/>
    <cellStyle name="20% - Accent2 7 4 3 2 2" xfId="25154" xr:uid="{00000000-0005-0000-0000-0000F1180000}"/>
    <cellStyle name="20% - Accent2 7 4 3 3" xfId="17248" xr:uid="{00000000-0005-0000-0000-0000F2180000}"/>
    <cellStyle name="20% - Accent2 7 4 3 3 2" xfId="28940" xr:uid="{00000000-0005-0000-0000-0000F3180000}"/>
    <cellStyle name="20% - Accent2 7 4 3 4" xfId="21294" xr:uid="{00000000-0005-0000-0000-0000F4180000}"/>
    <cellStyle name="20% - Accent2 7 4 4" xfId="13295" xr:uid="{00000000-0005-0000-0000-0000F5180000}"/>
    <cellStyle name="20% - Accent2 7 4 4 2" xfId="25152" xr:uid="{00000000-0005-0000-0000-0000F6180000}"/>
    <cellStyle name="20% - Accent2 7 4 5" xfId="17246" xr:uid="{00000000-0005-0000-0000-0000F7180000}"/>
    <cellStyle name="20% - Accent2 7 4 5 2" xfId="28938" xr:uid="{00000000-0005-0000-0000-0000F8180000}"/>
    <cellStyle name="20% - Accent2 7 4 6" xfId="21292" xr:uid="{00000000-0005-0000-0000-0000F9180000}"/>
    <cellStyle name="20% - Accent2 7 5" xfId="1945" xr:uid="{00000000-0005-0000-0000-0000FA180000}"/>
    <cellStyle name="20% - Accent2 7 5 2" xfId="1946" xr:uid="{00000000-0005-0000-0000-0000FB180000}"/>
    <cellStyle name="20% - Accent2 7 5 2 2" xfId="13299" xr:uid="{00000000-0005-0000-0000-0000FC180000}"/>
    <cellStyle name="20% - Accent2 7 5 2 2 2" xfId="25156" xr:uid="{00000000-0005-0000-0000-0000FD180000}"/>
    <cellStyle name="20% - Accent2 7 5 2 3" xfId="17250" xr:uid="{00000000-0005-0000-0000-0000FE180000}"/>
    <cellStyle name="20% - Accent2 7 5 2 3 2" xfId="28942" xr:uid="{00000000-0005-0000-0000-0000FF180000}"/>
    <cellStyle name="20% - Accent2 7 5 2 4" xfId="21296" xr:uid="{00000000-0005-0000-0000-000000190000}"/>
    <cellStyle name="20% - Accent2 7 5 3" xfId="1947" xr:uid="{00000000-0005-0000-0000-000001190000}"/>
    <cellStyle name="20% - Accent2 7 5 3 2" xfId="13300" xr:uid="{00000000-0005-0000-0000-000002190000}"/>
    <cellStyle name="20% - Accent2 7 5 3 2 2" xfId="25157" xr:uid="{00000000-0005-0000-0000-000003190000}"/>
    <cellStyle name="20% - Accent2 7 5 3 3" xfId="17251" xr:uid="{00000000-0005-0000-0000-000004190000}"/>
    <cellStyle name="20% - Accent2 7 5 3 3 2" xfId="28943" xr:uid="{00000000-0005-0000-0000-000005190000}"/>
    <cellStyle name="20% - Accent2 7 5 3 4" xfId="21297" xr:uid="{00000000-0005-0000-0000-000006190000}"/>
    <cellStyle name="20% - Accent2 7 5 4" xfId="13298" xr:uid="{00000000-0005-0000-0000-000007190000}"/>
    <cellStyle name="20% - Accent2 7 5 4 2" xfId="25155" xr:uid="{00000000-0005-0000-0000-000008190000}"/>
    <cellStyle name="20% - Accent2 7 5 5" xfId="17249" xr:uid="{00000000-0005-0000-0000-000009190000}"/>
    <cellStyle name="20% - Accent2 7 5 5 2" xfId="28941" xr:uid="{00000000-0005-0000-0000-00000A190000}"/>
    <cellStyle name="20% - Accent2 7 5 6" xfId="21295" xr:uid="{00000000-0005-0000-0000-00000B190000}"/>
    <cellStyle name="20% - Accent2 7 6" xfId="1948" xr:uid="{00000000-0005-0000-0000-00000C190000}"/>
    <cellStyle name="20% - Accent2 7 6 2" xfId="1949" xr:uid="{00000000-0005-0000-0000-00000D190000}"/>
    <cellStyle name="20% - Accent2 7 6 2 2" xfId="13302" xr:uid="{00000000-0005-0000-0000-00000E190000}"/>
    <cellStyle name="20% - Accent2 7 6 2 2 2" xfId="25159" xr:uid="{00000000-0005-0000-0000-00000F190000}"/>
    <cellStyle name="20% - Accent2 7 6 2 3" xfId="17253" xr:uid="{00000000-0005-0000-0000-000010190000}"/>
    <cellStyle name="20% - Accent2 7 6 2 3 2" xfId="28945" xr:uid="{00000000-0005-0000-0000-000011190000}"/>
    <cellStyle name="20% - Accent2 7 6 2 4" xfId="21299" xr:uid="{00000000-0005-0000-0000-000012190000}"/>
    <cellStyle name="20% - Accent2 7 6 3" xfId="1950" xr:uid="{00000000-0005-0000-0000-000013190000}"/>
    <cellStyle name="20% - Accent2 7 6 3 2" xfId="13303" xr:uid="{00000000-0005-0000-0000-000014190000}"/>
    <cellStyle name="20% - Accent2 7 6 3 2 2" xfId="25160" xr:uid="{00000000-0005-0000-0000-000015190000}"/>
    <cellStyle name="20% - Accent2 7 6 3 3" xfId="17254" xr:uid="{00000000-0005-0000-0000-000016190000}"/>
    <cellStyle name="20% - Accent2 7 6 3 3 2" xfId="28946" xr:uid="{00000000-0005-0000-0000-000017190000}"/>
    <cellStyle name="20% - Accent2 7 6 3 4" xfId="21300" xr:uid="{00000000-0005-0000-0000-000018190000}"/>
    <cellStyle name="20% - Accent2 7 6 4" xfId="13301" xr:uid="{00000000-0005-0000-0000-000019190000}"/>
    <cellStyle name="20% - Accent2 7 6 4 2" xfId="25158" xr:uid="{00000000-0005-0000-0000-00001A190000}"/>
    <cellStyle name="20% - Accent2 7 6 5" xfId="17252" xr:uid="{00000000-0005-0000-0000-00001B190000}"/>
    <cellStyle name="20% - Accent2 7 6 5 2" xfId="28944" xr:uid="{00000000-0005-0000-0000-00001C190000}"/>
    <cellStyle name="20% - Accent2 7 6 6" xfId="21298" xr:uid="{00000000-0005-0000-0000-00001D190000}"/>
    <cellStyle name="20% - Accent2 7 7" xfId="1951" xr:uid="{00000000-0005-0000-0000-00001E190000}"/>
    <cellStyle name="20% - Accent2 7 7 2" xfId="13304" xr:uid="{00000000-0005-0000-0000-00001F190000}"/>
    <cellStyle name="20% - Accent2 7 7 2 2" xfId="25161" xr:uid="{00000000-0005-0000-0000-000020190000}"/>
    <cellStyle name="20% - Accent2 7 7 3" xfId="17255" xr:uid="{00000000-0005-0000-0000-000021190000}"/>
    <cellStyle name="20% - Accent2 7 7 3 2" xfId="28947" xr:uid="{00000000-0005-0000-0000-000022190000}"/>
    <cellStyle name="20% - Accent2 7 7 4" xfId="21301" xr:uid="{00000000-0005-0000-0000-000023190000}"/>
    <cellStyle name="20% - Accent2 7 8" xfId="1952" xr:uid="{00000000-0005-0000-0000-000024190000}"/>
    <cellStyle name="20% - Accent2 7 8 2" xfId="13305" xr:uid="{00000000-0005-0000-0000-000025190000}"/>
    <cellStyle name="20% - Accent2 7 8 2 2" xfId="25162" xr:uid="{00000000-0005-0000-0000-000026190000}"/>
    <cellStyle name="20% - Accent2 7 8 3" xfId="17256" xr:uid="{00000000-0005-0000-0000-000027190000}"/>
    <cellStyle name="20% - Accent2 7 8 3 2" xfId="28948" xr:uid="{00000000-0005-0000-0000-000028190000}"/>
    <cellStyle name="20% - Accent2 7 8 4" xfId="21302" xr:uid="{00000000-0005-0000-0000-000029190000}"/>
    <cellStyle name="20% - Accent2 7 9" xfId="13273" xr:uid="{00000000-0005-0000-0000-00002A190000}"/>
    <cellStyle name="20% - Accent2 7 9 2" xfId="25130" xr:uid="{00000000-0005-0000-0000-00002B190000}"/>
    <cellStyle name="20% - Accent2 7_Volatility" xfId="1953" xr:uid="{00000000-0005-0000-0000-00002C190000}"/>
    <cellStyle name="20% - Accent2 8" xfId="1954" xr:uid="{00000000-0005-0000-0000-00002D190000}"/>
    <cellStyle name="20% - Accent2 8 10" xfId="17257" xr:uid="{00000000-0005-0000-0000-00002E190000}"/>
    <cellStyle name="20% - Accent2 8 10 2" xfId="28949" xr:uid="{00000000-0005-0000-0000-00002F190000}"/>
    <cellStyle name="20% - Accent2 8 11" xfId="21303" xr:uid="{00000000-0005-0000-0000-000030190000}"/>
    <cellStyle name="20% - Accent2 8 2" xfId="1955" xr:uid="{00000000-0005-0000-0000-000031190000}"/>
    <cellStyle name="20% - Accent2 8 2 2" xfId="1956" xr:uid="{00000000-0005-0000-0000-000032190000}"/>
    <cellStyle name="20% - Accent2 8 2 2 2" xfId="1957" xr:uid="{00000000-0005-0000-0000-000033190000}"/>
    <cellStyle name="20% - Accent2 8 2 2 2 2" xfId="13309" xr:uid="{00000000-0005-0000-0000-000034190000}"/>
    <cellStyle name="20% - Accent2 8 2 2 2 2 2" xfId="25166" xr:uid="{00000000-0005-0000-0000-000035190000}"/>
    <cellStyle name="20% - Accent2 8 2 2 2 3" xfId="17260" xr:uid="{00000000-0005-0000-0000-000036190000}"/>
    <cellStyle name="20% - Accent2 8 2 2 2 3 2" xfId="28952" xr:uid="{00000000-0005-0000-0000-000037190000}"/>
    <cellStyle name="20% - Accent2 8 2 2 2 4" xfId="21306" xr:uid="{00000000-0005-0000-0000-000038190000}"/>
    <cellStyle name="20% - Accent2 8 2 2 3" xfId="1958" xr:uid="{00000000-0005-0000-0000-000039190000}"/>
    <cellStyle name="20% - Accent2 8 2 2 3 2" xfId="13310" xr:uid="{00000000-0005-0000-0000-00003A190000}"/>
    <cellStyle name="20% - Accent2 8 2 2 3 2 2" xfId="25167" xr:uid="{00000000-0005-0000-0000-00003B190000}"/>
    <cellStyle name="20% - Accent2 8 2 2 3 3" xfId="17261" xr:uid="{00000000-0005-0000-0000-00003C190000}"/>
    <cellStyle name="20% - Accent2 8 2 2 3 3 2" xfId="28953" xr:uid="{00000000-0005-0000-0000-00003D190000}"/>
    <cellStyle name="20% - Accent2 8 2 2 3 4" xfId="21307" xr:uid="{00000000-0005-0000-0000-00003E190000}"/>
    <cellStyle name="20% - Accent2 8 2 2 4" xfId="13308" xr:uid="{00000000-0005-0000-0000-00003F190000}"/>
    <cellStyle name="20% - Accent2 8 2 2 4 2" xfId="25165" xr:uid="{00000000-0005-0000-0000-000040190000}"/>
    <cellStyle name="20% - Accent2 8 2 2 5" xfId="17259" xr:uid="{00000000-0005-0000-0000-000041190000}"/>
    <cellStyle name="20% - Accent2 8 2 2 5 2" xfId="28951" xr:uid="{00000000-0005-0000-0000-000042190000}"/>
    <cellStyle name="20% - Accent2 8 2 2 6" xfId="21305" xr:uid="{00000000-0005-0000-0000-000043190000}"/>
    <cellStyle name="20% - Accent2 8 2 3" xfId="1959" xr:uid="{00000000-0005-0000-0000-000044190000}"/>
    <cellStyle name="20% - Accent2 8 2 3 2" xfId="1960" xr:uid="{00000000-0005-0000-0000-000045190000}"/>
    <cellStyle name="20% - Accent2 8 2 3 2 2" xfId="13312" xr:uid="{00000000-0005-0000-0000-000046190000}"/>
    <cellStyle name="20% - Accent2 8 2 3 2 2 2" xfId="25169" xr:uid="{00000000-0005-0000-0000-000047190000}"/>
    <cellStyle name="20% - Accent2 8 2 3 2 3" xfId="17263" xr:uid="{00000000-0005-0000-0000-000048190000}"/>
    <cellStyle name="20% - Accent2 8 2 3 2 3 2" xfId="28955" xr:uid="{00000000-0005-0000-0000-000049190000}"/>
    <cellStyle name="20% - Accent2 8 2 3 2 4" xfId="21309" xr:uid="{00000000-0005-0000-0000-00004A190000}"/>
    <cellStyle name="20% - Accent2 8 2 3 3" xfId="1961" xr:uid="{00000000-0005-0000-0000-00004B190000}"/>
    <cellStyle name="20% - Accent2 8 2 3 3 2" xfId="13313" xr:uid="{00000000-0005-0000-0000-00004C190000}"/>
    <cellStyle name="20% - Accent2 8 2 3 3 2 2" xfId="25170" xr:uid="{00000000-0005-0000-0000-00004D190000}"/>
    <cellStyle name="20% - Accent2 8 2 3 3 3" xfId="17264" xr:uid="{00000000-0005-0000-0000-00004E190000}"/>
    <cellStyle name="20% - Accent2 8 2 3 3 3 2" xfId="28956" xr:uid="{00000000-0005-0000-0000-00004F190000}"/>
    <cellStyle name="20% - Accent2 8 2 3 3 4" xfId="21310" xr:uid="{00000000-0005-0000-0000-000050190000}"/>
    <cellStyle name="20% - Accent2 8 2 3 4" xfId="13311" xr:uid="{00000000-0005-0000-0000-000051190000}"/>
    <cellStyle name="20% - Accent2 8 2 3 4 2" xfId="25168" xr:uid="{00000000-0005-0000-0000-000052190000}"/>
    <cellStyle name="20% - Accent2 8 2 3 5" xfId="17262" xr:uid="{00000000-0005-0000-0000-000053190000}"/>
    <cellStyle name="20% - Accent2 8 2 3 5 2" xfId="28954" xr:uid="{00000000-0005-0000-0000-000054190000}"/>
    <cellStyle name="20% - Accent2 8 2 3 6" xfId="21308" xr:uid="{00000000-0005-0000-0000-000055190000}"/>
    <cellStyle name="20% - Accent2 8 2 4" xfId="1962" xr:uid="{00000000-0005-0000-0000-000056190000}"/>
    <cellStyle name="20% - Accent2 8 2 4 2" xfId="1963" xr:uid="{00000000-0005-0000-0000-000057190000}"/>
    <cellStyle name="20% - Accent2 8 2 4 2 2" xfId="13315" xr:uid="{00000000-0005-0000-0000-000058190000}"/>
    <cellStyle name="20% - Accent2 8 2 4 2 2 2" xfId="25172" xr:uid="{00000000-0005-0000-0000-000059190000}"/>
    <cellStyle name="20% - Accent2 8 2 4 2 3" xfId="17266" xr:uid="{00000000-0005-0000-0000-00005A190000}"/>
    <cellStyle name="20% - Accent2 8 2 4 2 3 2" xfId="28958" xr:uid="{00000000-0005-0000-0000-00005B190000}"/>
    <cellStyle name="20% - Accent2 8 2 4 2 4" xfId="21312" xr:uid="{00000000-0005-0000-0000-00005C190000}"/>
    <cellStyle name="20% - Accent2 8 2 4 3" xfId="1964" xr:uid="{00000000-0005-0000-0000-00005D190000}"/>
    <cellStyle name="20% - Accent2 8 2 4 3 2" xfId="13316" xr:uid="{00000000-0005-0000-0000-00005E190000}"/>
    <cellStyle name="20% - Accent2 8 2 4 3 2 2" xfId="25173" xr:uid="{00000000-0005-0000-0000-00005F190000}"/>
    <cellStyle name="20% - Accent2 8 2 4 3 3" xfId="17267" xr:uid="{00000000-0005-0000-0000-000060190000}"/>
    <cellStyle name="20% - Accent2 8 2 4 3 3 2" xfId="28959" xr:uid="{00000000-0005-0000-0000-000061190000}"/>
    <cellStyle name="20% - Accent2 8 2 4 3 4" xfId="21313" xr:uid="{00000000-0005-0000-0000-000062190000}"/>
    <cellStyle name="20% - Accent2 8 2 4 4" xfId="13314" xr:uid="{00000000-0005-0000-0000-000063190000}"/>
    <cellStyle name="20% - Accent2 8 2 4 4 2" xfId="25171" xr:uid="{00000000-0005-0000-0000-000064190000}"/>
    <cellStyle name="20% - Accent2 8 2 4 5" xfId="17265" xr:uid="{00000000-0005-0000-0000-000065190000}"/>
    <cellStyle name="20% - Accent2 8 2 4 5 2" xfId="28957" xr:uid="{00000000-0005-0000-0000-000066190000}"/>
    <cellStyle name="20% - Accent2 8 2 4 6" xfId="21311" xr:uid="{00000000-0005-0000-0000-000067190000}"/>
    <cellStyle name="20% - Accent2 8 2 5" xfId="1965" xr:uid="{00000000-0005-0000-0000-000068190000}"/>
    <cellStyle name="20% - Accent2 8 2 5 2" xfId="13317" xr:uid="{00000000-0005-0000-0000-000069190000}"/>
    <cellStyle name="20% - Accent2 8 2 5 2 2" xfId="25174" xr:uid="{00000000-0005-0000-0000-00006A190000}"/>
    <cellStyle name="20% - Accent2 8 2 5 3" xfId="17268" xr:uid="{00000000-0005-0000-0000-00006B190000}"/>
    <cellStyle name="20% - Accent2 8 2 5 3 2" xfId="28960" xr:uid="{00000000-0005-0000-0000-00006C190000}"/>
    <cellStyle name="20% - Accent2 8 2 5 4" xfId="21314" xr:uid="{00000000-0005-0000-0000-00006D190000}"/>
    <cellStyle name="20% - Accent2 8 2 6" xfId="1966" xr:uid="{00000000-0005-0000-0000-00006E190000}"/>
    <cellStyle name="20% - Accent2 8 2 6 2" xfId="13318" xr:uid="{00000000-0005-0000-0000-00006F190000}"/>
    <cellStyle name="20% - Accent2 8 2 6 2 2" xfId="25175" xr:uid="{00000000-0005-0000-0000-000070190000}"/>
    <cellStyle name="20% - Accent2 8 2 6 3" xfId="17269" xr:uid="{00000000-0005-0000-0000-000071190000}"/>
    <cellStyle name="20% - Accent2 8 2 6 3 2" xfId="28961" xr:uid="{00000000-0005-0000-0000-000072190000}"/>
    <cellStyle name="20% - Accent2 8 2 6 4" xfId="21315" xr:uid="{00000000-0005-0000-0000-000073190000}"/>
    <cellStyle name="20% - Accent2 8 2 7" xfId="13307" xr:uid="{00000000-0005-0000-0000-000074190000}"/>
    <cellStyle name="20% - Accent2 8 2 7 2" xfId="25164" xr:uid="{00000000-0005-0000-0000-000075190000}"/>
    <cellStyle name="20% - Accent2 8 2 8" xfId="17258" xr:uid="{00000000-0005-0000-0000-000076190000}"/>
    <cellStyle name="20% - Accent2 8 2 8 2" xfId="28950" xr:uid="{00000000-0005-0000-0000-000077190000}"/>
    <cellStyle name="20% - Accent2 8 2 9" xfId="21304" xr:uid="{00000000-0005-0000-0000-000078190000}"/>
    <cellStyle name="20% - Accent2 8 2_Volatility" xfId="1967" xr:uid="{00000000-0005-0000-0000-000079190000}"/>
    <cellStyle name="20% - Accent2 8 3" xfId="1968" xr:uid="{00000000-0005-0000-0000-00007A190000}"/>
    <cellStyle name="20% - Accent2 8 3 2" xfId="1969" xr:uid="{00000000-0005-0000-0000-00007B190000}"/>
    <cellStyle name="20% - Accent2 8 3 2 2" xfId="1970" xr:uid="{00000000-0005-0000-0000-00007C190000}"/>
    <cellStyle name="20% - Accent2 8 3 2 2 2" xfId="13321" xr:uid="{00000000-0005-0000-0000-00007D190000}"/>
    <cellStyle name="20% - Accent2 8 3 2 2 2 2" xfId="25178" xr:uid="{00000000-0005-0000-0000-00007E190000}"/>
    <cellStyle name="20% - Accent2 8 3 2 2 3" xfId="17272" xr:uid="{00000000-0005-0000-0000-00007F190000}"/>
    <cellStyle name="20% - Accent2 8 3 2 2 3 2" xfId="28964" xr:uid="{00000000-0005-0000-0000-000080190000}"/>
    <cellStyle name="20% - Accent2 8 3 2 2 4" xfId="21318" xr:uid="{00000000-0005-0000-0000-000081190000}"/>
    <cellStyle name="20% - Accent2 8 3 2 3" xfId="1971" xr:uid="{00000000-0005-0000-0000-000082190000}"/>
    <cellStyle name="20% - Accent2 8 3 2 3 2" xfId="13322" xr:uid="{00000000-0005-0000-0000-000083190000}"/>
    <cellStyle name="20% - Accent2 8 3 2 3 2 2" xfId="25179" xr:uid="{00000000-0005-0000-0000-000084190000}"/>
    <cellStyle name="20% - Accent2 8 3 2 3 3" xfId="17273" xr:uid="{00000000-0005-0000-0000-000085190000}"/>
    <cellStyle name="20% - Accent2 8 3 2 3 3 2" xfId="28965" xr:uid="{00000000-0005-0000-0000-000086190000}"/>
    <cellStyle name="20% - Accent2 8 3 2 3 4" xfId="21319" xr:uid="{00000000-0005-0000-0000-000087190000}"/>
    <cellStyle name="20% - Accent2 8 3 2 4" xfId="13320" xr:uid="{00000000-0005-0000-0000-000088190000}"/>
    <cellStyle name="20% - Accent2 8 3 2 4 2" xfId="25177" xr:uid="{00000000-0005-0000-0000-000089190000}"/>
    <cellStyle name="20% - Accent2 8 3 2 5" xfId="17271" xr:uid="{00000000-0005-0000-0000-00008A190000}"/>
    <cellStyle name="20% - Accent2 8 3 2 5 2" xfId="28963" xr:uid="{00000000-0005-0000-0000-00008B190000}"/>
    <cellStyle name="20% - Accent2 8 3 2 6" xfId="21317" xr:uid="{00000000-0005-0000-0000-00008C190000}"/>
    <cellStyle name="20% - Accent2 8 3 3" xfId="1972" xr:uid="{00000000-0005-0000-0000-00008D190000}"/>
    <cellStyle name="20% - Accent2 8 3 3 2" xfId="1973" xr:uid="{00000000-0005-0000-0000-00008E190000}"/>
    <cellStyle name="20% - Accent2 8 3 3 2 2" xfId="13324" xr:uid="{00000000-0005-0000-0000-00008F190000}"/>
    <cellStyle name="20% - Accent2 8 3 3 2 2 2" xfId="25181" xr:uid="{00000000-0005-0000-0000-000090190000}"/>
    <cellStyle name="20% - Accent2 8 3 3 2 3" xfId="17275" xr:uid="{00000000-0005-0000-0000-000091190000}"/>
    <cellStyle name="20% - Accent2 8 3 3 2 3 2" xfId="28967" xr:uid="{00000000-0005-0000-0000-000092190000}"/>
    <cellStyle name="20% - Accent2 8 3 3 2 4" xfId="21321" xr:uid="{00000000-0005-0000-0000-000093190000}"/>
    <cellStyle name="20% - Accent2 8 3 3 3" xfId="1974" xr:uid="{00000000-0005-0000-0000-000094190000}"/>
    <cellStyle name="20% - Accent2 8 3 3 3 2" xfId="13325" xr:uid="{00000000-0005-0000-0000-000095190000}"/>
    <cellStyle name="20% - Accent2 8 3 3 3 2 2" xfId="25182" xr:uid="{00000000-0005-0000-0000-000096190000}"/>
    <cellStyle name="20% - Accent2 8 3 3 3 3" xfId="17276" xr:uid="{00000000-0005-0000-0000-000097190000}"/>
    <cellStyle name="20% - Accent2 8 3 3 3 3 2" xfId="28968" xr:uid="{00000000-0005-0000-0000-000098190000}"/>
    <cellStyle name="20% - Accent2 8 3 3 3 4" xfId="21322" xr:uid="{00000000-0005-0000-0000-000099190000}"/>
    <cellStyle name="20% - Accent2 8 3 3 4" xfId="13323" xr:uid="{00000000-0005-0000-0000-00009A190000}"/>
    <cellStyle name="20% - Accent2 8 3 3 4 2" xfId="25180" xr:uid="{00000000-0005-0000-0000-00009B190000}"/>
    <cellStyle name="20% - Accent2 8 3 3 5" xfId="17274" xr:uid="{00000000-0005-0000-0000-00009C190000}"/>
    <cellStyle name="20% - Accent2 8 3 3 5 2" xfId="28966" xr:uid="{00000000-0005-0000-0000-00009D190000}"/>
    <cellStyle name="20% - Accent2 8 3 3 6" xfId="21320" xr:uid="{00000000-0005-0000-0000-00009E190000}"/>
    <cellStyle name="20% - Accent2 8 3 4" xfId="1975" xr:uid="{00000000-0005-0000-0000-00009F190000}"/>
    <cellStyle name="20% - Accent2 8 3 4 2" xfId="13326" xr:uid="{00000000-0005-0000-0000-0000A0190000}"/>
    <cellStyle name="20% - Accent2 8 3 4 2 2" xfId="25183" xr:uid="{00000000-0005-0000-0000-0000A1190000}"/>
    <cellStyle name="20% - Accent2 8 3 4 3" xfId="17277" xr:uid="{00000000-0005-0000-0000-0000A2190000}"/>
    <cellStyle name="20% - Accent2 8 3 4 3 2" xfId="28969" xr:uid="{00000000-0005-0000-0000-0000A3190000}"/>
    <cellStyle name="20% - Accent2 8 3 4 4" xfId="21323" xr:uid="{00000000-0005-0000-0000-0000A4190000}"/>
    <cellStyle name="20% - Accent2 8 3 5" xfId="1976" xr:uid="{00000000-0005-0000-0000-0000A5190000}"/>
    <cellStyle name="20% - Accent2 8 3 5 2" xfId="13327" xr:uid="{00000000-0005-0000-0000-0000A6190000}"/>
    <cellStyle name="20% - Accent2 8 3 5 2 2" xfId="25184" xr:uid="{00000000-0005-0000-0000-0000A7190000}"/>
    <cellStyle name="20% - Accent2 8 3 5 3" xfId="17278" xr:uid="{00000000-0005-0000-0000-0000A8190000}"/>
    <cellStyle name="20% - Accent2 8 3 5 3 2" xfId="28970" xr:uid="{00000000-0005-0000-0000-0000A9190000}"/>
    <cellStyle name="20% - Accent2 8 3 5 4" xfId="21324" xr:uid="{00000000-0005-0000-0000-0000AA190000}"/>
    <cellStyle name="20% - Accent2 8 3 6" xfId="13319" xr:uid="{00000000-0005-0000-0000-0000AB190000}"/>
    <cellStyle name="20% - Accent2 8 3 6 2" xfId="25176" xr:uid="{00000000-0005-0000-0000-0000AC190000}"/>
    <cellStyle name="20% - Accent2 8 3 7" xfId="17270" xr:uid="{00000000-0005-0000-0000-0000AD190000}"/>
    <cellStyle name="20% - Accent2 8 3 7 2" xfId="28962" xr:uid="{00000000-0005-0000-0000-0000AE190000}"/>
    <cellStyle name="20% - Accent2 8 3 8" xfId="21316" xr:uid="{00000000-0005-0000-0000-0000AF190000}"/>
    <cellStyle name="20% - Accent2 8 3_Volatility" xfId="1977" xr:uid="{00000000-0005-0000-0000-0000B0190000}"/>
    <cellStyle name="20% - Accent2 8 4" xfId="1978" xr:uid="{00000000-0005-0000-0000-0000B1190000}"/>
    <cellStyle name="20% - Accent2 8 4 2" xfId="1979" xr:uid="{00000000-0005-0000-0000-0000B2190000}"/>
    <cellStyle name="20% - Accent2 8 4 2 2" xfId="13329" xr:uid="{00000000-0005-0000-0000-0000B3190000}"/>
    <cellStyle name="20% - Accent2 8 4 2 2 2" xfId="25186" xr:uid="{00000000-0005-0000-0000-0000B4190000}"/>
    <cellStyle name="20% - Accent2 8 4 2 3" xfId="17280" xr:uid="{00000000-0005-0000-0000-0000B5190000}"/>
    <cellStyle name="20% - Accent2 8 4 2 3 2" xfId="28972" xr:uid="{00000000-0005-0000-0000-0000B6190000}"/>
    <cellStyle name="20% - Accent2 8 4 2 4" xfId="21326" xr:uid="{00000000-0005-0000-0000-0000B7190000}"/>
    <cellStyle name="20% - Accent2 8 4 3" xfId="1980" xr:uid="{00000000-0005-0000-0000-0000B8190000}"/>
    <cellStyle name="20% - Accent2 8 4 3 2" xfId="13330" xr:uid="{00000000-0005-0000-0000-0000B9190000}"/>
    <cellStyle name="20% - Accent2 8 4 3 2 2" xfId="25187" xr:uid="{00000000-0005-0000-0000-0000BA190000}"/>
    <cellStyle name="20% - Accent2 8 4 3 3" xfId="17281" xr:uid="{00000000-0005-0000-0000-0000BB190000}"/>
    <cellStyle name="20% - Accent2 8 4 3 3 2" xfId="28973" xr:uid="{00000000-0005-0000-0000-0000BC190000}"/>
    <cellStyle name="20% - Accent2 8 4 3 4" xfId="21327" xr:uid="{00000000-0005-0000-0000-0000BD190000}"/>
    <cellStyle name="20% - Accent2 8 4 4" xfId="13328" xr:uid="{00000000-0005-0000-0000-0000BE190000}"/>
    <cellStyle name="20% - Accent2 8 4 4 2" xfId="25185" xr:uid="{00000000-0005-0000-0000-0000BF190000}"/>
    <cellStyle name="20% - Accent2 8 4 5" xfId="17279" xr:uid="{00000000-0005-0000-0000-0000C0190000}"/>
    <cellStyle name="20% - Accent2 8 4 5 2" xfId="28971" xr:uid="{00000000-0005-0000-0000-0000C1190000}"/>
    <cellStyle name="20% - Accent2 8 4 6" xfId="21325" xr:uid="{00000000-0005-0000-0000-0000C2190000}"/>
    <cellStyle name="20% - Accent2 8 5" xfId="1981" xr:uid="{00000000-0005-0000-0000-0000C3190000}"/>
    <cellStyle name="20% - Accent2 8 5 2" xfId="1982" xr:uid="{00000000-0005-0000-0000-0000C4190000}"/>
    <cellStyle name="20% - Accent2 8 5 2 2" xfId="13332" xr:uid="{00000000-0005-0000-0000-0000C5190000}"/>
    <cellStyle name="20% - Accent2 8 5 2 2 2" xfId="25189" xr:uid="{00000000-0005-0000-0000-0000C6190000}"/>
    <cellStyle name="20% - Accent2 8 5 2 3" xfId="17283" xr:uid="{00000000-0005-0000-0000-0000C7190000}"/>
    <cellStyle name="20% - Accent2 8 5 2 3 2" xfId="28975" xr:uid="{00000000-0005-0000-0000-0000C8190000}"/>
    <cellStyle name="20% - Accent2 8 5 2 4" xfId="21329" xr:uid="{00000000-0005-0000-0000-0000C9190000}"/>
    <cellStyle name="20% - Accent2 8 5 3" xfId="1983" xr:uid="{00000000-0005-0000-0000-0000CA190000}"/>
    <cellStyle name="20% - Accent2 8 5 3 2" xfId="13333" xr:uid="{00000000-0005-0000-0000-0000CB190000}"/>
    <cellStyle name="20% - Accent2 8 5 3 2 2" xfId="25190" xr:uid="{00000000-0005-0000-0000-0000CC190000}"/>
    <cellStyle name="20% - Accent2 8 5 3 3" xfId="17284" xr:uid="{00000000-0005-0000-0000-0000CD190000}"/>
    <cellStyle name="20% - Accent2 8 5 3 3 2" xfId="28976" xr:uid="{00000000-0005-0000-0000-0000CE190000}"/>
    <cellStyle name="20% - Accent2 8 5 3 4" xfId="21330" xr:uid="{00000000-0005-0000-0000-0000CF190000}"/>
    <cellStyle name="20% - Accent2 8 5 4" xfId="13331" xr:uid="{00000000-0005-0000-0000-0000D0190000}"/>
    <cellStyle name="20% - Accent2 8 5 4 2" xfId="25188" xr:uid="{00000000-0005-0000-0000-0000D1190000}"/>
    <cellStyle name="20% - Accent2 8 5 5" xfId="17282" xr:uid="{00000000-0005-0000-0000-0000D2190000}"/>
    <cellStyle name="20% - Accent2 8 5 5 2" xfId="28974" xr:uid="{00000000-0005-0000-0000-0000D3190000}"/>
    <cellStyle name="20% - Accent2 8 5 6" xfId="21328" xr:uid="{00000000-0005-0000-0000-0000D4190000}"/>
    <cellStyle name="20% - Accent2 8 6" xfId="1984" xr:uid="{00000000-0005-0000-0000-0000D5190000}"/>
    <cellStyle name="20% - Accent2 8 6 2" xfId="1985" xr:uid="{00000000-0005-0000-0000-0000D6190000}"/>
    <cellStyle name="20% - Accent2 8 6 2 2" xfId="13335" xr:uid="{00000000-0005-0000-0000-0000D7190000}"/>
    <cellStyle name="20% - Accent2 8 6 2 2 2" xfId="25192" xr:uid="{00000000-0005-0000-0000-0000D8190000}"/>
    <cellStyle name="20% - Accent2 8 6 2 3" xfId="17286" xr:uid="{00000000-0005-0000-0000-0000D9190000}"/>
    <cellStyle name="20% - Accent2 8 6 2 3 2" xfId="28978" xr:uid="{00000000-0005-0000-0000-0000DA190000}"/>
    <cellStyle name="20% - Accent2 8 6 2 4" xfId="21332" xr:uid="{00000000-0005-0000-0000-0000DB190000}"/>
    <cellStyle name="20% - Accent2 8 6 3" xfId="1986" xr:uid="{00000000-0005-0000-0000-0000DC190000}"/>
    <cellStyle name="20% - Accent2 8 6 3 2" xfId="13336" xr:uid="{00000000-0005-0000-0000-0000DD190000}"/>
    <cellStyle name="20% - Accent2 8 6 3 2 2" xfId="25193" xr:uid="{00000000-0005-0000-0000-0000DE190000}"/>
    <cellStyle name="20% - Accent2 8 6 3 3" xfId="17287" xr:uid="{00000000-0005-0000-0000-0000DF190000}"/>
    <cellStyle name="20% - Accent2 8 6 3 3 2" xfId="28979" xr:uid="{00000000-0005-0000-0000-0000E0190000}"/>
    <cellStyle name="20% - Accent2 8 6 3 4" xfId="21333" xr:uid="{00000000-0005-0000-0000-0000E1190000}"/>
    <cellStyle name="20% - Accent2 8 6 4" xfId="13334" xr:uid="{00000000-0005-0000-0000-0000E2190000}"/>
    <cellStyle name="20% - Accent2 8 6 4 2" xfId="25191" xr:uid="{00000000-0005-0000-0000-0000E3190000}"/>
    <cellStyle name="20% - Accent2 8 6 5" xfId="17285" xr:uid="{00000000-0005-0000-0000-0000E4190000}"/>
    <cellStyle name="20% - Accent2 8 6 5 2" xfId="28977" xr:uid="{00000000-0005-0000-0000-0000E5190000}"/>
    <cellStyle name="20% - Accent2 8 6 6" xfId="21331" xr:uid="{00000000-0005-0000-0000-0000E6190000}"/>
    <cellStyle name="20% - Accent2 8 7" xfId="1987" xr:uid="{00000000-0005-0000-0000-0000E7190000}"/>
    <cellStyle name="20% - Accent2 8 7 2" xfId="13337" xr:uid="{00000000-0005-0000-0000-0000E8190000}"/>
    <cellStyle name="20% - Accent2 8 7 2 2" xfId="25194" xr:uid="{00000000-0005-0000-0000-0000E9190000}"/>
    <cellStyle name="20% - Accent2 8 7 3" xfId="17288" xr:uid="{00000000-0005-0000-0000-0000EA190000}"/>
    <cellStyle name="20% - Accent2 8 7 3 2" xfId="28980" xr:uid="{00000000-0005-0000-0000-0000EB190000}"/>
    <cellStyle name="20% - Accent2 8 7 4" xfId="21334" xr:uid="{00000000-0005-0000-0000-0000EC190000}"/>
    <cellStyle name="20% - Accent2 8 8" xfId="1988" xr:uid="{00000000-0005-0000-0000-0000ED190000}"/>
    <cellStyle name="20% - Accent2 8 8 2" xfId="13338" xr:uid="{00000000-0005-0000-0000-0000EE190000}"/>
    <cellStyle name="20% - Accent2 8 8 2 2" xfId="25195" xr:uid="{00000000-0005-0000-0000-0000EF190000}"/>
    <cellStyle name="20% - Accent2 8 8 3" xfId="17289" xr:uid="{00000000-0005-0000-0000-0000F0190000}"/>
    <cellStyle name="20% - Accent2 8 8 3 2" xfId="28981" xr:uid="{00000000-0005-0000-0000-0000F1190000}"/>
    <cellStyle name="20% - Accent2 8 8 4" xfId="21335" xr:uid="{00000000-0005-0000-0000-0000F2190000}"/>
    <cellStyle name="20% - Accent2 8 9" xfId="13306" xr:uid="{00000000-0005-0000-0000-0000F3190000}"/>
    <cellStyle name="20% - Accent2 8 9 2" xfId="25163" xr:uid="{00000000-0005-0000-0000-0000F4190000}"/>
    <cellStyle name="20% - Accent2 8_Volatility" xfId="1989" xr:uid="{00000000-0005-0000-0000-0000F5190000}"/>
    <cellStyle name="20% - Accent2 9" xfId="1990" xr:uid="{00000000-0005-0000-0000-0000F6190000}"/>
    <cellStyle name="20% - Accent2 9 10" xfId="17290" xr:uid="{00000000-0005-0000-0000-0000F7190000}"/>
    <cellStyle name="20% - Accent2 9 10 2" xfId="28982" xr:uid="{00000000-0005-0000-0000-0000F8190000}"/>
    <cellStyle name="20% - Accent2 9 11" xfId="21336" xr:uid="{00000000-0005-0000-0000-0000F9190000}"/>
    <cellStyle name="20% - Accent2 9 2" xfId="1991" xr:uid="{00000000-0005-0000-0000-0000FA190000}"/>
    <cellStyle name="20% - Accent2 9 2 2" xfId="1992" xr:uid="{00000000-0005-0000-0000-0000FB190000}"/>
    <cellStyle name="20% - Accent2 9 2 2 2" xfId="1993" xr:uid="{00000000-0005-0000-0000-0000FC190000}"/>
    <cellStyle name="20% - Accent2 9 2 2 2 2" xfId="13342" xr:uid="{00000000-0005-0000-0000-0000FD190000}"/>
    <cellStyle name="20% - Accent2 9 2 2 2 2 2" xfId="25199" xr:uid="{00000000-0005-0000-0000-0000FE190000}"/>
    <cellStyle name="20% - Accent2 9 2 2 2 3" xfId="17293" xr:uid="{00000000-0005-0000-0000-0000FF190000}"/>
    <cellStyle name="20% - Accent2 9 2 2 2 3 2" xfId="28985" xr:uid="{00000000-0005-0000-0000-0000001A0000}"/>
    <cellStyle name="20% - Accent2 9 2 2 2 4" xfId="21339" xr:uid="{00000000-0005-0000-0000-0000011A0000}"/>
    <cellStyle name="20% - Accent2 9 2 2 3" xfId="1994" xr:uid="{00000000-0005-0000-0000-0000021A0000}"/>
    <cellStyle name="20% - Accent2 9 2 2 3 2" xfId="13343" xr:uid="{00000000-0005-0000-0000-0000031A0000}"/>
    <cellStyle name="20% - Accent2 9 2 2 3 2 2" xfId="25200" xr:uid="{00000000-0005-0000-0000-0000041A0000}"/>
    <cellStyle name="20% - Accent2 9 2 2 3 3" xfId="17294" xr:uid="{00000000-0005-0000-0000-0000051A0000}"/>
    <cellStyle name="20% - Accent2 9 2 2 3 3 2" xfId="28986" xr:uid="{00000000-0005-0000-0000-0000061A0000}"/>
    <cellStyle name="20% - Accent2 9 2 2 3 4" xfId="21340" xr:uid="{00000000-0005-0000-0000-0000071A0000}"/>
    <cellStyle name="20% - Accent2 9 2 2 4" xfId="13341" xr:uid="{00000000-0005-0000-0000-0000081A0000}"/>
    <cellStyle name="20% - Accent2 9 2 2 4 2" xfId="25198" xr:uid="{00000000-0005-0000-0000-0000091A0000}"/>
    <cellStyle name="20% - Accent2 9 2 2 5" xfId="17292" xr:uid="{00000000-0005-0000-0000-00000A1A0000}"/>
    <cellStyle name="20% - Accent2 9 2 2 5 2" xfId="28984" xr:uid="{00000000-0005-0000-0000-00000B1A0000}"/>
    <cellStyle name="20% - Accent2 9 2 2 6" xfId="21338" xr:uid="{00000000-0005-0000-0000-00000C1A0000}"/>
    <cellStyle name="20% - Accent2 9 2 3" xfId="1995" xr:uid="{00000000-0005-0000-0000-00000D1A0000}"/>
    <cellStyle name="20% - Accent2 9 2 3 2" xfId="1996" xr:uid="{00000000-0005-0000-0000-00000E1A0000}"/>
    <cellStyle name="20% - Accent2 9 2 3 2 2" xfId="13345" xr:uid="{00000000-0005-0000-0000-00000F1A0000}"/>
    <cellStyle name="20% - Accent2 9 2 3 2 2 2" xfId="25202" xr:uid="{00000000-0005-0000-0000-0000101A0000}"/>
    <cellStyle name="20% - Accent2 9 2 3 2 3" xfId="17296" xr:uid="{00000000-0005-0000-0000-0000111A0000}"/>
    <cellStyle name="20% - Accent2 9 2 3 2 3 2" xfId="28988" xr:uid="{00000000-0005-0000-0000-0000121A0000}"/>
    <cellStyle name="20% - Accent2 9 2 3 2 4" xfId="21342" xr:uid="{00000000-0005-0000-0000-0000131A0000}"/>
    <cellStyle name="20% - Accent2 9 2 3 3" xfId="1997" xr:uid="{00000000-0005-0000-0000-0000141A0000}"/>
    <cellStyle name="20% - Accent2 9 2 3 3 2" xfId="13346" xr:uid="{00000000-0005-0000-0000-0000151A0000}"/>
    <cellStyle name="20% - Accent2 9 2 3 3 2 2" xfId="25203" xr:uid="{00000000-0005-0000-0000-0000161A0000}"/>
    <cellStyle name="20% - Accent2 9 2 3 3 3" xfId="17297" xr:uid="{00000000-0005-0000-0000-0000171A0000}"/>
    <cellStyle name="20% - Accent2 9 2 3 3 3 2" xfId="28989" xr:uid="{00000000-0005-0000-0000-0000181A0000}"/>
    <cellStyle name="20% - Accent2 9 2 3 3 4" xfId="21343" xr:uid="{00000000-0005-0000-0000-0000191A0000}"/>
    <cellStyle name="20% - Accent2 9 2 3 4" xfId="13344" xr:uid="{00000000-0005-0000-0000-00001A1A0000}"/>
    <cellStyle name="20% - Accent2 9 2 3 4 2" xfId="25201" xr:uid="{00000000-0005-0000-0000-00001B1A0000}"/>
    <cellStyle name="20% - Accent2 9 2 3 5" xfId="17295" xr:uid="{00000000-0005-0000-0000-00001C1A0000}"/>
    <cellStyle name="20% - Accent2 9 2 3 5 2" xfId="28987" xr:uid="{00000000-0005-0000-0000-00001D1A0000}"/>
    <cellStyle name="20% - Accent2 9 2 3 6" xfId="21341" xr:uid="{00000000-0005-0000-0000-00001E1A0000}"/>
    <cellStyle name="20% - Accent2 9 2 4" xfId="1998" xr:uid="{00000000-0005-0000-0000-00001F1A0000}"/>
    <cellStyle name="20% - Accent2 9 2 4 2" xfId="1999" xr:uid="{00000000-0005-0000-0000-0000201A0000}"/>
    <cellStyle name="20% - Accent2 9 2 4 2 2" xfId="13348" xr:uid="{00000000-0005-0000-0000-0000211A0000}"/>
    <cellStyle name="20% - Accent2 9 2 4 2 2 2" xfId="25205" xr:uid="{00000000-0005-0000-0000-0000221A0000}"/>
    <cellStyle name="20% - Accent2 9 2 4 2 3" xfId="17299" xr:uid="{00000000-0005-0000-0000-0000231A0000}"/>
    <cellStyle name="20% - Accent2 9 2 4 2 3 2" xfId="28991" xr:uid="{00000000-0005-0000-0000-0000241A0000}"/>
    <cellStyle name="20% - Accent2 9 2 4 2 4" xfId="21345" xr:uid="{00000000-0005-0000-0000-0000251A0000}"/>
    <cellStyle name="20% - Accent2 9 2 4 3" xfId="2000" xr:uid="{00000000-0005-0000-0000-0000261A0000}"/>
    <cellStyle name="20% - Accent2 9 2 4 3 2" xfId="13349" xr:uid="{00000000-0005-0000-0000-0000271A0000}"/>
    <cellStyle name="20% - Accent2 9 2 4 3 2 2" xfId="25206" xr:uid="{00000000-0005-0000-0000-0000281A0000}"/>
    <cellStyle name="20% - Accent2 9 2 4 3 3" xfId="17300" xr:uid="{00000000-0005-0000-0000-0000291A0000}"/>
    <cellStyle name="20% - Accent2 9 2 4 3 3 2" xfId="28992" xr:uid="{00000000-0005-0000-0000-00002A1A0000}"/>
    <cellStyle name="20% - Accent2 9 2 4 3 4" xfId="21346" xr:uid="{00000000-0005-0000-0000-00002B1A0000}"/>
    <cellStyle name="20% - Accent2 9 2 4 4" xfId="13347" xr:uid="{00000000-0005-0000-0000-00002C1A0000}"/>
    <cellStyle name="20% - Accent2 9 2 4 4 2" xfId="25204" xr:uid="{00000000-0005-0000-0000-00002D1A0000}"/>
    <cellStyle name="20% - Accent2 9 2 4 5" xfId="17298" xr:uid="{00000000-0005-0000-0000-00002E1A0000}"/>
    <cellStyle name="20% - Accent2 9 2 4 5 2" xfId="28990" xr:uid="{00000000-0005-0000-0000-00002F1A0000}"/>
    <cellStyle name="20% - Accent2 9 2 4 6" xfId="21344" xr:uid="{00000000-0005-0000-0000-0000301A0000}"/>
    <cellStyle name="20% - Accent2 9 2 5" xfId="2001" xr:uid="{00000000-0005-0000-0000-0000311A0000}"/>
    <cellStyle name="20% - Accent2 9 2 5 2" xfId="13350" xr:uid="{00000000-0005-0000-0000-0000321A0000}"/>
    <cellStyle name="20% - Accent2 9 2 5 2 2" xfId="25207" xr:uid="{00000000-0005-0000-0000-0000331A0000}"/>
    <cellStyle name="20% - Accent2 9 2 5 3" xfId="17301" xr:uid="{00000000-0005-0000-0000-0000341A0000}"/>
    <cellStyle name="20% - Accent2 9 2 5 3 2" xfId="28993" xr:uid="{00000000-0005-0000-0000-0000351A0000}"/>
    <cellStyle name="20% - Accent2 9 2 5 4" xfId="21347" xr:uid="{00000000-0005-0000-0000-0000361A0000}"/>
    <cellStyle name="20% - Accent2 9 2 6" xfId="2002" xr:uid="{00000000-0005-0000-0000-0000371A0000}"/>
    <cellStyle name="20% - Accent2 9 2 6 2" xfId="13351" xr:uid="{00000000-0005-0000-0000-0000381A0000}"/>
    <cellStyle name="20% - Accent2 9 2 6 2 2" xfId="25208" xr:uid="{00000000-0005-0000-0000-0000391A0000}"/>
    <cellStyle name="20% - Accent2 9 2 6 3" xfId="17302" xr:uid="{00000000-0005-0000-0000-00003A1A0000}"/>
    <cellStyle name="20% - Accent2 9 2 6 3 2" xfId="28994" xr:uid="{00000000-0005-0000-0000-00003B1A0000}"/>
    <cellStyle name="20% - Accent2 9 2 6 4" xfId="21348" xr:uid="{00000000-0005-0000-0000-00003C1A0000}"/>
    <cellStyle name="20% - Accent2 9 2 7" xfId="13340" xr:uid="{00000000-0005-0000-0000-00003D1A0000}"/>
    <cellStyle name="20% - Accent2 9 2 7 2" xfId="25197" xr:uid="{00000000-0005-0000-0000-00003E1A0000}"/>
    <cellStyle name="20% - Accent2 9 2 8" xfId="17291" xr:uid="{00000000-0005-0000-0000-00003F1A0000}"/>
    <cellStyle name="20% - Accent2 9 2 8 2" xfId="28983" xr:uid="{00000000-0005-0000-0000-0000401A0000}"/>
    <cellStyle name="20% - Accent2 9 2 9" xfId="21337" xr:uid="{00000000-0005-0000-0000-0000411A0000}"/>
    <cellStyle name="20% - Accent2 9 2_Volatility" xfId="2003" xr:uid="{00000000-0005-0000-0000-0000421A0000}"/>
    <cellStyle name="20% - Accent2 9 3" xfId="2004" xr:uid="{00000000-0005-0000-0000-0000431A0000}"/>
    <cellStyle name="20% - Accent2 9 3 2" xfId="2005" xr:uid="{00000000-0005-0000-0000-0000441A0000}"/>
    <cellStyle name="20% - Accent2 9 3 2 2" xfId="2006" xr:uid="{00000000-0005-0000-0000-0000451A0000}"/>
    <cellStyle name="20% - Accent2 9 3 2 2 2" xfId="13354" xr:uid="{00000000-0005-0000-0000-0000461A0000}"/>
    <cellStyle name="20% - Accent2 9 3 2 2 2 2" xfId="25211" xr:uid="{00000000-0005-0000-0000-0000471A0000}"/>
    <cellStyle name="20% - Accent2 9 3 2 2 3" xfId="17305" xr:uid="{00000000-0005-0000-0000-0000481A0000}"/>
    <cellStyle name="20% - Accent2 9 3 2 2 3 2" xfId="28997" xr:uid="{00000000-0005-0000-0000-0000491A0000}"/>
    <cellStyle name="20% - Accent2 9 3 2 2 4" xfId="21351" xr:uid="{00000000-0005-0000-0000-00004A1A0000}"/>
    <cellStyle name="20% - Accent2 9 3 2 3" xfId="2007" xr:uid="{00000000-0005-0000-0000-00004B1A0000}"/>
    <cellStyle name="20% - Accent2 9 3 2 3 2" xfId="13355" xr:uid="{00000000-0005-0000-0000-00004C1A0000}"/>
    <cellStyle name="20% - Accent2 9 3 2 3 2 2" xfId="25212" xr:uid="{00000000-0005-0000-0000-00004D1A0000}"/>
    <cellStyle name="20% - Accent2 9 3 2 3 3" xfId="17306" xr:uid="{00000000-0005-0000-0000-00004E1A0000}"/>
    <cellStyle name="20% - Accent2 9 3 2 3 3 2" xfId="28998" xr:uid="{00000000-0005-0000-0000-00004F1A0000}"/>
    <cellStyle name="20% - Accent2 9 3 2 3 4" xfId="21352" xr:uid="{00000000-0005-0000-0000-0000501A0000}"/>
    <cellStyle name="20% - Accent2 9 3 2 4" xfId="13353" xr:uid="{00000000-0005-0000-0000-0000511A0000}"/>
    <cellStyle name="20% - Accent2 9 3 2 4 2" xfId="25210" xr:uid="{00000000-0005-0000-0000-0000521A0000}"/>
    <cellStyle name="20% - Accent2 9 3 2 5" xfId="17304" xr:uid="{00000000-0005-0000-0000-0000531A0000}"/>
    <cellStyle name="20% - Accent2 9 3 2 5 2" xfId="28996" xr:uid="{00000000-0005-0000-0000-0000541A0000}"/>
    <cellStyle name="20% - Accent2 9 3 2 6" xfId="21350" xr:uid="{00000000-0005-0000-0000-0000551A0000}"/>
    <cellStyle name="20% - Accent2 9 3 3" xfId="2008" xr:uid="{00000000-0005-0000-0000-0000561A0000}"/>
    <cellStyle name="20% - Accent2 9 3 3 2" xfId="2009" xr:uid="{00000000-0005-0000-0000-0000571A0000}"/>
    <cellStyle name="20% - Accent2 9 3 3 2 2" xfId="13357" xr:uid="{00000000-0005-0000-0000-0000581A0000}"/>
    <cellStyle name="20% - Accent2 9 3 3 2 2 2" xfId="25214" xr:uid="{00000000-0005-0000-0000-0000591A0000}"/>
    <cellStyle name="20% - Accent2 9 3 3 2 3" xfId="17308" xr:uid="{00000000-0005-0000-0000-00005A1A0000}"/>
    <cellStyle name="20% - Accent2 9 3 3 2 3 2" xfId="29000" xr:uid="{00000000-0005-0000-0000-00005B1A0000}"/>
    <cellStyle name="20% - Accent2 9 3 3 2 4" xfId="21354" xr:uid="{00000000-0005-0000-0000-00005C1A0000}"/>
    <cellStyle name="20% - Accent2 9 3 3 3" xfId="2010" xr:uid="{00000000-0005-0000-0000-00005D1A0000}"/>
    <cellStyle name="20% - Accent2 9 3 3 3 2" xfId="13358" xr:uid="{00000000-0005-0000-0000-00005E1A0000}"/>
    <cellStyle name="20% - Accent2 9 3 3 3 2 2" xfId="25215" xr:uid="{00000000-0005-0000-0000-00005F1A0000}"/>
    <cellStyle name="20% - Accent2 9 3 3 3 3" xfId="17309" xr:uid="{00000000-0005-0000-0000-0000601A0000}"/>
    <cellStyle name="20% - Accent2 9 3 3 3 3 2" xfId="29001" xr:uid="{00000000-0005-0000-0000-0000611A0000}"/>
    <cellStyle name="20% - Accent2 9 3 3 3 4" xfId="21355" xr:uid="{00000000-0005-0000-0000-0000621A0000}"/>
    <cellStyle name="20% - Accent2 9 3 3 4" xfId="13356" xr:uid="{00000000-0005-0000-0000-0000631A0000}"/>
    <cellStyle name="20% - Accent2 9 3 3 4 2" xfId="25213" xr:uid="{00000000-0005-0000-0000-0000641A0000}"/>
    <cellStyle name="20% - Accent2 9 3 3 5" xfId="17307" xr:uid="{00000000-0005-0000-0000-0000651A0000}"/>
    <cellStyle name="20% - Accent2 9 3 3 5 2" xfId="28999" xr:uid="{00000000-0005-0000-0000-0000661A0000}"/>
    <cellStyle name="20% - Accent2 9 3 3 6" xfId="21353" xr:uid="{00000000-0005-0000-0000-0000671A0000}"/>
    <cellStyle name="20% - Accent2 9 3 4" xfId="2011" xr:uid="{00000000-0005-0000-0000-0000681A0000}"/>
    <cellStyle name="20% - Accent2 9 3 4 2" xfId="13359" xr:uid="{00000000-0005-0000-0000-0000691A0000}"/>
    <cellStyle name="20% - Accent2 9 3 4 2 2" xfId="25216" xr:uid="{00000000-0005-0000-0000-00006A1A0000}"/>
    <cellStyle name="20% - Accent2 9 3 4 3" xfId="17310" xr:uid="{00000000-0005-0000-0000-00006B1A0000}"/>
    <cellStyle name="20% - Accent2 9 3 4 3 2" xfId="29002" xr:uid="{00000000-0005-0000-0000-00006C1A0000}"/>
    <cellStyle name="20% - Accent2 9 3 4 4" xfId="21356" xr:uid="{00000000-0005-0000-0000-00006D1A0000}"/>
    <cellStyle name="20% - Accent2 9 3 5" xfId="2012" xr:uid="{00000000-0005-0000-0000-00006E1A0000}"/>
    <cellStyle name="20% - Accent2 9 3 5 2" xfId="13360" xr:uid="{00000000-0005-0000-0000-00006F1A0000}"/>
    <cellStyle name="20% - Accent2 9 3 5 2 2" xfId="25217" xr:uid="{00000000-0005-0000-0000-0000701A0000}"/>
    <cellStyle name="20% - Accent2 9 3 5 3" xfId="17311" xr:uid="{00000000-0005-0000-0000-0000711A0000}"/>
    <cellStyle name="20% - Accent2 9 3 5 3 2" xfId="29003" xr:uid="{00000000-0005-0000-0000-0000721A0000}"/>
    <cellStyle name="20% - Accent2 9 3 5 4" xfId="21357" xr:uid="{00000000-0005-0000-0000-0000731A0000}"/>
    <cellStyle name="20% - Accent2 9 3 6" xfId="13352" xr:uid="{00000000-0005-0000-0000-0000741A0000}"/>
    <cellStyle name="20% - Accent2 9 3 6 2" xfId="25209" xr:uid="{00000000-0005-0000-0000-0000751A0000}"/>
    <cellStyle name="20% - Accent2 9 3 7" xfId="17303" xr:uid="{00000000-0005-0000-0000-0000761A0000}"/>
    <cellStyle name="20% - Accent2 9 3 7 2" xfId="28995" xr:uid="{00000000-0005-0000-0000-0000771A0000}"/>
    <cellStyle name="20% - Accent2 9 3 8" xfId="21349" xr:uid="{00000000-0005-0000-0000-0000781A0000}"/>
    <cellStyle name="20% - Accent2 9 3_Volatility" xfId="2013" xr:uid="{00000000-0005-0000-0000-0000791A0000}"/>
    <cellStyle name="20% - Accent2 9 4" xfId="2014" xr:uid="{00000000-0005-0000-0000-00007A1A0000}"/>
    <cellStyle name="20% - Accent2 9 4 2" xfId="2015" xr:uid="{00000000-0005-0000-0000-00007B1A0000}"/>
    <cellStyle name="20% - Accent2 9 4 2 2" xfId="13362" xr:uid="{00000000-0005-0000-0000-00007C1A0000}"/>
    <cellStyle name="20% - Accent2 9 4 2 2 2" xfId="25219" xr:uid="{00000000-0005-0000-0000-00007D1A0000}"/>
    <cellStyle name="20% - Accent2 9 4 2 3" xfId="17313" xr:uid="{00000000-0005-0000-0000-00007E1A0000}"/>
    <cellStyle name="20% - Accent2 9 4 2 3 2" xfId="29005" xr:uid="{00000000-0005-0000-0000-00007F1A0000}"/>
    <cellStyle name="20% - Accent2 9 4 2 4" xfId="21359" xr:uid="{00000000-0005-0000-0000-0000801A0000}"/>
    <cellStyle name="20% - Accent2 9 4 3" xfId="2016" xr:uid="{00000000-0005-0000-0000-0000811A0000}"/>
    <cellStyle name="20% - Accent2 9 4 3 2" xfId="13363" xr:uid="{00000000-0005-0000-0000-0000821A0000}"/>
    <cellStyle name="20% - Accent2 9 4 3 2 2" xfId="25220" xr:uid="{00000000-0005-0000-0000-0000831A0000}"/>
    <cellStyle name="20% - Accent2 9 4 3 3" xfId="17314" xr:uid="{00000000-0005-0000-0000-0000841A0000}"/>
    <cellStyle name="20% - Accent2 9 4 3 3 2" xfId="29006" xr:uid="{00000000-0005-0000-0000-0000851A0000}"/>
    <cellStyle name="20% - Accent2 9 4 3 4" xfId="21360" xr:uid="{00000000-0005-0000-0000-0000861A0000}"/>
    <cellStyle name="20% - Accent2 9 4 4" xfId="13361" xr:uid="{00000000-0005-0000-0000-0000871A0000}"/>
    <cellStyle name="20% - Accent2 9 4 4 2" xfId="25218" xr:uid="{00000000-0005-0000-0000-0000881A0000}"/>
    <cellStyle name="20% - Accent2 9 4 5" xfId="17312" xr:uid="{00000000-0005-0000-0000-0000891A0000}"/>
    <cellStyle name="20% - Accent2 9 4 5 2" xfId="29004" xr:uid="{00000000-0005-0000-0000-00008A1A0000}"/>
    <cellStyle name="20% - Accent2 9 4 6" xfId="21358" xr:uid="{00000000-0005-0000-0000-00008B1A0000}"/>
    <cellStyle name="20% - Accent2 9 5" xfId="2017" xr:uid="{00000000-0005-0000-0000-00008C1A0000}"/>
    <cellStyle name="20% - Accent2 9 5 2" xfId="2018" xr:uid="{00000000-0005-0000-0000-00008D1A0000}"/>
    <cellStyle name="20% - Accent2 9 5 2 2" xfId="13365" xr:uid="{00000000-0005-0000-0000-00008E1A0000}"/>
    <cellStyle name="20% - Accent2 9 5 2 2 2" xfId="25222" xr:uid="{00000000-0005-0000-0000-00008F1A0000}"/>
    <cellStyle name="20% - Accent2 9 5 2 3" xfId="17316" xr:uid="{00000000-0005-0000-0000-0000901A0000}"/>
    <cellStyle name="20% - Accent2 9 5 2 3 2" xfId="29008" xr:uid="{00000000-0005-0000-0000-0000911A0000}"/>
    <cellStyle name="20% - Accent2 9 5 2 4" xfId="21362" xr:uid="{00000000-0005-0000-0000-0000921A0000}"/>
    <cellStyle name="20% - Accent2 9 5 3" xfId="2019" xr:uid="{00000000-0005-0000-0000-0000931A0000}"/>
    <cellStyle name="20% - Accent2 9 5 3 2" xfId="13366" xr:uid="{00000000-0005-0000-0000-0000941A0000}"/>
    <cellStyle name="20% - Accent2 9 5 3 2 2" xfId="25223" xr:uid="{00000000-0005-0000-0000-0000951A0000}"/>
    <cellStyle name="20% - Accent2 9 5 3 3" xfId="17317" xr:uid="{00000000-0005-0000-0000-0000961A0000}"/>
    <cellStyle name="20% - Accent2 9 5 3 3 2" xfId="29009" xr:uid="{00000000-0005-0000-0000-0000971A0000}"/>
    <cellStyle name="20% - Accent2 9 5 3 4" xfId="21363" xr:uid="{00000000-0005-0000-0000-0000981A0000}"/>
    <cellStyle name="20% - Accent2 9 5 4" xfId="13364" xr:uid="{00000000-0005-0000-0000-0000991A0000}"/>
    <cellStyle name="20% - Accent2 9 5 4 2" xfId="25221" xr:uid="{00000000-0005-0000-0000-00009A1A0000}"/>
    <cellStyle name="20% - Accent2 9 5 5" xfId="17315" xr:uid="{00000000-0005-0000-0000-00009B1A0000}"/>
    <cellStyle name="20% - Accent2 9 5 5 2" xfId="29007" xr:uid="{00000000-0005-0000-0000-00009C1A0000}"/>
    <cellStyle name="20% - Accent2 9 5 6" xfId="21361" xr:uid="{00000000-0005-0000-0000-00009D1A0000}"/>
    <cellStyle name="20% - Accent2 9 6" xfId="2020" xr:uid="{00000000-0005-0000-0000-00009E1A0000}"/>
    <cellStyle name="20% - Accent2 9 6 2" xfId="2021" xr:uid="{00000000-0005-0000-0000-00009F1A0000}"/>
    <cellStyle name="20% - Accent2 9 6 2 2" xfId="13368" xr:uid="{00000000-0005-0000-0000-0000A01A0000}"/>
    <cellStyle name="20% - Accent2 9 6 2 2 2" xfId="25225" xr:uid="{00000000-0005-0000-0000-0000A11A0000}"/>
    <cellStyle name="20% - Accent2 9 6 2 3" xfId="17319" xr:uid="{00000000-0005-0000-0000-0000A21A0000}"/>
    <cellStyle name="20% - Accent2 9 6 2 3 2" xfId="29011" xr:uid="{00000000-0005-0000-0000-0000A31A0000}"/>
    <cellStyle name="20% - Accent2 9 6 2 4" xfId="21365" xr:uid="{00000000-0005-0000-0000-0000A41A0000}"/>
    <cellStyle name="20% - Accent2 9 6 3" xfId="2022" xr:uid="{00000000-0005-0000-0000-0000A51A0000}"/>
    <cellStyle name="20% - Accent2 9 6 3 2" xfId="13369" xr:uid="{00000000-0005-0000-0000-0000A61A0000}"/>
    <cellStyle name="20% - Accent2 9 6 3 2 2" xfId="25226" xr:uid="{00000000-0005-0000-0000-0000A71A0000}"/>
    <cellStyle name="20% - Accent2 9 6 3 3" xfId="17320" xr:uid="{00000000-0005-0000-0000-0000A81A0000}"/>
    <cellStyle name="20% - Accent2 9 6 3 3 2" xfId="29012" xr:uid="{00000000-0005-0000-0000-0000A91A0000}"/>
    <cellStyle name="20% - Accent2 9 6 3 4" xfId="21366" xr:uid="{00000000-0005-0000-0000-0000AA1A0000}"/>
    <cellStyle name="20% - Accent2 9 6 4" xfId="13367" xr:uid="{00000000-0005-0000-0000-0000AB1A0000}"/>
    <cellStyle name="20% - Accent2 9 6 4 2" xfId="25224" xr:uid="{00000000-0005-0000-0000-0000AC1A0000}"/>
    <cellStyle name="20% - Accent2 9 6 5" xfId="17318" xr:uid="{00000000-0005-0000-0000-0000AD1A0000}"/>
    <cellStyle name="20% - Accent2 9 6 5 2" xfId="29010" xr:uid="{00000000-0005-0000-0000-0000AE1A0000}"/>
    <cellStyle name="20% - Accent2 9 6 6" xfId="21364" xr:uid="{00000000-0005-0000-0000-0000AF1A0000}"/>
    <cellStyle name="20% - Accent2 9 7" xfId="2023" xr:uid="{00000000-0005-0000-0000-0000B01A0000}"/>
    <cellStyle name="20% - Accent2 9 7 2" xfId="13370" xr:uid="{00000000-0005-0000-0000-0000B11A0000}"/>
    <cellStyle name="20% - Accent2 9 7 2 2" xfId="25227" xr:uid="{00000000-0005-0000-0000-0000B21A0000}"/>
    <cellStyle name="20% - Accent2 9 7 3" xfId="17321" xr:uid="{00000000-0005-0000-0000-0000B31A0000}"/>
    <cellStyle name="20% - Accent2 9 7 3 2" xfId="29013" xr:uid="{00000000-0005-0000-0000-0000B41A0000}"/>
    <cellStyle name="20% - Accent2 9 7 4" xfId="21367" xr:uid="{00000000-0005-0000-0000-0000B51A0000}"/>
    <cellStyle name="20% - Accent2 9 8" xfId="2024" xr:uid="{00000000-0005-0000-0000-0000B61A0000}"/>
    <cellStyle name="20% - Accent2 9 8 2" xfId="13371" xr:uid="{00000000-0005-0000-0000-0000B71A0000}"/>
    <cellStyle name="20% - Accent2 9 8 2 2" xfId="25228" xr:uid="{00000000-0005-0000-0000-0000B81A0000}"/>
    <cellStyle name="20% - Accent2 9 8 3" xfId="17322" xr:uid="{00000000-0005-0000-0000-0000B91A0000}"/>
    <cellStyle name="20% - Accent2 9 8 3 2" xfId="29014" xr:uid="{00000000-0005-0000-0000-0000BA1A0000}"/>
    <cellStyle name="20% - Accent2 9 8 4" xfId="21368" xr:uid="{00000000-0005-0000-0000-0000BB1A0000}"/>
    <cellStyle name="20% - Accent2 9 9" xfId="13339" xr:uid="{00000000-0005-0000-0000-0000BC1A0000}"/>
    <cellStyle name="20% - Accent2 9 9 2" xfId="25196" xr:uid="{00000000-0005-0000-0000-0000BD1A0000}"/>
    <cellStyle name="20% - Accent2 9_Volatility" xfId="2025" xr:uid="{00000000-0005-0000-0000-0000BE1A0000}"/>
    <cellStyle name="20% - Accent3 10" xfId="2026" xr:uid="{00000000-0005-0000-0000-0000BF1A0000}"/>
    <cellStyle name="20% - Accent3 10 10" xfId="17323" xr:uid="{00000000-0005-0000-0000-0000C01A0000}"/>
    <cellStyle name="20% - Accent3 10 10 2" xfId="29015" xr:uid="{00000000-0005-0000-0000-0000C11A0000}"/>
    <cellStyle name="20% - Accent3 10 11" xfId="21369" xr:uid="{00000000-0005-0000-0000-0000C21A0000}"/>
    <cellStyle name="20% - Accent3 10 2" xfId="2027" xr:uid="{00000000-0005-0000-0000-0000C31A0000}"/>
    <cellStyle name="20% - Accent3 10 2 2" xfId="2028" xr:uid="{00000000-0005-0000-0000-0000C41A0000}"/>
    <cellStyle name="20% - Accent3 10 2 2 2" xfId="2029" xr:uid="{00000000-0005-0000-0000-0000C51A0000}"/>
    <cellStyle name="20% - Accent3 10 2 2 2 2" xfId="13375" xr:uid="{00000000-0005-0000-0000-0000C61A0000}"/>
    <cellStyle name="20% - Accent3 10 2 2 2 2 2" xfId="25232" xr:uid="{00000000-0005-0000-0000-0000C71A0000}"/>
    <cellStyle name="20% - Accent3 10 2 2 2 3" xfId="17326" xr:uid="{00000000-0005-0000-0000-0000C81A0000}"/>
    <cellStyle name="20% - Accent3 10 2 2 2 3 2" xfId="29018" xr:uid="{00000000-0005-0000-0000-0000C91A0000}"/>
    <cellStyle name="20% - Accent3 10 2 2 2 4" xfId="21372" xr:uid="{00000000-0005-0000-0000-0000CA1A0000}"/>
    <cellStyle name="20% - Accent3 10 2 2 3" xfId="2030" xr:uid="{00000000-0005-0000-0000-0000CB1A0000}"/>
    <cellStyle name="20% - Accent3 10 2 2 3 2" xfId="13376" xr:uid="{00000000-0005-0000-0000-0000CC1A0000}"/>
    <cellStyle name="20% - Accent3 10 2 2 3 2 2" xfId="25233" xr:uid="{00000000-0005-0000-0000-0000CD1A0000}"/>
    <cellStyle name="20% - Accent3 10 2 2 3 3" xfId="17327" xr:uid="{00000000-0005-0000-0000-0000CE1A0000}"/>
    <cellStyle name="20% - Accent3 10 2 2 3 3 2" xfId="29019" xr:uid="{00000000-0005-0000-0000-0000CF1A0000}"/>
    <cellStyle name="20% - Accent3 10 2 2 3 4" xfId="21373" xr:uid="{00000000-0005-0000-0000-0000D01A0000}"/>
    <cellStyle name="20% - Accent3 10 2 2 4" xfId="13374" xr:uid="{00000000-0005-0000-0000-0000D11A0000}"/>
    <cellStyle name="20% - Accent3 10 2 2 4 2" xfId="25231" xr:uid="{00000000-0005-0000-0000-0000D21A0000}"/>
    <cellStyle name="20% - Accent3 10 2 2 5" xfId="17325" xr:uid="{00000000-0005-0000-0000-0000D31A0000}"/>
    <cellStyle name="20% - Accent3 10 2 2 5 2" xfId="29017" xr:uid="{00000000-0005-0000-0000-0000D41A0000}"/>
    <cellStyle name="20% - Accent3 10 2 2 6" xfId="21371" xr:uid="{00000000-0005-0000-0000-0000D51A0000}"/>
    <cellStyle name="20% - Accent3 10 2 3" xfId="2031" xr:uid="{00000000-0005-0000-0000-0000D61A0000}"/>
    <cellStyle name="20% - Accent3 10 2 3 2" xfId="2032" xr:uid="{00000000-0005-0000-0000-0000D71A0000}"/>
    <cellStyle name="20% - Accent3 10 2 3 2 2" xfId="13378" xr:uid="{00000000-0005-0000-0000-0000D81A0000}"/>
    <cellStyle name="20% - Accent3 10 2 3 2 2 2" xfId="25235" xr:uid="{00000000-0005-0000-0000-0000D91A0000}"/>
    <cellStyle name="20% - Accent3 10 2 3 2 3" xfId="17329" xr:uid="{00000000-0005-0000-0000-0000DA1A0000}"/>
    <cellStyle name="20% - Accent3 10 2 3 2 3 2" xfId="29021" xr:uid="{00000000-0005-0000-0000-0000DB1A0000}"/>
    <cellStyle name="20% - Accent3 10 2 3 2 4" xfId="21375" xr:uid="{00000000-0005-0000-0000-0000DC1A0000}"/>
    <cellStyle name="20% - Accent3 10 2 3 3" xfId="2033" xr:uid="{00000000-0005-0000-0000-0000DD1A0000}"/>
    <cellStyle name="20% - Accent3 10 2 3 3 2" xfId="13379" xr:uid="{00000000-0005-0000-0000-0000DE1A0000}"/>
    <cellStyle name="20% - Accent3 10 2 3 3 2 2" xfId="25236" xr:uid="{00000000-0005-0000-0000-0000DF1A0000}"/>
    <cellStyle name="20% - Accent3 10 2 3 3 3" xfId="17330" xr:uid="{00000000-0005-0000-0000-0000E01A0000}"/>
    <cellStyle name="20% - Accent3 10 2 3 3 3 2" xfId="29022" xr:uid="{00000000-0005-0000-0000-0000E11A0000}"/>
    <cellStyle name="20% - Accent3 10 2 3 3 4" xfId="21376" xr:uid="{00000000-0005-0000-0000-0000E21A0000}"/>
    <cellStyle name="20% - Accent3 10 2 3 4" xfId="13377" xr:uid="{00000000-0005-0000-0000-0000E31A0000}"/>
    <cellStyle name="20% - Accent3 10 2 3 4 2" xfId="25234" xr:uid="{00000000-0005-0000-0000-0000E41A0000}"/>
    <cellStyle name="20% - Accent3 10 2 3 5" xfId="17328" xr:uid="{00000000-0005-0000-0000-0000E51A0000}"/>
    <cellStyle name="20% - Accent3 10 2 3 5 2" xfId="29020" xr:uid="{00000000-0005-0000-0000-0000E61A0000}"/>
    <cellStyle name="20% - Accent3 10 2 3 6" xfId="21374" xr:uid="{00000000-0005-0000-0000-0000E71A0000}"/>
    <cellStyle name="20% - Accent3 10 2 4" xfId="2034" xr:uid="{00000000-0005-0000-0000-0000E81A0000}"/>
    <cellStyle name="20% - Accent3 10 2 4 2" xfId="2035" xr:uid="{00000000-0005-0000-0000-0000E91A0000}"/>
    <cellStyle name="20% - Accent3 10 2 4 2 2" xfId="13381" xr:uid="{00000000-0005-0000-0000-0000EA1A0000}"/>
    <cellStyle name="20% - Accent3 10 2 4 2 2 2" xfId="25238" xr:uid="{00000000-0005-0000-0000-0000EB1A0000}"/>
    <cellStyle name="20% - Accent3 10 2 4 2 3" xfId="17332" xr:uid="{00000000-0005-0000-0000-0000EC1A0000}"/>
    <cellStyle name="20% - Accent3 10 2 4 2 3 2" xfId="29024" xr:uid="{00000000-0005-0000-0000-0000ED1A0000}"/>
    <cellStyle name="20% - Accent3 10 2 4 2 4" xfId="21378" xr:uid="{00000000-0005-0000-0000-0000EE1A0000}"/>
    <cellStyle name="20% - Accent3 10 2 4 3" xfId="2036" xr:uid="{00000000-0005-0000-0000-0000EF1A0000}"/>
    <cellStyle name="20% - Accent3 10 2 4 3 2" xfId="13382" xr:uid="{00000000-0005-0000-0000-0000F01A0000}"/>
    <cellStyle name="20% - Accent3 10 2 4 3 2 2" xfId="25239" xr:uid="{00000000-0005-0000-0000-0000F11A0000}"/>
    <cellStyle name="20% - Accent3 10 2 4 3 3" xfId="17333" xr:uid="{00000000-0005-0000-0000-0000F21A0000}"/>
    <cellStyle name="20% - Accent3 10 2 4 3 3 2" xfId="29025" xr:uid="{00000000-0005-0000-0000-0000F31A0000}"/>
    <cellStyle name="20% - Accent3 10 2 4 3 4" xfId="21379" xr:uid="{00000000-0005-0000-0000-0000F41A0000}"/>
    <cellStyle name="20% - Accent3 10 2 4 4" xfId="13380" xr:uid="{00000000-0005-0000-0000-0000F51A0000}"/>
    <cellStyle name="20% - Accent3 10 2 4 4 2" xfId="25237" xr:uid="{00000000-0005-0000-0000-0000F61A0000}"/>
    <cellStyle name="20% - Accent3 10 2 4 5" xfId="17331" xr:uid="{00000000-0005-0000-0000-0000F71A0000}"/>
    <cellStyle name="20% - Accent3 10 2 4 5 2" xfId="29023" xr:uid="{00000000-0005-0000-0000-0000F81A0000}"/>
    <cellStyle name="20% - Accent3 10 2 4 6" xfId="21377" xr:uid="{00000000-0005-0000-0000-0000F91A0000}"/>
    <cellStyle name="20% - Accent3 10 2 5" xfId="2037" xr:uid="{00000000-0005-0000-0000-0000FA1A0000}"/>
    <cellStyle name="20% - Accent3 10 2 5 2" xfId="13383" xr:uid="{00000000-0005-0000-0000-0000FB1A0000}"/>
    <cellStyle name="20% - Accent3 10 2 5 2 2" xfId="25240" xr:uid="{00000000-0005-0000-0000-0000FC1A0000}"/>
    <cellStyle name="20% - Accent3 10 2 5 3" xfId="17334" xr:uid="{00000000-0005-0000-0000-0000FD1A0000}"/>
    <cellStyle name="20% - Accent3 10 2 5 3 2" xfId="29026" xr:uid="{00000000-0005-0000-0000-0000FE1A0000}"/>
    <cellStyle name="20% - Accent3 10 2 5 4" xfId="21380" xr:uid="{00000000-0005-0000-0000-0000FF1A0000}"/>
    <cellStyle name="20% - Accent3 10 2 6" xfId="2038" xr:uid="{00000000-0005-0000-0000-0000001B0000}"/>
    <cellStyle name="20% - Accent3 10 2 6 2" xfId="13384" xr:uid="{00000000-0005-0000-0000-0000011B0000}"/>
    <cellStyle name="20% - Accent3 10 2 6 2 2" xfId="25241" xr:uid="{00000000-0005-0000-0000-0000021B0000}"/>
    <cellStyle name="20% - Accent3 10 2 6 3" xfId="17335" xr:uid="{00000000-0005-0000-0000-0000031B0000}"/>
    <cellStyle name="20% - Accent3 10 2 6 3 2" xfId="29027" xr:uid="{00000000-0005-0000-0000-0000041B0000}"/>
    <cellStyle name="20% - Accent3 10 2 6 4" xfId="21381" xr:uid="{00000000-0005-0000-0000-0000051B0000}"/>
    <cellStyle name="20% - Accent3 10 2 7" xfId="13373" xr:uid="{00000000-0005-0000-0000-0000061B0000}"/>
    <cellStyle name="20% - Accent3 10 2 7 2" xfId="25230" xr:uid="{00000000-0005-0000-0000-0000071B0000}"/>
    <cellStyle name="20% - Accent3 10 2 8" xfId="17324" xr:uid="{00000000-0005-0000-0000-0000081B0000}"/>
    <cellStyle name="20% - Accent3 10 2 8 2" xfId="29016" xr:uid="{00000000-0005-0000-0000-0000091B0000}"/>
    <cellStyle name="20% - Accent3 10 2 9" xfId="21370" xr:uid="{00000000-0005-0000-0000-00000A1B0000}"/>
    <cellStyle name="20% - Accent3 10 2_Volatility" xfId="2039" xr:uid="{00000000-0005-0000-0000-00000B1B0000}"/>
    <cellStyle name="20% - Accent3 10 3" xfId="2040" xr:uid="{00000000-0005-0000-0000-00000C1B0000}"/>
    <cellStyle name="20% - Accent3 10 3 2" xfId="2041" xr:uid="{00000000-0005-0000-0000-00000D1B0000}"/>
    <cellStyle name="20% - Accent3 10 3 2 2" xfId="2042" xr:uid="{00000000-0005-0000-0000-00000E1B0000}"/>
    <cellStyle name="20% - Accent3 10 3 2 2 2" xfId="13387" xr:uid="{00000000-0005-0000-0000-00000F1B0000}"/>
    <cellStyle name="20% - Accent3 10 3 2 2 2 2" xfId="25244" xr:uid="{00000000-0005-0000-0000-0000101B0000}"/>
    <cellStyle name="20% - Accent3 10 3 2 2 3" xfId="17338" xr:uid="{00000000-0005-0000-0000-0000111B0000}"/>
    <cellStyle name="20% - Accent3 10 3 2 2 3 2" xfId="29030" xr:uid="{00000000-0005-0000-0000-0000121B0000}"/>
    <cellStyle name="20% - Accent3 10 3 2 2 4" xfId="21384" xr:uid="{00000000-0005-0000-0000-0000131B0000}"/>
    <cellStyle name="20% - Accent3 10 3 2 3" xfId="2043" xr:uid="{00000000-0005-0000-0000-0000141B0000}"/>
    <cellStyle name="20% - Accent3 10 3 2 3 2" xfId="13388" xr:uid="{00000000-0005-0000-0000-0000151B0000}"/>
    <cellStyle name="20% - Accent3 10 3 2 3 2 2" xfId="25245" xr:uid="{00000000-0005-0000-0000-0000161B0000}"/>
    <cellStyle name="20% - Accent3 10 3 2 3 3" xfId="17339" xr:uid="{00000000-0005-0000-0000-0000171B0000}"/>
    <cellStyle name="20% - Accent3 10 3 2 3 3 2" xfId="29031" xr:uid="{00000000-0005-0000-0000-0000181B0000}"/>
    <cellStyle name="20% - Accent3 10 3 2 3 4" xfId="21385" xr:uid="{00000000-0005-0000-0000-0000191B0000}"/>
    <cellStyle name="20% - Accent3 10 3 2 4" xfId="13386" xr:uid="{00000000-0005-0000-0000-00001A1B0000}"/>
    <cellStyle name="20% - Accent3 10 3 2 4 2" xfId="25243" xr:uid="{00000000-0005-0000-0000-00001B1B0000}"/>
    <cellStyle name="20% - Accent3 10 3 2 5" xfId="17337" xr:uid="{00000000-0005-0000-0000-00001C1B0000}"/>
    <cellStyle name="20% - Accent3 10 3 2 5 2" xfId="29029" xr:uid="{00000000-0005-0000-0000-00001D1B0000}"/>
    <cellStyle name="20% - Accent3 10 3 2 6" xfId="21383" xr:uid="{00000000-0005-0000-0000-00001E1B0000}"/>
    <cellStyle name="20% - Accent3 10 3 3" xfId="2044" xr:uid="{00000000-0005-0000-0000-00001F1B0000}"/>
    <cellStyle name="20% - Accent3 10 3 3 2" xfId="2045" xr:uid="{00000000-0005-0000-0000-0000201B0000}"/>
    <cellStyle name="20% - Accent3 10 3 3 2 2" xfId="13390" xr:uid="{00000000-0005-0000-0000-0000211B0000}"/>
    <cellStyle name="20% - Accent3 10 3 3 2 2 2" xfId="25247" xr:uid="{00000000-0005-0000-0000-0000221B0000}"/>
    <cellStyle name="20% - Accent3 10 3 3 2 3" xfId="17341" xr:uid="{00000000-0005-0000-0000-0000231B0000}"/>
    <cellStyle name="20% - Accent3 10 3 3 2 3 2" xfId="29033" xr:uid="{00000000-0005-0000-0000-0000241B0000}"/>
    <cellStyle name="20% - Accent3 10 3 3 2 4" xfId="21387" xr:uid="{00000000-0005-0000-0000-0000251B0000}"/>
    <cellStyle name="20% - Accent3 10 3 3 3" xfId="2046" xr:uid="{00000000-0005-0000-0000-0000261B0000}"/>
    <cellStyle name="20% - Accent3 10 3 3 3 2" xfId="13391" xr:uid="{00000000-0005-0000-0000-0000271B0000}"/>
    <cellStyle name="20% - Accent3 10 3 3 3 2 2" xfId="25248" xr:uid="{00000000-0005-0000-0000-0000281B0000}"/>
    <cellStyle name="20% - Accent3 10 3 3 3 3" xfId="17342" xr:uid="{00000000-0005-0000-0000-0000291B0000}"/>
    <cellStyle name="20% - Accent3 10 3 3 3 3 2" xfId="29034" xr:uid="{00000000-0005-0000-0000-00002A1B0000}"/>
    <cellStyle name="20% - Accent3 10 3 3 3 4" xfId="21388" xr:uid="{00000000-0005-0000-0000-00002B1B0000}"/>
    <cellStyle name="20% - Accent3 10 3 3 4" xfId="13389" xr:uid="{00000000-0005-0000-0000-00002C1B0000}"/>
    <cellStyle name="20% - Accent3 10 3 3 4 2" xfId="25246" xr:uid="{00000000-0005-0000-0000-00002D1B0000}"/>
    <cellStyle name="20% - Accent3 10 3 3 5" xfId="17340" xr:uid="{00000000-0005-0000-0000-00002E1B0000}"/>
    <cellStyle name="20% - Accent3 10 3 3 5 2" xfId="29032" xr:uid="{00000000-0005-0000-0000-00002F1B0000}"/>
    <cellStyle name="20% - Accent3 10 3 3 6" xfId="21386" xr:uid="{00000000-0005-0000-0000-0000301B0000}"/>
    <cellStyle name="20% - Accent3 10 3 4" xfId="2047" xr:uid="{00000000-0005-0000-0000-0000311B0000}"/>
    <cellStyle name="20% - Accent3 10 3 4 2" xfId="13392" xr:uid="{00000000-0005-0000-0000-0000321B0000}"/>
    <cellStyle name="20% - Accent3 10 3 4 2 2" xfId="25249" xr:uid="{00000000-0005-0000-0000-0000331B0000}"/>
    <cellStyle name="20% - Accent3 10 3 4 3" xfId="17343" xr:uid="{00000000-0005-0000-0000-0000341B0000}"/>
    <cellStyle name="20% - Accent3 10 3 4 3 2" xfId="29035" xr:uid="{00000000-0005-0000-0000-0000351B0000}"/>
    <cellStyle name="20% - Accent3 10 3 4 4" xfId="21389" xr:uid="{00000000-0005-0000-0000-0000361B0000}"/>
    <cellStyle name="20% - Accent3 10 3 5" xfId="2048" xr:uid="{00000000-0005-0000-0000-0000371B0000}"/>
    <cellStyle name="20% - Accent3 10 3 5 2" xfId="13393" xr:uid="{00000000-0005-0000-0000-0000381B0000}"/>
    <cellStyle name="20% - Accent3 10 3 5 2 2" xfId="25250" xr:uid="{00000000-0005-0000-0000-0000391B0000}"/>
    <cellStyle name="20% - Accent3 10 3 5 3" xfId="17344" xr:uid="{00000000-0005-0000-0000-00003A1B0000}"/>
    <cellStyle name="20% - Accent3 10 3 5 3 2" xfId="29036" xr:uid="{00000000-0005-0000-0000-00003B1B0000}"/>
    <cellStyle name="20% - Accent3 10 3 5 4" xfId="21390" xr:uid="{00000000-0005-0000-0000-00003C1B0000}"/>
    <cellStyle name="20% - Accent3 10 3 6" xfId="13385" xr:uid="{00000000-0005-0000-0000-00003D1B0000}"/>
    <cellStyle name="20% - Accent3 10 3 6 2" xfId="25242" xr:uid="{00000000-0005-0000-0000-00003E1B0000}"/>
    <cellStyle name="20% - Accent3 10 3 7" xfId="17336" xr:uid="{00000000-0005-0000-0000-00003F1B0000}"/>
    <cellStyle name="20% - Accent3 10 3 7 2" xfId="29028" xr:uid="{00000000-0005-0000-0000-0000401B0000}"/>
    <cellStyle name="20% - Accent3 10 3 8" xfId="21382" xr:uid="{00000000-0005-0000-0000-0000411B0000}"/>
    <cellStyle name="20% - Accent3 10 3_Volatility" xfId="2049" xr:uid="{00000000-0005-0000-0000-0000421B0000}"/>
    <cellStyle name="20% - Accent3 10 4" xfId="2050" xr:uid="{00000000-0005-0000-0000-0000431B0000}"/>
    <cellStyle name="20% - Accent3 10 4 2" xfId="2051" xr:uid="{00000000-0005-0000-0000-0000441B0000}"/>
    <cellStyle name="20% - Accent3 10 4 2 2" xfId="13395" xr:uid="{00000000-0005-0000-0000-0000451B0000}"/>
    <cellStyle name="20% - Accent3 10 4 2 2 2" xfId="25252" xr:uid="{00000000-0005-0000-0000-0000461B0000}"/>
    <cellStyle name="20% - Accent3 10 4 2 3" xfId="17346" xr:uid="{00000000-0005-0000-0000-0000471B0000}"/>
    <cellStyle name="20% - Accent3 10 4 2 3 2" xfId="29038" xr:uid="{00000000-0005-0000-0000-0000481B0000}"/>
    <cellStyle name="20% - Accent3 10 4 2 4" xfId="21392" xr:uid="{00000000-0005-0000-0000-0000491B0000}"/>
    <cellStyle name="20% - Accent3 10 4 3" xfId="2052" xr:uid="{00000000-0005-0000-0000-00004A1B0000}"/>
    <cellStyle name="20% - Accent3 10 4 3 2" xfId="13396" xr:uid="{00000000-0005-0000-0000-00004B1B0000}"/>
    <cellStyle name="20% - Accent3 10 4 3 2 2" xfId="25253" xr:uid="{00000000-0005-0000-0000-00004C1B0000}"/>
    <cellStyle name="20% - Accent3 10 4 3 3" xfId="17347" xr:uid="{00000000-0005-0000-0000-00004D1B0000}"/>
    <cellStyle name="20% - Accent3 10 4 3 3 2" xfId="29039" xr:uid="{00000000-0005-0000-0000-00004E1B0000}"/>
    <cellStyle name="20% - Accent3 10 4 3 4" xfId="21393" xr:uid="{00000000-0005-0000-0000-00004F1B0000}"/>
    <cellStyle name="20% - Accent3 10 4 4" xfId="13394" xr:uid="{00000000-0005-0000-0000-0000501B0000}"/>
    <cellStyle name="20% - Accent3 10 4 4 2" xfId="25251" xr:uid="{00000000-0005-0000-0000-0000511B0000}"/>
    <cellStyle name="20% - Accent3 10 4 5" xfId="17345" xr:uid="{00000000-0005-0000-0000-0000521B0000}"/>
    <cellStyle name="20% - Accent3 10 4 5 2" xfId="29037" xr:uid="{00000000-0005-0000-0000-0000531B0000}"/>
    <cellStyle name="20% - Accent3 10 4 6" xfId="21391" xr:uid="{00000000-0005-0000-0000-0000541B0000}"/>
    <cellStyle name="20% - Accent3 10 5" xfId="2053" xr:uid="{00000000-0005-0000-0000-0000551B0000}"/>
    <cellStyle name="20% - Accent3 10 5 2" xfId="2054" xr:uid="{00000000-0005-0000-0000-0000561B0000}"/>
    <cellStyle name="20% - Accent3 10 5 2 2" xfId="13398" xr:uid="{00000000-0005-0000-0000-0000571B0000}"/>
    <cellStyle name="20% - Accent3 10 5 2 2 2" xfId="25255" xr:uid="{00000000-0005-0000-0000-0000581B0000}"/>
    <cellStyle name="20% - Accent3 10 5 2 3" xfId="17349" xr:uid="{00000000-0005-0000-0000-0000591B0000}"/>
    <cellStyle name="20% - Accent3 10 5 2 3 2" xfId="29041" xr:uid="{00000000-0005-0000-0000-00005A1B0000}"/>
    <cellStyle name="20% - Accent3 10 5 2 4" xfId="21395" xr:uid="{00000000-0005-0000-0000-00005B1B0000}"/>
    <cellStyle name="20% - Accent3 10 5 3" xfId="2055" xr:uid="{00000000-0005-0000-0000-00005C1B0000}"/>
    <cellStyle name="20% - Accent3 10 5 3 2" xfId="13399" xr:uid="{00000000-0005-0000-0000-00005D1B0000}"/>
    <cellStyle name="20% - Accent3 10 5 3 2 2" xfId="25256" xr:uid="{00000000-0005-0000-0000-00005E1B0000}"/>
    <cellStyle name="20% - Accent3 10 5 3 3" xfId="17350" xr:uid="{00000000-0005-0000-0000-00005F1B0000}"/>
    <cellStyle name="20% - Accent3 10 5 3 3 2" xfId="29042" xr:uid="{00000000-0005-0000-0000-0000601B0000}"/>
    <cellStyle name="20% - Accent3 10 5 3 4" xfId="21396" xr:uid="{00000000-0005-0000-0000-0000611B0000}"/>
    <cellStyle name="20% - Accent3 10 5 4" xfId="13397" xr:uid="{00000000-0005-0000-0000-0000621B0000}"/>
    <cellStyle name="20% - Accent3 10 5 4 2" xfId="25254" xr:uid="{00000000-0005-0000-0000-0000631B0000}"/>
    <cellStyle name="20% - Accent3 10 5 5" xfId="17348" xr:uid="{00000000-0005-0000-0000-0000641B0000}"/>
    <cellStyle name="20% - Accent3 10 5 5 2" xfId="29040" xr:uid="{00000000-0005-0000-0000-0000651B0000}"/>
    <cellStyle name="20% - Accent3 10 5 6" xfId="21394" xr:uid="{00000000-0005-0000-0000-0000661B0000}"/>
    <cellStyle name="20% - Accent3 10 6" xfId="2056" xr:uid="{00000000-0005-0000-0000-0000671B0000}"/>
    <cellStyle name="20% - Accent3 10 6 2" xfId="2057" xr:uid="{00000000-0005-0000-0000-0000681B0000}"/>
    <cellStyle name="20% - Accent3 10 6 2 2" xfId="13401" xr:uid="{00000000-0005-0000-0000-0000691B0000}"/>
    <cellStyle name="20% - Accent3 10 6 2 2 2" xfId="25258" xr:uid="{00000000-0005-0000-0000-00006A1B0000}"/>
    <cellStyle name="20% - Accent3 10 6 2 3" xfId="17352" xr:uid="{00000000-0005-0000-0000-00006B1B0000}"/>
    <cellStyle name="20% - Accent3 10 6 2 3 2" xfId="29044" xr:uid="{00000000-0005-0000-0000-00006C1B0000}"/>
    <cellStyle name="20% - Accent3 10 6 2 4" xfId="21398" xr:uid="{00000000-0005-0000-0000-00006D1B0000}"/>
    <cellStyle name="20% - Accent3 10 6 3" xfId="2058" xr:uid="{00000000-0005-0000-0000-00006E1B0000}"/>
    <cellStyle name="20% - Accent3 10 6 3 2" xfId="13402" xr:uid="{00000000-0005-0000-0000-00006F1B0000}"/>
    <cellStyle name="20% - Accent3 10 6 3 2 2" xfId="25259" xr:uid="{00000000-0005-0000-0000-0000701B0000}"/>
    <cellStyle name="20% - Accent3 10 6 3 3" xfId="17353" xr:uid="{00000000-0005-0000-0000-0000711B0000}"/>
    <cellStyle name="20% - Accent3 10 6 3 3 2" xfId="29045" xr:uid="{00000000-0005-0000-0000-0000721B0000}"/>
    <cellStyle name="20% - Accent3 10 6 3 4" xfId="21399" xr:uid="{00000000-0005-0000-0000-0000731B0000}"/>
    <cellStyle name="20% - Accent3 10 6 4" xfId="13400" xr:uid="{00000000-0005-0000-0000-0000741B0000}"/>
    <cellStyle name="20% - Accent3 10 6 4 2" xfId="25257" xr:uid="{00000000-0005-0000-0000-0000751B0000}"/>
    <cellStyle name="20% - Accent3 10 6 5" xfId="17351" xr:uid="{00000000-0005-0000-0000-0000761B0000}"/>
    <cellStyle name="20% - Accent3 10 6 5 2" xfId="29043" xr:uid="{00000000-0005-0000-0000-0000771B0000}"/>
    <cellStyle name="20% - Accent3 10 6 6" xfId="21397" xr:uid="{00000000-0005-0000-0000-0000781B0000}"/>
    <cellStyle name="20% - Accent3 10 7" xfId="2059" xr:uid="{00000000-0005-0000-0000-0000791B0000}"/>
    <cellStyle name="20% - Accent3 10 7 2" xfId="13403" xr:uid="{00000000-0005-0000-0000-00007A1B0000}"/>
    <cellStyle name="20% - Accent3 10 7 2 2" xfId="25260" xr:uid="{00000000-0005-0000-0000-00007B1B0000}"/>
    <cellStyle name="20% - Accent3 10 7 3" xfId="17354" xr:uid="{00000000-0005-0000-0000-00007C1B0000}"/>
    <cellStyle name="20% - Accent3 10 7 3 2" xfId="29046" xr:uid="{00000000-0005-0000-0000-00007D1B0000}"/>
    <cellStyle name="20% - Accent3 10 7 4" xfId="21400" xr:uid="{00000000-0005-0000-0000-00007E1B0000}"/>
    <cellStyle name="20% - Accent3 10 8" xfId="2060" xr:uid="{00000000-0005-0000-0000-00007F1B0000}"/>
    <cellStyle name="20% - Accent3 10 8 2" xfId="13404" xr:uid="{00000000-0005-0000-0000-0000801B0000}"/>
    <cellStyle name="20% - Accent3 10 8 2 2" xfId="25261" xr:uid="{00000000-0005-0000-0000-0000811B0000}"/>
    <cellStyle name="20% - Accent3 10 8 3" xfId="17355" xr:uid="{00000000-0005-0000-0000-0000821B0000}"/>
    <cellStyle name="20% - Accent3 10 8 3 2" xfId="29047" xr:uid="{00000000-0005-0000-0000-0000831B0000}"/>
    <cellStyle name="20% - Accent3 10 8 4" xfId="21401" xr:uid="{00000000-0005-0000-0000-0000841B0000}"/>
    <cellStyle name="20% - Accent3 10 9" xfId="13372" xr:uid="{00000000-0005-0000-0000-0000851B0000}"/>
    <cellStyle name="20% - Accent3 10 9 2" xfId="25229" xr:uid="{00000000-0005-0000-0000-0000861B0000}"/>
    <cellStyle name="20% - Accent3 10_Volatility" xfId="2061" xr:uid="{00000000-0005-0000-0000-0000871B0000}"/>
    <cellStyle name="20% - Accent3 11" xfId="2062" xr:uid="{00000000-0005-0000-0000-0000881B0000}"/>
    <cellStyle name="20% - Accent3 11 10" xfId="17356" xr:uid="{00000000-0005-0000-0000-0000891B0000}"/>
    <cellStyle name="20% - Accent3 11 10 2" xfId="29048" xr:uid="{00000000-0005-0000-0000-00008A1B0000}"/>
    <cellStyle name="20% - Accent3 11 11" xfId="21402" xr:uid="{00000000-0005-0000-0000-00008B1B0000}"/>
    <cellStyle name="20% - Accent3 11 2" xfId="2063" xr:uid="{00000000-0005-0000-0000-00008C1B0000}"/>
    <cellStyle name="20% - Accent3 11 2 2" xfId="2064" xr:uid="{00000000-0005-0000-0000-00008D1B0000}"/>
    <cellStyle name="20% - Accent3 11 2 2 2" xfId="2065" xr:uid="{00000000-0005-0000-0000-00008E1B0000}"/>
    <cellStyle name="20% - Accent3 11 2 2 2 2" xfId="13408" xr:uid="{00000000-0005-0000-0000-00008F1B0000}"/>
    <cellStyle name="20% - Accent3 11 2 2 2 2 2" xfId="25265" xr:uid="{00000000-0005-0000-0000-0000901B0000}"/>
    <cellStyle name="20% - Accent3 11 2 2 2 3" xfId="17359" xr:uid="{00000000-0005-0000-0000-0000911B0000}"/>
    <cellStyle name="20% - Accent3 11 2 2 2 3 2" xfId="29051" xr:uid="{00000000-0005-0000-0000-0000921B0000}"/>
    <cellStyle name="20% - Accent3 11 2 2 2 4" xfId="21405" xr:uid="{00000000-0005-0000-0000-0000931B0000}"/>
    <cellStyle name="20% - Accent3 11 2 2 3" xfId="2066" xr:uid="{00000000-0005-0000-0000-0000941B0000}"/>
    <cellStyle name="20% - Accent3 11 2 2 3 2" xfId="13409" xr:uid="{00000000-0005-0000-0000-0000951B0000}"/>
    <cellStyle name="20% - Accent3 11 2 2 3 2 2" xfId="25266" xr:uid="{00000000-0005-0000-0000-0000961B0000}"/>
    <cellStyle name="20% - Accent3 11 2 2 3 3" xfId="17360" xr:uid="{00000000-0005-0000-0000-0000971B0000}"/>
    <cellStyle name="20% - Accent3 11 2 2 3 3 2" xfId="29052" xr:uid="{00000000-0005-0000-0000-0000981B0000}"/>
    <cellStyle name="20% - Accent3 11 2 2 3 4" xfId="21406" xr:uid="{00000000-0005-0000-0000-0000991B0000}"/>
    <cellStyle name="20% - Accent3 11 2 2 4" xfId="13407" xr:uid="{00000000-0005-0000-0000-00009A1B0000}"/>
    <cellStyle name="20% - Accent3 11 2 2 4 2" xfId="25264" xr:uid="{00000000-0005-0000-0000-00009B1B0000}"/>
    <cellStyle name="20% - Accent3 11 2 2 5" xfId="17358" xr:uid="{00000000-0005-0000-0000-00009C1B0000}"/>
    <cellStyle name="20% - Accent3 11 2 2 5 2" xfId="29050" xr:uid="{00000000-0005-0000-0000-00009D1B0000}"/>
    <cellStyle name="20% - Accent3 11 2 2 6" xfId="21404" xr:uid="{00000000-0005-0000-0000-00009E1B0000}"/>
    <cellStyle name="20% - Accent3 11 2 3" xfId="2067" xr:uid="{00000000-0005-0000-0000-00009F1B0000}"/>
    <cellStyle name="20% - Accent3 11 2 3 2" xfId="2068" xr:uid="{00000000-0005-0000-0000-0000A01B0000}"/>
    <cellStyle name="20% - Accent3 11 2 3 2 2" xfId="13411" xr:uid="{00000000-0005-0000-0000-0000A11B0000}"/>
    <cellStyle name="20% - Accent3 11 2 3 2 2 2" xfId="25268" xr:uid="{00000000-0005-0000-0000-0000A21B0000}"/>
    <cellStyle name="20% - Accent3 11 2 3 2 3" xfId="17362" xr:uid="{00000000-0005-0000-0000-0000A31B0000}"/>
    <cellStyle name="20% - Accent3 11 2 3 2 3 2" xfId="29054" xr:uid="{00000000-0005-0000-0000-0000A41B0000}"/>
    <cellStyle name="20% - Accent3 11 2 3 2 4" xfId="21408" xr:uid="{00000000-0005-0000-0000-0000A51B0000}"/>
    <cellStyle name="20% - Accent3 11 2 3 3" xfId="2069" xr:uid="{00000000-0005-0000-0000-0000A61B0000}"/>
    <cellStyle name="20% - Accent3 11 2 3 3 2" xfId="13412" xr:uid="{00000000-0005-0000-0000-0000A71B0000}"/>
    <cellStyle name="20% - Accent3 11 2 3 3 2 2" xfId="25269" xr:uid="{00000000-0005-0000-0000-0000A81B0000}"/>
    <cellStyle name="20% - Accent3 11 2 3 3 3" xfId="17363" xr:uid="{00000000-0005-0000-0000-0000A91B0000}"/>
    <cellStyle name="20% - Accent3 11 2 3 3 3 2" xfId="29055" xr:uid="{00000000-0005-0000-0000-0000AA1B0000}"/>
    <cellStyle name="20% - Accent3 11 2 3 3 4" xfId="21409" xr:uid="{00000000-0005-0000-0000-0000AB1B0000}"/>
    <cellStyle name="20% - Accent3 11 2 3 4" xfId="13410" xr:uid="{00000000-0005-0000-0000-0000AC1B0000}"/>
    <cellStyle name="20% - Accent3 11 2 3 4 2" xfId="25267" xr:uid="{00000000-0005-0000-0000-0000AD1B0000}"/>
    <cellStyle name="20% - Accent3 11 2 3 5" xfId="17361" xr:uid="{00000000-0005-0000-0000-0000AE1B0000}"/>
    <cellStyle name="20% - Accent3 11 2 3 5 2" xfId="29053" xr:uid="{00000000-0005-0000-0000-0000AF1B0000}"/>
    <cellStyle name="20% - Accent3 11 2 3 6" xfId="21407" xr:uid="{00000000-0005-0000-0000-0000B01B0000}"/>
    <cellStyle name="20% - Accent3 11 2 4" xfId="2070" xr:uid="{00000000-0005-0000-0000-0000B11B0000}"/>
    <cellStyle name="20% - Accent3 11 2 4 2" xfId="2071" xr:uid="{00000000-0005-0000-0000-0000B21B0000}"/>
    <cellStyle name="20% - Accent3 11 2 4 2 2" xfId="13414" xr:uid="{00000000-0005-0000-0000-0000B31B0000}"/>
    <cellStyle name="20% - Accent3 11 2 4 2 2 2" xfId="25271" xr:uid="{00000000-0005-0000-0000-0000B41B0000}"/>
    <cellStyle name="20% - Accent3 11 2 4 2 3" xfId="17365" xr:uid="{00000000-0005-0000-0000-0000B51B0000}"/>
    <cellStyle name="20% - Accent3 11 2 4 2 3 2" xfId="29057" xr:uid="{00000000-0005-0000-0000-0000B61B0000}"/>
    <cellStyle name="20% - Accent3 11 2 4 2 4" xfId="21411" xr:uid="{00000000-0005-0000-0000-0000B71B0000}"/>
    <cellStyle name="20% - Accent3 11 2 4 3" xfId="2072" xr:uid="{00000000-0005-0000-0000-0000B81B0000}"/>
    <cellStyle name="20% - Accent3 11 2 4 3 2" xfId="13415" xr:uid="{00000000-0005-0000-0000-0000B91B0000}"/>
    <cellStyle name="20% - Accent3 11 2 4 3 2 2" xfId="25272" xr:uid="{00000000-0005-0000-0000-0000BA1B0000}"/>
    <cellStyle name="20% - Accent3 11 2 4 3 3" xfId="17366" xr:uid="{00000000-0005-0000-0000-0000BB1B0000}"/>
    <cellStyle name="20% - Accent3 11 2 4 3 3 2" xfId="29058" xr:uid="{00000000-0005-0000-0000-0000BC1B0000}"/>
    <cellStyle name="20% - Accent3 11 2 4 3 4" xfId="21412" xr:uid="{00000000-0005-0000-0000-0000BD1B0000}"/>
    <cellStyle name="20% - Accent3 11 2 4 4" xfId="13413" xr:uid="{00000000-0005-0000-0000-0000BE1B0000}"/>
    <cellStyle name="20% - Accent3 11 2 4 4 2" xfId="25270" xr:uid="{00000000-0005-0000-0000-0000BF1B0000}"/>
    <cellStyle name="20% - Accent3 11 2 4 5" xfId="17364" xr:uid="{00000000-0005-0000-0000-0000C01B0000}"/>
    <cellStyle name="20% - Accent3 11 2 4 5 2" xfId="29056" xr:uid="{00000000-0005-0000-0000-0000C11B0000}"/>
    <cellStyle name="20% - Accent3 11 2 4 6" xfId="21410" xr:uid="{00000000-0005-0000-0000-0000C21B0000}"/>
    <cellStyle name="20% - Accent3 11 2 5" xfId="2073" xr:uid="{00000000-0005-0000-0000-0000C31B0000}"/>
    <cellStyle name="20% - Accent3 11 2 5 2" xfId="13416" xr:uid="{00000000-0005-0000-0000-0000C41B0000}"/>
    <cellStyle name="20% - Accent3 11 2 5 2 2" xfId="25273" xr:uid="{00000000-0005-0000-0000-0000C51B0000}"/>
    <cellStyle name="20% - Accent3 11 2 5 3" xfId="17367" xr:uid="{00000000-0005-0000-0000-0000C61B0000}"/>
    <cellStyle name="20% - Accent3 11 2 5 3 2" xfId="29059" xr:uid="{00000000-0005-0000-0000-0000C71B0000}"/>
    <cellStyle name="20% - Accent3 11 2 5 4" xfId="21413" xr:uid="{00000000-0005-0000-0000-0000C81B0000}"/>
    <cellStyle name="20% - Accent3 11 2 6" xfId="2074" xr:uid="{00000000-0005-0000-0000-0000C91B0000}"/>
    <cellStyle name="20% - Accent3 11 2 6 2" xfId="13417" xr:uid="{00000000-0005-0000-0000-0000CA1B0000}"/>
    <cellStyle name="20% - Accent3 11 2 6 2 2" xfId="25274" xr:uid="{00000000-0005-0000-0000-0000CB1B0000}"/>
    <cellStyle name="20% - Accent3 11 2 6 3" xfId="17368" xr:uid="{00000000-0005-0000-0000-0000CC1B0000}"/>
    <cellStyle name="20% - Accent3 11 2 6 3 2" xfId="29060" xr:uid="{00000000-0005-0000-0000-0000CD1B0000}"/>
    <cellStyle name="20% - Accent3 11 2 6 4" xfId="21414" xr:uid="{00000000-0005-0000-0000-0000CE1B0000}"/>
    <cellStyle name="20% - Accent3 11 2 7" xfId="13406" xr:uid="{00000000-0005-0000-0000-0000CF1B0000}"/>
    <cellStyle name="20% - Accent3 11 2 7 2" xfId="25263" xr:uid="{00000000-0005-0000-0000-0000D01B0000}"/>
    <cellStyle name="20% - Accent3 11 2 8" xfId="17357" xr:uid="{00000000-0005-0000-0000-0000D11B0000}"/>
    <cellStyle name="20% - Accent3 11 2 8 2" xfId="29049" xr:uid="{00000000-0005-0000-0000-0000D21B0000}"/>
    <cellStyle name="20% - Accent3 11 2 9" xfId="21403" xr:uid="{00000000-0005-0000-0000-0000D31B0000}"/>
    <cellStyle name="20% - Accent3 11 2_Volatility" xfId="2075" xr:uid="{00000000-0005-0000-0000-0000D41B0000}"/>
    <cellStyle name="20% - Accent3 11 3" xfId="2076" xr:uid="{00000000-0005-0000-0000-0000D51B0000}"/>
    <cellStyle name="20% - Accent3 11 3 2" xfId="2077" xr:uid="{00000000-0005-0000-0000-0000D61B0000}"/>
    <cellStyle name="20% - Accent3 11 3 2 2" xfId="2078" xr:uid="{00000000-0005-0000-0000-0000D71B0000}"/>
    <cellStyle name="20% - Accent3 11 3 2 2 2" xfId="13420" xr:uid="{00000000-0005-0000-0000-0000D81B0000}"/>
    <cellStyle name="20% - Accent3 11 3 2 2 2 2" xfId="25277" xr:uid="{00000000-0005-0000-0000-0000D91B0000}"/>
    <cellStyle name="20% - Accent3 11 3 2 2 3" xfId="17371" xr:uid="{00000000-0005-0000-0000-0000DA1B0000}"/>
    <cellStyle name="20% - Accent3 11 3 2 2 3 2" xfId="29063" xr:uid="{00000000-0005-0000-0000-0000DB1B0000}"/>
    <cellStyle name="20% - Accent3 11 3 2 2 4" xfId="21417" xr:uid="{00000000-0005-0000-0000-0000DC1B0000}"/>
    <cellStyle name="20% - Accent3 11 3 2 3" xfId="2079" xr:uid="{00000000-0005-0000-0000-0000DD1B0000}"/>
    <cellStyle name="20% - Accent3 11 3 2 3 2" xfId="13421" xr:uid="{00000000-0005-0000-0000-0000DE1B0000}"/>
    <cellStyle name="20% - Accent3 11 3 2 3 2 2" xfId="25278" xr:uid="{00000000-0005-0000-0000-0000DF1B0000}"/>
    <cellStyle name="20% - Accent3 11 3 2 3 3" xfId="17372" xr:uid="{00000000-0005-0000-0000-0000E01B0000}"/>
    <cellStyle name="20% - Accent3 11 3 2 3 3 2" xfId="29064" xr:uid="{00000000-0005-0000-0000-0000E11B0000}"/>
    <cellStyle name="20% - Accent3 11 3 2 3 4" xfId="21418" xr:uid="{00000000-0005-0000-0000-0000E21B0000}"/>
    <cellStyle name="20% - Accent3 11 3 2 4" xfId="13419" xr:uid="{00000000-0005-0000-0000-0000E31B0000}"/>
    <cellStyle name="20% - Accent3 11 3 2 4 2" xfId="25276" xr:uid="{00000000-0005-0000-0000-0000E41B0000}"/>
    <cellStyle name="20% - Accent3 11 3 2 5" xfId="17370" xr:uid="{00000000-0005-0000-0000-0000E51B0000}"/>
    <cellStyle name="20% - Accent3 11 3 2 5 2" xfId="29062" xr:uid="{00000000-0005-0000-0000-0000E61B0000}"/>
    <cellStyle name="20% - Accent3 11 3 2 6" xfId="21416" xr:uid="{00000000-0005-0000-0000-0000E71B0000}"/>
    <cellStyle name="20% - Accent3 11 3 3" xfId="2080" xr:uid="{00000000-0005-0000-0000-0000E81B0000}"/>
    <cellStyle name="20% - Accent3 11 3 3 2" xfId="2081" xr:uid="{00000000-0005-0000-0000-0000E91B0000}"/>
    <cellStyle name="20% - Accent3 11 3 3 2 2" xfId="13423" xr:uid="{00000000-0005-0000-0000-0000EA1B0000}"/>
    <cellStyle name="20% - Accent3 11 3 3 2 2 2" xfId="25280" xr:uid="{00000000-0005-0000-0000-0000EB1B0000}"/>
    <cellStyle name="20% - Accent3 11 3 3 2 3" xfId="17374" xr:uid="{00000000-0005-0000-0000-0000EC1B0000}"/>
    <cellStyle name="20% - Accent3 11 3 3 2 3 2" xfId="29066" xr:uid="{00000000-0005-0000-0000-0000ED1B0000}"/>
    <cellStyle name="20% - Accent3 11 3 3 2 4" xfId="21420" xr:uid="{00000000-0005-0000-0000-0000EE1B0000}"/>
    <cellStyle name="20% - Accent3 11 3 3 3" xfId="2082" xr:uid="{00000000-0005-0000-0000-0000EF1B0000}"/>
    <cellStyle name="20% - Accent3 11 3 3 3 2" xfId="13424" xr:uid="{00000000-0005-0000-0000-0000F01B0000}"/>
    <cellStyle name="20% - Accent3 11 3 3 3 2 2" xfId="25281" xr:uid="{00000000-0005-0000-0000-0000F11B0000}"/>
    <cellStyle name="20% - Accent3 11 3 3 3 3" xfId="17375" xr:uid="{00000000-0005-0000-0000-0000F21B0000}"/>
    <cellStyle name="20% - Accent3 11 3 3 3 3 2" xfId="29067" xr:uid="{00000000-0005-0000-0000-0000F31B0000}"/>
    <cellStyle name="20% - Accent3 11 3 3 3 4" xfId="21421" xr:uid="{00000000-0005-0000-0000-0000F41B0000}"/>
    <cellStyle name="20% - Accent3 11 3 3 4" xfId="13422" xr:uid="{00000000-0005-0000-0000-0000F51B0000}"/>
    <cellStyle name="20% - Accent3 11 3 3 4 2" xfId="25279" xr:uid="{00000000-0005-0000-0000-0000F61B0000}"/>
    <cellStyle name="20% - Accent3 11 3 3 5" xfId="17373" xr:uid="{00000000-0005-0000-0000-0000F71B0000}"/>
    <cellStyle name="20% - Accent3 11 3 3 5 2" xfId="29065" xr:uid="{00000000-0005-0000-0000-0000F81B0000}"/>
    <cellStyle name="20% - Accent3 11 3 3 6" xfId="21419" xr:uid="{00000000-0005-0000-0000-0000F91B0000}"/>
    <cellStyle name="20% - Accent3 11 3 4" xfId="2083" xr:uid="{00000000-0005-0000-0000-0000FA1B0000}"/>
    <cellStyle name="20% - Accent3 11 3 4 2" xfId="13425" xr:uid="{00000000-0005-0000-0000-0000FB1B0000}"/>
    <cellStyle name="20% - Accent3 11 3 4 2 2" xfId="25282" xr:uid="{00000000-0005-0000-0000-0000FC1B0000}"/>
    <cellStyle name="20% - Accent3 11 3 4 3" xfId="17376" xr:uid="{00000000-0005-0000-0000-0000FD1B0000}"/>
    <cellStyle name="20% - Accent3 11 3 4 3 2" xfId="29068" xr:uid="{00000000-0005-0000-0000-0000FE1B0000}"/>
    <cellStyle name="20% - Accent3 11 3 4 4" xfId="21422" xr:uid="{00000000-0005-0000-0000-0000FF1B0000}"/>
    <cellStyle name="20% - Accent3 11 3 5" xfId="2084" xr:uid="{00000000-0005-0000-0000-0000001C0000}"/>
    <cellStyle name="20% - Accent3 11 3 5 2" xfId="13426" xr:uid="{00000000-0005-0000-0000-0000011C0000}"/>
    <cellStyle name="20% - Accent3 11 3 5 2 2" xfId="25283" xr:uid="{00000000-0005-0000-0000-0000021C0000}"/>
    <cellStyle name="20% - Accent3 11 3 5 3" xfId="17377" xr:uid="{00000000-0005-0000-0000-0000031C0000}"/>
    <cellStyle name="20% - Accent3 11 3 5 3 2" xfId="29069" xr:uid="{00000000-0005-0000-0000-0000041C0000}"/>
    <cellStyle name="20% - Accent3 11 3 5 4" xfId="21423" xr:uid="{00000000-0005-0000-0000-0000051C0000}"/>
    <cellStyle name="20% - Accent3 11 3 6" xfId="13418" xr:uid="{00000000-0005-0000-0000-0000061C0000}"/>
    <cellStyle name="20% - Accent3 11 3 6 2" xfId="25275" xr:uid="{00000000-0005-0000-0000-0000071C0000}"/>
    <cellStyle name="20% - Accent3 11 3 7" xfId="17369" xr:uid="{00000000-0005-0000-0000-0000081C0000}"/>
    <cellStyle name="20% - Accent3 11 3 7 2" xfId="29061" xr:uid="{00000000-0005-0000-0000-0000091C0000}"/>
    <cellStyle name="20% - Accent3 11 3 8" xfId="21415" xr:uid="{00000000-0005-0000-0000-00000A1C0000}"/>
    <cellStyle name="20% - Accent3 11 3_Volatility" xfId="2085" xr:uid="{00000000-0005-0000-0000-00000B1C0000}"/>
    <cellStyle name="20% - Accent3 11 4" xfId="2086" xr:uid="{00000000-0005-0000-0000-00000C1C0000}"/>
    <cellStyle name="20% - Accent3 11 4 2" xfId="2087" xr:uid="{00000000-0005-0000-0000-00000D1C0000}"/>
    <cellStyle name="20% - Accent3 11 4 2 2" xfId="13428" xr:uid="{00000000-0005-0000-0000-00000E1C0000}"/>
    <cellStyle name="20% - Accent3 11 4 2 2 2" xfId="25285" xr:uid="{00000000-0005-0000-0000-00000F1C0000}"/>
    <cellStyle name="20% - Accent3 11 4 2 3" xfId="17379" xr:uid="{00000000-0005-0000-0000-0000101C0000}"/>
    <cellStyle name="20% - Accent3 11 4 2 3 2" xfId="29071" xr:uid="{00000000-0005-0000-0000-0000111C0000}"/>
    <cellStyle name="20% - Accent3 11 4 2 4" xfId="21425" xr:uid="{00000000-0005-0000-0000-0000121C0000}"/>
    <cellStyle name="20% - Accent3 11 4 3" xfId="2088" xr:uid="{00000000-0005-0000-0000-0000131C0000}"/>
    <cellStyle name="20% - Accent3 11 4 3 2" xfId="13429" xr:uid="{00000000-0005-0000-0000-0000141C0000}"/>
    <cellStyle name="20% - Accent3 11 4 3 2 2" xfId="25286" xr:uid="{00000000-0005-0000-0000-0000151C0000}"/>
    <cellStyle name="20% - Accent3 11 4 3 3" xfId="17380" xr:uid="{00000000-0005-0000-0000-0000161C0000}"/>
    <cellStyle name="20% - Accent3 11 4 3 3 2" xfId="29072" xr:uid="{00000000-0005-0000-0000-0000171C0000}"/>
    <cellStyle name="20% - Accent3 11 4 3 4" xfId="21426" xr:uid="{00000000-0005-0000-0000-0000181C0000}"/>
    <cellStyle name="20% - Accent3 11 4 4" xfId="13427" xr:uid="{00000000-0005-0000-0000-0000191C0000}"/>
    <cellStyle name="20% - Accent3 11 4 4 2" xfId="25284" xr:uid="{00000000-0005-0000-0000-00001A1C0000}"/>
    <cellStyle name="20% - Accent3 11 4 5" xfId="17378" xr:uid="{00000000-0005-0000-0000-00001B1C0000}"/>
    <cellStyle name="20% - Accent3 11 4 5 2" xfId="29070" xr:uid="{00000000-0005-0000-0000-00001C1C0000}"/>
    <cellStyle name="20% - Accent3 11 4 6" xfId="21424" xr:uid="{00000000-0005-0000-0000-00001D1C0000}"/>
    <cellStyle name="20% - Accent3 11 5" xfId="2089" xr:uid="{00000000-0005-0000-0000-00001E1C0000}"/>
    <cellStyle name="20% - Accent3 11 5 2" xfId="2090" xr:uid="{00000000-0005-0000-0000-00001F1C0000}"/>
    <cellStyle name="20% - Accent3 11 5 2 2" xfId="13431" xr:uid="{00000000-0005-0000-0000-0000201C0000}"/>
    <cellStyle name="20% - Accent3 11 5 2 2 2" xfId="25288" xr:uid="{00000000-0005-0000-0000-0000211C0000}"/>
    <cellStyle name="20% - Accent3 11 5 2 3" xfId="17382" xr:uid="{00000000-0005-0000-0000-0000221C0000}"/>
    <cellStyle name="20% - Accent3 11 5 2 3 2" xfId="29074" xr:uid="{00000000-0005-0000-0000-0000231C0000}"/>
    <cellStyle name="20% - Accent3 11 5 2 4" xfId="21428" xr:uid="{00000000-0005-0000-0000-0000241C0000}"/>
    <cellStyle name="20% - Accent3 11 5 3" xfId="2091" xr:uid="{00000000-0005-0000-0000-0000251C0000}"/>
    <cellStyle name="20% - Accent3 11 5 3 2" xfId="13432" xr:uid="{00000000-0005-0000-0000-0000261C0000}"/>
    <cellStyle name="20% - Accent3 11 5 3 2 2" xfId="25289" xr:uid="{00000000-0005-0000-0000-0000271C0000}"/>
    <cellStyle name="20% - Accent3 11 5 3 3" xfId="17383" xr:uid="{00000000-0005-0000-0000-0000281C0000}"/>
    <cellStyle name="20% - Accent3 11 5 3 3 2" xfId="29075" xr:uid="{00000000-0005-0000-0000-0000291C0000}"/>
    <cellStyle name="20% - Accent3 11 5 3 4" xfId="21429" xr:uid="{00000000-0005-0000-0000-00002A1C0000}"/>
    <cellStyle name="20% - Accent3 11 5 4" xfId="13430" xr:uid="{00000000-0005-0000-0000-00002B1C0000}"/>
    <cellStyle name="20% - Accent3 11 5 4 2" xfId="25287" xr:uid="{00000000-0005-0000-0000-00002C1C0000}"/>
    <cellStyle name="20% - Accent3 11 5 5" xfId="17381" xr:uid="{00000000-0005-0000-0000-00002D1C0000}"/>
    <cellStyle name="20% - Accent3 11 5 5 2" xfId="29073" xr:uid="{00000000-0005-0000-0000-00002E1C0000}"/>
    <cellStyle name="20% - Accent3 11 5 6" xfId="21427" xr:uid="{00000000-0005-0000-0000-00002F1C0000}"/>
    <cellStyle name="20% - Accent3 11 6" xfId="2092" xr:uid="{00000000-0005-0000-0000-0000301C0000}"/>
    <cellStyle name="20% - Accent3 11 6 2" xfId="2093" xr:uid="{00000000-0005-0000-0000-0000311C0000}"/>
    <cellStyle name="20% - Accent3 11 6 2 2" xfId="13434" xr:uid="{00000000-0005-0000-0000-0000321C0000}"/>
    <cellStyle name="20% - Accent3 11 6 2 2 2" xfId="25291" xr:uid="{00000000-0005-0000-0000-0000331C0000}"/>
    <cellStyle name="20% - Accent3 11 6 2 3" xfId="17385" xr:uid="{00000000-0005-0000-0000-0000341C0000}"/>
    <cellStyle name="20% - Accent3 11 6 2 3 2" xfId="29077" xr:uid="{00000000-0005-0000-0000-0000351C0000}"/>
    <cellStyle name="20% - Accent3 11 6 2 4" xfId="21431" xr:uid="{00000000-0005-0000-0000-0000361C0000}"/>
    <cellStyle name="20% - Accent3 11 6 3" xfId="2094" xr:uid="{00000000-0005-0000-0000-0000371C0000}"/>
    <cellStyle name="20% - Accent3 11 6 3 2" xfId="13435" xr:uid="{00000000-0005-0000-0000-0000381C0000}"/>
    <cellStyle name="20% - Accent3 11 6 3 2 2" xfId="25292" xr:uid="{00000000-0005-0000-0000-0000391C0000}"/>
    <cellStyle name="20% - Accent3 11 6 3 3" xfId="17386" xr:uid="{00000000-0005-0000-0000-00003A1C0000}"/>
    <cellStyle name="20% - Accent3 11 6 3 3 2" xfId="29078" xr:uid="{00000000-0005-0000-0000-00003B1C0000}"/>
    <cellStyle name="20% - Accent3 11 6 3 4" xfId="21432" xr:uid="{00000000-0005-0000-0000-00003C1C0000}"/>
    <cellStyle name="20% - Accent3 11 6 4" xfId="13433" xr:uid="{00000000-0005-0000-0000-00003D1C0000}"/>
    <cellStyle name="20% - Accent3 11 6 4 2" xfId="25290" xr:uid="{00000000-0005-0000-0000-00003E1C0000}"/>
    <cellStyle name="20% - Accent3 11 6 5" xfId="17384" xr:uid="{00000000-0005-0000-0000-00003F1C0000}"/>
    <cellStyle name="20% - Accent3 11 6 5 2" xfId="29076" xr:uid="{00000000-0005-0000-0000-0000401C0000}"/>
    <cellStyle name="20% - Accent3 11 6 6" xfId="21430" xr:uid="{00000000-0005-0000-0000-0000411C0000}"/>
    <cellStyle name="20% - Accent3 11 7" xfId="2095" xr:uid="{00000000-0005-0000-0000-0000421C0000}"/>
    <cellStyle name="20% - Accent3 11 7 2" xfId="13436" xr:uid="{00000000-0005-0000-0000-0000431C0000}"/>
    <cellStyle name="20% - Accent3 11 7 2 2" xfId="25293" xr:uid="{00000000-0005-0000-0000-0000441C0000}"/>
    <cellStyle name="20% - Accent3 11 7 3" xfId="17387" xr:uid="{00000000-0005-0000-0000-0000451C0000}"/>
    <cellStyle name="20% - Accent3 11 7 3 2" xfId="29079" xr:uid="{00000000-0005-0000-0000-0000461C0000}"/>
    <cellStyle name="20% - Accent3 11 7 4" xfId="21433" xr:uid="{00000000-0005-0000-0000-0000471C0000}"/>
    <cellStyle name="20% - Accent3 11 8" xfId="2096" xr:uid="{00000000-0005-0000-0000-0000481C0000}"/>
    <cellStyle name="20% - Accent3 11 8 2" xfId="13437" xr:uid="{00000000-0005-0000-0000-0000491C0000}"/>
    <cellStyle name="20% - Accent3 11 8 2 2" xfId="25294" xr:uid="{00000000-0005-0000-0000-00004A1C0000}"/>
    <cellStyle name="20% - Accent3 11 8 3" xfId="17388" xr:uid="{00000000-0005-0000-0000-00004B1C0000}"/>
    <cellStyle name="20% - Accent3 11 8 3 2" xfId="29080" xr:uid="{00000000-0005-0000-0000-00004C1C0000}"/>
    <cellStyle name="20% - Accent3 11 8 4" xfId="21434" xr:uid="{00000000-0005-0000-0000-00004D1C0000}"/>
    <cellStyle name="20% - Accent3 11 9" xfId="13405" xr:uid="{00000000-0005-0000-0000-00004E1C0000}"/>
    <cellStyle name="20% - Accent3 11 9 2" xfId="25262" xr:uid="{00000000-0005-0000-0000-00004F1C0000}"/>
    <cellStyle name="20% - Accent3 11_Volatility" xfId="2097" xr:uid="{00000000-0005-0000-0000-0000501C0000}"/>
    <cellStyle name="20% - Accent3 12" xfId="2098" xr:uid="{00000000-0005-0000-0000-0000511C0000}"/>
    <cellStyle name="20% - Accent3 12 10" xfId="17389" xr:uid="{00000000-0005-0000-0000-0000521C0000}"/>
    <cellStyle name="20% - Accent3 12 10 2" xfId="29081" xr:uid="{00000000-0005-0000-0000-0000531C0000}"/>
    <cellStyle name="20% - Accent3 12 11" xfId="21435" xr:uid="{00000000-0005-0000-0000-0000541C0000}"/>
    <cellStyle name="20% - Accent3 12 2" xfId="2099" xr:uid="{00000000-0005-0000-0000-0000551C0000}"/>
    <cellStyle name="20% - Accent3 12 2 2" xfId="2100" xr:uid="{00000000-0005-0000-0000-0000561C0000}"/>
    <cellStyle name="20% - Accent3 12 2 2 2" xfId="2101" xr:uid="{00000000-0005-0000-0000-0000571C0000}"/>
    <cellStyle name="20% - Accent3 12 2 2 2 2" xfId="13441" xr:uid="{00000000-0005-0000-0000-0000581C0000}"/>
    <cellStyle name="20% - Accent3 12 2 2 2 2 2" xfId="25298" xr:uid="{00000000-0005-0000-0000-0000591C0000}"/>
    <cellStyle name="20% - Accent3 12 2 2 2 3" xfId="17392" xr:uid="{00000000-0005-0000-0000-00005A1C0000}"/>
    <cellStyle name="20% - Accent3 12 2 2 2 3 2" xfId="29084" xr:uid="{00000000-0005-0000-0000-00005B1C0000}"/>
    <cellStyle name="20% - Accent3 12 2 2 2 4" xfId="21438" xr:uid="{00000000-0005-0000-0000-00005C1C0000}"/>
    <cellStyle name="20% - Accent3 12 2 2 3" xfId="2102" xr:uid="{00000000-0005-0000-0000-00005D1C0000}"/>
    <cellStyle name="20% - Accent3 12 2 2 3 2" xfId="13442" xr:uid="{00000000-0005-0000-0000-00005E1C0000}"/>
    <cellStyle name="20% - Accent3 12 2 2 3 2 2" xfId="25299" xr:uid="{00000000-0005-0000-0000-00005F1C0000}"/>
    <cellStyle name="20% - Accent3 12 2 2 3 3" xfId="17393" xr:uid="{00000000-0005-0000-0000-0000601C0000}"/>
    <cellStyle name="20% - Accent3 12 2 2 3 3 2" xfId="29085" xr:uid="{00000000-0005-0000-0000-0000611C0000}"/>
    <cellStyle name="20% - Accent3 12 2 2 3 4" xfId="21439" xr:uid="{00000000-0005-0000-0000-0000621C0000}"/>
    <cellStyle name="20% - Accent3 12 2 2 4" xfId="13440" xr:uid="{00000000-0005-0000-0000-0000631C0000}"/>
    <cellStyle name="20% - Accent3 12 2 2 4 2" xfId="25297" xr:uid="{00000000-0005-0000-0000-0000641C0000}"/>
    <cellStyle name="20% - Accent3 12 2 2 5" xfId="17391" xr:uid="{00000000-0005-0000-0000-0000651C0000}"/>
    <cellStyle name="20% - Accent3 12 2 2 5 2" xfId="29083" xr:uid="{00000000-0005-0000-0000-0000661C0000}"/>
    <cellStyle name="20% - Accent3 12 2 2 6" xfId="21437" xr:uid="{00000000-0005-0000-0000-0000671C0000}"/>
    <cellStyle name="20% - Accent3 12 2 3" xfId="2103" xr:uid="{00000000-0005-0000-0000-0000681C0000}"/>
    <cellStyle name="20% - Accent3 12 2 3 2" xfId="2104" xr:uid="{00000000-0005-0000-0000-0000691C0000}"/>
    <cellStyle name="20% - Accent3 12 2 3 2 2" xfId="13444" xr:uid="{00000000-0005-0000-0000-00006A1C0000}"/>
    <cellStyle name="20% - Accent3 12 2 3 2 2 2" xfId="25301" xr:uid="{00000000-0005-0000-0000-00006B1C0000}"/>
    <cellStyle name="20% - Accent3 12 2 3 2 3" xfId="17395" xr:uid="{00000000-0005-0000-0000-00006C1C0000}"/>
    <cellStyle name="20% - Accent3 12 2 3 2 3 2" xfId="29087" xr:uid="{00000000-0005-0000-0000-00006D1C0000}"/>
    <cellStyle name="20% - Accent3 12 2 3 2 4" xfId="21441" xr:uid="{00000000-0005-0000-0000-00006E1C0000}"/>
    <cellStyle name="20% - Accent3 12 2 3 3" xfId="2105" xr:uid="{00000000-0005-0000-0000-00006F1C0000}"/>
    <cellStyle name="20% - Accent3 12 2 3 3 2" xfId="13445" xr:uid="{00000000-0005-0000-0000-0000701C0000}"/>
    <cellStyle name="20% - Accent3 12 2 3 3 2 2" xfId="25302" xr:uid="{00000000-0005-0000-0000-0000711C0000}"/>
    <cellStyle name="20% - Accent3 12 2 3 3 3" xfId="17396" xr:uid="{00000000-0005-0000-0000-0000721C0000}"/>
    <cellStyle name="20% - Accent3 12 2 3 3 3 2" xfId="29088" xr:uid="{00000000-0005-0000-0000-0000731C0000}"/>
    <cellStyle name="20% - Accent3 12 2 3 3 4" xfId="21442" xr:uid="{00000000-0005-0000-0000-0000741C0000}"/>
    <cellStyle name="20% - Accent3 12 2 3 4" xfId="13443" xr:uid="{00000000-0005-0000-0000-0000751C0000}"/>
    <cellStyle name="20% - Accent3 12 2 3 4 2" xfId="25300" xr:uid="{00000000-0005-0000-0000-0000761C0000}"/>
    <cellStyle name="20% - Accent3 12 2 3 5" xfId="17394" xr:uid="{00000000-0005-0000-0000-0000771C0000}"/>
    <cellStyle name="20% - Accent3 12 2 3 5 2" xfId="29086" xr:uid="{00000000-0005-0000-0000-0000781C0000}"/>
    <cellStyle name="20% - Accent3 12 2 3 6" xfId="21440" xr:uid="{00000000-0005-0000-0000-0000791C0000}"/>
    <cellStyle name="20% - Accent3 12 2 4" xfId="2106" xr:uid="{00000000-0005-0000-0000-00007A1C0000}"/>
    <cellStyle name="20% - Accent3 12 2 4 2" xfId="2107" xr:uid="{00000000-0005-0000-0000-00007B1C0000}"/>
    <cellStyle name="20% - Accent3 12 2 4 2 2" xfId="13447" xr:uid="{00000000-0005-0000-0000-00007C1C0000}"/>
    <cellStyle name="20% - Accent3 12 2 4 2 2 2" xfId="25304" xr:uid="{00000000-0005-0000-0000-00007D1C0000}"/>
    <cellStyle name="20% - Accent3 12 2 4 2 3" xfId="17398" xr:uid="{00000000-0005-0000-0000-00007E1C0000}"/>
    <cellStyle name="20% - Accent3 12 2 4 2 3 2" xfId="29090" xr:uid="{00000000-0005-0000-0000-00007F1C0000}"/>
    <cellStyle name="20% - Accent3 12 2 4 2 4" xfId="21444" xr:uid="{00000000-0005-0000-0000-0000801C0000}"/>
    <cellStyle name="20% - Accent3 12 2 4 3" xfId="2108" xr:uid="{00000000-0005-0000-0000-0000811C0000}"/>
    <cellStyle name="20% - Accent3 12 2 4 3 2" xfId="13448" xr:uid="{00000000-0005-0000-0000-0000821C0000}"/>
    <cellStyle name="20% - Accent3 12 2 4 3 2 2" xfId="25305" xr:uid="{00000000-0005-0000-0000-0000831C0000}"/>
    <cellStyle name="20% - Accent3 12 2 4 3 3" xfId="17399" xr:uid="{00000000-0005-0000-0000-0000841C0000}"/>
    <cellStyle name="20% - Accent3 12 2 4 3 3 2" xfId="29091" xr:uid="{00000000-0005-0000-0000-0000851C0000}"/>
    <cellStyle name="20% - Accent3 12 2 4 3 4" xfId="21445" xr:uid="{00000000-0005-0000-0000-0000861C0000}"/>
    <cellStyle name="20% - Accent3 12 2 4 4" xfId="13446" xr:uid="{00000000-0005-0000-0000-0000871C0000}"/>
    <cellStyle name="20% - Accent3 12 2 4 4 2" xfId="25303" xr:uid="{00000000-0005-0000-0000-0000881C0000}"/>
    <cellStyle name="20% - Accent3 12 2 4 5" xfId="17397" xr:uid="{00000000-0005-0000-0000-0000891C0000}"/>
    <cellStyle name="20% - Accent3 12 2 4 5 2" xfId="29089" xr:uid="{00000000-0005-0000-0000-00008A1C0000}"/>
    <cellStyle name="20% - Accent3 12 2 4 6" xfId="21443" xr:uid="{00000000-0005-0000-0000-00008B1C0000}"/>
    <cellStyle name="20% - Accent3 12 2 5" xfId="2109" xr:uid="{00000000-0005-0000-0000-00008C1C0000}"/>
    <cellStyle name="20% - Accent3 12 2 5 2" xfId="13449" xr:uid="{00000000-0005-0000-0000-00008D1C0000}"/>
    <cellStyle name="20% - Accent3 12 2 5 2 2" xfId="25306" xr:uid="{00000000-0005-0000-0000-00008E1C0000}"/>
    <cellStyle name="20% - Accent3 12 2 5 3" xfId="17400" xr:uid="{00000000-0005-0000-0000-00008F1C0000}"/>
    <cellStyle name="20% - Accent3 12 2 5 3 2" xfId="29092" xr:uid="{00000000-0005-0000-0000-0000901C0000}"/>
    <cellStyle name="20% - Accent3 12 2 5 4" xfId="21446" xr:uid="{00000000-0005-0000-0000-0000911C0000}"/>
    <cellStyle name="20% - Accent3 12 2 6" xfId="2110" xr:uid="{00000000-0005-0000-0000-0000921C0000}"/>
    <cellStyle name="20% - Accent3 12 2 6 2" xfId="13450" xr:uid="{00000000-0005-0000-0000-0000931C0000}"/>
    <cellStyle name="20% - Accent3 12 2 6 2 2" xfId="25307" xr:uid="{00000000-0005-0000-0000-0000941C0000}"/>
    <cellStyle name="20% - Accent3 12 2 6 3" xfId="17401" xr:uid="{00000000-0005-0000-0000-0000951C0000}"/>
    <cellStyle name="20% - Accent3 12 2 6 3 2" xfId="29093" xr:uid="{00000000-0005-0000-0000-0000961C0000}"/>
    <cellStyle name="20% - Accent3 12 2 6 4" xfId="21447" xr:uid="{00000000-0005-0000-0000-0000971C0000}"/>
    <cellStyle name="20% - Accent3 12 2 7" xfId="13439" xr:uid="{00000000-0005-0000-0000-0000981C0000}"/>
    <cellStyle name="20% - Accent3 12 2 7 2" xfId="25296" xr:uid="{00000000-0005-0000-0000-0000991C0000}"/>
    <cellStyle name="20% - Accent3 12 2 8" xfId="17390" xr:uid="{00000000-0005-0000-0000-00009A1C0000}"/>
    <cellStyle name="20% - Accent3 12 2 8 2" xfId="29082" xr:uid="{00000000-0005-0000-0000-00009B1C0000}"/>
    <cellStyle name="20% - Accent3 12 2 9" xfId="21436" xr:uid="{00000000-0005-0000-0000-00009C1C0000}"/>
    <cellStyle name="20% - Accent3 12 2_Volatility" xfId="2111" xr:uid="{00000000-0005-0000-0000-00009D1C0000}"/>
    <cellStyle name="20% - Accent3 12 3" xfId="2112" xr:uid="{00000000-0005-0000-0000-00009E1C0000}"/>
    <cellStyle name="20% - Accent3 12 3 2" xfId="2113" xr:uid="{00000000-0005-0000-0000-00009F1C0000}"/>
    <cellStyle name="20% - Accent3 12 3 2 2" xfId="2114" xr:uid="{00000000-0005-0000-0000-0000A01C0000}"/>
    <cellStyle name="20% - Accent3 12 3 2 2 2" xfId="13453" xr:uid="{00000000-0005-0000-0000-0000A11C0000}"/>
    <cellStyle name="20% - Accent3 12 3 2 2 2 2" xfId="25310" xr:uid="{00000000-0005-0000-0000-0000A21C0000}"/>
    <cellStyle name="20% - Accent3 12 3 2 2 3" xfId="17404" xr:uid="{00000000-0005-0000-0000-0000A31C0000}"/>
    <cellStyle name="20% - Accent3 12 3 2 2 3 2" xfId="29096" xr:uid="{00000000-0005-0000-0000-0000A41C0000}"/>
    <cellStyle name="20% - Accent3 12 3 2 2 4" xfId="21450" xr:uid="{00000000-0005-0000-0000-0000A51C0000}"/>
    <cellStyle name="20% - Accent3 12 3 2 3" xfId="2115" xr:uid="{00000000-0005-0000-0000-0000A61C0000}"/>
    <cellStyle name="20% - Accent3 12 3 2 3 2" xfId="13454" xr:uid="{00000000-0005-0000-0000-0000A71C0000}"/>
    <cellStyle name="20% - Accent3 12 3 2 3 2 2" xfId="25311" xr:uid="{00000000-0005-0000-0000-0000A81C0000}"/>
    <cellStyle name="20% - Accent3 12 3 2 3 3" xfId="17405" xr:uid="{00000000-0005-0000-0000-0000A91C0000}"/>
    <cellStyle name="20% - Accent3 12 3 2 3 3 2" xfId="29097" xr:uid="{00000000-0005-0000-0000-0000AA1C0000}"/>
    <cellStyle name="20% - Accent3 12 3 2 3 4" xfId="21451" xr:uid="{00000000-0005-0000-0000-0000AB1C0000}"/>
    <cellStyle name="20% - Accent3 12 3 2 4" xfId="13452" xr:uid="{00000000-0005-0000-0000-0000AC1C0000}"/>
    <cellStyle name="20% - Accent3 12 3 2 4 2" xfId="25309" xr:uid="{00000000-0005-0000-0000-0000AD1C0000}"/>
    <cellStyle name="20% - Accent3 12 3 2 5" xfId="17403" xr:uid="{00000000-0005-0000-0000-0000AE1C0000}"/>
    <cellStyle name="20% - Accent3 12 3 2 5 2" xfId="29095" xr:uid="{00000000-0005-0000-0000-0000AF1C0000}"/>
    <cellStyle name="20% - Accent3 12 3 2 6" xfId="21449" xr:uid="{00000000-0005-0000-0000-0000B01C0000}"/>
    <cellStyle name="20% - Accent3 12 3 3" xfId="2116" xr:uid="{00000000-0005-0000-0000-0000B11C0000}"/>
    <cellStyle name="20% - Accent3 12 3 3 2" xfId="2117" xr:uid="{00000000-0005-0000-0000-0000B21C0000}"/>
    <cellStyle name="20% - Accent3 12 3 3 2 2" xfId="13456" xr:uid="{00000000-0005-0000-0000-0000B31C0000}"/>
    <cellStyle name="20% - Accent3 12 3 3 2 2 2" xfId="25313" xr:uid="{00000000-0005-0000-0000-0000B41C0000}"/>
    <cellStyle name="20% - Accent3 12 3 3 2 3" xfId="17407" xr:uid="{00000000-0005-0000-0000-0000B51C0000}"/>
    <cellStyle name="20% - Accent3 12 3 3 2 3 2" xfId="29099" xr:uid="{00000000-0005-0000-0000-0000B61C0000}"/>
    <cellStyle name="20% - Accent3 12 3 3 2 4" xfId="21453" xr:uid="{00000000-0005-0000-0000-0000B71C0000}"/>
    <cellStyle name="20% - Accent3 12 3 3 3" xfId="2118" xr:uid="{00000000-0005-0000-0000-0000B81C0000}"/>
    <cellStyle name="20% - Accent3 12 3 3 3 2" xfId="13457" xr:uid="{00000000-0005-0000-0000-0000B91C0000}"/>
    <cellStyle name="20% - Accent3 12 3 3 3 2 2" xfId="25314" xr:uid="{00000000-0005-0000-0000-0000BA1C0000}"/>
    <cellStyle name="20% - Accent3 12 3 3 3 3" xfId="17408" xr:uid="{00000000-0005-0000-0000-0000BB1C0000}"/>
    <cellStyle name="20% - Accent3 12 3 3 3 3 2" xfId="29100" xr:uid="{00000000-0005-0000-0000-0000BC1C0000}"/>
    <cellStyle name="20% - Accent3 12 3 3 3 4" xfId="21454" xr:uid="{00000000-0005-0000-0000-0000BD1C0000}"/>
    <cellStyle name="20% - Accent3 12 3 3 4" xfId="13455" xr:uid="{00000000-0005-0000-0000-0000BE1C0000}"/>
    <cellStyle name="20% - Accent3 12 3 3 4 2" xfId="25312" xr:uid="{00000000-0005-0000-0000-0000BF1C0000}"/>
    <cellStyle name="20% - Accent3 12 3 3 5" xfId="17406" xr:uid="{00000000-0005-0000-0000-0000C01C0000}"/>
    <cellStyle name="20% - Accent3 12 3 3 5 2" xfId="29098" xr:uid="{00000000-0005-0000-0000-0000C11C0000}"/>
    <cellStyle name="20% - Accent3 12 3 3 6" xfId="21452" xr:uid="{00000000-0005-0000-0000-0000C21C0000}"/>
    <cellStyle name="20% - Accent3 12 3 4" xfId="2119" xr:uid="{00000000-0005-0000-0000-0000C31C0000}"/>
    <cellStyle name="20% - Accent3 12 3 4 2" xfId="13458" xr:uid="{00000000-0005-0000-0000-0000C41C0000}"/>
    <cellStyle name="20% - Accent3 12 3 4 2 2" xfId="25315" xr:uid="{00000000-0005-0000-0000-0000C51C0000}"/>
    <cellStyle name="20% - Accent3 12 3 4 3" xfId="17409" xr:uid="{00000000-0005-0000-0000-0000C61C0000}"/>
    <cellStyle name="20% - Accent3 12 3 4 3 2" xfId="29101" xr:uid="{00000000-0005-0000-0000-0000C71C0000}"/>
    <cellStyle name="20% - Accent3 12 3 4 4" xfId="21455" xr:uid="{00000000-0005-0000-0000-0000C81C0000}"/>
    <cellStyle name="20% - Accent3 12 3 5" xfId="2120" xr:uid="{00000000-0005-0000-0000-0000C91C0000}"/>
    <cellStyle name="20% - Accent3 12 3 5 2" xfId="13459" xr:uid="{00000000-0005-0000-0000-0000CA1C0000}"/>
    <cellStyle name="20% - Accent3 12 3 5 2 2" xfId="25316" xr:uid="{00000000-0005-0000-0000-0000CB1C0000}"/>
    <cellStyle name="20% - Accent3 12 3 5 3" xfId="17410" xr:uid="{00000000-0005-0000-0000-0000CC1C0000}"/>
    <cellStyle name="20% - Accent3 12 3 5 3 2" xfId="29102" xr:uid="{00000000-0005-0000-0000-0000CD1C0000}"/>
    <cellStyle name="20% - Accent3 12 3 5 4" xfId="21456" xr:uid="{00000000-0005-0000-0000-0000CE1C0000}"/>
    <cellStyle name="20% - Accent3 12 3 6" xfId="13451" xr:uid="{00000000-0005-0000-0000-0000CF1C0000}"/>
    <cellStyle name="20% - Accent3 12 3 6 2" xfId="25308" xr:uid="{00000000-0005-0000-0000-0000D01C0000}"/>
    <cellStyle name="20% - Accent3 12 3 7" xfId="17402" xr:uid="{00000000-0005-0000-0000-0000D11C0000}"/>
    <cellStyle name="20% - Accent3 12 3 7 2" xfId="29094" xr:uid="{00000000-0005-0000-0000-0000D21C0000}"/>
    <cellStyle name="20% - Accent3 12 3 8" xfId="21448" xr:uid="{00000000-0005-0000-0000-0000D31C0000}"/>
    <cellStyle name="20% - Accent3 12 3_Volatility" xfId="2121" xr:uid="{00000000-0005-0000-0000-0000D41C0000}"/>
    <cellStyle name="20% - Accent3 12 4" xfId="2122" xr:uid="{00000000-0005-0000-0000-0000D51C0000}"/>
    <cellStyle name="20% - Accent3 12 4 2" xfId="2123" xr:uid="{00000000-0005-0000-0000-0000D61C0000}"/>
    <cellStyle name="20% - Accent3 12 4 2 2" xfId="13461" xr:uid="{00000000-0005-0000-0000-0000D71C0000}"/>
    <cellStyle name="20% - Accent3 12 4 2 2 2" xfId="25318" xr:uid="{00000000-0005-0000-0000-0000D81C0000}"/>
    <cellStyle name="20% - Accent3 12 4 2 3" xfId="17412" xr:uid="{00000000-0005-0000-0000-0000D91C0000}"/>
    <cellStyle name="20% - Accent3 12 4 2 3 2" xfId="29104" xr:uid="{00000000-0005-0000-0000-0000DA1C0000}"/>
    <cellStyle name="20% - Accent3 12 4 2 4" xfId="21458" xr:uid="{00000000-0005-0000-0000-0000DB1C0000}"/>
    <cellStyle name="20% - Accent3 12 4 3" xfId="2124" xr:uid="{00000000-0005-0000-0000-0000DC1C0000}"/>
    <cellStyle name="20% - Accent3 12 4 3 2" xfId="13462" xr:uid="{00000000-0005-0000-0000-0000DD1C0000}"/>
    <cellStyle name="20% - Accent3 12 4 3 2 2" xfId="25319" xr:uid="{00000000-0005-0000-0000-0000DE1C0000}"/>
    <cellStyle name="20% - Accent3 12 4 3 3" xfId="17413" xr:uid="{00000000-0005-0000-0000-0000DF1C0000}"/>
    <cellStyle name="20% - Accent3 12 4 3 3 2" xfId="29105" xr:uid="{00000000-0005-0000-0000-0000E01C0000}"/>
    <cellStyle name="20% - Accent3 12 4 3 4" xfId="21459" xr:uid="{00000000-0005-0000-0000-0000E11C0000}"/>
    <cellStyle name="20% - Accent3 12 4 4" xfId="13460" xr:uid="{00000000-0005-0000-0000-0000E21C0000}"/>
    <cellStyle name="20% - Accent3 12 4 4 2" xfId="25317" xr:uid="{00000000-0005-0000-0000-0000E31C0000}"/>
    <cellStyle name="20% - Accent3 12 4 5" xfId="17411" xr:uid="{00000000-0005-0000-0000-0000E41C0000}"/>
    <cellStyle name="20% - Accent3 12 4 5 2" xfId="29103" xr:uid="{00000000-0005-0000-0000-0000E51C0000}"/>
    <cellStyle name="20% - Accent3 12 4 6" xfId="21457" xr:uid="{00000000-0005-0000-0000-0000E61C0000}"/>
    <cellStyle name="20% - Accent3 12 5" xfId="2125" xr:uid="{00000000-0005-0000-0000-0000E71C0000}"/>
    <cellStyle name="20% - Accent3 12 5 2" xfId="2126" xr:uid="{00000000-0005-0000-0000-0000E81C0000}"/>
    <cellStyle name="20% - Accent3 12 5 2 2" xfId="13464" xr:uid="{00000000-0005-0000-0000-0000E91C0000}"/>
    <cellStyle name="20% - Accent3 12 5 2 2 2" xfId="25321" xr:uid="{00000000-0005-0000-0000-0000EA1C0000}"/>
    <cellStyle name="20% - Accent3 12 5 2 3" xfId="17415" xr:uid="{00000000-0005-0000-0000-0000EB1C0000}"/>
    <cellStyle name="20% - Accent3 12 5 2 3 2" xfId="29107" xr:uid="{00000000-0005-0000-0000-0000EC1C0000}"/>
    <cellStyle name="20% - Accent3 12 5 2 4" xfId="21461" xr:uid="{00000000-0005-0000-0000-0000ED1C0000}"/>
    <cellStyle name="20% - Accent3 12 5 3" xfId="2127" xr:uid="{00000000-0005-0000-0000-0000EE1C0000}"/>
    <cellStyle name="20% - Accent3 12 5 3 2" xfId="13465" xr:uid="{00000000-0005-0000-0000-0000EF1C0000}"/>
    <cellStyle name="20% - Accent3 12 5 3 2 2" xfId="25322" xr:uid="{00000000-0005-0000-0000-0000F01C0000}"/>
    <cellStyle name="20% - Accent3 12 5 3 3" xfId="17416" xr:uid="{00000000-0005-0000-0000-0000F11C0000}"/>
    <cellStyle name="20% - Accent3 12 5 3 3 2" xfId="29108" xr:uid="{00000000-0005-0000-0000-0000F21C0000}"/>
    <cellStyle name="20% - Accent3 12 5 3 4" xfId="21462" xr:uid="{00000000-0005-0000-0000-0000F31C0000}"/>
    <cellStyle name="20% - Accent3 12 5 4" xfId="13463" xr:uid="{00000000-0005-0000-0000-0000F41C0000}"/>
    <cellStyle name="20% - Accent3 12 5 4 2" xfId="25320" xr:uid="{00000000-0005-0000-0000-0000F51C0000}"/>
    <cellStyle name="20% - Accent3 12 5 5" xfId="17414" xr:uid="{00000000-0005-0000-0000-0000F61C0000}"/>
    <cellStyle name="20% - Accent3 12 5 5 2" xfId="29106" xr:uid="{00000000-0005-0000-0000-0000F71C0000}"/>
    <cellStyle name="20% - Accent3 12 5 6" xfId="21460" xr:uid="{00000000-0005-0000-0000-0000F81C0000}"/>
    <cellStyle name="20% - Accent3 12 6" xfId="2128" xr:uid="{00000000-0005-0000-0000-0000F91C0000}"/>
    <cellStyle name="20% - Accent3 12 6 2" xfId="2129" xr:uid="{00000000-0005-0000-0000-0000FA1C0000}"/>
    <cellStyle name="20% - Accent3 12 6 2 2" xfId="13467" xr:uid="{00000000-0005-0000-0000-0000FB1C0000}"/>
    <cellStyle name="20% - Accent3 12 6 2 2 2" xfId="25324" xr:uid="{00000000-0005-0000-0000-0000FC1C0000}"/>
    <cellStyle name="20% - Accent3 12 6 2 3" xfId="17418" xr:uid="{00000000-0005-0000-0000-0000FD1C0000}"/>
    <cellStyle name="20% - Accent3 12 6 2 3 2" xfId="29110" xr:uid="{00000000-0005-0000-0000-0000FE1C0000}"/>
    <cellStyle name="20% - Accent3 12 6 2 4" xfId="21464" xr:uid="{00000000-0005-0000-0000-0000FF1C0000}"/>
    <cellStyle name="20% - Accent3 12 6 3" xfId="2130" xr:uid="{00000000-0005-0000-0000-0000001D0000}"/>
    <cellStyle name="20% - Accent3 12 6 3 2" xfId="13468" xr:uid="{00000000-0005-0000-0000-0000011D0000}"/>
    <cellStyle name="20% - Accent3 12 6 3 2 2" xfId="25325" xr:uid="{00000000-0005-0000-0000-0000021D0000}"/>
    <cellStyle name="20% - Accent3 12 6 3 3" xfId="17419" xr:uid="{00000000-0005-0000-0000-0000031D0000}"/>
    <cellStyle name="20% - Accent3 12 6 3 3 2" xfId="29111" xr:uid="{00000000-0005-0000-0000-0000041D0000}"/>
    <cellStyle name="20% - Accent3 12 6 3 4" xfId="21465" xr:uid="{00000000-0005-0000-0000-0000051D0000}"/>
    <cellStyle name="20% - Accent3 12 6 4" xfId="13466" xr:uid="{00000000-0005-0000-0000-0000061D0000}"/>
    <cellStyle name="20% - Accent3 12 6 4 2" xfId="25323" xr:uid="{00000000-0005-0000-0000-0000071D0000}"/>
    <cellStyle name="20% - Accent3 12 6 5" xfId="17417" xr:uid="{00000000-0005-0000-0000-0000081D0000}"/>
    <cellStyle name="20% - Accent3 12 6 5 2" xfId="29109" xr:uid="{00000000-0005-0000-0000-0000091D0000}"/>
    <cellStyle name="20% - Accent3 12 6 6" xfId="21463" xr:uid="{00000000-0005-0000-0000-00000A1D0000}"/>
    <cellStyle name="20% - Accent3 12 7" xfId="2131" xr:uid="{00000000-0005-0000-0000-00000B1D0000}"/>
    <cellStyle name="20% - Accent3 12 7 2" xfId="13469" xr:uid="{00000000-0005-0000-0000-00000C1D0000}"/>
    <cellStyle name="20% - Accent3 12 7 2 2" xfId="25326" xr:uid="{00000000-0005-0000-0000-00000D1D0000}"/>
    <cellStyle name="20% - Accent3 12 7 3" xfId="17420" xr:uid="{00000000-0005-0000-0000-00000E1D0000}"/>
    <cellStyle name="20% - Accent3 12 7 3 2" xfId="29112" xr:uid="{00000000-0005-0000-0000-00000F1D0000}"/>
    <cellStyle name="20% - Accent3 12 7 4" xfId="21466" xr:uid="{00000000-0005-0000-0000-0000101D0000}"/>
    <cellStyle name="20% - Accent3 12 8" xfId="2132" xr:uid="{00000000-0005-0000-0000-0000111D0000}"/>
    <cellStyle name="20% - Accent3 12 8 2" xfId="13470" xr:uid="{00000000-0005-0000-0000-0000121D0000}"/>
    <cellStyle name="20% - Accent3 12 8 2 2" xfId="25327" xr:uid="{00000000-0005-0000-0000-0000131D0000}"/>
    <cellStyle name="20% - Accent3 12 8 3" xfId="17421" xr:uid="{00000000-0005-0000-0000-0000141D0000}"/>
    <cellStyle name="20% - Accent3 12 8 3 2" xfId="29113" xr:uid="{00000000-0005-0000-0000-0000151D0000}"/>
    <cellStyle name="20% - Accent3 12 8 4" xfId="21467" xr:uid="{00000000-0005-0000-0000-0000161D0000}"/>
    <cellStyle name="20% - Accent3 12 9" xfId="13438" xr:uid="{00000000-0005-0000-0000-0000171D0000}"/>
    <cellStyle name="20% - Accent3 12 9 2" xfId="25295" xr:uid="{00000000-0005-0000-0000-0000181D0000}"/>
    <cellStyle name="20% - Accent3 12_Volatility" xfId="2133" xr:uid="{00000000-0005-0000-0000-0000191D0000}"/>
    <cellStyle name="20% - Accent3 13" xfId="2134" xr:uid="{00000000-0005-0000-0000-00001A1D0000}"/>
    <cellStyle name="20% - Accent3 13 10" xfId="17422" xr:uid="{00000000-0005-0000-0000-00001B1D0000}"/>
    <cellStyle name="20% - Accent3 13 10 2" xfId="29114" xr:uid="{00000000-0005-0000-0000-00001C1D0000}"/>
    <cellStyle name="20% - Accent3 13 11" xfId="21468" xr:uid="{00000000-0005-0000-0000-00001D1D0000}"/>
    <cellStyle name="20% - Accent3 13 2" xfId="2135" xr:uid="{00000000-0005-0000-0000-00001E1D0000}"/>
    <cellStyle name="20% - Accent3 13 2 2" xfId="2136" xr:uid="{00000000-0005-0000-0000-00001F1D0000}"/>
    <cellStyle name="20% - Accent3 13 2 2 2" xfId="2137" xr:uid="{00000000-0005-0000-0000-0000201D0000}"/>
    <cellStyle name="20% - Accent3 13 2 2 2 2" xfId="13474" xr:uid="{00000000-0005-0000-0000-0000211D0000}"/>
    <cellStyle name="20% - Accent3 13 2 2 2 2 2" xfId="25331" xr:uid="{00000000-0005-0000-0000-0000221D0000}"/>
    <cellStyle name="20% - Accent3 13 2 2 2 3" xfId="17425" xr:uid="{00000000-0005-0000-0000-0000231D0000}"/>
    <cellStyle name="20% - Accent3 13 2 2 2 3 2" xfId="29117" xr:uid="{00000000-0005-0000-0000-0000241D0000}"/>
    <cellStyle name="20% - Accent3 13 2 2 2 4" xfId="21471" xr:uid="{00000000-0005-0000-0000-0000251D0000}"/>
    <cellStyle name="20% - Accent3 13 2 2 3" xfId="2138" xr:uid="{00000000-0005-0000-0000-0000261D0000}"/>
    <cellStyle name="20% - Accent3 13 2 2 3 2" xfId="13475" xr:uid="{00000000-0005-0000-0000-0000271D0000}"/>
    <cellStyle name="20% - Accent3 13 2 2 3 2 2" xfId="25332" xr:uid="{00000000-0005-0000-0000-0000281D0000}"/>
    <cellStyle name="20% - Accent3 13 2 2 3 3" xfId="17426" xr:uid="{00000000-0005-0000-0000-0000291D0000}"/>
    <cellStyle name="20% - Accent3 13 2 2 3 3 2" xfId="29118" xr:uid="{00000000-0005-0000-0000-00002A1D0000}"/>
    <cellStyle name="20% - Accent3 13 2 2 3 4" xfId="21472" xr:uid="{00000000-0005-0000-0000-00002B1D0000}"/>
    <cellStyle name="20% - Accent3 13 2 2 4" xfId="13473" xr:uid="{00000000-0005-0000-0000-00002C1D0000}"/>
    <cellStyle name="20% - Accent3 13 2 2 4 2" xfId="25330" xr:uid="{00000000-0005-0000-0000-00002D1D0000}"/>
    <cellStyle name="20% - Accent3 13 2 2 5" xfId="17424" xr:uid="{00000000-0005-0000-0000-00002E1D0000}"/>
    <cellStyle name="20% - Accent3 13 2 2 5 2" xfId="29116" xr:uid="{00000000-0005-0000-0000-00002F1D0000}"/>
    <cellStyle name="20% - Accent3 13 2 2 6" xfId="21470" xr:uid="{00000000-0005-0000-0000-0000301D0000}"/>
    <cellStyle name="20% - Accent3 13 2 3" xfId="2139" xr:uid="{00000000-0005-0000-0000-0000311D0000}"/>
    <cellStyle name="20% - Accent3 13 2 3 2" xfId="2140" xr:uid="{00000000-0005-0000-0000-0000321D0000}"/>
    <cellStyle name="20% - Accent3 13 2 3 2 2" xfId="13477" xr:uid="{00000000-0005-0000-0000-0000331D0000}"/>
    <cellStyle name="20% - Accent3 13 2 3 2 2 2" xfId="25334" xr:uid="{00000000-0005-0000-0000-0000341D0000}"/>
    <cellStyle name="20% - Accent3 13 2 3 2 3" xfId="17428" xr:uid="{00000000-0005-0000-0000-0000351D0000}"/>
    <cellStyle name="20% - Accent3 13 2 3 2 3 2" xfId="29120" xr:uid="{00000000-0005-0000-0000-0000361D0000}"/>
    <cellStyle name="20% - Accent3 13 2 3 2 4" xfId="21474" xr:uid="{00000000-0005-0000-0000-0000371D0000}"/>
    <cellStyle name="20% - Accent3 13 2 3 3" xfId="2141" xr:uid="{00000000-0005-0000-0000-0000381D0000}"/>
    <cellStyle name="20% - Accent3 13 2 3 3 2" xfId="13478" xr:uid="{00000000-0005-0000-0000-0000391D0000}"/>
    <cellStyle name="20% - Accent3 13 2 3 3 2 2" xfId="25335" xr:uid="{00000000-0005-0000-0000-00003A1D0000}"/>
    <cellStyle name="20% - Accent3 13 2 3 3 3" xfId="17429" xr:uid="{00000000-0005-0000-0000-00003B1D0000}"/>
    <cellStyle name="20% - Accent3 13 2 3 3 3 2" xfId="29121" xr:uid="{00000000-0005-0000-0000-00003C1D0000}"/>
    <cellStyle name="20% - Accent3 13 2 3 3 4" xfId="21475" xr:uid="{00000000-0005-0000-0000-00003D1D0000}"/>
    <cellStyle name="20% - Accent3 13 2 3 4" xfId="13476" xr:uid="{00000000-0005-0000-0000-00003E1D0000}"/>
    <cellStyle name="20% - Accent3 13 2 3 4 2" xfId="25333" xr:uid="{00000000-0005-0000-0000-00003F1D0000}"/>
    <cellStyle name="20% - Accent3 13 2 3 5" xfId="17427" xr:uid="{00000000-0005-0000-0000-0000401D0000}"/>
    <cellStyle name="20% - Accent3 13 2 3 5 2" xfId="29119" xr:uid="{00000000-0005-0000-0000-0000411D0000}"/>
    <cellStyle name="20% - Accent3 13 2 3 6" xfId="21473" xr:uid="{00000000-0005-0000-0000-0000421D0000}"/>
    <cellStyle name="20% - Accent3 13 2 4" xfId="2142" xr:uid="{00000000-0005-0000-0000-0000431D0000}"/>
    <cellStyle name="20% - Accent3 13 2 4 2" xfId="2143" xr:uid="{00000000-0005-0000-0000-0000441D0000}"/>
    <cellStyle name="20% - Accent3 13 2 4 2 2" xfId="13480" xr:uid="{00000000-0005-0000-0000-0000451D0000}"/>
    <cellStyle name="20% - Accent3 13 2 4 2 2 2" xfId="25337" xr:uid="{00000000-0005-0000-0000-0000461D0000}"/>
    <cellStyle name="20% - Accent3 13 2 4 2 3" xfId="17431" xr:uid="{00000000-0005-0000-0000-0000471D0000}"/>
    <cellStyle name="20% - Accent3 13 2 4 2 3 2" xfId="29123" xr:uid="{00000000-0005-0000-0000-0000481D0000}"/>
    <cellStyle name="20% - Accent3 13 2 4 2 4" xfId="21477" xr:uid="{00000000-0005-0000-0000-0000491D0000}"/>
    <cellStyle name="20% - Accent3 13 2 4 3" xfId="2144" xr:uid="{00000000-0005-0000-0000-00004A1D0000}"/>
    <cellStyle name="20% - Accent3 13 2 4 3 2" xfId="13481" xr:uid="{00000000-0005-0000-0000-00004B1D0000}"/>
    <cellStyle name="20% - Accent3 13 2 4 3 2 2" xfId="25338" xr:uid="{00000000-0005-0000-0000-00004C1D0000}"/>
    <cellStyle name="20% - Accent3 13 2 4 3 3" xfId="17432" xr:uid="{00000000-0005-0000-0000-00004D1D0000}"/>
    <cellStyle name="20% - Accent3 13 2 4 3 3 2" xfId="29124" xr:uid="{00000000-0005-0000-0000-00004E1D0000}"/>
    <cellStyle name="20% - Accent3 13 2 4 3 4" xfId="21478" xr:uid="{00000000-0005-0000-0000-00004F1D0000}"/>
    <cellStyle name="20% - Accent3 13 2 4 4" xfId="13479" xr:uid="{00000000-0005-0000-0000-0000501D0000}"/>
    <cellStyle name="20% - Accent3 13 2 4 4 2" xfId="25336" xr:uid="{00000000-0005-0000-0000-0000511D0000}"/>
    <cellStyle name="20% - Accent3 13 2 4 5" xfId="17430" xr:uid="{00000000-0005-0000-0000-0000521D0000}"/>
    <cellStyle name="20% - Accent3 13 2 4 5 2" xfId="29122" xr:uid="{00000000-0005-0000-0000-0000531D0000}"/>
    <cellStyle name="20% - Accent3 13 2 4 6" xfId="21476" xr:uid="{00000000-0005-0000-0000-0000541D0000}"/>
    <cellStyle name="20% - Accent3 13 2 5" xfId="2145" xr:uid="{00000000-0005-0000-0000-0000551D0000}"/>
    <cellStyle name="20% - Accent3 13 2 5 2" xfId="13482" xr:uid="{00000000-0005-0000-0000-0000561D0000}"/>
    <cellStyle name="20% - Accent3 13 2 5 2 2" xfId="25339" xr:uid="{00000000-0005-0000-0000-0000571D0000}"/>
    <cellStyle name="20% - Accent3 13 2 5 3" xfId="17433" xr:uid="{00000000-0005-0000-0000-0000581D0000}"/>
    <cellStyle name="20% - Accent3 13 2 5 3 2" xfId="29125" xr:uid="{00000000-0005-0000-0000-0000591D0000}"/>
    <cellStyle name="20% - Accent3 13 2 5 4" xfId="21479" xr:uid="{00000000-0005-0000-0000-00005A1D0000}"/>
    <cellStyle name="20% - Accent3 13 2 6" xfId="2146" xr:uid="{00000000-0005-0000-0000-00005B1D0000}"/>
    <cellStyle name="20% - Accent3 13 2 6 2" xfId="13483" xr:uid="{00000000-0005-0000-0000-00005C1D0000}"/>
    <cellStyle name="20% - Accent3 13 2 6 2 2" xfId="25340" xr:uid="{00000000-0005-0000-0000-00005D1D0000}"/>
    <cellStyle name="20% - Accent3 13 2 6 3" xfId="17434" xr:uid="{00000000-0005-0000-0000-00005E1D0000}"/>
    <cellStyle name="20% - Accent3 13 2 6 3 2" xfId="29126" xr:uid="{00000000-0005-0000-0000-00005F1D0000}"/>
    <cellStyle name="20% - Accent3 13 2 6 4" xfId="21480" xr:uid="{00000000-0005-0000-0000-0000601D0000}"/>
    <cellStyle name="20% - Accent3 13 2 7" xfId="13472" xr:uid="{00000000-0005-0000-0000-0000611D0000}"/>
    <cellStyle name="20% - Accent3 13 2 7 2" xfId="25329" xr:uid="{00000000-0005-0000-0000-0000621D0000}"/>
    <cellStyle name="20% - Accent3 13 2 8" xfId="17423" xr:uid="{00000000-0005-0000-0000-0000631D0000}"/>
    <cellStyle name="20% - Accent3 13 2 8 2" xfId="29115" xr:uid="{00000000-0005-0000-0000-0000641D0000}"/>
    <cellStyle name="20% - Accent3 13 2 9" xfId="21469" xr:uid="{00000000-0005-0000-0000-0000651D0000}"/>
    <cellStyle name="20% - Accent3 13 2_Volatility" xfId="2147" xr:uid="{00000000-0005-0000-0000-0000661D0000}"/>
    <cellStyle name="20% - Accent3 13 3" xfId="2148" xr:uid="{00000000-0005-0000-0000-0000671D0000}"/>
    <cellStyle name="20% - Accent3 13 3 2" xfId="2149" xr:uid="{00000000-0005-0000-0000-0000681D0000}"/>
    <cellStyle name="20% - Accent3 13 3 2 2" xfId="2150" xr:uid="{00000000-0005-0000-0000-0000691D0000}"/>
    <cellStyle name="20% - Accent3 13 3 2 2 2" xfId="13486" xr:uid="{00000000-0005-0000-0000-00006A1D0000}"/>
    <cellStyle name="20% - Accent3 13 3 2 2 2 2" xfId="25343" xr:uid="{00000000-0005-0000-0000-00006B1D0000}"/>
    <cellStyle name="20% - Accent3 13 3 2 2 3" xfId="17437" xr:uid="{00000000-0005-0000-0000-00006C1D0000}"/>
    <cellStyle name="20% - Accent3 13 3 2 2 3 2" xfId="29129" xr:uid="{00000000-0005-0000-0000-00006D1D0000}"/>
    <cellStyle name="20% - Accent3 13 3 2 2 4" xfId="21483" xr:uid="{00000000-0005-0000-0000-00006E1D0000}"/>
    <cellStyle name="20% - Accent3 13 3 2 3" xfId="2151" xr:uid="{00000000-0005-0000-0000-00006F1D0000}"/>
    <cellStyle name="20% - Accent3 13 3 2 3 2" xfId="13487" xr:uid="{00000000-0005-0000-0000-0000701D0000}"/>
    <cellStyle name="20% - Accent3 13 3 2 3 2 2" xfId="25344" xr:uid="{00000000-0005-0000-0000-0000711D0000}"/>
    <cellStyle name="20% - Accent3 13 3 2 3 3" xfId="17438" xr:uid="{00000000-0005-0000-0000-0000721D0000}"/>
    <cellStyle name="20% - Accent3 13 3 2 3 3 2" xfId="29130" xr:uid="{00000000-0005-0000-0000-0000731D0000}"/>
    <cellStyle name="20% - Accent3 13 3 2 3 4" xfId="21484" xr:uid="{00000000-0005-0000-0000-0000741D0000}"/>
    <cellStyle name="20% - Accent3 13 3 2 4" xfId="13485" xr:uid="{00000000-0005-0000-0000-0000751D0000}"/>
    <cellStyle name="20% - Accent3 13 3 2 4 2" xfId="25342" xr:uid="{00000000-0005-0000-0000-0000761D0000}"/>
    <cellStyle name="20% - Accent3 13 3 2 5" xfId="17436" xr:uid="{00000000-0005-0000-0000-0000771D0000}"/>
    <cellStyle name="20% - Accent3 13 3 2 5 2" xfId="29128" xr:uid="{00000000-0005-0000-0000-0000781D0000}"/>
    <cellStyle name="20% - Accent3 13 3 2 6" xfId="21482" xr:uid="{00000000-0005-0000-0000-0000791D0000}"/>
    <cellStyle name="20% - Accent3 13 3 3" xfId="2152" xr:uid="{00000000-0005-0000-0000-00007A1D0000}"/>
    <cellStyle name="20% - Accent3 13 3 3 2" xfId="2153" xr:uid="{00000000-0005-0000-0000-00007B1D0000}"/>
    <cellStyle name="20% - Accent3 13 3 3 2 2" xfId="13489" xr:uid="{00000000-0005-0000-0000-00007C1D0000}"/>
    <cellStyle name="20% - Accent3 13 3 3 2 2 2" xfId="25346" xr:uid="{00000000-0005-0000-0000-00007D1D0000}"/>
    <cellStyle name="20% - Accent3 13 3 3 2 3" xfId="17440" xr:uid="{00000000-0005-0000-0000-00007E1D0000}"/>
    <cellStyle name="20% - Accent3 13 3 3 2 3 2" xfId="29132" xr:uid="{00000000-0005-0000-0000-00007F1D0000}"/>
    <cellStyle name="20% - Accent3 13 3 3 2 4" xfId="21486" xr:uid="{00000000-0005-0000-0000-0000801D0000}"/>
    <cellStyle name="20% - Accent3 13 3 3 3" xfId="2154" xr:uid="{00000000-0005-0000-0000-0000811D0000}"/>
    <cellStyle name="20% - Accent3 13 3 3 3 2" xfId="13490" xr:uid="{00000000-0005-0000-0000-0000821D0000}"/>
    <cellStyle name="20% - Accent3 13 3 3 3 2 2" xfId="25347" xr:uid="{00000000-0005-0000-0000-0000831D0000}"/>
    <cellStyle name="20% - Accent3 13 3 3 3 3" xfId="17441" xr:uid="{00000000-0005-0000-0000-0000841D0000}"/>
    <cellStyle name="20% - Accent3 13 3 3 3 3 2" xfId="29133" xr:uid="{00000000-0005-0000-0000-0000851D0000}"/>
    <cellStyle name="20% - Accent3 13 3 3 3 4" xfId="21487" xr:uid="{00000000-0005-0000-0000-0000861D0000}"/>
    <cellStyle name="20% - Accent3 13 3 3 4" xfId="13488" xr:uid="{00000000-0005-0000-0000-0000871D0000}"/>
    <cellStyle name="20% - Accent3 13 3 3 4 2" xfId="25345" xr:uid="{00000000-0005-0000-0000-0000881D0000}"/>
    <cellStyle name="20% - Accent3 13 3 3 5" xfId="17439" xr:uid="{00000000-0005-0000-0000-0000891D0000}"/>
    <cellStyle name="20% - Accent3 13 3 3 5 2" xfId="29131" xr:uid="{00000000-0005-0000-0000-00008A1D0000}"/>
    <cellStyle name="20% - Accent3 13 3 3 6" xfId="21485" xr:uid="{00000000-0005-0000-0000-00008B1D0000}"/>
    <cellStyle name="20% - Accent3 13 3 4" xfId="2155" xr:uid="{00000000-0005-0000-0000-00008C1D0000}"/>
    <cellStyle name="20% - Accent3 13 3 4 2" xfId="13491" xr:uid="{00000000-0005-0000-0000-00008D1D0000}"/>
    <cellStyle name="20% - Accent3 13 3 4 2 2" xfId="25348" xr:uid="{00000000-0005-0000-0000-00008E1D0000}"/>
    <cellStyle name="20% - Accent3 13 3 4 3" xfId="17442" xr:uid="{00000000-0005-0000-0000-00008F1D0000}"/>
    <cellStyle name="20% - Accent3 13 3 4 3 2" xfId="29134" xr:uid="{00000000-0005-0000-0000-0000901D0000}"/>
    <cellStyle name="20% - Accent3 13 3 4 4" xfId="21488" xr:uid="{00000000-0005-0000-0000-0000911D0000}"/>
    <cellStyle name="20% - Accent3 13 3 5" xfId="2156" xr:uid="{00000000-0005-0000-0000-0000921D0000}"/>
    <cellStyle name="20% - Accent3 13 3 5 2" xfId="13492" xr:uid="{00000000-0005-0000-0000-0000931D0000}"/>
    <cellStyle name="20% - Accent3 13 3 5 2 2" xfId="25349" xr:uid="{00000000-0005-0000-0000-0000941D0000}"/>
    <cellStyle name="20% - Accent3 13 3 5 3" xfId="17443" xr:uid="{00000000-0005-0000-0000-0000951D0000}"/>
    <cellStyle name="20% - Accent3 13 3 5 3 2" xfId="29135" xr:uid="{00000000-0005-0000-0000-0000961D0000}"/>
    <cellStyle name="20% - Accent3 13 3 5 4" xfId="21489" xr:uid="{00000000-0005-0000-0000-0000971D0000}"/>
    <cellStyle name="20% - Accent3 13 3 6" xfId="13484" xr:uid="{00000000-0005-0000-0000-0000981D0000}"/>
    <cellStyle name="20% - Accent3 13 3 6 2" xfId="25341" xr:uid="{00000000-0005-0000-0000-0000991D0000}"/>
    <cellStyle name="20% - Accent3 13 3 7" xfId="17435" xr:uid="{00000000-0005-0000-0000-00009A1D0000}"/>
    <cellStyle name="20% - Accent3 13 3 7 2" xfId="29127" xr:uid="{00000000-0005-0000-0000-00009B1D0000}"/>
    <cellStyle name="20% - Accent3 13 3 8" xfId="21481" xr:uid="{00000000-0005-0000-0000-00009C1D0000}"/>
    <cellStyle name="20% - Accent3 13 3_Volatility" xfId="2157" xr:uid="{00000000-0005-0000-0000-00009D1D0000}"/>
    <cellStyle name="20% - Accent3 13 4" xfId="2158" xr:uid="{00000000-0005-0000-0000-00009E1D0000}"/>
    <cellStyle name="20% - Accent3 13 4 2" xfId="2159" xr:uid="{00000000-0005-0000-0000-00009F1D0000}"/>
    <cellStyle name="20% - Accent3 13 4 2 2" xfId="13494" xr:uid="{00000000-0005-0000-0000-0000A01D0000}"/>
    <cellStyle name="20% - Accent3 13 4 2 2 2" xfId="25351" xr:uid="{00000000-0005-0000-0000-0000A11D0000}"/>
    <cellStyle name="20% - Accent3 13 4 2 3" xfId="17445" xr:uid="{00000000-0005-0000-0000-0000A21D0000}"/>
    <cellStyle name="20% - Accent3 13 4 2 3 2" xfId="29137" xr:uid="{00000000-0005-0000-0000-0000A31D0000}"/>
    <cellStyle name="20% - Accent3 13 4 2 4" xfId="21491" xr:uid="{00000000-0005-0000-0000-0000A41D0000}"/>
    <cellStyle name="20% - Accent3 13 4 3" xfId="2160" xr:uid="{00000000-0005-0000-0000-0000A51D0000}"/>
    <cellStyle name="20% - Accent3 13 4 3 2" xfId="13495" xr:uid="{00000000-0005-0000-0000-0000A61D0000}"/>
    <cellStyle name="20% - Accent3 13 4 3 2 2" xfId="25352" xr:uid="{00000000-0005-0000-0000-0000A71D0000}"/>
    <cellStyle name="20% - Accent3 13 4 3 3" xfId="17446" xr:uid="{00000000-0005-0000-0000-0000A81D0000}"/>
    <cellStyle name="20% - Accent3 13 4 3 3 2" xfId="29138" xr:uid="{00000000-0005-0000-0000-0000A91D0000}"/>
    <cellStyle name="20% - Accent3 13 4 3 4" xfId="21492" xr:uid="{00000000-0005-0000-0000-0000AA1D0000}"/>
    <cellStyle name="20% - Accent3 13 4 4" xfId="13493" xr:uid="{00000000-0005-0000-0000-0000AB1D0000}"/>
    <cellStyle name="20% - Accent3 13 4 4 2" xfId="25350" xr:uid="{00000000-0005-0000-0000-0000AC1D0000}"/>
    <cellStyle name="20% - Accent3 13 4 5" xfId="17444" xr:uid="{00000000-0005-0000-0000-0000AD1D0000}"/>
    <cellStyle name="20% - Accent3 13 4 5 2" xfId="29136" xr:uid="{00000000-0005-0000-0000-0000AE1D0000}"/>
    <cellStyle name="20% - Accent3 13 4 6" xfId="21490" xr:uid="{00000000-0005-0000-0000-0000AF1D0000}"/>
    <cellStyle name="20% - Accent3 13 5" xfId="2161" xr:uid="{00000000-0005-0000-0000-0000B01D0000}"/>
    <cellStyle name="20% - Accent3 13 5 2" xfId="2162" xr:uid="{00000000-0005-0000-0000-0000B11D0000}"/>
    <cellStyle name="20% - Accent3 13 5 2 2" xfId="13497" xr:uid="{00000000-0005-0000-0000-0000B21D0000}"/>
    <cellStyle name="20% - Accent3 13 5 2 2 2" xfId="25354" xr:uid="{00000000-0005-0000-0000-0000B31D0000}"/>
    <cellStyle name="20% - Accent3 13 5 2 3" xfId="17448" xr:uid="{00000000-0005-0000-0000-0000B41D0000}"/>
    <cellStyle name="20% - Accent3 13 5 2 3 2" xfId="29140" xr:uid="{00000000-0005-0000-0000-0000B51D0000}"/>
    <cellStyle name="20% - Accent3 13 5 2 4" xfId="21494" xr:uid="{00000000-0005-0000-0000-0000B61D0000}"/>
    <cellStyle name="20% - Accent3 13 5 3" xfId="2163" xr:uid="{00000000-0005-0000-0000-0000B71D0000}"/>
    <cellStyle name="20% - Accent3 13 5 3 2" xfId="13498" xr:uid="{00000000-0005-0000-0000-0000B81D0000}"/>
    <cellStyle name="20% - Accent3 13 5 3 2 2" xfId="25355" xr:uid="{00000000-0005-0000-0000-0000B91D0000}"/>
    <cellStyle name="20% - Accent3 13 5 3 3" xfId="17449" xr:uid="{00000000-0005-0000-0000-0000BA1D0000}"/>
    <cellStyle name="20% - Accent3 13 5 3 3 2" xfId="29141" xr:uid="{00000000-0005-0000-0000-0000BB1D0000}"/>
    <cellStyle name="20% - Accent3 13 5 3 4" xfId="21495" xr:uid="{00000000-0005-0000-0000-0000BC1D0000}"/>
    <cellStyle name="20% - Accent3 13 5 4" xfId="13496" xr:uid="{00000000-0005-0000-0000-0000BD1D0000}"/>
    <cellStyle name="20% - Accent3 13 5 4 2" xfId="25353" xr:uid="{00000000-0005-0000-0000-0000BE1D0000}"/>
    <cellStyle name="20% - Accent3 13 5 5" xfId="17447" xr:uid="{00000000-0005-0000-0000-0000BF1D0000}"/>
    <cellStyle name="20% - Accent3 13 5 5 2" xfId="29139" xr:uid="{00000000-0005-0000-0000-0000C01D0000}"/>
    <cellStyle name="20% - Accent3 13 5 6" xfId="21493" xr:uid="{00000000-0005-0000-0000-0000C11D0000}"/>
    <cellStyle name="20% - Accent3 13 6" xfId="2164" xr:uid="{00000000-0005-0000-0000-0000C21D0000}"/>
    <cellStyle name="20% - Accent3 13 6 2" xfId="2165" xr:uid="{00000000-0005-0000-0000-0000C31D0000}"/>
    <cellStyle name="20% - Accent3 13 6 2 2" xfId="13500" xr:uid="{00000000-0005-0000-0000-0000C41D0000}"/>
    <cellStyle name="20% - Accent3 13 6 2 2 2" xfId="25357" xr:uid="{00000000-0005-0000-0000-0000C51D0000}"/>
    <cellStyle name="20% - Accent3 13 6 2 3" xfId="17451" xr:uid="{00000000-0005-0000-0000-0000C61D0000}"/>
    <cellStyle name="20% - Accent3 13 6 2 3 2" xfId="29143" xr:uid="{00000000-0005-0000-0000-0000C71D0000}"/>
    <cellStyle name="20% - Accent3 13 6 2 4" xfId="21497" xr:uid="{00000000-0005-0000-0000-0000C81D0000}"/>
    <cellStyle name="20% - Accent3 13 6 3" xfId="2166" xr:uid="{00000000-0005-0000-0000-0000C91D0000}"/>
    <cellStyle name="20% - Accent3 13 6 3 2" xfId="13501" xr:uid="{00000000-0005-0000-0000-0000CA1D0000}"/>
    <cellStyle name="20% - Accent3 13 6 3 2 2" xfId="25358" xr:uid="{00000000-0005-0000-0000-0000CB1D0000}"/>
    <cellStyle name="20% - Accent3 13 6 3 3" xfId="17452" xr:uid="{00000000-0005-0000-0000-0000CC1D0000}"/>
    <cellStyle name="20% - Accent3 13 6 3 3 2" xfId="29144" xr:uid="{00000000-0005-0000-0000-0000CD1D0000}"/>
    <cellStyle name="20% - Accent3 13 6 3 4" xfId="21498" xr:uid="{00000000-0005-0000-0000-0000CE1D0000}"/>
    <cellStyle name="20% - Accent3 13 6 4" xfId="13499" xr:uid="{00000000-0005-0000-0000-0000CF1D0000}"/>
    <cellStyle name="20% - Accent3 13 6 4 2" xfId="25356" xr:uid="{00000000-0005-0000-0000-0000D01D0000}"/>
    <cellStyle name="20% - Accent3 13 6 5" xfId="17450" xr:uid="{00000000-0005-0000-0000-0000D11D0000}"/>
    <cellStyle name="20% - Accent3 13 6 5 2" xfId="29142" xr:uid="{00000000-0005-0000-0000-0000D21D0000}"/>
    <cellStyle name="20% - Accent3 13 6 6" xfId="21496" xr:uid="{00000000-0005-0000-0000-0000D31D0000}"/>
    <cellStyle name="20% - Accent3 13 7" xfId="2167" xr:uid="{00000000-0005-0000-0000-0000D41D0000}"/>
    <cellStyle name="20% - Accent3 13 7 2" xfId="13502" xr:uid="{00000000-0005-0000-0000-0000D51D0000}"/>
    <cellStyle name="20% - Accent3 13 7 2 2" xfId="25359" xr:uid="{00000000-0005-0000-0000-0000D61D0000}"/>
    <cellStyle name="20% - Accent3 13 7 3" xfId="17453" xr:uid="{00000000-0005-0000-0000-0000D71D0000}"/>
    <cellStyle name="20% - Accent3 13 7 3 2" xfId="29145" xr:uid="{00000000-0005-0000-0000-0000D81D0000}"/>
    <cellStyle name="20% - Accent3 13 7 4" xfId="21499" xr:uid="{00000000-0005-0000-0000-0000D91D0000}"/>
    <cellStyle name="20% - Accent3 13 8" xfId="2168" xr:uid="{00000000-0005-0000-0000-0000DA1D0000}"/>
    <cellStyle name="20% - Accent3 13 8 2" xfId="13503" xr:uid="{00000000-0005-0000-0000-0000DB1D0000}"/>
    <cellStyle name="20% - Accent3 13 8 2 2" xfId="25360" xr:uid="{00000000-0005-0000-0000-0000DC1D0000}"/>
    <cellStyle name="20% - Accent3 13 8 3" xfId="17454" xr:uid="{00000000-0005-0000-0000-0000DD1D0000}"/>
    <cellStyle name="20% - Accent3 13 8 3 2" xfId="29146" xr:uid="{00000000-0005-0000-0000-0000DE1D0000}"/>
    <cellStyle name="20% - Accent3 13 8 4" xfId="21500" xr:uid="{00000000-0005-0000-0000-0000DF1D0000}"/>
    <cellStyle name="20% - Accent3 13 9" xfId="13471" xr:uid="{00000000-0005-0000-0000-0000E01D0000}"/>
    <cellStyle name="20% - Accent3 13 9 2" xfId="25328" xr:uid="{00000000-0005-0000-0000-0000E11D0000}"/>
    <cellStyle name="20% - Accent3 13_Volatility" xfId="2169" xr:uid="{00000000-0005-0000-0000-0000E21D0000}"/>
    <cellStyle name="20% - Accent3 14" xfId="2170" xr:uid="{00000000-0005-0000-0000-0000E31D0000}"/>
    <cellStyle name="20% - Accent3 14 10" xfId="17455" xr:uid="{00000000-0005-0000-0000-0000E41D0000}"/>
    <cellStyle name="20% - Accent3 14 10 2" xfId="29147" xr:uid="{00000000-0005-0000-0000-0000E51D0000}"/>
    <cellStyle name="20% - Accent3 14 11" xfId="21501" xr:uid="{00000000-0005-0000-0000-0000E61D0000}"/>
    <cellStyle name="20% - Accent3 14 2" xfId="2171" xr:uid="{00000000-0005-0000-0000-0000E71D0000}"/>
    <cellStyle name="20% - Accent3 14 2 2" xfId="2172" xr:uid="{00000000-0005-0000-0000-0000E81D0000}"/>
    <cellStyle name="20% - Accent3 14 2 2 2" xfId="2173" xr:uid="{00000000-0005-0000-0000-0000E91D0000}"/>
    <cellStyle name="20% - Accent3 14 2 2 2 2" xfId="13507" xr:uid="{00000000-0005-0000-0000-0000EA1D0000}"/>
    <cellStyle name="20% - Accent3 14 2 2 2 2 2" xfId="25364" xr:uid="{00000000-0005-0000-0000-0000EB1D0000}"/>
    <cellStyle name="20% - Accent3 14 2 2 2 3" xfId="17458" xr:uid="{00000000-0005-0000-0000-0000EC1D0000}"/>
    <cellStyle name="20% - Accent3 14 2 2 2 3 2" xfId="29150" xr:uid="{00000000-0005-0000-0000-0000ED1D0000}"/>
    <cellStyle name="20% - Accent3 14 2 2 2 4" xfId="21504" xr:uid="{00000000-0005-0000-0000-0000EE1D0000}"/>
    <cellStyle name="20% - Accent3 14 2 2 3" xfId="2174" xr:uid="{00000000-0005-0000-0000-0000EF1D0000}"/>
    <cellStyle name="20% - Accent3 14 2 2 3 2" xfId="13508" xr:uid="{00000000-0005-0000-0000-0000F01D0000}"/>
    <cellStyle name="20% - Accent3 14 2 2 3 2 2" xfId="25365" xr:uid="{00000000-0005-0000-0000-0000F11D0000}"/>
    <cellStyle name="20% - Accent3 14 2 2 3 3" xfId="17459" xr:uid="{00000000-0005-0000-0000-0000F21D0000}"/>
    <cellStyle name="20% - Accent3 14 2 2 3 3 2" xfId="29151" xr:uid="{00000000-0005-0000-0000-0000F31D0000}"/>
    <cellStyle name="20% - Accent3 14 2 2 3 4" xfId="21505" xr:uid="{00000000-0005-0000-0000-0000F41D0000}"/>
    <cellStyle name="20% - Accent3 14 2 2 4" xfId="13506" xr:uid="{00000000-0005-0000-0000-0000F51D0000}"/>
    <cellStyle name="20% - Accent3 14 2 2 4 2" xfId="25363" xr:uid="{00000000-0005-0000-0000-0000F61D0000}"/>
    <cellStyle name="20% - Accent3 14 2 2 5" xfId="17457" xr:uid="{00000000-0005-0000-0000-0000F71D0000}"/>
    <cellStyle name="20% - Accent3 14 2 2 5 2" xfId="29149" xr:uid="{00000000-0005-0000-0000-0000F81D0000}"/>
    <cellStyle name="20% - Accent3 14 2 2 6" xfId="21503" xr:uid="{00000000-0005-0000-0000-0000F91D0000}"/>
    <cellStyle name="20% - Accent3 14 2 3" xfId="2175" xr:uid="{00000000-0005-0000-0000-0000FA1D0000}"/>
    <cellStyle name="20% - Accent3 14 2 3 2" xfId="2176" xr:uid="{00000000-0005-0000-0000-0000FB1D0000}"/>
    <cellStyle name="20% - Accent3 14 2 3 2 2" xfId="13510" xr:uid="{00000000-0005-0000-0000-0000FC1D0000}"/>
    <cellStyle name="20% - Accent3 14 2 3 2 2 2" xfId="25367" xr:uid="{00000000-0005-0000-0000-0000FD1D0000}"/>
    <cellStyle name="20% - Accent3 14 2 3 2 3" xfId="17461" xr:uid="{00000000-0005-0000-0000-0000FE1D0000}"/>
    <cellStyle name="20% - Accent3 14 2 3 2 3 2" xfId="29153" xr:uid="{00000000-0005-0000-0000-0000FF1D0000}"/>
    <cellStyle name="20% - Accent3 14 2 3 2 4" xfId="21507" xr:uid="{00000000-0005-0000-0000-0000001E0000}"/>
    <cellStyle name="20% - Accent3 14 2 3 3" xfId="2177" xr:uid="{00000000-0005-0000-0000-0000011E0000}"/>
    <cellStyle name="20% - Accent3 14 2 3 3 2" xfId="13511" xr:uid="{00000000-0005-0000-0000-0000021E0000}"/>
    <cellStyle name="20% - Accent3 14 2 3 3 2 2" xfId="25368" xr:uid="{00000000-0005-0000-0000-0000031E0000}"/>
    <cellStyle name="20% - Accent3 14 2 3 3 3" xfId="17462" xr:uid="{00000000-0005-0000-0000-0000041E0000}"/>
    <cellStyle name="20% - Accent3 14 2 3 3 3 2" xfId="29154" xr:uid="{00000000-0005-0000-0000-0000051E0000}"/>
    <cellStyle name="20% - Accent3 14 2 3 3 4" xfId="21508" xr:uid="{00000000-0005-0000-0000-0000061E0000}"/>
    <cellStyle name="20% - Accent3 14 2 3 4" xfId="13509" xr:uid="{00000000-0005-0000-0000-0000071E0000}"/>
    <cellStyle name="20% - Accent3 14 2 3 4 2" xfId="25366" xr:uid="{00000000-0005-0000-0000-0000081E0000}"/>
    <cellStyle name="20% - Accent3 14 2 3 5" xfId="17460" xr:uid="{00000000-0005-0000-0000-0000091E0000}"/>
    <cellStyle name="20% - Accent3 14 2 3 5 2" xfId="29152" xr:uid="{00000000-0005-0000-0000-00000A1E0000}"/>
    <cellStyle name="20% - Accent3 14 2 3 6" xfId="21506" xr:uid="{00000000-0005-0000-0000-00000B1E0000}"/>
    <cellStyle name="20% - Accent3 14 2 4" xfId="2178" xr:uid="{00000000-0005-0000-0000-00000C1E0000}"/>
    <cellStyle name="20% - Accent3 14 2 4 2" xfId="2179" xr:uid="{00000000-0005-0000-0000-00000D1E0000}"/>
    <cellStyle name="20% - Accent3 14 2 4 2 2" xfId="13513" xr:uid="{00000000-0005-0000-0000-00000E1E0000}"/>
    <cellStyle name="20% - Accent3 14 2 4 2 2 2" xfId="25370" xr:uid="{00000000-0005-0000-0000-00000F1E0000}"/>
    <cellStyle name="20% - Accent3 14 2 4 2 3" xfId="17464" xr:uid="{00000000-0005-0000-0000-0000101E0000}"/>
    <cellStyle name="20% - Accent3 14 2 4 2 3 2" xfId="29156" xr:uid="{00000000-0005-0000-0000-0000111E0000}"/>
    <cellStyle name="20% - Accent3 14 2 4 2 4" xfId="21510" xr:uid="{00000000-0005-0000-0000-0000121E0000}"/>
    <cellStyle name="20% - Accent3 14 2 4 3" xfId="2180" xr:uid="{00000000-0005-0000-0000-0000131E0000}"/>
    <cellStyle name="20% - Accent3 14 2 4 3 2" xfId="13514" xr:uid="{00000000-0005-0000-0000-0000141E0000}"/>
    <cellStyle name="20% - Accent3 14 2 4 3 2 2" xfId="25371" xr:uid="{00000000-0005-0000-0000-0000151E0000}"/>
    <cellStyle name="20% - Accent3 14 2 4 3 3" xfId="17465" xr:uid="{00000000-0005-0000-0000-0000161E0000}"/>
    <cellStyle name="20% - Accent3 14 2 4 3 3 2" xfId="29157" xr:uid="{00000000-0005-0000-0000-0000171E0000}"/>
    <cellStyle name="20% - Accent3 14 2 4 3 4" xfId="21511" xr:uid="{00000000-0005-0000-0000-0000181E0000}"/>
    <cellStyle name="20% - Accent3 14 2 4 4" xfId="13512" xr:uid="{00000000-0005-0000-0000-0000191E0000}"/>
    <cellStyle name="20% - Accent3 14 2 4 4 2" xfId="25369" xr:uid="{00000000-0005-0000-0000-00001A1E0000}"/>
    <cellStyle name="20% - Accent3 14 2 4 5" xfId="17463" xr:uid="{00000000-0005-0000-0000-00001B1E0000}"/>
    <cellStyle name="20% - Accent3 14 2 4 5 2" xfId="29155" xr:uid="{00000000-0005-0000-0000-00001C1E0000}"/>
    <cellStyle name="20% - Accent3 14 2 4 6" xfId="21509" xr:uid="{00000000-0005-0000-0000-00001D1E0000}"/>
    <cellStyle name="20% - Accent3 14 2 5" xfId="2181" xr:uid="{00000000-0005-0000-0000-00001E1E0000}"/>
    <cellStyle name="20% - Accent3 14 2 5 2" xfId="13515" xr:uid="{00000000-0005-0000-0000-00001F1E0000}"/>
    <cellStyle name="20% - Accent3 14 2 5 2 2" xfId="25372" xr:uid="{00000000-0005-0000-0000-0000201E0000}"/>
    <cellStyle name="20% - Accent3 14 2 5 3" xfId="17466" xr:uid="{00000000-0005-0000-0000-0000211E0000}"/>
    <cellStyle name="20% - Accent3 14 2 5 3 2" xfId="29158" xr:uid="{00000000-0005-0000-0000-0000221E0000}"/>
    <cellStyle name="20% - Accent3 14 2 5 4" xfId="21512" xr:uid="{00000000-0005-0000-0000-0000231E0000}"/>
    <cellStyle name="20% - Accent3 14 2 6" xfId="2182" xr:uid="{00000000-0005-0000-0000-0000241E0000}"/>
    <cellStyle name="20% - Accent3 14 2 6 2" xfId="13516" xr:uid="{00000000-0005-0000-0000-0000251E0000}"/>
    <cellStyle name="20% - Accent3 14 2 6 2 2" xfId="25373" xr:uid="{00000000-0005-0000-0000-0000261E0000}"/>
    <cellStyle name="20% - Accent3 14 2 6 3" xfId="17467" xr:uid="{00000000-0005-0000-0000-0000271E0000}"/>
    <cellStyle name="20% - Accent3 14 2 6 3 2" xfId="29159" xr:uid="{00000000-0005-0000-0000-0000281E0000}"/>
    <cellStyle name="20% - Accent3 14 2 6 4" xfId="21513" xr:uid="{00000000-0005-0000-0000-0000291E0000}"/>
    <cellStyle name="20% - Accent3 14 2 7" xfId="13505" xr:uid="{00000000-0005-0000-0000-00002A1E0000}"/>
    <cellStyle name="20% - Accent3 14 2 7 2" xfId="25362" xr:uid="{00000000-0005-0000-0000-00002B1E0000}"/>
    <cellStyle name="20% - Accent3 14 2 8" xfId="17456" xr:uid="{00000000-0005-0000-0000-00002C1E0000}"/>
    <cellStyle name="20% - Accent3 14 2 8 2" xfId="29148" xr:uid="{00000000-0005-0000-0000-00002D1E0000}"/>
    <cellStyle name="20% - Accent3 14 2 9" xfId="21502" xr:uid="{00000000-0005-0000-0000-00002E1E0000}"/>
    <cellStyle name="20% - Accent3 14 2_Volatility" xfId="2183" xr:uid="{00000000-0005-0000-0000-00002F1E0000}"/>
    <cellStyle name="20% - Accent3 14 3" xfId="2184" xr:uid="{00000000-0005-0000-0000-0000301E0000}"/>
    <cellStyle name="20% - Accent3 14 3 2" xfId="2185" xr:uid="{00000000-0005-0000-0000-0000311E0000}"/>
    <cellStyle name="20% - Accent3 14 3 2 2" xfId="2186" xr:uid="{00000000-0005-0000-0000-0000321E0000}"/>
    <cellStyle name="20% - Accent3 14 3 2 2 2" xfId="13519" xr:uid="{00000000-0005-0000-0000-0000331E0000}"/>
    <cellStyle name="20% - Accent3 14 3 2 2 2 2" xfId="25376" xr:uid="{00000000-0005-0000-0000-0000341E0000}"/>
    <cellStyle name="20% - Accent3 14 3 2 2 3" xfId="17470" xr:uid="{00000000-0005-0000-0000-0000351E0000}"/>
    <cellStyle name="20% - Accent3 14 3 2 2 3 2" xfId="29162" xr:uid="{00000000-0005-0000-0000-0000361E0000}"/>
    <cellStyle name="20% - Accent3 14 3 2 2 4" xfId="21516" xr:uid="{00000000-0005-0000-0000-0000371E0000}"/>
    <cellStyle name="20% - Accent3 14 3 2 3" xfId="2187" xr:uid="{00000000-0005-0000-0000-0000381E0000}"/>
    <cellStyle name="20% - Accent3 14 3 2 3 2" xfId="13520" xr:uid="{00000000-0005-0000-0000-0000391E0000}"/>
    <cellStyle name="20% - Accent3 14 3 2 3 2 2" xfId="25377" xr:uid="{00000000-0005-0000-0000-00003A1E0000}"/>
    <cellStyle name="20% - Accent3 14 3 2 3 3" xfId="17471" xr:uid="{00000000-0005-0000-0000-00003B1E0000}"/>
    <cellStyle name="20% - Accent3 14 3 2 3 3 2" xfId="29163" xr:uid="{00000000-0005-0000-0000-00003C1E0000}"/>
    <cellStyle name="20% - Accent3 14 3 2 3 4" xfId="21517" xr:uid="{00000000-0005-0000-0000-00003D1E0000}"/>
    <cellStyle name="20% - Accent3 14 3 2 4" xfId="13518" xr:uid="{00000000-0005-0000-0000-00003E1E0000}"/>
    <cellStyle name="20% - Accent3 14 3 2 4 2" xfId="25375" xr:uid="{00000000-0005-0000-0000-00003F1E0000}"/>
    <cellStyle name="20% - Accent3 14 3 2 5" xfId="17469" xr:uid="{00000000-0005-0000-0000-0000401E0000}"/>
    <cellStyle name="20% - Accent3 14 3 2 5 2" xfId="29161" xr:uid="{00000000-0005-0000-0000-0000411E0000}"/>
    <cellStyle name="20% - Accent3 14 3 2 6" xfId="21515" xr:uid="{00000000-0005-0000-0000-0000421E0000}"/>
    <cellStyle name="20% - Accent3 14 3 3" xfId="2188" xr:uid="{00000000-0005-0000-0000-0000431E0000}"/>
    <cellStyle name="20% - Accent3 14 3 3 2" xfId="2189" xr:uid="{00000000-0005-0000-0000-0000441E0000}"/>
    <cellStyle name="20% - Accent3 14 3 3 2 2" xfId="13522" xr:uid="{00000000-0005-0000-0000-0000451E0000}"/>
    <cellStyle name="20% - Accent3 14 3 3 2 2 2" xfId="25379" xr:uid="{00000000-0005-0000-0000-0000461E0000}"/>
    <cellStyle name="20% - Accent3 14 3 3 2 3" xfId="17473" xr:uid="{00000000-0005-0000-0000-0000471E0000}"/>
    <cellStyle name="20% - Accent3 14 3 3 2 3 2" xfId="29165" xr:uid="{00000000-0005-0000-0000-0000481E0000}"/>
    <cellStyle name="20% - Accent3 14 3 3 2 4" xfId="21519" xr:uid="{00000000-0005-0000-0000-0000491E0000}"/>
    <cellStyle name="20% - Accent3 14 3 3 3" xfId="2190" xr:uid="{00000000-0005-0000-0000-00004A1E0000}"/>
    <cellStyle name="20% - Accent3 14 3 3 3 2" xfId="13523" xr:uid="{00000000-0005-0000-0000-00004B1E0000}"/>
    <cellStyle name="20% - Accent3 14 3 3 3 2 2" xfId="25380" xr:uid="{00000000-0005-0000-0000-00004C1E0000}"/>
    <cellStyle name="20% - Accent3 14 3 3 3 3" xfId="17474" xr:uid="{00000000-0005-0000-0000-00004D1E0000}"/>
    <cellStyle name="20% - Accent3 14 3 3 3 3 2" xfId="29166" xr:uid="{00000000-0005-0000-0000-00004E1E0000}"/>
    <cellStyle name="20% - Accent3 14 3 3 3 4" xfId="21520" xr:uid="{00000000-0005-0000-0000-00004F1E0000}"/>
    <cellStyle name="20% - Accent3 14 3 3 4" xfId="13521" xr:uid="{00000000-0005-0000-0000-0000501E0000}"/>
    <cellStyle name="20% - Accent3 14 3 3 4 2" xfId="25378" xr:uid="{00000000-0005-0000-0000-0000511E0000}"/>
    <cellStyle name="20% - Accent3 14 3 3 5" xfId="17472" xr:uid="{00000000-0005-0000-0000-0000521E0000}"/>
    <cellStyle name="20% - Accent3 14 3 3 5 2" xfId="29164" xr:uid="{00000000-0005-0000-0000-0000531E0000}"/>
    <cellStyle name="20% - Accent3 14 3 3 6" xfId="21518" xr:uid="{00000000-0005-0000-0000-0000541E0000}"/>
    <cellStyle name="20% - Accent3 14 3 4" xfId="2191" xr:uid="{00000000-0005-0000-0000-0000551E0000}"/>
    <cellStyle name="20% - Accent3 14 3 4 2" xfId="13524" xr:uid="{00000000-0005-0000-0000-0000561E0000}"/>
    <cellStyle name="20% - Accent3 14 3 4 2 2" xfId="25381" xr:uid="{00000000-0005-0000-0000-0000571E0000}"/>
    <cellStyle name="20% - Accent3 14 3 4 3" xfId="17475" xr:uid="{00000000-0005-0000-0000-0000581E0000}"/>
    <cellStyle name="20% - Accent3 14 3 4 3 2" xfId="29167" xr:uid="{00000000-0005-0000-0000-0000591E0000}"/>
    <cellStyle name="20% - Accent3 14 3 4 4" xfId="21521" xr:uid="{00000000-0005-0000-0000-00005A1E0000}"/>
    <cellStyle name="20% - Accent3 14 3 5" xfId="2192" xr:uid="{00000000-0005-0000-0000-00005B1E0000}"/>
    <cellStyle name="20% - Accent3 14 3 5 2" xfId="13525" xr:uid="{00000000-0005-0000-0000-00005C1E0000}"/>
    <cellStyle name="20% - Accent3 14 3 5 2 2" xfId="25382" xr:uid="{00000000-0005-0000-0000-00005D1E0000}"/>
    <cellStyle name="20% - Accent3 14 3 5 3" xfId="17476" xr:uid="{00000000-0005-0000-0000-00005E1E0000}"/>
    <cellStyle name="20% - Accent3 14 3 5 3 2" xfId="29168" xr:uid="{00000000-0005-0000-0000-00005F1E0000}"/>
    <cellStyle name="20% - Accent3 14 3 5 4" xfId="21522" xr:uid="{00000000-0005-0000-0000-0000601E0000}"/>
    <cellStyle name="20% - Accent3 14 3 6" xfId="13517" xr:uid="{00000000-0005-0000-0000-0000611E0000}"/>
    <cellStyle name="20% - Accent3 14 3 6 2" xfId="25374" xr:uid="{00000000-0005-0000-0000-0000621E0000}"/>
    <cellStyle name="20% - Accent3 14 3 7" xfId="17468" xr:uid="{00000000-0005-0000-0000-0000631E0000}"/>
    <cellStyle name="20% - Accent3 14 3 7 2" xfId="29160" xr:uid="{00000000-0005-0000-0000-0000641E0000}"/>
    <cellStyle name="20% - Accent3 14 3 8" xfId="21514" xr:uid="{00000000-0005-0000-0000-0000651E0000}"/>
    <cellStyle name="20% - Accent3 14 3_Volatility" xfId="2193" xr:uid="{00000000-0005-0000-0000-0000661E0000}"/>
    <cellStyle name="20% - Accent3 14 4" xfId="2194" xr:uid="{00000000-0005-0000-0000-0000671E0000}"/>
    <cellStyle name="20% - Accent3 14 4 2" xfId="2195" xr:uid="{00000000-0005-0000-0000-0000681E0000}"/>
    <cellStyle name="20% - Accent3 14 4 2 2" xfId="13527" xr:uid="{00000000-0005-0000-0000-0000691E0000}"/>
    <cellStyle name="20% - Accent3 14 4 2 2 2" xfId="25384" xr:uid="{00000000-0005-0000-0000-00006A1E0000}"/>
    <cellStyle name="20% - Accent3 14 4 2 3" xfId="17478" xr:uid="{00000000-0005-0000-0000-00006B1E0000}"/>
    <cellStyle name="20% - Accent3 14 4 2 3 2" xfId="29170" xr:uid="{00000000-0005-0000-0000-00006C1E0000}"/>
    <cellStyle name="20% - Accent3 14 4 2 4" xfId="21524" xr:uid="{00000000-0005-0000-0000-00006D1E0000}"/>
    <cellStyle name="20% - Accent3 14 4 3" xfId="2196" xr:uid="{00000000-0005-0000-0000-00006E1E0000}"/>
    <cellStyle name="20% - Accent3 14 4 3 2" xfId="13528" xr:uid="{00000000-0005-0000-0000-00006F1E0000}"/>
    <cellStyle name="20% - Accent3 14 4 3 2 2" xfId="25385" xr:uid="{00000000-0005-0000-0000-0000701E0000}"/>
    <cellStyle name="20% - Accent3 14 4 3 3" xfId="17479" xr:uid="{00000000-0005-0000-0000-0000711E0000}"/>
    <cellStyle name="20% - Accent3 14 4 3 3 2" xfId="29171" xr:uid="{00000000-0005-0000-0000-0000721E0000}"/>
    <cellStyle name="20% - Accent3 14 4 3 4" xfId="21525" xr:uid="{00000000-0005-0000-0000-0000731E0000}"/>
    <cellStyle name="20% - Accent3 14 4 4" xfId="13526" xr:uid="{00000000-0005-0000-0000-0000741E0000}"/>
    <cellStyle name="20% - Accent3 14 4 4 2" xfId="25383" xr:uid="{00000000-0005-0000-0000-0000751E0000}"/>
    <cellStyle name="20% - Accent3 14 4 5" xfId="17477" xr:uid="{00000000-0005-0000-0000-0000761E0000}"/>
    <cellStyle name="20% - Accent3 14 4 5 2" xfId="29169" xr:uid="{00000000-0005-0000-0000-0000771E0000}"/>
    <cellStyle name="20% - Accent3 14 4 6" xfId="21523" xr:uid="{00000000-0005-0000-0000-0000781E0000}"/>
    <cellStyle name="20% - Accent3 14 5" xfId="2197" xr:uid="{00000000-0005-0000-0000-0000791E0000}"/>
    <cellStyle name="20% - Accent3 14 5 2" xfId="2198" xr:uid="{00000000-0005-0000-0000-00007A1E0000}"/>
    <cellStyle name="20% - Accent3 14 5 2 2" xfId="13530" xr:uid="{00000000-0005-0000-0000-00007B1E0000}"/>
    <cellStyle name="20% - Accent3 14 5 2 2 2" xfId="25387" xr:uid="{00000000-0005-0000-0000-00007C1E0000}"/>
    <cellStyle name="20% - Accent3 14 5 2 3" xfId="17481" xr:uid="{00000000-0005-0000-0000-00007D1E0000}"/>
    <cellStyle name="20% - Accent3 14 5 2 3 2" xfId="29173" xr:uid="{00000000-0005-0000-0000-00007E1E0000}"/>
    <cellStyle name="20% - Accent3 14 5 2 4" xfId="21527" xr:uid="{00000000-0005-0000-0000-00007F1E0000}"/>
    <cellStyle name="20% - Accent3 14 5 3" xfId="2199" xr:uid="{00000000-0005-0000-0000-0000801E0000}"/>
    <cellStyle name="20% - Accent3 14 5 3 2" xfId="13531" xr:uid="{00000000-0005-0000-0000-0000811E0000}"/>
    <cellStyle name="20% - Accent3 14 5 3 2 2" xfId="25388" xr:uid="{00000000-0005-0000-0000-0000821E0000}"/>
    <cellStyle name="20% - Accent3 14 5 3 3" xfId="17482" xr:uid="{00000000-0005-0000-0000-0000831E0000}"/>
    <cellStyle name="20% - Accent3 14 5 3 3 2" xfId="29174" xr:uid="{00000000-0005-0000-0000-0000841E0000}"/>
    <cellStyle name="20% - Accent3 14 5 3 4" xfId="21528" xr:uid="{00000000-0005-0000-0000-0000851E0000}"/>
    <cellStyle name="20% - Accent3 14 5 4" xfId="13529" xr:uid="{00000000-0005-0000-0000-0000861E0000}"/>
    <cellStyle name="20% - Accent3 14 5 4 2" xfId="25386" xr:uid="{00000000-0005-0000-0000-0000871E0000}"/>
    <cellStyle name="20% - Accent3 14 5 5" xfId="17480" xr:uid="{00000000-0005-0000-0000-0000881E0000}"/>
    <cellStyle name="20% - Accent3 14 5 5 2" xfId="29172" xr:uid="{00000000-0005-0000-0000-0000891E0000}"/>
    <cellStyle name="20% - Accent3 14 5 6" xfId="21526" xr:uid="{00000000-0005-0000-0000-00008A1E0000}"/>
    <cellStyle name="20% - Accent3 14 6" xfId="2200" xr:uid="{00000000-0005-0000-0000-00008B1E0000}"/>
    <cellStyle name="20% - Accent3 14 6 2" xfId="2201" xr:uid="{00000000-0005-0000-0000-00008C1E0000}"/>
    <cellStyle name="20% - Accent3 14 6 2 2" xfId="13533" xr:uid="{00000000-0005-0000-0000-00008D1E0000}"/>
    <cellStyle name="20% - Accent3 14 6 2 2 2" xfId="25390" xr:uid="{00000000-0005-0000-0000-00008E1E0000}"/>
    <cellStyle name="20% - Accent3 14 6 2 3" xfId="17484" xr:uid="{00000000-0005-0000-0000-00008F1E0000}"/>
    <cellStyle name="20% - Accent3 14 6 2 3 2" xfId="29176" xr:uid="{00000000-0005-0000-0000-0000901E0000}"/>
    <cellStyle name="20% - Accent3 14 6 2 4" xfId="21530" xr:uid="{00000000-0005-0000-0000-0000911E0000}"/>
    <cellStyle name="20% - Accent3 14 6 3" xfId="2202" xr:uid="{00000000-0005-0000-0000-0000921E0000}"/>
    <cellStyle name="20% - Accent3 14 6 3 2" xfId="13534" xr:uid="{00000000-0005-0000-0000-0000931E0000}"/>
    <cellStyle name="20% - Accent3 14 6 3 2 2" xfId="25391" xr:uid="{00000000-0005-0000-0000-0000941E0000}"/>
    <cellStyle name="20% - Accent3 14 6 3 3" xfId="17485" xr:uid="{00000000-0005-0000-0000-0000951E0000}"/>
    <cellStyle name="20% - Accent3 14 6 3 3 2" xfId="29177" xr:uid="{00000000-0005-0000-0000-0000961E0000}"/>
    <cellStyle name="20% - Accent3 14 6 3 4" xfId="21531" xr:uid="{00000000-0005-0000-0000-0000971E0000}"/>
    <cellStyle name="20% - Accent3 14 6 4" xfId="13532" xr:uid="{00000000-0005-0000-0000-0000981E0000}"/>
    <cellStyle name="20% - Accent3 14 6 4 2" xfId="25389" xr:uid="{00000000-0005-0000-0000-0000991E0000}"/>
    <cellStyle name="20% - Accent3 14 6 5" xfId="17483" xr:uid="{00000000-0005-0000-0000-00009A1E0000}"/>
    <cellStyle name="20% - Accent3 14 6 5 2" xfId="29175" xr:uid="{00000000-0005-0000-0000-00009B1E0000}"/>
    <cellStyle name="20% - Accent3 14 6 6" xfId="21529" xr:uid="{00000000-0005-0000-0000-00009C1E0000}"/>
    <cellStyle name="20% - Accent3 14 7" xfId="2203" xr:uid="{00000000-0005-0000-0000-00009D1E0000}"/>
    <cellStyle name="20% - Accent3 14 7 2" xfId="13535" xr:uid="{00000000-0005-0000-0000-00009E1E0000}"/>
    <cellStyle name="20% - Accent3 14 7 2 2" xfId="25392" xr:uid="{00000000-0005-0000-0000-00009F1E0000}"/>
    <cellStyle name="20% - Accent3 14 7 3" xfId="17486" xr:uid="{00000000-0005-0000-0000-0000A01E0000}"/>
    <cellStyle name="20% - Accent3 14 7 3 2" xfId="29178" xr:uid="{00000000-0005-0000-0000-0000A11E0000}"/>
    <cellStyle name="20% - Accent3 14 7 4" xfId="21532" xr:uid="{00000000-0005-0000-0000-0000A21E0000}"/>
    <cellStyle name="20% - Accent3 14 8" xfId="2204" xr:uid="{00000000-0005-0000-0000-0000A31E0000}"/>
    <cellStyle name="20% - Accent3 14 8 2" xfId="13536" xr:uid="{00000000-0005-0000-0000-0000A41E0000}"/>
    <cellStyle name="20% - Accent3 14 8 2 2" xfId="25393" xr:uid="{00000000-0005-0000-0000-0000A51E0000}"/>
    <cellStyle name="20% - Accent3 14 8 3" xfId="17487" xr:uid="{00000000-0005-0000-0000-0000A61E0000}"/>
    <cellStyle name="20% - Accent3 14 8 3 2" xfId="29179" xr:uid="{00000000-0005-0000-0000-0000A71E0000}"/>
    <cellStyle name="20% - Accent3 14 8 4" xfId="21533" xr:uid="{00000000-0005-0000-0000-0000A81E0000}"/>
    <cellStyle name="20% - Accent3 14 9" xfId="13504" xr:uid="{00000000-0005-0000-0000-0000A91E0000}"/>
    <cellStyle name="20% - Accent3 14 9 2" xfId="25361" xr:uid="{00000000-0005-0000-0000-0000AA1E0000}"/>
    <cellStyle name="20% - Accent3 14_Volatility" xfId="2205" xr:uid="{00000000-0005-0000-0000-0000AB1E0000}"/>
    <cellStyle name="20% - Accent3 15" xfId="2206" xr:uid="{00000000-0005-0000-0000-0000AC1E0000}"/>
    <cellStyle name="20% - Accent3 15 10" xfId="17488" xr:uid="{00000000-0005-0000-0000-0000AD1E0000}"/>
    <cellStyle name="20% - Accent3 15 10 2" xfId="29180" xr:uid="{00000000-0005-0000-0000-0000AE1E0000}"/>
    <cellStyle name="20% - Accent3 15 11" xfId="21534" xr:uid="{00000000-0005-0000-0000-0000AF1E0000}"/>
    <cellStyle name="20% - Accent3 15 2" xfId="2207" xr:uid="{00000000-0005-0000-0000-0000B01E0000}"/>
    <cellStyle name="20% - Accent3 15 2 2" xfId="2208" xr:uid="{00000000-0005-0000-0000-0000B11E0000}"/>
    <cellStyle name="20% - Accent3 15 2 2 2" xfId="2209" xr:uid="{00000000-0005-0000-0000-0000B21E0000}"/>
    <cellStyle name="20% - Accent3 15 2 2 2 2" xfId="13540" xr:uid="{00000000-0005-0000-0000-0000B31E0000}"/>
    <cellStyle name="20% - Accent3 15 2 2 2 2 2" xfId="25397" xr:uid="{00000000-0005-0000-0000-0000B41E0000}"/>
    <cellStyle name="20% - Accent3 15 2 2 2 3" xfId="17491" xr:uid="{00000000-0005-0000-0000-0000B51E0000}"/>
    <cellStyle name="20% - Accent3 15 2 2 2 3 2" xfId="29183" xr:uid="{00000000-0005-0000-0000-0000B61E0000}"/>
    <cellStyle name="20% - Accent3 15 2 2 2 4" xfId="21537" xr:uid="{00000000-0005-0000-0000-0000B71E0000}"/>
    <cellStyle name="20% - Accent3 15 2 2 3" xfId="2210" xr:uid="{00000000-0005-0000-0000-0000B81E0000}"/>
    <cellStyle name="20% - Accent3 15 2 2 3 2" xfId="13541" xr:uid="{00000000-0005-0000-0000-0000B91E0000}"/>
    <cellStyle name="20% - Accent3 15 2 2 3 2 2" xfId="25398" xr:uid="{00000000-0005-0000-0000-0000BA1E0000}"/>
    <cellStyle name="20% - Accent3 15 2 2 3 3" xfId="17492" xr:uid="{00000000-0005-0000-0000-0000BB1E0000}"/>
    <cellStyle name="20% - Accent3 15 2 2 3 3 2" xfId="29184" xr:uid="{00000000-0005-0000-0000-0000BC1E0000}"/>
    <cellStyle name="20% - Accent3 15 2 2 3 4" xfId="21538" xr:uid="{00000000-0005-0000-0000-0000BD1E0000}"/>
    <cellStyle name="20% - Accent3 15 2 2 4" xfId="13539" xr:uid="{00000000-0005-0000-0000-0000BE1E0000}"/>
    <cellStyle name="20% - Accent3 15 2 2 4 2" xfId="25396" xr:uid="{00000000-0005-0000-0000-0000BF1E0000}"/>
    <cellStyle name="20% - Accent3 15 2 2 5" xfId="17490" xr:uid="{00000000-0005-0000-0000-0000C01E0000}"/>
    <cellStyle name="20% - Accent3 15 2 2 5 2" xfId="29182" xr:uid="{00000000-0005-0000-0000-0000C11E0000}"/>
    <cellStyle name="20% - Accent3 15 2 2 6" xfId="21536" xr:uid="{00000000-0005-0000-0000-0000C21E0000}"/>
    <cellStyle name="20% - Accent3 15 2 3" xfId="2211" xr:uid="{00000000-0005-0000-0000-0000C31E0000}"/>
    <cellStyle name="20% - Accent3 15 2 3 2" xfId="2212" xr:uid="{00000000-0005-0000-0000-0000C41E0000}"/>
    <cellStyle name="20% - Accent3 15 2 3 2 2" xfId="13543" xr:uid="{00000000-0005-0000-0000-0000C51E0000}"/>
    <cellStyle name="20% - Accent3 15 2 3 2 2 2" xfId="25400" xr:uid="{00000000-0005-0000-0000-0000C61E0000}"/>
    <cellStyle name="20% - Accent3 15 2 3 2 3" xfId="17494" xr:uid="{00000000-0005-0000-0000-0000C71E0000}"/>
    <cellStyle name="20% - Accent3 15 2 3 2 3 2" xfId="29186" xr:uid="{00000000-0005-0000-0000-0000C81E0000}"/>
    <cellStyle name="20% - Accent3 15 2 3 2 4" xfId="21540" xr:uid="{00000000-0005-0000-0000-0000C91E0000}"/>
    <cellStyle name="20% - Accent3 15 2 3 3" xfId="2213" xr:uid="{00000000-0005-0000-0000-0000CA1E0000}"/>
    <cellStyle name="20% - Accent3 15 2 3 3 2" xfId="13544" xr:uid="{00000000-0005-0000-0000-0000CB1E0000}"/>
    <cellStyle name="20% - Accent3 15 2 3 3 2 2" xfId="25401" xr:uid="{00000000-0005-0000-0000-0000CC1E0000}"/>
    <cellStyle name="20% - Accent3 15 2 3 3 3" xfId="17495" xr:uid="{00000000-0005-0000-0000-0000CD1E0000}"/>
    <cellStyle name="20% - Accent3 15 2 3 3 3 2" xfId="29187" xr:uid="{00000000-0005-0000-0000-0000CE1E0000}"/>
    <cellStyle name="20% - Accent3 15 2 3 3 4" xfId="21541" xr:uid="{00000000-0005-0000-0000-0000CF1E0000}"/>
    <cellStyle name="20% - Accent3 15 2 3 4" xfId="13542" xr:uid="{00000000-0005-0000-0000-0000D01E0000}"/>
    <cellStyle name="20% - Accent3 15 2 3 4 2" xfId="25399" xr:uid="{00000000-0005-0000-0000-0000D11E0000}"/>
    <cellStyle name="20% - Accent3 15 2 3 5" xfId="17493" xr:uid="{00000000-0005-0000-0000-0000D21E0000}"/>
    <cellStyle name="20% - Accent3 15 2 3 5 2" xfId="29185" xr:uid="{00000000-0005-0000-0000-0000D31E0000}"/>
    <cellStyle name="20% - Accent3 15 2 3 6" xfId="21539" xr:uid="{00000000-0005-0000-0000-0000D41E0000}"/>
    <cellStyle name="20% - Accent3 15 2 4" xfId="2214" xr:uid="{00000000-0005-0000-0000-0000D51E0000}"/>
    <cellStyle name="20% - Accent3 15 2 4 2" xfId="2215" xr:uid="{00000000-0005-0000-0000-0000D61E0000}"/>
    <cellStyle name="20% - Accent3 15 2 4 2 2" xfId="13546" xr:uid="{00000000-0005-0000-0000-0000D71E0000}"/>
    <cellStyle name="20% - Accent3 15 2 4 2 2 2" xfId="25403" xr:uid="{00000000-0005-0000-0000-0000D81E0000}"/>
    <cellStyle name="20% - Accent3 15 2 4 2 3" xfId="17497" xr:uid="{00000000-0005-0000-0000-0000D91E0000}"/>
    <cellStyle name="20% - Accent3 15 2 4 2 3 2" xfId="29189" xr:uid="{00000000-0005-0000-0000-0000DA1E0000}"/>
    <cellStyle name="20% - Accent3 15 2 4 2 4" xfId="21543" xr:uid="{00000000-0005-0000-0000-0000DB1E0000}"/>
    <cellStyle name="20% - Accent3 15 2 4 3" xfId="2216" xr:uid="{00000000-0005-0000-0000-0000DC1E0000}"/>
    <cellStyle name="20% - Accent3 15 2 4 3 2" xfId="13547" xr:uid="{00000000-0005-0000-0000-0000DD1E0000}"/>
    <cellStyle name="20% - Accent3 15 2 4 3 2 2" xfId="25404" xr:uid="{00000000-0005-0000-0000-0000DE1E0000}"/>
    <cellStyle name="20% - Accent3 15 2 4 3 3" xfId="17498" xr:uid="{00000000-0005-0000-0000-0000DF1E0000}"/>
    <cellStyle name="20% - Accent3 15 2 4 3 3 2" xfId="29190" xr:uid="{00000000-0005-0000-0000-0000E01E0000}"/>
    <cellStyle name="20% - Accent3 15 2 4 3 4" xfId="21544" xr:uid="{00000000-0005-0000-0000-0000E11E0000}"/>
    <cellStyle name="20% - Accent3 15 2 4 4" xfId="13545" xr:uid="{00000000-0005-0000-0000-0000E21E0000}"/>
    <cellStyle name="20% - Accent3 15 2 4 4 2" xfId="25402" xr:uid="{00000000-0005-0000-0000-0000E31E0000}"/>
    <cellStyle name="20% - Accent3 15 2 4 5" xfId="17496" xr:uid="{00000000-0005-0000-0000-0000E41E0000}"/>
    <cellStyle name="20% - Accent3 15 2 4 5 2" xfId="29188" xr:uid="{00000000-0005-0000-0000-0000E51E0000}"/>
    <cellStyle name="20% - Accent3 15 2 4 6" xfId="21542" xr:uid="{00000000-0005-0000-0000-0000E61E0000}"/>
    <cellStyle name="20% - Accent3 15 2 5" xfId="2217" xr:uid="{00000000-0005-0000-0000-0000E71E0000}"/>
    <cellStyle name="20% - Accent3 15 2 5 2" xfId="13548" xr:uid="{00000000-0005-0000-0000-0000E81E0000}"/>
    <cellStyle name="20% - Accent3 15 2 5 2 2" xfId="25405" xr:uid="{00000000-0005-0000-0000-0000E91E0000}"/>
    <cellStyle name="20% - Accent3 15 2 5 3" xfId="17499" xr:uid="{00000000-0005-0000-0000-0000EA1E0000}"/>
    <cellStyle name="20% - Accent3 15 2 5 3 2" xfId="29191" xr:uid="{00000000-0005-0000-0000-0000EB1E0000}"/>
    <cellStyle name="20% - Accent3 15 2 5 4" xfId="21545" xr:uid="{00000000-0005-0000-0000-0000EC1E0000}"/>
    <cellStyle name="20% - Accent3 15 2 6" xfId="2218" xr:uid="{00000000-0005-0000-0000-0000ED1E0000}"/>
    <cellStyle name="20% - Accent3 15 2 6 2" xfId="13549" xr:uid="{00000000-0005-0000-0000-0000EE1E0000}"/>
    <cellStyle name="20% - Accent3 15 2 6 2 2" xfId="25406" xr:uid="{00000000-0005-0000-0000-0000EF1E0000}"/>
    <cellStyle name="20% - Accent3 15 2 6 3" xfId="17500" xr:uid="{00000000-0005-0000-0000-0000F01E0000}"/>
    <cellStyle name="20% - Accent3 15 2 6 3 2" xfId="29192" xr:uid="{00000000-0005-0000-0000-0000F11E0000}"/>
    <cellStyle name="20% - Accent3 15 2 6 4" xfId="21546" xr:uid="{00000000-0005-0000-0000-0000F21E0000}"/>
    <cellStyle name="20% - Accent3 15 2 7" xfId="13538" xr:uid="{00000000-0005-0000-0000-0000F31E0000}"/>
    <cellStyle name="20% - Accent3 15 2 7 2" xfId="25395" xr:uid="{00000000-0005-0000-0000-0000F41E0000}"/>
    <cellStyle name="20% - Accent3 15 2 8" xfId="17489" xr:uid="{00000000-0005-0000-0000-0000F51E0000}"/>
    <cellStyle name="20% - Accent3 15 2 8 2" xfId="29181" xr:uid="{00000000-0005-0000-0000-0000F61E0000}"/>
    <cellStyle name="20% - Accent3 15 2 9" xfId="21535" xr:uid="{00000000-0005-0000-0000-0000F71E0000}"/>
    <cellStyle name="20% - Accent3 15 2_Volatility" xfId="2219" xr:uid="{00000000-0005-0000-0000-0000F81E0000}"/>
    <cellStyle name="20% - Accent3 15 3" xfId="2220" xr:uid="{00000000-0005-0000-0000-0000F91E0000}"/>
    <cellStyle name="20% - Accent3 15 3 2" xfId="2221" xr:uid="{00000000-0005-0000-0000-0000FA1E0000}"/>
    <cellStyle name="20% - Accent3 15 3 2 2" xfId="2222" xr:uid="{00000000-0005-0000-0000-0000FB1E0000}"/>
    <cellStyle name="20% - Accent3 15 3 2 2 2" xfId="13552" xr:uid="{00000000-0005-0000-0000-0000FC1E0000}"/>
    <cellStyle name="20% - Accent3 15 3 2 2 2 2" xfId="25409" xr:uid="{00000000-0005-0000-0000-0000FD1E0000}"/>
    <cellStyle name="20% - Accent3 15 3 2 2 3" xfId="17503" xr:uid="{00000000-0005-0000-0000-0000FE1E0000}"/>
    <cellStyle name="20% - Accent3 15 3 2 2 3 2" xfId="29195" xr:uid="{00000000-0005-0000-0000-0000FF1E0000}"/>
    <cellStyle name="20% - Accent3 15 3 2 2 4" xfId="21549" xr:uid="{00000000-0005-0000-0000-0000001F0000}"/>
    <cellStyle name="20% - Accent3 15 3 2 3" xfId="2223" xr:uid="{00000000-0005-0000-0000-0000011F0000}"/>
    <cellStyle name="20% - Accent3 15 3 2 3 2" xfId="13553" xr:uid="{00000000-0005-0000-0000-0000021F0000}"/>
    <cellStyle name="20% - Accent3 15 3 2 3 2 2" xfId="25410" xr:uid="{00000000-0005-0000-0000-0000031F0000}"/>
    <cellStyle name="20% - Accent3 15 3 2 3 3" xfId="17504" xr:uid="{00000000-0005-0000-0000-0000041F0000}"/>
    <cellStyle name="20% - Accent3 15 3 2 3 3 2" xfId="29196" xr:uid="{00000000-0005-0000-0000-0000051F0000}"/>
    <cellStyle name="20% - Accent3 15 3 2 3 4" xfId="21550" xr:uid="{00000000-0005-0000-0000-0000061F0000}"/>
    <cellStyle name="20% - Accent3 15 3 2 4" xfId="13551" xr:uid="{00000000-0005-0000-0000-0000071F0000}"/>
    <cellStyle name="20% - Accent3 15 3 2 4 2" xfId="25408" xr:uid="{00000000-0005-0000-0000-0000081F0000}"/>
    <cellStyle name="20% - Accent3 15 3 2 5" xfId="17502" xr:uid="{00000000-0005-0000-0000-0000091F0000}"/>
    <cellStyle name="20% - Accent3 15 3 2 5 2" xfId="29194" xr:uid="{00000000-0005-0000-0000-00000A1F0000}"/>
    <cellStyle name="20% - Accent3 15 3 2 6" xfId="21548" xr:uid="{00000000-0005-0000-0000-00000B1F0000}"/>
    <cellStyle name="20% - Accent3 15 3 3" xfId="2224" xr:uid="{00000000-0005-0000-0000-00000C1F0000}"/>
    <cellStyle name="20% - Accent3 15 3 3 2" xfId="2225" xr:uid="{00000000-0005-0000-0000-00000D1F0000}"/>
    <cellStyle name="20% - Accent3 15 3 3 2 2" xfId="13555" xr:uid="{00000000-0005-0000-0000-00000E1F0000}"/>
    <cellStyle name="20% - Accent3 15 3 3 2 2 2" xfId="25412" xr:uid="{00000000-0005-0000-0000-00000F1F0000}"/>
    <cellStyle name="20% - Accent3 15 3 3 2 3" xfId="17506" xr:uid="{00000000-0005-0000-0000-0000101F0000}"/>
    <cellStyle name="20% - Accent3 15 3 3 2 3 2" xfId="29198" xr:uid="{00000000-0005-0000-0000-0000111F0000}"/>
    <cellStyle name="20% - Accent3 15 3 3 2 4" xfId="21552" xr:uid="{00000000-0005-0000-0000-0000121F0000}"/>
    <cellStyle name="20% - Accent3 15 3 3 3" xfId="2226" xr:uid="{00000000-0005-0000-0000-0000131F0000}"/>
    <cellStyle name="20% - Accent3 15 3 3 3 2" xfId="13556" xr:uid="{00000000-0005-0000-0000-0000141F0000}"/>
    <cellStyle name="20% - Accent3 15 3 3 3 2 2" xfId="25413" xr:uid="{00000000-0005-0000-0000-0000151F0000}"/>
    <cellStyle name="20% - Accent3 15 3 3 3 3" xfId="17507" xr:uid="{00000000-0005-0000-0000-0000161F0000}"/>
    <cellStyle name="20% - Accent3 15 3 3 3 3 2" xfId="29199" xr:uid="{00000000-0005-0000-0000-0000171F0000}"/>
    <cellStyle name="20% - Accent3 15 3 3 3 4" xfId="21553" xr:uid="{00000000-0005-0000-0000-0000181F0000}"/>
    <cellStyle name="20% - Accent3 15 3 3 4" xfId="13554" xr:uid="{00000000-0005-0000-0000-0000191F0000}"/>
    <cellStyle name="20% - Accent3 15 3 3 4 2" xfId="25411" xr:uid="{00000000-0005-0000-0000-00001A1F0000}"/>
    <cellStyle name="20% - Accent3 15 3 3 5" xfId="17505" xr:uid="{00000000-0005-0000-0000-00001B1F0000}"/>
    <cellStyle name="20% - Accent3 15 3 3 5 2" xfId="29197" xr:uid="{00000000-0005-0000-0000-00001C1F0000}"/>
    <cellStyle name="20% - Accent3 15 3 3 6" xfId="21551" xr:uid="{00000000-0005-0000-0000-00001D1F0000}"/>
    <cellStyle name="20% - Accent3 15 3 4" xfId="2227" xr:uid="{00000000-0005-0000-0000-00001E1F0000}"/>
    <cellStyle name="20% - Accent3 15 3 4 2" xfId="13557" xr:uid="{00000000-0005-0000-0000-00001F1F0000}"/>
    <cellStyle name="20% - Accent3 15 3 4 2 2" xfId="25414" xr:uid="{00000000-0005-0000-0000-0000201F0000}"/>
    <cellStyle name="20% - Accent3 15 3 4 3" xfId="17508" xr:uid="{00000000-0005-0000-0000-0000211F0000}"/>
    <cellStyle name="20% - Accent3 15 3 4 3 2" xfId="29200" xr:uid="{00000000-0005-0000-0000-0000221F0000}"/>
    <cellStyle name="20% - Accent3 15 3 4 4" xfId="21554" xr:uid="{00000000-0005-0000-0000-0000231F0000}"/>
    <cellStyle name="20% - Accent3 15 3 5" xfId="2228" xr:uid="{00000000-0005-0000-0000-0000241F0000}"/>
    <cellStyle name="20% - Accent3 15 3 5 2" xfId="13558" xr:uid="{00000000-0005-0000-0000-0000251F0000}"/>
    <cellStyle name="20% - Accent3 15 3 5 2 2" xfId="25415" xr:uid="{00000000-0005-0000-0000-0000261F0000}"/>
    <cellStyle name="20% - Accent3 15 3 5 3" xfId="17509" xr:uid="{00000000-0005-0000-0000-0000271F0000}"/>
    <cellStyle name="20% - Accent3 15 3 5 3 2" xfId="29201" xr:uid="{00000000-0005-0000-0000-0000281F0000}"/>
    <cellStyle name="20% - Accent3 15 3 5 4" xfId="21555" xr:uid="{00000000-0005-0000-0000-0000291F0000}"/>
    <cellStyle name="20% - Accent3 15 3 6" xfId="13550" xr:uid="{00000000-0005-0000-0000-00002A1F0000}"/>
    <cellStyle name="20% - Accent3 15 3 6 2" xfId="25407" xr:uid="{00000000-0005-0000-0000-00002B1F0000}"/>
    <cellStyle name="20% - Accent3 15 3 7" xfId="17501" xr:uid="{00000000-0005-0000-0000-00002C1F0000}"/>
    <cellStyle name="20% - Accent3 15 3 7 2" xfId="29193" xr:uid="{00000000-0005-0000-0000-00002D1F0000}"/>
    <cellStyle name="20% - Accent3 15 3 8" xfId="21547" xr:uid="{00000000-0005-0000-0000-00002E1F0000}"/>
    <cellStyle name="20% - Accent3 15 3_Volatility" xfId="2229" xr:uid="{00000000-0005-0000-0000-00002F1F0000}"/>
    <cellStyle name="20% - Accent3 15 4" xfId="2230" xr:uid="{00000000-0005-0000-0000-0000301F0000}"/>
    <cellStyle name="20% - Accent3 15 4 2" xfId="2231" xr:uid="{00000000-0005-0000-0000-0000311F0000}"/>
    <cellStyle name="20% - Accent3 15 4 2 2" xfId="13560" xr:uid="{00000000-0005-0000-0000-0000321F0000}"/>
    <cellStyle name="20% - Accent3 15 4 2 2 2" xfId="25417" xr:uid="{00000000-0005-0000-0000-0000331F0000}"/>
    <cellStyle name="20% - Accent3 15 4 2 3" xfId="17511" xr:uid="{00000000-0005-0000-0000-0000341F0000}"/>
    <cellStyle name="20% - Accent3 15 4 2 3 2" xfId="29203" xr:uid="{00000000-0005-0000-0000-0000351F0000}"/>
    <cellStyle name="20% - Accent3 15 4 2 4" xfId="21557" xr:uid="{00000000-0005-0000-0000-0000361F0000}"/>
    <cellStyle name="20% - Accent3 15 4 3" xfId="2232" xr:uid="{00000000-0005-0000-0000-0000371F0000}"/>
    <cellStyle name="20% - Accent3 15 4 3 2" xfId="13561" xr:uid="{00000000-0005-0000-0000-0000381F0000}"/>
    <cellStyle name="20% - Accent3 15 4 3 2 2" xfId="25418" xr:uid="{00000000-0005-0000-0000-0000391F0000}"/>
    <cellStyle name="20% - Accent3 15 4 3 3" xfId="17512" xr:uid="{00000000-0005-0000-0000-00003A1F0000}"/>
    <cellStyle name="20% - Accent3 15 4 3 3 2" xfId="29204" xr:uid="{00000000-0005-0000-0000-00003B1F0000}"/>
    <cellStyle name="20% - Accent3 15 4 3 4" xfId="21558" xr:uid="{00000000-0005-0000-0000-00003C1F0000}"/>
    <cellStyle name="20% - Accent3 15 4 4" xfId="13559" xr:uid="{00000000-0005-0000-0000-00003D1F0000}"/>
    <cellStyle name="20% - Accent3 15 4 4 2" xfId="25416" xr:uid="{00000000-0005-0000-0000-00003E1F0000}"/>
    <cellStyle name="20% - Accent3 15 4 5" xfId="17510" xr:uid="{00000000-0005-0000-0000-00003F1F0000}"/>
    <cellStyle name="20% - Accent3 15 4 5 2" xfId="29202" xr:uid="{00000000-0005-0000-0000-0000401F0000}"/>
    <cellStyle name="20% - Accent3 15 4 6" xfId="21556" xr:uid="{00000000-0005-0000-0000-0000411F0000}"/>
    <cellStyle name="20% - Accent3 15 5" xfId="2233" xr:uid="{00000000-0005-0000-0000-0000421F0000}"/>
    <cellStyle name="20% - Accent3 15 5 2" xfId="2234" xr:uid="{00000000-0005-0000-0000-0000431F0000}"/>
    <cellStyle name="20% - Accent3 15 5 2 2" xfId="13563" xr:uid="{00000000-0005-0000-0000-0000441F0000}"/>
    <cellStyle name="20% - Accent3 15 5 2 2 2" xfId="25420" xr:uid="{00000000-0005-0000-0000-0000451F0000}"/>
    <cellStyle name="20% - Accent3 15 5 2 3" xfId="17514" xr:uid="{00000000-0005-0000-0000-0000461F0000}"/>
    <cellStyle name="20% - Accent3 15 5 2 3 2" xfId="29206" xr:uid="{00000000-0005-0000-0000-0000471F0000}"/>
    <cellStyle name="20% - Accent3 15 5 2 4" xfId="21560" xr:uid="{00000000-0005-0000-0000-0000481F0000}"/>
    <cellStyle name="20% - Accent3 15 5 3" xfId="2235" xr:uid="{00000000-0005-0000-0000-0000491F0000}"/>
    <cellStyle name="20% - Accent3 15 5 3 2" xfId="13564" xr:uid="{00000000-0005-0000-0000-00004A1F0000}"/>
    <cellStyle name="20% - Accent3 15 5 3 2 2" xfId="25421" xr:uid="{00000000-0005-0000-0000-00004B1F0000}"/>
    <cellStyle name="20% - Accent3 15 5 3 3" xfId="17515" xr:uid="{00000000-0005-0000-0000-00004C1F0000}"/>
    <cellStyle name="20% - Accent3 15 5 3 3 2" xfId="29207" xr:uid="{00000000-0005-0000-0000-00004D1F0000}"/>
    <cellStyle name="20% - Accent3 15 5 3 4" xfId="21561" xr:uid="{00000000-0005-0000-0000-00004E1F0000}"/>
    <cellStyle name="20% - Accent3 15 5 4" xfId="13562" xr:uid="{00000000-0005-0000-0000-00004F1F0000}"/>
    <cellStyle name="20% - Accent3 15 5 4 2" xfId="25419" xr:uid="{00000000-0005-0000-0000-0000501F0000}"/>
    <cellStyle name="20% - Accent3 15 5 5" xfId="17513" xr:uid="{00000000-0005-0000-0000-0000511F0000}"/>
    <cellStyle name="20% - Accent3 15 5 5 2" xfId="29205" xr:uid="{00000000-0005-0000-0000-0000521F0000}"/>
    <cellStyle name="20% - Accent3 15 5 6" xfId="21559" xr:uid="{00000000-0005-0000-0000-0000531F0000}"/>
    <cellStyle name="20% - Accent3 15 6" xfId="2236" xr:uid="{00000000-0005-0000-0000-0000541F0000}"/>
    <cellStyle name="20% - Accent3 15 6 2" xfId="2237" xr:uid="{00000000-0005-0000-0000-0000551F0000}"/>
    <cellStyle name="20% - Accent3 15 6 2 2" xfId="13566" xr:uid="{00000000-0005-0000-0000-0000561F0000}"/>
    <cellStyle name="20% - Accent3 15 6 2 2 2" xfId="25423" xr:uid="{00000000-0005-0000-0000-0000571F0000}"/>
    <cellStyle name="20% - Accent3 15 6 2 3" xfId="17517" xr:uid="{00000000-0005-0000-0000-0000581F0000}"/>
    <cellStyle name="20% - Accent3 15 6 2 3 2" xfId="29209" xr:uid="{00000000-0005-0000-0000-0000591F0000}"/>
    <cellStyle name="20% - Accent3 15 6 2 4" xfId="21563" xr:uid="{00000000-0005-0000-0000-00005A1F0000}"/>
    <cellStyle name="20% - Accent3 15 6 3" xfId="2238" xr:uid="{00000000-0005-0000-0000-00005B1F0000}"/>
    <cellStyle name="20% - Accent3 15 6 3 2" xfId="13567" xr:uid="{00000000-0005-0000-0000-00005C1F0000}"/>
    <cellStyle name="20% - Accent3 15 6 3 2 2" xfId="25424" xr:uid="{00000000-0005-0000-0000-00005D1F0000}"/>
    <cellStyle name="20% - Accent3 15 6 3 3" xfId="17518" xr:uid="{00000000-0005-0000-0000-00005E1F0000}"/>
    <cellStyle name="20% - Accent3 15 6 3 3 2" xfId="29210" xr:uid="{00000000-0005-0000-0000-00005F1F0000}"/>
    <cellStyle name="20% - Accent3 15 6 3 4" xfId="21564" xr:uid="{00000000-0005-0000-0000-0000601F0000}"/>
    <cellStyle name="20% - Accent3 15 6 4" xfId="13565" xr:uid="{00000000-0005-0000-0000-0000611F0000}"/>
    <cellStyle name="20% - Accent3 15 6 4 2" xfId="25422" xr:uid="{00000000-0005-0000-0000-0000621F0000}"/>
    <cellStyle name="20% - Accent3 15 6 5" xfId="17516" xr:uid="{00000000-0005-0000-0000-0000631F0000}"/>
    <cellStyle name="20% - Accent3 15 6 5 2" xfId="29208" xr:uid="{00000000-0005-0000-0000-0000641F0000}"/>
    <cellStyle name="20% - Accent3 15 6 6" xfId="21562" xr:uid="{00000000-0005-0000-0000-0000651F0000}"/>
    <cellStyle name="20% - Accent3 15 7" xfId="2239" xr:uid="{00000000-0005-0000-0000-0000661F0000}"/>
    <cellStyle name="20% - Accent3 15 7 2" xfId="13568" xr:uid="{00000000-0005-0000-0000-0000671F0000}"/>
    <cellStyle name="20% - Accent3 15 7 2 2" xfId="25425" xr:uid="{00000000-0005-0000-0000-0000681F0000}"/>
    <cellStyle name="20% - Accent3 15 7 3" xfId="17519" xr:uid="{00000000-0005-0000-0000-0000691F0000}"/>
    <cellStyle name="20% - Accent3 15 7 3 2" xfId="29211" xr:uid="{00000000-0005-0000-0000-00006A1F0000}"/>
    <cellStyle name="20% - Accent3 15 7 4" xfId="21565" xr:uid="{00000000-0005-0000-0000-00006B1F0000}"/>
    <cellStyle name="20% - Accent3 15 8" xfId="2240" xr:uid="{00000000-0005-0000-0000-00006C1F0000}"/>
    <cellStyle name="20% - Accent3 15 8 2" xfId="13569" xr:uid="{00000000-0005-0000-0000-00006D1F0000}"/>
    <cellStyle name="20% - Accent3 15 8 2 2" xfId="25426" xr:uid="{00000000-0005-0000-0000-00006E1F0000}"/>
    <cellStyle name="20% - Accent3 15 8 3" xfId="17520" xr:uid="{00000000-0005-0000-0000-00006F1F0000}"/>
    <cellStyle name="20% - Accent3 15 8 3 2" xfId="29212" xr:uid="{00000000-0005-0000-0000-0000701F0000}"/>
    <cellStyle name="20% - Accent3 15 8 4" xfId="21566" xr:uid="{00000000-0005-0000-0000-0000711F0000}"/>
    <cellStyle name="20% - Accent3 15 9" xfId="13537" xr:uid="{00000000-0005-0000-0000-0000721F0000}"/>
    <cellStyle name="20% - Accent3 15 9 2" xfId="25394" xr:uid="{00000000-0005-0000-0000-0000731F0000}"/>
    <cellStyle name="20% - Accent3 15_Volatility" xfId="2241" xr:uid="{00000000-0005-0000-0000-0000741F0000}"/>
    <cellStyle name="20% - Accent3 16" xfId="2242" xr:uid="{00000000-0005-0000-0000-0000751F0000}"/>
    <cellStyle name="20% - Accent3 16 2" xfId="13570" xr:uid="{00000000-0005-0000-0000-0000761F0000}"/>
    <cellStyle name="20% - Accent3 16 2 2" xfId="25427" xr:uid="{00000000-0005-0000-0000-0000771F0000}"/>
    <cellStyle name="20% - Accent3 16 3" xfId="17521" xr:uid="{00000000-0005-0000-0000-0000781F0000}"/>
    <cellStyle name="20% - Accent3 16 3 2" xfId="29213" xr:uid="{00000000-0005-0000-0000-0000791F0000}"/>
    <cellStyle name="20% - Accent3 16 4" xfId="21567" xr:uid="{00000000-0005-0000-0000-00007A1F0000}"/>
    <cellStyle name="20% - Accent3 17" xfId="2243" xr:uid="{00000000-0005-0000-0000-00007B1F0000}"/>
    <cellStyle name="20% - Accent3 17 2" xfId="13571" xr:uid="{00000000-0005-0000-0000-00007C1F0000}"/>
    <cellStyle name="20% - Accent3 17 2 2" xfId="25428" xr:uid="{00000000-0005-0000-0000-00007D1F0000}"/>
    <cellStyle name="20% - Accent3 17 3" xfId="17522" xr:uid="{00000000-0005-0000-0000-00007E1F0000}"/>
    <cellStyle name="20% - Accent3 17 3 2" xfId="29214" xr:uid="{00000000-0005-0000-0000-00007F1F0000}"/>
    <cellStyle name="20% - Accent3 17 4" xfId="21568" xr:uid="{00000000-0005-0000-0000-0000801F0000}"/>
    <cellStyle name="20% - Accent3 18" xfId="2244" xr:uid="{00000000-0005-0000-0000-0000811F0000}"/>
    <cellStyle name="20% - Accent3 18 2" xfId="13572" xr:uid="{00000000-0005-0000-0000-0000821F0000}"/>
    <cellStyle name="20% - Accent3 18 2 2" xfId="25429" xr:uid="{00000000-0005-0000-0000-0000831F0000}"/>
    <cellStyle name="20% - Accent3 18 3" xfId="17523" xr:uid="{00000000-0005-0000-0000-0000841F0000}"/>
    <cellStyle name="20% - Accent3 18 3 2" xfId="29215" xr:uid="{00000000-0005-0000-0000-0000851F0000}"/>
    <cellStyle name="20% - Accent3 18 4" xfId="21569" xr:uid="{00000000-0005-0000-0000-0000861F0000}"/>
    <cellStyle name="20% - Accent3 19" xfId="2245" xr:uid="{00000000-0005-0000-0000-0000871F0000}"/>
    <cellStyle name="20% - Accent3 19 2" xfId="13573" xr:uid="{00000000-0005-0000-0000-0000881F0000}"/>
    <cellStyle name="20% - Accent3 19 2 2" xfId="25430" xr:uid="{00000000-0005-0000-0000-0000891F0000}"/>
    <cellStyle name="20% - Accent3 19 3" xfId="17524" xr:uid="{00000000-0005-0000-0000-00008A1F0000}"/>
    <cellStyle name="20% - Accent3 19 3 2" xfId="29216" xr:uid="{00000000-0005-0000-0000-00008B1F0000}"/>
    <cellStyle name="20% - Accent3 19 4" xfId="21570" xr:uid="{00000000-0005-0000-0000-00008C1F0000}"/>
    <cellStyle name="20% - Accent3 2" xfId="2246" xr:uid="{00000000-0005-0000-0000-00008D1F0000}"/>
    <cellStyle name="20% - Accent3 2 10" xfId="17525" xr:uid="{00000000-0005-0000-0000-00008E1F0000}"/>
    <cellStyle name="20% - Accent3 2 10 2" xfId="29217" xr:uid="{00000000-0005-0000-0000-00008F1F0000}"/>
    <cellStyle name="20% - Accent3 2 11" xfId="21571" xr:uid="{00000000-0005-0000-0000-0000901F0000}"/>
    <cellStyle name="20% - Accent3 2 2" xfId="2247" xr:uid="{00000000-0005-0000-0000-0000911F0000}"/>
    <cellStyle name="20% - Accent3 2 2 2" xfId="2248" xr:uid="{00000000-0005-0000-0000-0000921F0000}"/>
    <cellStyle name="20% - Accent3 2 2 2 2" xfId="2249" xr:uid="{00000000-0005-0000-0000-0000931F0000}"/>
    <cellStyle name="20% - Accent3 2 2 2 2 2" xfId="13577" xr:uid="{00000000-0005-0000-0000-0000941F0000}"/>
    <cellStyle name="20% - Accent3 2 2 2 2 2 2" xfId="25434" xr:uid="{00000000-0005-0000-0000-0000951F0000}"/>
    <cellStyle name="20% - Accent3 2 2 2 2 3" xfId="17528" xr:uid="{00000000-0005-0000-0000-0000961F0000}"/>
    <cellStyle name="20% - Accent3 2 2 2 2 3 2" xfId="29220" xr:uid="{00000000-0005-0000-0000-0000971F0000}"/>
    <cellStyle name="20% - Accent3 2 2 2 2 4" xfId="21574" xr:uid="{00000000-0005-0000-0000-0000981F0000}"/>
    <cellStyle name="20% - Accent3 2 2 2 3" xfId="2250" xr:uid="{00000000-0005-0000-0000-0000991F0000}"/>
    <cellStyle name="20% - Accent3 2 2 2 3 2" xfId="13578" xr:uid="{00000000-0005-0000-0000-00009A1F0000}"/>
    <cellStyle name="20% - Accent3 2 2 2 3 2 2" xfId="25435" xr:uid="{00000000-0005-0000-0000-00009B1F0000}"/>
    <cellStyle name="20% - Accent3 2 2 2 3 3" xfId="17529" xr:uid="{00000000-0005-0000-0000-00009C1F0000}"/>
    <cellStyle name="20% - Accent3 2 2 2 3 3 2" xfId="29221" xr:uid="{00000000-0005-0000-0000-00009D1F0000}"/>
    <cellStyle name="20% - Accent3 2 2 2 3 4" xfId="21575" xr:uid="{00000000-0005-0000-0000-00009E1F0000}"/>
    <cellStyle name="20% - Accent3 2 2 2 4" xfId="13576" xr:uid="{00000000-0005-0000-0000-00009F1F0000}"/>
    <cellStyle name="20% - Accent3 2 2 2 4 2" xfId="25433" xr:uid="{00000000-0005-0000-0000-0000A01F0000}"/>
    <cellStyle name="20% - Accent3 2 2 2 5" xfId="17527" xr:uid="{00000000-0005-0000-0000-0000A11F0000}"/>
    <cellStyle name="20% - Accent3 2 2 2 5 2" xfId="29219" xr:uid="{00000000-0005-0000-0000-0000A21F0000}"/>
    <cellStyle name="20% - Accent3 2 2 2 6" xfId="21573" xr:uid="{00000000-0005-0000-0000-0000A31F0000}"/>
    <cellStyle name="20% - Accent3 2 2 3" xfId="2251" xr:uid="{00000000-0005-0000-0000-0000A41F0000}"/>
    <cellStyle name="20% - Accent3 2 2 3 2" xfId="2252" xr:uid="{00000000-0005-0000-0000-0000A51F0000}"/>
    <cellStyle name="20% - Accent3 2 2 3 2 2" xfId="13580" xr:uid="{00000000-0005-0000-0000-0000A61F0000}"/>
    <cellStyle name="20% - Accent3 2 2 3 2 2 2" xfId="25437" xr:uid="{00000000-0005-0000-0000-0000A71F0000}"/>
    <cellStyle name="20% - Accent3 2 2 3 2 3" xfId="17531" xr:uid="{00000000-0005-0000-0000-0000A81F0000}"/>
    <cellStyle name="20% - Accent3 2 2 3 2 3 2" xfId="29223" xr:uid="{00000000-0005-0000-0000-0000A91F0000}"/>
    <cellStyle name="20% - Accent3 2 2 3 2 4" xfId="21577" xr:uid="{00000000-0005-0000-0000-0000AA1F0000}"/>
    <cellStyle name="20% - Accent3 2 2 3 3" xfId="2253" xr:uid="{00000000-0005-0000-0000-0000AB1F0000}"/>
    <cellStyle name="20% - Accent3 2 2 3 3 2" xfId="13581" xr:uid="{00000000-0005-0000-0000-0000AC1F0000}"/>
    <cellStyle name="20% - Accent3 2 2 3 3 2 2" xfId="25438" xr:uid="{00000000-0005-0000-0000-0000AD1F0000}"/>
    <cellStyle name="20% - Accent3 2 2 3 3 3" xfId="17532" xr:uid="{00000000-0005-0000-0000-0000AE1F0000}"/>
    <cellStyle name="20% - Accent3 2 2 3 3 3 2" xfId="29224" xr:uid="{00000000-0005-0000-0000-0000AF1F0000}"/>
    <cellStyle name="20% - Accent3 2 2 3 3 4" xfId="21578" xr:uid="{00000000-0005-0000-0000-0000B01F0000}"/>
    <cellStyle name="20% - Accent3 2 2 3 4" xfId="13579" xr:uid="{00000000-0005-0000-0000-0000B11F0000}"/>
    <cellStyle name="20% - Accent3 2 2 3 4 2" xfId="25436" xr:uid="{00000000-0005-0000-0000-0000B21F0000}"/>
    <cellStyle name="20% - Accent3 2 2 3 5" xfId="17530" xr:uid="{00000000-0005-0000-0000-0000B31F0000}"/>
    <cellStyle name="20% - Accent3 2 2 3 5 2" xfId="29222" xr:uid="{00000000-0005-0000-0000-0000B41F0000}"/>
    <cellStyle name="20% - Accent3 2 2 3 6" xfId="21576" xr:uid="{00000000-0005-0000-0000-0000B51F0000}"/>
    <cellStyle name="20% - Accent3 2 2 4" xfId="2254" xr:uid="{00000000-0005-0000-0000-0000B61F0000}"/>
    <cellStyle name="20% - Accent3 2 2 4 2" xfId="2255" xr:uid="{00000000-0005-0000-0000-0000B71F0000}"/>
    <cellStyle name="20% - Accent3 2 2 4 2 2" xfId="13583" xr:uid="{00000000-0005-0000-0000-0000B81F0000}"/>
    <cellStyle name="20% - Accent3 2 2 4 2 2 2" xfId="25440" xr:uid="{00000000-0005-0000-0000-0000B91F0000}"/>
    <cellStyle name="20% - Accent3 2 2 4 2 3" xfId="17534" xr:uid="{00000000-0005-0000-0000-0000BA1F0000}"/>
    <cellStyle name="20% - Accent3 2 2 4 2 3 2" xfId="29226" xr:uid="{00000000-0005-0000-0000-0000BB1F0000}"/>
    <cellStyle name="20% - Accent3 2 2 4 2 4" xfId="21580" xr:uid="{00000000-0005-0000-0000-0000BC1F0000}"/>
    <cellStyle name="20% - Accent3 2 2 4 3" xfId="2256" xr:uid="{00000000-0005-0000-0000-0000BD1F0000}"/>
    <cellStyle name="20% - Accent3 2 2 4 3 2" xfId="13584" xr:uid="{00000000-0005-0000-0000-0000BE1F0000}"/>
    <cellStyle name="20% - Accent3 2 2 4 3 2 2" xfId="25441" xr:uid="{00000000-0005-0000-0000-0000BF1F0000}"/>
    <cellStyle name="20% - Accent3 2 2 4 3 3" xfId="17535" xr:uid="{00000000-0005-0000-0000-0000C01F0000}"/>
    <cellStyle name="20% - Accent3 2 2 4 3 3 2" xfId="29227" xr:uid="{00000000-0005-0000-0000-0000C11F0000}"/>
    <cellStyle name="20% - Accent3 2 2 4 3 4" xfId="21581" xr:uid="{00000000-0005-0000-0000-0000C21F0000}"/>
    <cellStyle name="20% - Accent3 2 2 4 4" xfId="13582" xr:uid="{00000000-0005-0000-0000-0000C31F0000}"/>
    <cellStyle name="20% - Accent3 2 2 4 4 2" xfId="25439" xr:uid="{00000000-0005-0000-0000-0000C41F0000}"/>
    <cellStyle name="20% - Accent3 2 2 4 5" xfId="17533" xr:uid="{00000000-0005-0000-0000-0000C51F0000}"/>
    <cellStyle name="20% - Accent3 2 2 4 5 2" xfId="29225" xr:uid="{00000000-0005-0000-0000-0000C61F0000}"/>
    <cellStyle name="20% - Accent3 2 2 4 6" xfId="21579" xr:uid="{00000000-0005-0000-0000-0000C71F0000}"/>
    <cellStyle name="20% - Accent3 2 2 5" xfId="2257" xr:uid="{00000000-0005-0000-0000-0000C81F0000}"/>
    <cellStyle name="20% - Accent3 2 2 5 2" xfId="13585" xr:uid="{00000000-0005-0000-0000-0000C91F0000}"/>
    <cellStyle name="20% - Accent3 2 2 5 2 2" xfId="25442" xr:uid="{00000000-0005-0000-0000-0000CA1F0000}"/>
    <cellStyle name="20% - Accent3 2 2 5 3" xfId="17536" xr:uid="{00000000-0005-0000-0000-0000CB1F0000}"/>
    <cellStyle name="20% - Accent3 2 2 5 3 2" xfId="29228" xr:uid="{00000000-0005-0000-0000-0000CC1F0000}"/>
    <cellStyle name="20% - Accent3 2 2 5 4" xfId="21582" xr:uid="{00000000-0005-0000-0000-0000CD1F0000}"/>
    <cellStyle name="20% - Accent3 2 2 6" xfId="2258" xr:uid="{00000000-0005-0000-0000-0000CE1F0000}"/>
    <cellStyle name="20% - Accent3 2 2 6 2" xfId="13586" xr:uid="{00000000-0005-0000-0000-0000CF1F0000}"/>
    <cellStyle name="20% - Accent3 2 2 6 2 2" xfId="25443" xr:uid="{00000000-0005-0000-0000-0000D01F0000}"/>
    <cellStyle name="20% - Accent3 2 2 6 3" xfId="17537" xr:uid="{00000000-0005-0000-0000-0000D11F0000}"/>
    <cellStyle name="20% - Accent3 2 2 6 3 2" xfId="29229" xr:uid="{00000000-0005-0000-0000-0000D21F0000}"/>
    <cellStyle name="20% - Accent3 2 2 6 4" xfId="21583" xr:uid="{00000000-0005-0000-0000-0000D31F0000}"/>
    <cellStyle name="20% - Accent3 2 2 7" xfId="13575" xr:uid="{00000000-0005-0000-0000-0000D41F0000}"/>
    <cellStyle name="20% - Accent3 2 2 7 2" xfId="25432" xr:uid="{00000000-0005-0000-0000-0000D51F0000}"/>
    <cellStyle name="20% - Accent3 2 2 8" xfId="17526" xr:uid="{00000000-0005-0000-0000-0000D61F0000}"/>
    <cellStyle name="20% - Accent3 2 2 8 2" xfId="29218" xr:uid="{00000000-0005-0000-0000-0000D71F0000}"/>
    <cellStyle name="20% - Accent3 2 2 9" xfId="21572" xr:uid="{00000000-0005-0000-0000-0000D81F0000}"/>
    <cellStyle name="20% - Accent3 2 2_Volatility" xfId="2259" xr:uid="{00000000-0005-0000-0000-0000D91F0000}"/>
    <cellStyle name="20% - Accent3 2 3" xfId="2260" xr:uid="{00000000-0005-0000-0000-0000DA1F0000}"/>
    <cellStyle name="20% - Accent3 2 3 2" xfId="2261" xr:uid="{00000000-0005-0000-0000-0000DB1F0000}"/>
    <cellStyle name="20% - Accent3 2 3 2 2" xfId="2262" xr:uid="{00000000-0005-0000-0000-0000DC1F0000}"/>
    <cellStyle name="20% - Accent3 2 3 2 2 2" xfId="13589" xr:uid="{00000000-0005-0000-0000-0000DD1F0000}"/>
    <cellStyle name="20% - Accent3 2 3 2 2 2 2" xfId="25446" xr:uid="{00000000-0005-0000-0000-0000DE1F0000}"/>
    <cellStyle name="20% - Accent3 2 3 2 2 3" xfId="17540" xr:uid="{00000000-0005-0000-0000-0000DF1F0000}"/>
    <cellStyle name="20% - Accent3 2 3 2 2 3 2" xfId="29232" xr:uid="{00000000-0005-0000-0000-0000E01F0000}"/>
    <cellStyle name="20% - Accent3 2 3 2 2 4" xfId="21586" xr:uid="{00000000-0005-0000-0000-0000E11F0000}"/>
    <cellStyle name="20% - Accent3 2 3 2 3" xfId="2263" xr:uid="{00000000-0005-0000-0000-0000E21F0000}"/>
    <cellStyle name="20% - Accent3 2 3 2 3 2" xfId="13590" xr:uid="{00000000-0005-0000-0000-0000E31F0000}"/>
    <cellStyle name="20% - Accent3 2 3 2 3 2 2" xfId="25447" xr:uid="{00000000-0005-0000-0000-0000E41F0000}"/>
    <cellStyle name="20% - Accent3 2 3 2 3 3" xfId="17541" xr:uid="{00000000-0005-0000-0000-0000E51F0000}"/>
    <cellStyle name="20% - Accent3 2 3 2 3 3 2" xfId="29233" xr:uid="{00000000-0005-0000-0000-0000E61F0000}"/>
    <cellStyle name="20% - Accent3 2 3 2 3 4" xfId="21587" xr:uid="{00000000-0005-0000-0000-0000E71F0000}"/>
    <cellStyle name="20% - Accent3 2 3 2 4" xfId="13588" xr:uid="{00000000-0005-0000-0000-0000E81F0000}"/>
    <cellStyle name="20% - Accent3 2 3 2 4 2" xfId="25445" xr:uid="{00000000-0005-0000-0000-0000E91F0000}"/>
    <cellStyle name="20% - Accent3 2 3 2 5" xfId="17539" xr:uid="{00000000-0005-0000-0000-0000EA1F0000}"/>
    <cellStyle name="20% - Accent3 2 3 2 5 2" xfId="29231" xr:uid="{00000000-0005-0000-0000-0000EB1F0000}"/>
    <cellStyle name="20% - Accent3 2 3 2 6" xfId="21585" xr:uid="{00000000-0005-0000-0000-0000EC1F0000}"/>
    <cellStyle name="20% - Accent3 2 3 3" xfId="2264" xr:uid="{00000000-0005-0000-0000-0000ED1F0000}"/>
    <cellStyle name="20% - Accent3 2 3 3 2" xfId="2265" xr:uid="{00000000-0005-0000-0000-0000EE1F0000}"/>
    <cellStyle name="20% - Accent3 2 3 3 2 2" xfId="13592" xr:uid="{00000000-0005-0000-0000-0000EF1F0000}"/>
    <cellStyle name="20% - Accent3 2 3 3 2 2 2" xfId="25449" xr:uid="{00000000-0005-0000-0000-0000F01F0000}"/>
    <cellStyle name="20% - Accent3 2 3 3 2 3" xfId="17543" xr:uid="{00000000-0005-0000-0000-0000F11F0000}"/>
    <cellStyle name="20% - Accent3 2 3 3 2 3 2" xfId="29235" xr:uid="{00000000-0005-0000-0000-0000F21F0000}"/>
    <cellStyle name="20% - Accent3 2 3 3 2 4" xfId="21589" xr:uid="{00000000-0005-0000-0000-0000F31F0000}"/>
    <cellStyle name="20% - Accent3 2 3 3 3" xfId="2266" xr:uid="{00000000-0005-0000-0000-0000F41F0000}"/>
    <cellStyle name="20% - Accent3 2 3 3 3 2" xfId="13593" xr:uid="{00000000-0005-0000-0000-0000F51F0000}"/>
    <cellStyle name="20% - Accent3 2 3 3 3 2 2" xfId="25450" xr:uid="{00000000-0005-0000-0000-0000F61F0000}"/>
    <cellStyle name="20% - Accent3 2 3 3 3 3" xfId="17544" xr:uid="{00000000-0005-0000-0000-0000F71F0000}"/>
    <cellStyle name="20% - Accent3 2 3 3 3 3 2" xfId="29236" xr:uid="{00000000-0005-0000-0000-0000F81F0000}"/>
    <cellStyle name="20% - Accent3 2 3 3 3 4" xfId="21590" xr:uid="{00000000-0005-0000-0000-0000F91F0000}"/>
    <cellStyle name="20% - Accent3 2 3 3 4" xfId="13591" xr:uid="{00000000-0005-0000-0000-0000FA1F0000}"/>
    <cellStyle name="20% - Accent3 2 3 3 4 2" xfId="25448" xr:uid="{00000000-0005-0000-0000-0000FB1F0000}"/>
    <cellStyle name="20% - Accent3 2 3 3 5" xfId="17542" xr:uid="{00000000-0005-0000-0000-0000FC1F0000}"/>
    <cellStyle name="20% - Accent3 2 3 3 5 2" xfId="29234" xr:uid="{00000000-0005-0000-0000-0000FD1F0000}"/>
    <cellStyle name="20% - Accent3 2 3 3 6" xfId="21588" xr:uid="{00000000-0005-0000-0000-0000FE1F0000}"/>
    <cellStyle name="20% - Accent3 2 3 4" xfId="2267" xr:uid="{00000000-0005-0000-0000-0000FF1F0000}"/>
    <cellStyle name="20% - Accent3 2 3 4 2" xfId="13594" xr:uid="{00000000-0005-0000-0000-000000200000}"/>
    <cellStyle name="20% - Accent3 2 3 4 2 2" xfId="25451" xr:uid="{00000000-0005-0000-0000-000001200000}"/>
    <cellStyle name="20% - Accent3 2 3 4 3" xfId="17545" xr:uid="{00000000-0005-0000-0000-000002200000}"/>
    <cellStyle name="20% - Accent3 2 3 4 3 2" xfId="29237" xr:uid="{00000000-0005-0000-0000-000003200000}"/>
    <cellStyle name="20% - Accent3 2 3 4 4" xfId="21591" xr:uid="{00000000-0005-0000-0000-000004200000}"/>
    <cellStyle name="20% - Accent3 2 3 5" xfId="2268" xr:uid="{00000000-0005-0000-0000-000005200000}"/>
    <cellStyle name="20% - Accent3 2 3 5 2" xfId="13595" xr:uid="{00000000-0005-0000-0000-000006200000}"/>
    <cellStyle name="20% - Accent3 2 3 5 2 2" xfId="25452" xr:uid="{00000000-0005-0000-0000-000007200000}"/>
    <cellStyle name="20% - Accent3 2 3 5 3" xfId="17546" xr:uid="{00000000-0005-0000-0000-000008200000}"/>
    <cellStyle name="20% - Accent3 2 3 5 3 2" xfId="29238" xr:uid="{00000000-0005-0000-0000-000009200000}"/>
    <cellStyle name="20% - Accent3 2 3 5 4" xfId="21592" xr:uid="{00000000-0005-0000-0000-00000A200000}"/>
    <cellStyle name="20% - Accent3 2 3 6" xfId="13587" xr:uid="{00000000-0005-0000-0000-00000B200000}"/>
    <cellStyle name="20% - Accent3 2 3 6 2" xfId="25444" xr:uid="{00000000-0005-0000-0000-00000C200000}"/>
    <cellStyle name="20% - Accent3 2 3 7" xfId="17538" xr:uid="{00000000-0005-0000-0000-00000D200000}"/>
    <cellStyle name="20% - Accent3 2 3 7 2" xfId="29230" xr:uid="{00000000-0005-0000-0000-00000E200000}"/>
    <cellStyle name="20% - Accent3 2 3 8" xfId="21584" xr:uid="{00000000-0005-0000-0000-00000F200000}"/>
    <cellStyle name="20% - Accent3 2 3_Volatility" xfId="2269" xr:uid="{00000000-0005-0000-0000-000010200000}"/>
    <cellStyle name="20% - Accent3 2 4" xfId="2270" xr:uid="{00000000-0005-0000-0000-000011200000}"/>
    <cellStyle name="20% - Accent3 2 4 2" xfId="2271" xr:uid="{00000000-0005-0000-0000-000012200000}"/>
    <cellStyle name="20% - Accent3 2 4 2 2" xfId="13597" xr:uid="{00000000-0005-0000-0000-000013200000}"/>
    <cellStyle name="20% - Accent3 2 4 2 2 2" xfId="25454" xr:uid="{00000000-0005-0000-0000-000014200000}"/>
    <cellStyle name="20% - Accent3 2 4 2 3" xfId="17548" xr:uid="{00000000-0005-0000-0000-000015200000}"/>
    <cellStyle name="20% - Accent3 2 4 2 3 2" xfId="29240" xr:uid="{00000000-0005-0000-0000-000016200000}"/>
    <cellStyle name="20% - Accent3 2 4 2 4" xfId="21594" xr:uid="{00000000-0005-0000-0000-000017200000}"/>
    <cellStyle name="20% - Accent3 2 4 3" xfId="2272" xr:uid="{00000000-0005-0000-0000-000018200000}"/>
    <cellStyle name="20% - Accent3 2 4 3 2" xfId="13598" xr:uid="{00000000-0005-0000-0000-000019200000}"/>
    <cellStyle name="20% - Accent3 2 4 3 2 2" xfId="25455" xr:uid="{00000000-0005-0000-0000-00001A200000}"/>
    <cellStyle name="20% - Accent3 2 4 3 3" xfId="17549" xr:uid="{00000000-0005-0000-0000-00001B200000}"/>
    <cellStyle name="20% - Accent3 2 4 3 3 2" xfId="29241" xr:uid="{00000000-0005-0000-0000-00001C200000}"/>
    <cellStyle name="20% - Accent3 2 4 3 4" xfId="21595" xr:uid="{00000000-0005-0000-0000-00001D200000}"/>
    <cellStyle name="20% - Accent3 2 4 4" xfId="13596" xr:uid="{00000000-0005-0000-0000-00001E200000}"/>
    <cellStyle name="20% - Accent3 2 4 4 2" xfId="25453" xr:uid="{00000000-0005-0000-0000-00001F200000}"/>
    <cellStyle name="20% - Accent3 2 4 5" xfId="17547" xr:uid="{00000000-0005-0000-0000-000020200000}"/>
    <cellStyle name="20% - Accent3 2 4 5 2" xfId="29239" xr:uid="{00000000-0005-0000-0000-000021200000}"/>
    <cellStyle name="20% - Accent3 2 4 6" xfId="21593" xr:uid="{00000000-0005-0000-0000-000022200000}"/>
    <cellStyle name="20% - Accent3 2 5" xfId="2273" xr:uid="{00000000-0005-0000-0000-000023200000}"/>
    <cellStyle name="20% - Accent3 2 5 2" xfId="2274" xr:uid="{00000000-0005-0000-0000-000024200000}"/>
    <cellStyle name="20% - Accent3 2 5 2 2" xfId="13600" xr:uid="{00000000-0005-0000-0000-000025200000}"/>
    <cellStyle name="20% - Accent3 2 5 2 2 2" xfId="25457" xr:uid="{00000000-0005-0000-0000-000026200000}"/>
    <cellStyle name="20% - Accent3 2 5 2 3" xfId="17551" xr:uid="{00000000-0005-0000-0000-000027200000}"/>
    <cellStyle name="20% - Accent3 2 5 2 3 2" xfId="29243" xr:uid="{00000000-0005-0000-0000-000028200000}"/>
    <cellStyle name="20% - Accent3 2 5 2 4" xfId="21597" xr:uid="{00000000-0005-0000-0000-000029200000}"/>
    <cellStyle name="20% - Accent3 2 5 3" xfId="2275" xr:uid="{00000000-0005-0000-0000-00002A200000}"/>
    <cellStyle name="20% - Accent3 2 5 3 2" xfId="13601" xr:uid="{00000000-0005-0000-0000-00002B200000}"/>
    <cellStyle name="20% - Accent3 2 5 3 2 2" xfId="25458" xr:uid="{00000000-0005-0000-0000-00002C200000}"/>
    <cellStyle name="20% - Accent3 2 5 3 3" xfId="17552" xr:uid="{00000000-0005-0000-0000-00002D200000}"/>
    <cellStyle name="20% - Accent3 2 5 3 3 2" xfId="29244" xr:uid="{00000000-0005-0000-0000-00002E200000}"/>
    <cellStyle name="20% - Accent3 2 5 3 4" xfId="21598" xr:uid="{00000000-0005-0000-0000-00002F200000}"/>
    <cellStyle name="20% - Accent3 2 5 4" xfId="13599" xr:uid="{00000000-0005-0000-0000-000030200000}"/>
    <cellStyle name="20% - Accent3 2 5 4 2" xfId="25456" xr:uid="{00000000-0005-0000-0000-000031200000}"/>
    <cellStyle name="20% - Accent3 2 5 5" xfId="17550" xr:uid="{00000000-0005-0000-0000-000032200000}"/>
    <cellStyle name="20% - Accent3 2 5 5 2" xfId="29242" xr:uid="{00000000-0005-0000-0000-000033200000}"/>
    <cellStyle name="20% - Accent3 2 5 6" xfId="21596" xr:uid="{00000000-0005-0000-0000-000034200000}"/>
    <cellStyle name="20% - Accent3 2 6" xfId="2276" xr:uid="{00000000-0005-0000-0000-000035200000}"/>
    <cellStyle name="20% - Accent3 2 6 2" xfId="2277" xr:uid="{00000000-0005-0000-0000-000036200000}"/>
    <cellStyle name="20% - Accent3 2 6 2 2" xfId="13603" xr:uid="{00000000-0005-0000-0000-000037200000}"/>
    <cellStyle name="20% - Accent3 2 6 2 2 2" xfId="25460" xr:uid="{00000000-0005-0000-0000-000038200000}"/>
    <cellStyle name="20% - Accent3 2 6 2 3" xfId="17554" xr:uid="{00000000-0005-0000-0000-000039200000}"/>
    <cellStyle name="20% - Accent3 2 6 2 3 2" xfId="29246" xr:uid="{00000000-0005-0000-0000-00003A200000}"/>
    <cellStyle name="20% - Accent3 2 6 2 4" xfId="21600" xr:uid="{00000000-0005-0000-0000-00003B200000}"/>
    <cellStyle name="20% - Accent3 2 6 3" xfId="2278" xr:uid="{00000000-0005-0000-0000-00003C200000}"/>
    <cellStyle name="20% - Accent3 2 6 3 2" xfId="13604" xr:uid="{00000000-0005-0000-0000-00003D200000}"/>
    <cellStyle name="20% - Accent3 2 6 3 2 2" xfId="25461" xr:uid="{00000000-0005-0000-0000-00003E200000}"/>
    <cellStyle name="20% - Accent3 2 6 3 3" xfId="17555" xr:uid="{00000000-0005-0000-0000-00003F200000}"/>
    <cellStyle name="20% - Accent3 2 6 3 3 2" xfId="29247" xr:uid="{00000000-0005-0000-0000-000040200000}"/>
    <cellStyle name="20% - Accent3 2 6 3 4" xfId="21601" xr:uid="{00000000-0005-0000-0000-000041200000}"/>
    <cellStyle name="20% - Accent3 2 6 4" xfId="13602" xr:uid="{00000000-0005-0000-0000-000042200000}"/>
    <cellStyle name="20% - Accent3 2 6 4 2" xfId="25459" xr:uid="{00000000-0005-0000-0000-000043200000}"/>
    <cellStyle name="20% - Accent3 2 6 5" xfId="17553" xr:uid="{00000000-0005-0000-0000-000044200000}"/>
    <cellStyle name="20% - Accent3 2 6 5 2" xfId="29245" xr:uid="{00000000-0005-0000-0000-000045200000}"/>
    <cellStyle name="20% - Accent3 2 6 6" xfId="21599" xr:uid="{00000000-0005-0000-0000-000046200000}"/>
    <cellStyle name="20% - Accent3 2 7" xfId="2279" xr:uid="{00000000-0005-0000-0000-000047200000}"/>
    <cellStyle name="20% - Accent3 2 7 2" xfId="13605" xr:uid="{00000000-0005-0000-0000-000048200000}"/>
    <cellStyle name="20% - Accent3 2 7 2 2" xfId="25462" xr:uid="{00000000-0005-0000-0000-000049200000}"/>
    <cellStyle name="20% - Accent3 2 7 3" xfId="17556" xr:uid="{00000000-0005-0000-0000-00004A200000}"/>
    <cellStyle name="20% - Accent3 2 7 3 2" xfId="29248" xr:uid="{00000000-0005-0000-0000-00004B200000}"/>
    <cellStyle name="20% - Accent3 2 7 4" xfId="21602" xr:uid="{00000000-0005-0000-0000-00004C200000}"/>
    <cellStyle name="20% - Accent3 2 8" xfId="2280" xr:uid="{00000000-0005-0000-0000-00004D200000}"/>
    <cellStyle name="20% - Accent3 2 8 2" xfId="13606" xr:uid="{00000000-0005-0000-0000-00004E200000}"/>
    <cellStyle name="20% - Accent3 2 8 2 2" xfId="25463" xr:uid="{00000000-0005-0000-0000-00004F200000}"/>
    <cellStyle name="20% - Accent3 2 8 3" xfId="17557" xr:uid="{00000000-0005-0000-0000-000050200000}"/>
    <cellStyle name="20% - Accent3 2 8 3 2" xfId="29249" xr:uid="{00000000-0005-0000-0000-000051200000}"/>
    <cellStyle name="20% - Accent3 2 8 4" xfId="21603" xr:uid="{00000000-0005-0000-0000-000052200000}"/>
    <cellStyle name="20% - Accent3 2 9" xfId="13574" xr:uid="{00000000-0005-0000-0000-000053200000}"/>
    <cellStyle name="20% - Accent3 2 9 2" xfId="25431" xr:uid="{00000000-0005-0000-0000-000054200000}"/>
    <cellStyle name="20% - Accent3 2_Volatility" xfId="2281" xr:uid="{00000000-0005-0000-0000-000055200000}"/>
    <cellStyle name="20% - Accent3 3" xfId="2282" xr:uid="{00000000-0005-0000-0000-000056200000}"/>
    <cellStyle name="20% - Accent3 3 10" xfId="17558" xr:uid="{00000000-0005-0000-0000-000057200000}"/>
    <cellStyle name="20% - Accent3 3 10 2" xfId="29250" xr:uid="{00000000-0005-0000-0000-000058200000}"/>
    <cellStyle name="20% - Accent3 3 11" xfId="21604" xr:uid="{00000000-0005-0000-0000-000059200000}"/>
    <cellStyle name="20% - Accent3 3 2" xfId="2283" xr:uid="{00000000-0005-0000-0000-00005A200000}"/>
    <cellStyle name="20% - Accent3 3 2 2" xfId="2284" xr:uid="{00000000-0005-0000-0000-00005B200000}"/>
    <cellStyle name="20% - Accent3 3 2 2 2" xfId="2285" xr:uid="{00000000-0005-0000-0000-00005C200000}"/>
    <cellStyle name="20% - Accent3 3 2 2 2 2" xfId="13610" xr:uid="{00000000-0005-0000-0000-00005D200000}"/>
    <cellStyle name="20% - Accent3 3 2 2 2 2 2" xfId="25467" xr:uid="{00000000-0005-0000-0000-00005E200000}"/>
    <cellStyle name="20% - Accent3 3 2 2 2 3" xfId="17561" xr:uid="{00000000-0005-0000-0000-00005F200000}"/>
    <cellStyle name="20% - Accent3 3 2 2 2 3 2" xfId="29253" xr:uid="{00000000-0005-0000-0000-000060200000}"/>
    <cellStyle name="20% - Accent3 3 2 2 2 4" xfId="21607" xr:uid="{00000000-0005-0000-0000-000061200000}"/>
    <cellStyle name="20% - Accent3 3 2 2 3" xfId="2286" xr:uid="{00000000-0005-0000-0000-000062200000}"/>
    <cellStyle name="20% - Accent3 3 2 2 3 2" xfId="13611" xr:uid="{00000000-0005-0000-0000-000063200000}"/>
    <cellStyle name="20% - Accent3 3 2 2 3 2 2" xfId="25468" xr:uid="{00000000-0005-0000-0000-000064200000}"/>
    <cellStyle name="20% - Accent3 3 2 2 3 3" xfId="17562" xr:uid="{00000000-0005-0000-0000-000065200000}"/>
    <cellStyle name="20% - Accent3 3 2 2 3 3 2" xfId="29254" xr:uid="{00000000-0005-0000-0000-000066200000}"/>
    <cellStyle name="20% - Accent3 3 2 2 3 4" xfId="21608" xr:uid="{00000000-0005-0000-0000-000067200000}"/>
    <cellStyle name="20% - Accent3 3 2 2 4" xfId="13609" xr:uid="{00000000-0005-0000-0000-000068200000}"/>
    <cellStyle name="20% - Accent3 3 2 2 4 2" xfId="25466" xr:uid="{00000000-0005-0000-0000-000069200000}"/>
    <cellStyle name="20% - Accent3 3 2 2 5" xfId="17560" xr:uid="{00000000-0005-0000-0000-00006A200000}"/>
    <cellStyle name="20% - Accent3 3 2 2 5 2" xfId="29252" xr:uid="{00000000-0005-0000-0000-00006B200000}"/>
    <cellStyle name="20% - Accent3 3 2 2 6" xfId="21606" xr:uid="{00000000-0005-0000-0000-00006C200000}"/>
    <cellStyle name="20% - Accent3 3 2 3" xfId="2287" xr:uid="{00000000-0005-0000-0000-00006D200000}"/>
    <cellStyle name="20% - Accent3 3 2 3 2" xfId="2288" xr:uid="{00000000-0005-0000-0000-00006E200000}"/>
    <cellStyle name="20% - Accent3 3 2 3 2 2" xfId="13613" xr:uid="{00000000-0005-0000-0000-00006F200000}"/>
    <cellStyle name="20% - Accent3 3 2 3 2 2 2" xfId="25470" xr:uid="{00000000-0005-0000-0000-000070200000}"/>
    <cellStyle name="20% - Accent3 3 2 3 2 3" xfId="17564" xr:uid="{00000000-0005-0000-0000-000071200000}"/>
    <cellStyle name="20% - Accent3 3 2 3 2 3 2" xfId="29256" xr:uid="{00000000-0005-0000-0000-000072200000}"/>
    <cellStyle name="20% - Accent3 3 2 3 2 4" xfId="21610" xr:uid="{00000000-0005-0000-0000-000073200000}"/>
    <cellStyle name="20% - Accent3 3 2 3 3" xfId="2289" xr:uid="{00000000-0005-0000-0000-000074200000}"/>
    <cellStyle name="20% - Accent3 3 2 3 3 2" xfId="13614" xr:uid="{00000000-0005-0000-0000-000075200000}"/>
    <cellStyle name="20% - Accent3 3 2 3 3 2 2" xfId="25471" xr:uid="{00000000-0005-0000-0000-000076200000}"/>
    <cellStyle name="20% - Accent3 3 2 3 3 3" xfId="17565" xr:uid="{00000000-0005-0000-0000-000077200000}"/>
    <cellStyle name="20% - Accent3 3 2 3 3 3 2" xfId="29257" xr:uid="{00000000-0005-0000-0000-000078200000}"/>
    <cellStyle name="20% - Accent3 3 2 3 3 4" xfId="21611" xr:uid="{00000000-0005-0000-0000-000079200000}"/>
    <cellStyle name="20% - Accent3 3 2 3 4" xfId="13612" xr:uid="{00000000-0005-0000-0000-00007A200000}"/>
    <cellStyle name="20% - Accent3 3 2 3 4 2" xfId="25469" xr:uid="{00000000-0005-0000-0000-00007B200000}"/>
    <cellStyle name="20% - Accent3 3 2 3 5" xfId="17563" xr:uid="{00000000-0005-0000-0000-00007C200000}"/>
    <cellStyle name="20% - Accent3 3 2 3 5 2" xfId="29255" xr:uid="{00000000-0005-0000-0000-00007D200000}"/>
    <cellStyle name="20% - Accent3 3 2 3 6" xfId="21609" xr:uid="{00000000-0005-0000-0000-00007E200000}"/>
    <cellStyle name="20% - Accent3 3 2 4" xfId="2290" xr:uid="{00000000-0005-0000-0000-00007F200000}"/>
    <cellStyle name="20% - Accent3 3 2 4 2" xfId="2291" xr:uid="{00000000-0005-0000-0000-000080200000}"/>
    <cellStyle name="20% - Accent3 3 2 4 2 2" xfId="13616" xr:uid="{00000000-0005-0000-0000-000081200000}"/>
    <cellStyle name="20% - Accent3 3 2 4 2 2 2" xfId="25473" xr:uid="{00000000-0005-0000-0000-000082200000}"/>
    <cellStyle name="20% - Accent3 3 2 4 2 3" xfId="17567" xr:uid="{00000000-0005-0000-0000-000083200000}"/>
    <cellStyle name="20% - Accent3 3 2 4 2 3 2" xfId="29259" xr:uid="{00000000-0005-0000-0000-000084200000}"/>
    <cellStyle name="20% - Accent3 3 2 4 2 4" xfId="21613" xr:uid="{00000000-0005-0000-0000-000085200000}"/>
    <cellStyle name="20% - Accent3 3 2 4 3" xfId="2292" xr:uid="{00000000-0005-0000-0000-000086200000}"/>
    <cellStyle name="20% - Accent3 3 2 4 3 2" xfId="13617" xr:uid="{00000000-0005-0000-0000-000087200000}"/>
    <cellStyle name="20% - Accent3 3 2 4 3 2 2" xfId="25474" xr:uid="{00000000-0005-0000-0000-000088200000}"/>
    <cellStyle name="20% - Accent3 3 2 4 3 3" xfId="17568" xr:uid="{00000000-0005-0000-0000-000089200000}"/>
    <cellStyle name="20% - Accent3 3 2 4 3 3 2" xfId="29260" xr:uid="{00000000-0005-0000-0000-00008A200000}"/>
    <cellStyle name="20% - Accent3 3 2 4 3 4" xfId="21614" xr:uid="{00000000-0005-0000-0000-00008B200000}"/>
    <cellStyle name="20% - Accent3 3 2 4 4" xfId="13615" xr:uid="{00000000-0005-0000-0000-00008C200000}"/>
    <cellStyle name="20% - Accent3 3 2 4 4 2" xfId="25472" xr:uid="{00000000-0005-0000-0000-00008D200000}"/>
    <cellStyle name="20% - Accent3 3 2 4 5" xfId="17566" xr:uid="{00000000-0005-0000-0000-00008E200000}"/>
    <cellStyle name="20% - Accent3 3 2 4 5 2" xfId="29258" xr:uid="{00000000-0005-0000-0000-00008F200000}"/>
    <cellStyle name="20% - Accent3 3 2 4 6" xfId="21612" xr:uid="{00000000-0005-0000-0000-000090200000}"/>
    <cellStyle name="20% - Accent3 3 2 5" xfId="2293" xr:uid="{00000000-0005-0000-0000-000091200000}"/>
    <cellStyle name="20% - Accent3 3 2 5 2" xfId="13618" xr:uid="{00000000-0005-0000-0000-000092200000}"/>
    <cellStyle name="20% - Accent3 3 2 5 2 2" xfId="25475" xr:uid="{00000000-0005-0000-0000-000093200000}"/>
    <cellStyle name="20% - Accent3 3 2 5 3" xfId="17569" xr:uid="{00000000-0005-0000-0000-000094200000}"/>
    <cellStyle name="20% - Accent3 3 2 5 3 2" xfId="29261" xr:uid="{00000000-0005-0000-0000-000095200000}"/>
    <cellStyle name="20% - Accent3 3 2 5 4" xfId="21615" xr:uid="{00000000-0005-0000-0000-000096200000}"/>
    <cellStyle name="20% - Accent3 3 2 6" xfId="2294" xr:uid="{00000000-0005-0000-0000-000097200000}"/>
    <cellStyle name="20% - Accent3 3 2 6 2" xfId="13619" xr:uid="{00000000-0005-0000-0000-000098200000}"/>
    <cellStyle name="20% - Accent3 3 2 6 2 2" xfId="25476" xr:uid="{00000000-0005-0000-0000-000099200000}"/>
    <cellStyle name="20% - Accent3 3 2 6 3" xfId="17570" xr:uid="{00000000-0005-0000-0000-00009A200000}"/>
    <cellStyle name="20% - Accent3 3 2 6 3 2" xfId="29262" xr:uid="{00000000-0005-0000-0000-00009B200000}"/>
    <cellStyle name="20% - Accent3 3 2 6 4" xfId="21616" xr:uid="{00000000-0005-0000-0000-00009C200000}"/>
    <cellStyle name="20% - Accent3 3 2 7" xfId="13608" xr:uid="{00000000-0005-0000-0000-00009D200000}"/>
    <cellStyle name="20% - Accent3 3 2 7 2" xfId="25465" xr:uid="{00000000-0005-0000-0000-00009E200000}"/>
    <cellStyle name="20% - Accent3 3 2 8" xfId="17559" xr:uid="{00000000-0005-0000-0000-00009F200000}"/>
    <cellStyle name="20% - Accent3 3 2 8 2" xfId="29251" xr:uid="{00000000-0005-0000-0000-0000A0200000}"/>
    <cellStyle name="20% - Accent3 3 2 9" xfId="21605" xr:uid="{00000000-0005-0000-0000-0000A1200000}"/>
    <cellStyle name="20% - Accent3 3 2_Volatility" xfId="2295" xr:uid="{00000000-0005-0000-0000-0000A2200000}"/>
    <cellStyle name="20% - Accent3 3 3" xfId="2296" xr:uid="{00000000-0005-0000-0000-0000A3200000}"/>
    <cellStyle name="20% - Accent3 3 3 2" xfId="2297" xr:uid="{00000000-0005-0000-0000-0000A4200000}"/>
    <cellStyle name="20% - Accent3 3 3 2 2" xfId="2298" xr:uid="{00000000-0005-0000-0000-0000A5200000}"/>
    <cellStyle name="20% - Accent3 3 3 2 2 2" xfId="13622" xr:uid="{00000000-0005-0000-0000-0000A6200000}"/>
    <cellStyle name="20% - Accent3 3 3 2 2 2 2" xfId="25479" xr:uid="{00000000-0005-0000-0000-0000A7200000}"/>
    <cellStyle name="20% - Accent3 3 3 2 2 3" xfId="17573" xr:uid="{00000000-0005-0000-0000-0000A8200000}"/>
    <cellStyle name="20% - Accent3 3 3 2 2 3 2" xfId="29265" xr:uid="{00000000-0005-0000-0000-0000A9200000}"/>
    <cellStyle name="20% - Accent3 3 3 2 2 4" xfId="21619" xr:uid="{00000000-0005-0000-0000-0000AA200000}"/>
    <cellStyle name="20% - Accent3 3 3 2 3" xfId="2299" xr:uid="{00000000-0005-0000-0000-0000AB200000}"/>
    <cellStyle name="20% - Accent3 3 3 2 3 2" xfId="13623" xr:uid="{00000000-0005-0000-0000-0000AC200000}"/>
    <cellStyle name="20% - Accent3 3 3 2 3 2 2" xfId="25480" xr:uid="{00000000-0005-0000-0000-0000AD200000}"/>
    <cellStyle name="20% - Accent3 3 3 2 3 3" xfId="17574" xr:uid="{00000000-0005-0000-0000-0000AE200000}"/>
    <cellStyle name="20% - Accent3 3 3 2 3 3 2" xfId="29266" xr:uid="{00000000-0005-0000-0000-0000AF200000}"/>
    <cellStyle name="20% - Accent3 3 3 2 3 4" xfId="21620" xr:uid="{00000000-0005-0000-0000-0000B0200000}"/>
    <cellStyle name="20% - Accent3 3 3 2 4" xfId="13621" xr:uid="{00000000-0005-0000-0000-0000B1200000}"/>
    <cellStyle name="20% - Accent3 3 3 2 4 2" xfId="25478" xr:uid="{00000000-0005-0000-0000-0000B2200000}"/>
    <cellStyle name="20% - Accent3 3 3 2 5" xfId="17572" xr:uid="{00000000-0005-0000-0000-0000B3200000}"/>
    <cellStyle name="20% - Accent3 3 3 2 5 2" xfId="29264" xr:uid="{00000000-0005-0000-0000-0000B4200000}"/>
    <cellStyle name="20% - Accent3 3 3 2 6" xfId="21618" xr:uid="{00000000-0005-0000-0000-0000B5200000}"/>
    <cellStyle name="20% - Accent3 3 3 3" xfId="2300" xr:uid="{00000000-0005-0000-0000-0000B6200000}"/>
    <cellStyle name="20% - Accent3 3 3 3 2" xfId="2301" xr:uid="{00000000-0005-0000-0000-0000B7200000}"/>
    <cellStyle name="20% - Accent3 3 3 3 2 2" xfId="13625" xr:uid="{00000000-0005-0000-0000-0000B8200000}"/>
    <cellStyle name="20% - Accent3 3 3 3 2 2 2" xfId="25482" xr:uid="{00000000-0005-0000-0000-0000B9200000}"/>
    <cellStyle name="20% - Accent3 3 3 3 2 3" xfId="17576" xr:uid="{00000000-0005-0000-0000-0000BA200000}"/>
    <cellStyle name="20% - Accent3 3 3 3 2 3 2" xfId="29268" xr:uid="{00000000-0005-0000-0000-0000BB200000}"/>
    <cellStyle name="20% - Accent3 3 3 3 2 4" xfId="21622" xr:uid="{00000000-0005-0000-0000-0000BC200000}"/>
    <cellStyle name="20% - Accent3 3 3 3 3" xfId="2302" xr:uid="{00000000-0005-0000-0000-0000BD200000}"/>
    <cellStyle name="20% - Accent3 3 3 3 3 2" xfId="13626" xr:uid="{00000000-0005-0000-0000-0000BE200000}"/>
    <cellStyle name="20% - Accent3 3 3 3 3 2 2" xfId="25483" xr:uid="{00000000-0005-0000-0000-0000BF200000}"/>
    <cellStyle name="20% - Accent3 3 3 3 3 3" xfId="17577" xr:uid="{00000000-0005-0000-0000-0000C0200000}"/>
    <cellStyle name="20% - Accent3 3 3 3 3 3 2" xfId="29269" xr:uid="{00000000-0005-0000-0000-0000C1200000}"/>
    <cellStyle name="20% - Accent3 3 3 3 3 4" xfId="21623" xr:uid="{00000000-0005-0000-0000-0000C2200000}"/>
    <cellStyle name="20% - Accent3 3 3 3 4" xfId="13624" xr:uid="{00000000-0005-0000-0000-0000C3200000}"/>
    <cellStyle name="20% - Accent3 3 3 3 4 2" xfId="25481" xr:uid="{00000000-0005-0000-0000-0000C4200000}"/>
    <cellStyle name="20% - Accent3 3 3 3 5" xfId="17575" xr:uid="{00000000-0005-0000-0000-0000C5200000}"/>
    <cellStyle name="20% - Accent3 3 3 3 5 2" xfId="29267" xr:uid="{00000000-0005-0000-0000-0000C6200000}"/>
    <cellStyle name="20% - Accent3 3 3 3 6" xfId="21621" xr:uid="{00000000-0005-0000-0000-0000C7200000}"/>
    <cellStyle name="20% - Accent3 3 3 4" xfId="2303" xr:uid="{00000000-0005-0000-0000-0000C8200000}"/>
    <cellStyle name="20% - Accent3 3 3 4 2" xfId="13627" xr:uid="{00000000-0005-0000-0000-0000C9200000}"/>
    <cellStyle name="20% - Accent3 3 3 4 2 2" xfId="25484" xr:uid="{00000000-0005-0000-0000-0000CA200000}"/>
    <cellStyle name="20% - Accent3 3 3 4 3" xfId="17578" xr:uid="{00000000-0005-0000-0000-0000CB200000}"/>
    <cellStyle name="20% - Accent3 3 3 4 3 2" xfId="29270" xr:uid="{00000000-0005-0000-0000-0000CC200000}"/>
    <cellStyle name="20% - Accent3 3 3 4 4" xfId="21624" xr:uid="{00000000-0005-0000-0000-0000CD200000}"/>
    <cellStyle name="20% - Accent3 3 3 5" xfId="2304" xr:uid="{00000000-0005-0000-0000-0000CE200000}"/>
    <cellStyle name="20% - Accent3 3 3 5 2" xfId="13628" xr:uid="{00000000-0005-0000-0000-0000CF200000}"/>
    <cellStyle name="20% - Accent3 3 3 5 2 2" xfId="25485" xr:uid="{00000000-0005-0000-0000-0000D0200000}"/>
    <cellStyle name="20% - Accent3 3 3 5 3" xfId="17579" xr:uid="{00000000-0005-0000-0000-0000D1200000}"/>
    <cellStyle name="20% - Accent3 3 3 5 3 2" xfId="29271" xr:uid="{00000000-0005-0000-0000-0000D2200000}"/>
    <cellStyle name="20% - Accent3 3 3 5 4" xfId="21625" xr:uid="{00000000-0005-0000-0000-0000D3200000}"/>
    <cellStyle name="20% - Accent3 3 3 6" xfId="13620" xr:uid="{00000000-0005-0000-0000-0000D4200000}"/>
    <cellStyle name="20% - Accent3 3 3 6 2" xfId="25477" xr:uid="{00000000-0005-0000-0000-0000D5200000}"/>
    <cellStyle name="20% - Accent3 3 3 7" xfId="17571" xr:uid="{00000000-0005-0000-0000-0000D6200000}"/>
    <cellStyle name="20% - Accent3 3 3 7 2" xfId="29263" xr:uid="{00000000-0005-0000-0000-0000D7200000}"/>
    <cellStyle name="20% - Accent3 3 3 8" xfId="21617" xr:uid="{00000000-0005-0000-0000-0000D8200000}"/>
    <cellStyle name="20% - Accent3 3 3_Volatility" xfId="2305" xr:uid="{00000000-0005-0000-0000-0000D9200000}"/>
    <cellStyle name="20% - Accent3 3 4" xfId="2306" xr:uid="{00000000-0005-0000-0000-0000DA200000}"/>
    <cellStyle name="20% - Accent3 3 4 2" xfId="2307" xr:uid="{00000000-0005-0000-0000-0000DB200000}"/>
    <cellStyle name="20% - Accent3 3 4 2 2" xfId="13630" xr:uid="{00000000-0005-0000-0000-0000DC200000}"/>
    <cellStyle name="20% - Accent3 3 4 2 2 2" xfId="25487" xr:uid="{00000000-0005-0000-0000-0000DD200000}"/>
    <cellStyle name="20% - Accent3 3 4 2 3" xfId="17581" xr:uid="{00000000-0005-0000-0000-0000DE200000}"/>
    <cellStyle name="20% - Accent3 3 4 2 3 2" xfId="29273" xr:uid="{00000000-0005-0000-0000-0000DF200000}"/>
    <cellStyle name="20% - Accent3 3 4 2 4" xfId="21627" xr:uid="{00000000-0005-0000-0000-0000E0200000}"/>
    <cellStyle name="20% - Accent3 3 4 3" xfId="2308" xr:uid="{00000000-0005-0000-0000-0000E1200000}"/>
    <cellStyle name="20% - Accent3 3 4 3 2" xfId="13631" xr:uid="{00000000-0005-0000-0000-0000E2200000}"/>
    <cellStyle name="20% - Accent3 3 4 3 2 2" xfId="25488" xr:uid="{00000000-0005-0000-0000-0000E3200000}"/>
    <cellStyle name="20% - Accent3 3 4 3 3" xfId="17582" xr:uid="{00000000-0005-0000-0000-0000E4200000}"/>
    <cellStyle name="20% - Accent3 3 4 3 3 2" xfId="29274" xr:uid="{00000000-0005-0000-0000-0000E5200000}"/>
    <cellStyle name="20% - Accent3 3 4 3 4" xfId="21628" xr:uid="{00000000-0005-0000-0000-0000E6200000}"/>
    <cellStyle name="20% - Accent3 3 4 4" xfId="13629" xr:uid="{00000000-0005-0000-0000-0000E7200000}"/>
    <cellStyle name="20% - Accent3 3 4 4 2" xfId="25486" xr:uid="{00000000-0005-0000-0000-0000E8200000}"/>
    <cellStyle name="20% - Accent3 3 4 5" xfId="17580" xr:uid="{00000000-0005-0000-0000-0000E9200000}"/>
    <cellStyle name="20% - Accent3 3 4 5 2" xfId="29272" xr:uid="{00000000-0005-0000-0000-0000EA200000}"/>
    <cellStyle name="20% - Accent3 3 4 6" xfId="21626" xr:uid="{00000000-0005-0000-0000-0000EB200000}"/>
    <cellStyle name="20% - Accent3 3 5" xfId="2309" xr:uid="{00000000-0005-0000-0000-0000EC200000}"/>
    <cellStyle name="20% - Accent3 3 5 2" xfId="2310" xr:uid="{00000000-0005-0000-0000-0000ED200000}"/>
    <cellStyle name="20% - Accent3 3 5 2 2" xfId="13633" xr:uid="{00000000-0005-0000-0000-0000EE200000}"/>
    <cellStyle name="20% - Accent3 3 5 2 2 2" xfId="25490" xr:uid="{00000000-0005-0000-0000-0000EF200000}"/>
    <cellStyle name="20% - Accent3 3 5 2 3" xfId="17584" xr:uid="{00000000-0005-0000-0000-0000F0200000}"/>
    <cellStyle name="20% - Accent3 3 5 2 3 2" xfId="29276" xr:uid="{00000000-0005-0000-0000-0000F1200000}"/>
    <cellStyle name="20% - Accent3 3 5 2 4" xfId="21630" xr:uid="{00000000-0005-0000-0000-0000F2200000}"/>
    <cellStyle name="20% - Accent3 3 5 3" xfId="2311" xr:uid="{00000000-0005-0000-0000-0000F3200000}"/>
    <cellStyle name="20% - Accent3 3 5 3 2" xfId="13634" xr:uid="{00000000-0005-0000-0000-0000F4200000}"/>
    <cellStyle name="20% - Accent3 3 5 3 2 2" xfId="25491" xr:uid="{00000000-0005-0000-0000-0000F5200000}"/>
    <cellStyle name="20% - Accent3 3 5 3 3" xfId="17585" xr:uid="{00000000-0005-0000-0000-0000F6200000}"/>
    <cellStyle name="20% - Accent3 3 5 3 3 2" xfId="29277" xr:uid="{00000000-0005-0000-0000-0000F7200000}"/>
    <cellStyle name="20% - Accent3 3 5 3 4" xfId="21631" xr:uid="{00000000-0005-0000-0000-0000F8200000}"/>
    <cellStyle name="20% - Accent3 3 5 4" xfId="13632" xr:uid="{00000000-0005-0000-0000-0000F9200000}"/>
    <cellStyle name="20% - Accent3 3 5 4 2" xfId="25489" xr:uid="{00000000-0005-0000-0000-0000FA200000}"/>
    <cellStyle name="20% - Accent3 3 5 5" xfId="17583" xr:uid="{00000000-0005-0000-0000-0000FB200000}"/>
    <cellStyle name="20% - Accent3 3 5 5 2" xfId="29275" xr:uid="{00000000-0005-0000-0000-0000FC200000}"/>
    <cellStyle name="20% - Accent3 3 5 6" xfId="21629" xr:uid="{00000000-0005-0000-0000-0000FD200000}"/>
    <cellStyle name="20% - Accent3 3 6" xfId="2312" xr:uid="{00000000-0005-0000-0000-0000FE200000}"/>
    <cellStyle name="20% - Accent3 3 6 2" xfId="2313" xr:uid="{00000000-0005-0000-0000-0000FF200000}"/>
    <cellStyle name="20% - Accent3 3 6 2 2" xfId="13636" xr:uid="{00000000-0005-0000-0000-000000210000}"/>
    <cellStyle name="20% - Accent3 3 6 2 2 2" xfId="25493" xr:uid="{00000000-0005-0000-0000-000001210000}"/>
    <cellStyle name="20% - Accent3 3 6 2 3" xfId="17587" xr:uid="{00000000-0005-0000-0000-000002210000}"/>
    <cellStyle name="20% - Accent3 3 6 2 3 2" xfId="29279" xr:uid="{00000000-0005-0000-0000-000003210000}"/>
    <cellStyle name="20% - Accent3 3 6 2 4" xfId="21633" xr:uid="{00000000-0005-0000-0000-000004210000}"/>
    <cellStyle name="20% - Accent3 3 6 3" xfId="2314" xr:uid="{00000000-0005-0000-0000-000005210000}"/>
    <cellStyle name="20% - Accent3 3 6 3 2" xfId="13637" xr:uid="{00000000-0005-0000-0000-000006210000}"/>
    <cellStyle name="20% - Accent3 3 6 3 2 2" xfId="25494" xr:uid="{00000000-0005-0000-0000-000007210000}"/>
    <cellStyle name="20% - Accent3 3 6 3 3" xfId="17588" xr:uid="{00000000-0005-0000-0000-000008210000}"/>
    <cellStyle name="20% - Accent3 3 6 3 3 2" xfId="29280" xr:uid="{00000000-0005-0000-0000-000009210000}"/>
    <cellStyle name="20% - Accent3 3 6 3 4" xfId="21634" xr:uid="{00000000-0005-0000-0000-00000A210000}"/>
    <cellStyle name="20% - Accent3 3 6 4" xfId="13635" xr:uid="{00000000-0005-0000-0000-00000B210000}"/>
    <cellStyle name="20% - Accent3 3 6 4 2" xfId="25492" xr:uid="{00000000-0005-0000-0000-00000C210000}"/>
    <cellStyle name="20% - Accent3 3 6 5" xfId="17586" xr:uid="{00000000-0005-0000-0000-00000D210000}"/>
    <cellStyle name="20% - Accent3 3 6 5 2" xfId="29278" xr:uid="{00000000-0005-0000-0000-00000E210000}"/>
    <cellStyle name="20% - Accent3 3 6 6" xfId="21632" xr:uid="{00000000-0005-0000-0000-00000F210000}"/>
    <cellStyle name="20% - Accent3 3 7" xfId="2315" xr:uid="{00000000-0005-0000-0000-000010210000}"/>
    <cellStyle name="20% - Accent3 3 7 2" xfId="13638" xr:uid="{00000000-0005-0000-0000-000011210000}"/>
    <cellStyle name="20% - Accent3 3 7 2 2" xfId="25495" xr:uid="{00000000-0005-0000-0000-000012210000}"/>
    <cellStyle name="20% - Accent3 3 7 3" xfId="17589" xr:uid="{00000000-0005-0000-0000-000013210000}"/>
    <cellStyle name="20% - Accent3 3 7 3 2" xfId="29281" xr:uid="{00000000-0005-0000-0000-000014210000}"/>
    <cellStyle name="20% - Accent3 3 7 4" xfId="21635" xr:uid="{00000000-0005-0000-0000-000015210000}"/>
    <cellStyle name="20% - Accent3 3 8" xfId="2316" xr:uid="{00000000-0005-0000-0000-000016210000}"/>
    <cellStyle name="20% - Accent3 3 8 2" xfId="13639" xr:uid="{00000000-0005-0000-0000-000017210000}"/>
    <cellStyle name="20% - Accent3 3 8 2 2" xfId="25496" xr:uid="{00000000-0005-0000-0000-000018210000}"/>
    <cellStyle name="20% - Accent3 3 8 3" xfId="17590" xr:uid="{00000000-0005-0000-0000-000019210000}"/>
    <cellStyle name="20% - Accent3 3 8 3 2" xfId="29282" xr:uid="{00000000-0005-0000-0000-00001A210000}"/>
    <cellStyle name="20% - Accent3 3 8 4" xfId="21636" xr:uid="{00000000-0005-0000-0000-00001B210000}"/>
    <cellStyle name="20% - Accent3 3 9" xfId="13607" xr:uid="{00000000-0005-0000-0000-00001C210000}"/>
    <cellStyle name="20% - Accent3 3 9 2" xfId="25464" xr:uid="{00000000-0005-0000-0000-00001D210000}"/>
    <cellStyle name="20% - Accent3 3_Volatility" xfId="2317" xr:uid="{00000000-0005-0000-0000-00001E210000}"/>
    <cellStyle name="20% - Accent3 4" xfId="2318" xr:uid="{00000000-0005-0000-0000-00001F210000}"/>
    <cellStyle name="20% - Accent3 4 10" xfId="17591" xr:uid="{00000000-0005-0000-0000-000020210000}"/>
    <cellStyle name="20% - Accent3 4 10 2" xfId="29283" xr:uid="{00000000-0005-0000-0000-000021210000}"/>
    <cellStyle name="20% - Accent3 4 11" xfId="21637" xr:uid="{00000000-0005-0000-0000-000022210000}"/>
    <cellStyle name="20% - Accent3 4 2" xfId="2319" xr:uid="{00000000-0005-0000-0000-000023210000}"/>
    <cellStyle name="20% - Accent3 4 2 2" xfId="2320" xr:uid="{00000000-0005-0000-0000-000024210000}"/>
    <cellStyle name="20% - Accent3 4 2 2 2" xfId="2321" xr:uid="{00000000-0005-0000-0000-000025210000}"/>
    <cellStyle name="20% - Accent3 4 2 2 2 2" xfId="13643" xr:uid="{00000000-0005-0000-0000-000026210000}"/>
    <cellStyle name="20% - Accent3 4 2 2 2 2 2" xfId="25500" xr:uid="{00000000-0005-0000-0000-000027210000}"/>
    <cellStyle name="20% - Accent3 4 2 2 2 3" xfId="17594" xr:uid="{00000000-0005-0000-0000-000028210000}"/>
    <cellStyle name="20% - Accent3 4 2 2 2 3 2" xfId="29286" xr:uid="{00000000-0005-0000-0000-000029210000}"/>
    <cellStyle name="20% - Accent3 4 2 2 2 4" xfId="21640" xr:uid="{00000000-0005-0000-0000-00002A210000}"/>
    <cellStyle name="20% - Accent3 4 2 2 3" xfId="2322" xr:uid="{00000000-0005-0000-0000-00002B210000}"/>
    <cellStyle name="20% - Accent3 4 2 2 3 2" xfId="13644" xr:uid="{00000000-0005-0000-0000-00002C210000}"/>
    <cellStyle name="20% - Accent3 4 2 2 3 2 2" xfId="25501" xr:uid="{00000000-0005-0000-0000-00002D210000}"/>
    <cellStyle name="20% - Accent3 4 2 2 3 3" xfId="17595" xr:uid="{00000000-0005-0000-0000-00002E210000}"/>
    <cellStyle name="20% - Accent3 4 2 2 3 3 2" xfId="29287" xr:uid="{00000000-0005-0000-0000-00002F210000}"/>
    <cellStyle name="20% - Accent3 4 2 2 3 4" xfId="21641" xr:uid="{00000000-0005-0000-0000-000030210000}"/>
    <cellStyle name="20% - Accent3 4 2 2 4" xfId="13642" xr:uid="{00000000-0005-0000-0000-000031210000}"/>
    <cellStyle name="20% - Accent3 4 2 2 4 2" xfId="25499" xr:uid="{00000000-0005-0000-0000-000032210000}"/>
    <cellStyle name="20% - Accent3 4 2 2 5" xfId="17593" xr:uid="{00000000-0005-0000-0000-000033210000}"/>
    <cellStyle name="20% - Accent3 4 2 2 5 2" xfId="29285" xr:uid="{00000000-0005-0000-0000-000034210000}"/>
    <cellStyle name="20% - Accent3 4 2 2 6" xfId="21639" xr:uid="{00000000-0005-0000-0000-000035210000}"/>
    <cellStyle name="20% - Accent3 4 2 3" xfId="2323" xr:uid="{00000000-0005-0000-0000-000036210000}"/>
    <cellStyle name="20% - Accent3 4 2 3 2" xfId="2324" xr:uid="{00000000-0005-0000-0000-000037210000}"/>
    <cellStyle name="20% - Accent3 4 2 3 2 2" xfId="13646" xr:uid="{00000000-0005-0000-0000-000038210000}"/>
    <cellStyle name="20% - Accent3 4 2 3 2 2 2" xfId="25503" xr:uid="{00000000-0005-0000-0000-000039210000}"/>
    <cellStyle name="20% - Accent3 4 2 3 2 3" xfId="17597" xr:uid="{00000000-0005-0000-0000-00003A210000}"/>
    <cellStyle name="20% - Accent3 4 2 3 2 3 2" xfId="29289" xr:uid="{00000000-0005-0000-0000-00003B210000}"/>
    <cellStyle name="20% - Accent3 4 2 3 2 4" xfId="21643" xr:uid="{00000000-0005-0000-0000-00003C210000}"/>
    <cellStyle name="20% - Accent3 4 2 3 3" xfId="2325" xr:uid="{00000000-0005-0000-0000-00003D210000}"/>
    <cellStyle name="20% - Accent3 4 2 3 3 2" xfId="13647" xr:uid="{00000000-0005-0000-0000-00003E210000}"/>
    <cellStyle name="20% - Accent3 4 2 3 3 2 2" xfId="25504" xr:uid="{00000000-0005-0000-0000-00003F210000}"/>
    <cellStyle name="20% - Accent3 4 2 3 3 3" xfId="17598" xr:uid="{00000000-0005-0000-0000-000040210000}"/>
    <cellStyle name="20% - Accent3 4 2 3 3 3 2" xfId="29290" xr:uid="{00000000-0005-0000-0000-000041210000}"/>
    <cellStyle name="20% - Accent3 4 2 3 3 4" xfId="21644" xr:uid="{00000000-0005-0000-0000-000042210000}"/>
    <cellStyle name="20% - Accent3 4 2 3 4" xfId="13645" xr:uid="{00000000-0005-0000-0000-000043210000}"/>
    <cellStyle name="20% - Accent3 4 2 3 4 2" xfId="25502" xr:uid="{00000000-0005-0000-0000-000044210000}"/>
    <cellStyle name="20% - Accent3 4 2 3 5" xfId="17596" xr:uid="{00000000-0005-0000-0000-000045210000}"/>
    <cellStyle name="20% - Accent3 4 2 3 5 2" xfId="29288" xr:uid="{00000000-0005-0000-0000-000046210000}"/>
    <cellStyle name="20% - Accent3 4 2 3 6" xfId="21642" xr:uid="{00000000-0005-0000-0000-000047210000}"/>
    <cellStyle name="20% - Accent3 4 2 4" xfId="2326" xr:uid="{00000000-0005-0000-0000-000048210000}"/>
    <cellStyle name="20% - Accent3 4 2 4 2" xfId="2327" xr:uid="{00000000-0005-0000-0000-000049210000}"/>
    <cellStyle name="20% - Accent3 4 2 4 2 2" xfId="13649" xr:uid="{00000000-0005-0000-0000-00004A210000}"/>
    <cellStyle name="20% - Accent3 4 2 4 2 2 2" xfId="25506" xr:uid="{00000000-0005-0000-0000-00004B210000}"/>
    <cellStyle name="20% - Accent3 4 2 4 2 3" xfId="17600" xr:uid="{00000000-0005-0000-0000-00004C210000}"/>
    <cellStyle name="20% - Accent3 4 2 4 2 3 2" xfId="29292" xr:uid="{00000000-0005-0000-0000-00004D210000}"/>
    <cellStyle name="20% - Accent3 4 2 4 2 4" xfId="21646" xr:uid="{00000000-0005-0000-0000-00004E210000}"/>
    <cellStyle name="20% - Accent3 4 2 4 3" xfId="2328" xr:uid="{00000000-0005-0000-0000-00004F210000}"/>
    <cellStyle name="20% - Accent3 4 2 4 3 2" xfId="13650" xr:uid="{00000000-0005-0000-0000-000050210000}"/>
    <cellStyle name="20% - Accent3 4 2 4 3 2 2" xfId="25507" xr:uid="{00000000-0005-0000-0000-000051210000}"/>
    <cellStyle name="20% - Accent3 4 2 4 3 3" xfId="17601" xr:uid="{00000000-0005-0000-0000-000052210000}"/>
    <cellStyle name="20% - Accent3 4 2 4 3 3 2" xfId="29293" xr:uid="{00000000-0005-0000-0000-000053210000}"/>
    <cellStyle name="20% - Accent3 4 2 4 3 4" xfId="21647" xr:uid="{00000000-0005-0000-0000-000054210000}"/>
    <cellStyle name="20% - Accent3 4 2 4 4" xfId="13648" xr:uid="{00000000-0005-0000-0000-000055210000}"/>
    <cellStyle name="20% - Accent3 4 2 4 4 2" xfId="25505" xr:uid="{00000000-0005-0000-0000-000056210000}"/>
    <cellStyle name="20% - Accent3 4 2 4 5" xfId="17599" xr:uid="{00000000-0005-0000-0000-000057210000}"/>
    <cellStyle name="20% - Accent3 4 2 4 5 2" xfId="29291" xr:uid="{00000000-0005-0000-0000-000058210000}"/>
    <cellStyle name="20% - Accent3 4 2 4 6" xfId="21645" xr:uid="{00000000-0005-0000-0000-000059210000}"/>
    <cellStyle name="20% - Accent3 4 2 5" xfId="2329" xr:uid="{00000000-0005-0000-0000-00005A210000}"/>
    <cellStyle name="20% - Accent3 4 2 5 2" xfId="13651" xr:uid="{00000000-0005-0000-0000-00005B210000}"/>
    <cellStyle name="20% - Accent3 4 2 5 2 2" xfId="25508" xr:uid="{00000000-0005-0000-0000-00005C210000}"/>
    <cellStyle name="20% - Accent3 4 2 5 3" xfId="17602" xr:uid="{00000000-0005-0000-0000-00005D210000}"/>
    <cellStyle name="20% - Accent3 4 2 5 3 2" xfId="29294" xr:uid="{00000000-0005-0000-0000-00005E210000}"/>
    <cellStyle name="20% - Accent3 4 2 5 4" xfId="21648" xr:uid="{00000000-0005-0000-0000-00005F210000}"/>
    <cellStyle name="20% - Accent3 4 2 6" xfId="2330" xr:uid="{00000000-0005-0000-0000-000060210000}"/>
    <cellStyle name="20% - Accent3 4 2 6 2" xfId="13652" xr:uid="{00000000-0005-0000-0000-000061210000}"/>
    <cellStyle name="20% - Accent3 4 2 6 2 2" xfId="25509" xr:uid="{00000000-0005-0000-0000-000062210000}"/>
    <cellStyle name="20% - Accent3 4 2 6 3" xfId="17603" xr:uid="{00000000-0005-0000-0000-000063210000}"/>
    <cellStyle name="20% - Accent3 4 2 6 3 2" xfId="29295" xr:uid="{00000000-0005-0000-0000-000064210000}"/>
    <cellStyle name="20% - Accent3 4 2 6 4" xfId="21649" xr:uid="{00000000-0005-0000-0000-000065210000}"/>
    <cellStyle name="20% - Accent3 4 2 7" xfId="13641" xr:uid="{00000000-0005-0000-0000-000066210000}"/>
    <cellStyle name="20% - Accent3 4 2 7 2" xfId="25498" xr:uid="{00000000-0005-0000-0000-000067210000}"/>
    <cellStyle name="20% - Accent3 4 2 8" xfId="17592" xr:uid="{00000000-0005-0000-0000-000068210000}"/>
    <cellStyle name="20% - Accent3 4 2 8 2" xfId="29284" xr:uid="{00000000-0005-0000-0000-000069210000}"/>
    <cellStyle name="20% - Accent3 4 2 9" xfId="21638" xr:uid="{00000000-0005-0000-0000-00006A210000}"/>
    <cellStyle name="20% - Accent3 4 2_Volatility" xfId="2331" xr:uid="{00000000-0005-0000-0000-00006B210000}"/>
    <cellStyle name="20% - Accent3 4 3" xfId="2332" xr:uid="{00000000-0005-0000-0000-00006C210000}"/>
    <cellStyle name="20% - Accent3 4 3 2" xfId="2333" xr:uid="{00000000-0005-0000-0000-00006D210000}"/>
    <cellStyle name="20% - Accent3 4 3 2 2" xfId="2334" xr:uid="{00000000-0005-0000-0000-00006E210000}"/>
    <cellStyle name="20% - Accent3 4 3 2 2 2" xfId="13655" xr:uid="{00000000-0005-0000-0000-00006F210000}"/>
    <cellStyle name="20% - Accent3 4 3 2 2 2 2" xfId="25512" xr:uid="{00000000-0005-0000-0000-000070210000}"/>
    <cellStyle name="20% - Accent3 4 3 2 2 3" xfId="17606" xr:uid="{00000000-0005-0000-0000-000071210000}"/>
    <cellStyle name="20% - Accent3 4 3 2 2 3 2" xfId="29298" xr:uid="{00000000-0005-0000-0000-000072210000}"/>
    <cellStyle name="20% - Accent3 4 3 2 2 4" xfId="21652" xr:uid="{00000000-0005-0000-0000-000073210000}"/>
    <cellStyle name="20% - Accent3 4 3 2 3" xfId="2335" xr:uid="{00000000-0005-0000-0000-000074210000}"/>
    <cellStyle name="20% - Accent3 4 3 2 3 2" xfId="13656" xr:uid="{00000000-0005-0000-0000-000075210000}"/>
    <cellStyle name="20% - Accent3 4 3 2 3 2 2" xfId="25513" xr:uid="{00000000-0005-0000-0000-000076210000}"/>
    <cellStyle name="20% - Accent3 4 3 2 3 3" xfId="17607" xr:uid="{00000000-0005-0000-0000-000077210000}"/>
    <cellStyle name="20% - Accent3 4 3 2 3 3 2" xfId="29299" xr:uid="{00000000-0005-0000-0000-000078210000}"/>
    <cellStyle name="20% - Accent3 4 3 2 3 4" xfId="21653" xr:uid="{00000000-0005-0000-0000-000079210000}"/>
    <cellStyle name="20% - Accent3 4 3 2 4" xfId="13654" xr:uid="{00000000-0005-0000-0000-00007A210000}"/>
    <cellStyle name="20% - Accent3 4 3 2 4 2" xfId="25511" xr:uid="{00000000-0005-0000-0000-00007B210000}"/>
    <cellStyle name="20% - Accent3 4 3 2 5" xfId="17605" xr:uid="{00000000-0005-0000-0000-00007C210000}"/>
    <cellStyle name="20% - Accent3 4 3 2 5 2" xfId="29297" xr:uid="{00000000-0005-0000-0000-00007D210000}"/>
    <cellStyle name="20% - Accent3 4 3 2 6" xfId="21651" xr:uid="{00000000-0005-0000-0000-00007E210000}"/>
    <cellStyle name="20% - Accent3 4 3 3" xfId="2336" xr:uid="{00000000-0005-0000-0000-00007F210000}"/>
    <cellStyle name="20% - Accent3 4 3 3 2" xfId="2337" xr:uid="{00000000-0005-0000-0000-000080210000}"/>
    <cellStyle name="20% - Accent3 4 3 3 2 2" xfId="13658" xr:uid="{00000000-0005-0000-0000-000081210000}"/>
    <cellStyle name="20% - Accent3 4 3 3 2 2 2" xfId="25515" xr:uid="{00000000-0005-0000-0000-000082210000}"/>
    <cellStyle name="20% - Accent3 4 3 3 2 3" xfId="17609" xr:uid="{00000000-0005-0000-0000-000083210000}"/>
    <cellStyle name="20% - Accent3 4 3 3 2 3 2" xfId="29301" xr:uid="{00000000-0005-0000-0000-000084210000}"/>
    <cellStyle name="20% - Accent3 4 3 3 2 4" xfId="21655" xr:uid="{00000000-0005-0000-0000-000085210000}"/>
    <cellStyle name="20% - Accent3 4 3 3 3" xfId="2338" xr:uid="{00000000-0005-0000-0000-000086210000}"/>
    <cellStyle name="20% - Accent3 4 3 3 3 2" xfId="13659" xr:uid="{00000000-0005-0000-0000-000087210000}"/>
    <cellStyle name="20% - Accent3 4 3 3 3 2 2" xfId="25516" xr:uid="{00000000-0005-0000-0000-000088210000}"/>
    <cellStyle name="20% - Accent3 4 3 3 3 3" xfId="17610" xr:uid="{00000000-0005-0000-0000-000089210000}"/>
    <cellStyle name="20% - Accent3 4 3 3 3 3 2" xfId="29302" xr:uid="{00000000-0005-0000-0000-00008A210000}"/>
    <cellStyle name="20% - Accent3 4 3 3 3 4" xfId="21656" xr:uid="{00000000-0005-0000-0000-00008B210000}"/>
    <cellStyle name="20% - Accent3 4 3 3 4" xfId="13657" xr:uid="{00000000-0005-0000-0000-00008C210000}"/>
    <cellStyle name="20% - Accent3 4 3 3 4 2" xfId="25514" xr:uid="{00000000-0005-0000-0000-00008D210000}"/>
    <cellStyle name="20% - Accent3 4 3 3 5" xfId="17608" xr:uid="{00000000-0005-0000-0000-00008E210000}"/>
    <cellStyle name="20% - Accent3 4 3 3 5 2" xfId="29300" xr:uid="{00000000-0005-0000-0000-00008F210000}"/>
    <cellStyle name="20% - Accent3 4 3 3 6" xfId="21654" xr:uid="{00000000-0005-0000-0000-000090210000}"/>
    <cellStyle name="20% - Accent3 4 3 4" xfId="2339" xr:uid="{00000000-0005-0000-0000-000091210000}"/>
    <cellStyle name="20% - Accent3 4 3 4 2" xfId="13660" xr:uid="{00000000-0005-0000-0000-000092210000}"/>
    <cellStyle name="20% - Accent3 4 3 4 2 2" xfId="25517" xr:uid="{00000000-0005-0000-0000-000093210000}"/>
    <cellStyle name="20% - Accent3 4 3 4 3" xfId="17611" xr:uid="{00000000-0005-0000-0000-000094210000}"/>
    <cellStyle name="20% - Accent3 4 3 4 3 2" xfId="29303" xr:uid="{00000000-0005-0000-0000-000095210000}"/>
    <cellStyle name="20% - Accent3 4 3 4 4" xfId="21657" xr:uid="{00000000-0005-0000-0000-000096210000}"/>
    <cellStyle name="20% - Accent3 4 3 5" xfId="2340" xr:uid="{00000000-0005-0000-0000-000097210000}"/>
    <cellStyle name="20% - Accent3 4 3 5 2" xfId="13661" xr:uid="{00000000-0005-0000-0000-000098210000}"/>
    <cellStyle name="20% - Accent3 4 3 5 2 2" xfId="25518" xr:uid="{00000000-0005-0000-0000-000099210000}"/>
    <cellStyle name="20% - Accent3 4 3 5 3" xfId="17612" xr:uid="{00000000-0005-0000-0000-00009A210000}"/>
    <cellStyle name="20% - Accent3 4 3 5 3 2" xfId="29304" xr:uid="{00000000-0005-0000-0000-00009B210000}"/>
    <cellStyle name="20% - Accent3 4 3 5 4" xfId="21658" xr:uid="{00000000-0005-0000-0000-00009C210000}"/>
    <cellStyle name="20% - Accent3 4 3 6" xfId="13653" xr:uid="{00000000-0005-0000-0000-00009D210000}"/>
    <cellStyle name="20% - Accent3 4 3 6 2" xfId="25510" xr:uid="{00000000-0005-0000-0000-00009E210000}"/>
    <cellStyle name="20% - Accent3 4 3 7" xfId="17604" xr:uid="{00000000-0005-0000-0000-00009F210000}"/>
    <cellStyle name="20% - Accent3 4 3 7 2" xfId="29296" xr:uid="{00000000-0005-0000-0000-0000A0210000}"/>
    <cellStyle name="20% - Accent3 4 3 8" xfId="21650" xr:uid="{00000000-0005-0000-0000-0000A1210000}"/>
    <cellStyle name="20% - Accent3 4 3_Volatility" xfId="2341" xr:uid="{00000000-0005-0000-0000-0000A2210000}"/>
    <cellStyle name="20% - Accent3 4 4" xfId="2342" xr:uid="{00000000-0005-0000-0000-0000A3210000}"/>
    <cellStyle name="20% - Accent3 4 4 2" xfId="2343" xr:uid="{00000000-0005-0000-0000-0000A4210000}"/>
    <cellStyle name="20% - Accent3 4 4 2 2" xfId="13663" xr:uid="{00000000-0005-0000-0000-0000A5210000}"/>
    <cellStyle name="20% - Accent3 4 4 2 2 2" xfId="25520" xr:uid="{00000000-0005-0000-0000-0000A6210000}"/>
    <cellStyle name="20% - Accent3 4 4 2 3" xfId="17614" xr:uid="{00000000-0005-0000-0000-0000A7210000}"/>
    <cellStyle name="20% - Accent3 4 4 2 3 2" xfId="29306" xr:uid="{00000000-0005-0000-0000-0000A8210000}"/>
    <cellStyle name="20% - Accent3 4 4 2 4" xfId="21660" xr:uid="{00000000-0005-0000-0000-0000A9210000}"/>
    <cellStyle name="20% - Accent3 4 4 3" xfId="2344" xr:uid="{00000000-0005-0000-0000-0000AA210000}"/>
    <cellStyle name="20% - Accent3 4 4 3 2" xfId="13664" xr:uid="{00000000-0005-0000-0000-0000AB210000}"/>
    <cellStyle name="20% - Accent3 4 4 3 2 2" xfId="25521" xr:uid="{00000000-0005-0000-0000-0000AC210000}"/>
    <cellStyle name="20% - Accent3 4 4 3 3" xfId="17615" xr:uid="{00000000-0005-0000-0000-0000AD210000}"/>
    <cellStyle name="20% - Accent3 4 4 3 3 2" xfId="29307" xr:uid="{00000000-0005-0000-0000-0000AE210000}"/>
    <cellStyle name="20% - Accent3 4 4 3 4" xfId="21661" xr:uid="{00000000-0005-0000-0000-0000AF210000}"/>
    <cellStyle name="20% - Accent3 4 4 4" xfId="13662" xr:uid="{00000000-0005-0000-0000-0000B0210000}"/>
    <cellStyle name="20% - Accent3 4 4 4 2" xfId="25519" xr:uid="{00000000-0005-0000-0000-0000B1210000}"/>
    <cellStyle name="20% - Accent3 4 4 5" xfId="17613" xr:uid="{00000000-0005-0000-0000-0000B2210000}"/>
    <cellStyle name="20% - Accent3 4 4 5 2" xfId="29305" xr:uid="{00000000-0005-0000-0000-0000B3210000}"/>
    <cellStyle name="20% - Accent3 4 4 6" xfId="21659" xr:uid="{00000000-0005-0000-0000-0000B4210000}"/>
    <cellStyle name="20% - Accent3 4 5" xfId="2345" xr:uid="{00000000-0005-0000-0000-0000B5210000}"/>
    <cellStyle name="20% - Accent3 4 5 2" xfId="2346" xr:uid="{00000000-0005-0000-0000-0000B6210000}"/>
    <cellStyle name="20% - Accent3 4 5 2 2" xfId="13666" xr:uid="{00000000-0005-0000-0000-0000B7210000}"/>
    <cellStyle name="20% - Accent3 4 5 2 2 2" xfId="25523" xr:uid="{00000000-0005-0000-0000-0000B8210000}"/>
    <cellStyle name="20% - Accent3 4 5 2 3" xfId="17617" xr:uid="{00000000-0005-0000-0000-0000B9210000}"/>
    <cellStyle name="20% - Accent3 4 5 2 3 2" xfId="29309" xr:uid="{00000000-0005-0000-0000-0000BA210000}"/>
    <cellStyle name="20% - Accent3 4 5 2 4" xfId="21663" xr:uid="{00000000-0005-0000-0000-0000BB210000}"/>
    <cellStyle name="20% - Accent3 4 5 3" xfId="2347" xr:uid="{00000000-0005-0000-0000-0000BC210000}"/>
    <cellStyle name="20% - Accent3 4 5 3 2" xfId="13667" xr:uid="{00000000-0005-0000-0000-0000BD210000}"/>
    <cellStyle name="20% - Accent3 4 5 3 2 2" xfId="25524" xr:uid="{00000000-0005-0000-0000-0000BE210000}"/>
    <cellStyle name="20% - Accent3 4 5 3 3" xfId="17618" xr:uid="{00000000-0005-0000-0000-0000BF210000}"/>
    <cellStyle name="20% - Accent3 4 5 3 3 2" xfId="29310" xr:uid="{00000000-0005-0000-0000-0000C0210000}"/>
    <cellStyle name="20% - Accent3 4 5 3 4" xfId="21664" xr:uid="{00000000-0005-0000-0000-0000C1210000}"/>
    <cellStyle name="20% - Accent3 4 5 4" xfId="13665" xr:uid="{00000000-0005-0000-0000-0000C2210000}"/>
    <cellStyle name="20% - Accent3 4 5 4 2" xfId="25522" xr:uid="{00000000-0005-0000-0000-0000C3210000}"/>
    <cellStyle name="20% - Accent3 4 5 5" xfId="17616" xr:uid="{00000000-0005-0000-0000-0000C4210000}"/>
    <cellStyle name="20% - Accent3 4 5 5 2" xfId="29308" xr:uid="{00000000-0005-0000-0000-0000C5210000}"/>
    <cellStyle name="20% - Accent3 4 5 6" xfId="21662" xr:uid="{00000000-0005-0000-0000-0000C6210000}"/>
    <cellStyle name="20% - Accent3 4 6" xfId="2348" xr:uid="{00000000-0005-0000-0000-0000C7210000}"/>
    <cellStyle name="20% - Accent3 4 6 2" xfId="2349" xr:uid="{00000000-0005-0000-0000-0000C8210000}"/>
    <cellStyle name="20% - Accent3 4 6 2 2" xfId="13669" xr:uid="{00000000-0005-0000-0000-0000C9210000}"/>
    <cellStyle name="20% - Accent3 4 6 2 2 2" xfId="25526" xr:uid="{00000000-0005-0000-0000-0000CA210000}"/>
    <cellStyle name="20% - Accent3 4 6 2 3" xfId="17620" xr:uid="{00000000-0005-0000-0000-0000CB210000}"/>
    <cellStyle name="20% - Accent3 4 6 2 3 2" xfId="29312" xr:uid="{00000000-0005-0000-0000-0000CC210000}"/>
    <cellStyle name="20% - Accent3 4 6 2 4" xfId="21666" xr:uid="{00000000-0005-0000-0000-0000CD210000}"/>
    <cellStyle name="20% - Accent3 4 6 3" xfId="2350" xr:uid="{00000000-0005-0000-0000-0000CE210000}"/>
    <cellStyle name="20% - Accent3 4 6 3 2" xfId="13670" xr:uid="{00000000-0005-0000-0000-0000CF210000}"/>
    <cellStyle name="20% - Accent3 4 6 3 2 2" xfId="25527" xr:uid="{00000000-0005-0000-0000-0000D0210000}"/>
    <cellStyle name="20% - Accent3 4 6 3 3" xfId="17621" xr:uid="{00000000-0005-0000-0000-0000D1210000}"/>
    <cellStyle name="20% - Accent3 4 6 3 3 2" xfId="29313" xr:uid="{00000000-0005-0000-0000-0000D2210000}"/>
    <cellStyle name="20% - Accent3 4 6 3 4" xfId="21667" xr:uid="{00000000-0005-0000-0000-0000D3210000}"/>
    <cellStyle name="20% - Accent3 4 6 4" xfId="13668" xr:uid="{00000000-0005-0000-0000-0000D4210000}"/>
    <cellStyle name="20% - Accent3 4 6 4 2" xfId="25525" xr:uid="{00000000-0005-0000-0000-0000D5210000}"/>
    <cellStyle name="20% - Accent3 4 6 5" xfId="17619" xr:uid="{00000000-0005-0000-0000-0000D6210000}"/>
    <cellStyle name="20% - Accent3 4 6 5 2" xfId="29311" xr:uid="{00000000-0005-0000-0000-0000D7210000}"/>
    <cellStyle name="20% - Accent3 4 6 6" xfId="21665" xr:uid="{00000000-0005-0000-0000-0000D8210000}"/>
    <cellStyle name="20% - Accent3 4 7" xfId="2351" xr:uid="{00000000-0005-0000-0000-0000D9210000}"/>
    <cellStyle name="20% - Accent3 4 7 2" xfId="13671" xr:uid="{00000000-0005-0000-0000-0000DA210000}"/>
    <cellStyle name="20% - Accent3 4 7 2 2" xfId="25528" xr:uid="{00000000-0005-0000-0000-0000DB210000}"/>
    <cellStyle name="20% - Accent3 4 7 3" xfId="17622" xr:uid="{00000000-0005-0000-0000-0000DC210000}"/>
    <cellStyle name="20% - Accent3 4 7 3 2" xfId="29314" xr:uid="{00000000-0005-0000-0000-0000DD210000}"/>
    <cellStyle name="20% - Accent3 4 7 4" xfId="21668" xr:uid="{00000000-0005-0000-0000-0000DE210000}"/>
    <cellStyle name="20% - Accent3 4 8" xfId="2352" xr:uid="{00000000-0005-0000-0000-0000DF210000}"/>
    <cellStyle name="20% - Accent3 4 8 2" xfId="13672" xr:uid="{00000000-0005-0000-0000-0000E0210000}"/>
    <cellStyle name="20% - Accent3 4 8 2 2" xfId="25529" xr:uid="{00000000-0005-0000-0000-0000E1210000}"/>
    <cellStyle name="20% - Accent3 4 8 3" xfId="17623" xr:uid="{00000000-0005-0000-0000-0000E2210000}"/>
    <cellStyle name="20% - Accent3 4 8 3 2" xfId="29315" xr:uid="{00000000-0005-0000-0000-0000E3210000}"/>
    <cellStyle name="20% - Accent3 4 8 4" xfId="21669" xr:uid="{00000000-0005-0000-0000-0000E4210000}"/>
    <cellStyle name="20% - Accent3 4 9" xfId="13640" xr:uid="{00000000-0005-0000-0000-0000E5210000}"/>
    <cellStyle name="20% - Accent3 4 9 2" xfId="25497" xr:uid="{00000000-0005-0000-0000-0000E6210000}"/>
    <cellStyle name="20% - Accent3 4_Volatility" xfId="2353" xr:uid="{00000000-0005-0000-0000-0000E7210000}"/>
    <cellStyle name="20% - Accent3 5" xfId="2354" xr:uid="{00000000-0005-0000-0000-0000E8210000}"/>
    <cellStyle name="20% - Accent3 5 10" xfId="17624" xr:uid="{00000000-0005-0000-0000-0000E9210000}"/>
    <cellStyle name="20% - Accent3 5 10 2" xfId="29316" xr:uid="{00000000-0005-0000-0000-0000EA210000}"/>
    <cellStyle name="20% - Accent3 5 11" xfId="21670" xr:uid="{00000000-0005-0000-0000-0000EB210000}"/>
    <cellStyle name="20% - Accent3 5 2" xfId="2355" xr:uid="{00000000-0005-0000-0000-0000EC210000}"/>
    <cellStyle name="20% - Accent3 5 2 2" xfId="2356" xr:uid="{00000000-0005-0000-0000-0000ED210000}"/>
    <cellStyle name="20% - Accent3 5 2 2 2" xfId="2357" xr:uid="{00000000-0005-0000-0000-0000EE210000}"/>
    <cellStyle name="20% - Accent3 5 2 2 2 2" xfId="13676" xr:uid="{00000000-0005-0000-0000-0000EF210000}"/>
    <cellStyle name="20% - Accent3 5 2 2 2 2 2" xfId="25533" xr:uid="{00000000-0005-0000-0000-0000F0210000}"/>
    <cellStyle name="20% - Accent3 5 2 2 2 3" xfId="17627" xr:uid="{00000000-0005-0000-0000-0000F1210000}"/>
    <cellStyle name="20% - Accent3 5 2 2 2 3 2" xfId="29319" xr:uid="{00000000-0005-0000-0000-0000F2210000}"/>
    <cellStyle name="20% - Accent3 5 2 2 2 4" xfId="21673" xr:uid="{00000000-0005-0000-0000-0000F3210000}"/>
    <cellStyle name="20% - Accent3 5 2 2 3" xfId="2358" xr:uid="{00000000-0005-0000-0000-0000F4210000}"/>
    <cellStyle name="20% - Accent3 5 2 2 3 2" xfId="13677" xr:uid="{00000000-0005-0000-0000-0000F5210000}"/>
    <cellStyle name="20% - Accent3 5 2 2 3 2 2" xfId="25534" xr:uid="{00000000-0005-0000-0000-0000F6210000}"/>
    <cellStyle name="20% - Accent3 5 2 2 3 3" xfId="17628" xr:uid="{00000000-0005-0000-0000-0000F7210000}"/>
    <cellStyle name="20% - Accent3 5 2 2 3 3 2" xfId="29320" xr:uid="{00000000-0005-0000-0000-0000F8210000}"/>
    <cellStyle name="20% - Accent3 5 2 2 3 4" xfId="21674" xr:uid="{00000000-0005-0000-0000-0000F9210000}"/>
    <cellStyle name="20% - Accent3 5 2 2 4" xfId="13675" xr:uid="{00000000-0005-0000-0000-0000FA210000}"/>
    <cellStyle name="20% - Accent3 5 2 2 4 2" xfId="25532" xr:uid="{00000000-0005-0000-0000-0000FB210000}"/>
    <cellStyle name="20% - Accent3 5 2 2 5" xfId="17626" xr:uid="{00000000-0005-0000-0000-0000FC210000}"/>
    <cellStyle name="20% - Accent3 5 2 2 5 2" xfId="29318" xr:uid="{00000000-0005-0000-0000-0000FD210000}"/>
    <cellStyle name="20% - Accent3 5 2 2 6" xfId="21672" xr:uid="{00000000-0005-0000-0000-0000FE210000}"/>
    <cellStyle name="20% - Accent3 5 2 3" xfId="2359" xr:uid="{00000000-0005-0000-0000-0000FF210000}"/>
    <cellStyle name="20% - Accent3 5 2 3 2" xfId="2360" xr:uid="{00000000-0005-0000-0000-000000220000}"/>
    <cellStyle name="20% - Accent3 5 2 3 2 2" xfId="13679" xr:uid="{00000000-0005-0000-0000-000001220000}"/>
    <cellStyle name="20% - Accent3 5 2 3 2 2 2" xfId="25536" xr:uid="{00000000-0005-0000-0000-000002220000}"/>
    <cellStyle name="20% - Accent3 5 2 3 2 3" xfId="17630" xr:uid="{00000000-0005-0000-0000-000003220000}"/>
    <cellStyle name="20% - Accent3 5 2 3 2 3 2" xfId="29322" xr:uid="{00000000-0005-0000-0000-000004220000}"/>
    <cellStyle name="20% - Accent3 5 2 3 2 4" xfId="21676" xr:uid="{00000000-0005-0000-0000-000005220000}"/>
    <cellStyle name="20% - Accent3 5 2 3 3" xfId="2361" xr:uid="{00000000-0005-0000-0000-000006220000}"/>
    <cellStyle name="20% - Accent3 5 2 3 3 2" xfId="13680" xr:uid="{00000000-0005-0000-0000-000007220000}"/>
    <cellStyle name="20% - Accent3 5 2 3 3 2 2" xfId="25537" xr:uid="{00000000-0005-0000-0000-000008220000}"/>
    <cellStyle name="20% - Accent3 5 2 3 3 3" xfId="17631" xr:uid="{00000000-0005-0000-0000-000009220000}"/>
    <cellStyle name="20% - Accent3 5 2 3 3 3 2" xfId="29323" xr:uid="{00000000-0005-0000-0000-00000A220000}"/>
    <cellStyle name="20% - Accent3 5 2 3 3 4" xfId="21677" xr:uid="{00000000-0005-0000-0000-00000B220000}"/>
    <cellStyle name="20% - Accent3 5 2 3 4" xfId="13678" xr:uid="{00000000-0005-0000-0000-00000C220000}"/>
    <cellStyle name="20% - Accent3 5 2 3 4 2" xfId="25535" xr:uid="{00000000-0005-0000-0000-00000D220000}"/>
    <cellStyle name="20% - Accent3 5 2 3 5" xfId="17629" xr:uid="{00000000-0005-0000-0000-00000E220000}"/>
    <cellStyle name="20% - Accent3 5 2 3 5 2" xfId="29321" xr:uid="{00000000-0005-0000-0000-00000F220000}"/>
    <cellStyle name="20% - Accent3 5 2 3 6" xfId="21675" xr:uid="{00000000-0005-0000-0000-000010220000}"/>
    <cellStyle name="20% - Accent3 5 2 4" xfId="2362" xr:uid="{00000000-0005-0000-0000-000011220000}"/>
    <cellStyle name="20% - Accent3 5 2 4 2" xfId="2363" xr:uid="{00000000-0005-0000-0000-000012220000}"/>
    <cellStyle name="20% - Accent3 5 2 4 2 2" xfId="13682" xr:uid="{00000000-0005-0000-0000-000013220000}"/>
    <cellStyle name="20% - Accent3 5 2 4 2 2 2" xfId="25539" xr:uid="{00000000-0005-0000-0000-000014220000}"/>
    <cellStyle name="20% - Accent3 5 2 4 2 3" xfId="17633" xr:uid="{00000000-0005-0000-0000-000015220000}"/>
    <cellStyle name="20% - Accent3 5 2 4 2 3 2" xfId="29325" xr:uid="{00000000-0005-0000-0000-000016220000}"/>
    <cellStyle name="20% - Accent3 5 2 4 2 4" xfId="21679" xr:uid="{00000000-0005-0000-0000-000017220000}"/>
    <cellStyle name="20% - Accent3 5 2 4 3" xfId="2364" xr:uid="{00000000-0005-0000-0000-000018220000}"/>
    <cellStyle name="20% - Accent3 5 2 4 3 2" xfId="13683" xr:uid="{00000000-0005-0000-0000-000019220000}"/>
    <cellStyle name="20% - Accent3 5 2 4 3 2 2" xfId="25540" xr:uid="{00000000-0005-0000-0000-00001A220000}"/>
    <cellStyle name="20% - Accent3 5 2 4 3 3" xfId="17634" xr:uid="{00000000-0005-0000-0000-00001B220000}"/>
    <cellStyle name="20% - Accent3 5 2 4 3 3 2" xfId="29326" xr:uid="{00000000-0005-0000-0000-00001C220000}"/>
    <cellStyle name="20% - Accent3 5 2 4 3 4" xfId="21680" xr:uid="{00000000-0005-0000-0000-00001D220000}"/>
    <cellStyle name="20% - Accent3 5 2 4 4" xfId="13681" xr:uid="{00000000-0005-0000-0000-00001E220000}"/>
    <cellStyle name="20% - Accent3 5 2 4 4 2" xfId="25538" xr:uid="{00000000-0005-0000-0000-00001F220000}"/>
    <cellStyle name="20% - Accent3 5 2 4 5" xfId="17632" xr:uid="{00000000-0005-0000-0000-000020220000}"/>
    <cellStyle name="20% - Accent3 5 2 4 5 2" xfId="29324" xr:uid="{00000000-0005-0000-0000-000021220000}"/>
    <cellStyle name="20% - Accent3 5 2 4 6" xfId="21678" xr:uid="{00000000-0005-0000-0000-000022220000}"/>
    <cellStyle name="20% - Accent3 5 2 5" xfId="2365" xr:uid="{00000000-0005-0000-0000-000023220000}"/>
    <cellStyle name="20% - Accent3 5 2 5 2" xfId="13684" xr:uid="{00000000-0005-0000-0000-000024220000}"/>
    <cellStyle name="20% - Accent3 5 2 5 2 2" xfId="25541" xr:uid="{00000000-0005-0000-0000-000025220000}"/>
    <cellStyle name="20% - Accent3 5 2 5 3" xfId="17635" xr:uid="{00000000-0005-0000-0000-000026220000}"/>
    <cellStyle name="20% - Accent3 5 2 5 3 2" xfId="29327" xr:uid="{00000000-0005-0000-0000-000027220000}"/>
    <cellStyle name="20% - Accent3 5 2 5 4" xfId="21681" xr:uid="{00000000-0005-0000-0000-000028220000}"/>
    <cellStyle name="20% - Accent3 5 2 6" xfId="2366" xr:uid="{00000000-0005-0000-0000-000029220000}"/>
    <cellStyle name="20% - Accent3 5 2 6 2" xfId="13685" xr:uid="{00000000-0005-0000-0000-00002A220000}"/>
    <cellStyle name="20% - Accent3 5 2 6 2 2" xfId="25542" xr:uid="{00000000-0005-0000-0000-00002B220000}"/>
    <cellStyle name="20% - Accent3 5 2 6 3" xfId="17636" xr:uid="{00000000-0005-0000-0000-00002C220000}"/>
    <cellStyle name="20% - Accent3 5 2 6 3 2" xfId="29328" xr:uid="{00000000-0005-0000-0000-00002D220000}"/>
    <cellStyle name="20% - Accent3 5 2 6 4" xfId="21682" xr:uid="{00000000-0005-0000-0000-00002E220000}"/>
    <cellStyle name="20% - Accent3 5 2 7" xfId="13674" xr:uid="{00000000-0005-0000-0000-00002F220000}"/>
    <cellStyle name="20% - Accent3 5 2 7 2" xfId="25531" xr:uid="{00000000-0005-0000-0000-000030220000}"/>
    <cellStyle name="20% - Accent3 5 2 8" xfId="17625" xr:uid="{00000000-0005-0000-0000-000031220000}"/>
    <cellStyle name="20% - Accent3 5 2 8 2" xfId="29317" xr:uid="{00000000-0005-0000-0000-000032220000}"/>
    <cellStyle name="20% - Accent3 5 2 9" xfId="21671" xr:uid="{00000000-0005-0000-0000-000033220000}"/>
    <cellStyle name="20% - Accent3 5 2_Volatility" xfId="2367" xr:uid="{00000000-0005-0000-0000-000034220000}"/>
    <cellStyle name="20% - Accent3 5 3" xfId="2368" xr:uid="{00000000-0005-0000-0000-000035220000}"/>
    <cellStyle name="20% - Accent3 5 3 2" xfId="2369" xr:uid="{00000000-0005-0000-0000-000036220000}"/>
    <cellStyle name="20% - Accent3 5 3 2 2" xfId="2370" xr:uid="{00000000-0005-0000-0000-000037220000}"/>
    <cellStyle name="20% - Accent3 5 3 2 2 2" xfId="13688" xr:uid="{00000000-0005-0000-0000-000038220000}"/>
    <cellStyle name="20% - Accent3 5 3 2 2 2 2" xfId="25545" xr:uid="{00000000-0005-0000-0000-000039220000}"/>
    <cellStyle name="20% - Accent3 5 3 2 2 3" xfId="17639" xr:uid="{00000000-0005-0000-0000-00003A220000}"/>
    <cellStyle name="20% - Accent3 5 3 2 2 3 2" xfId="29331" xr:uid="{00000000-0005-0000-0000-00003B220000}"/>
    <cellStyle name="20% - Accent3 5 3 2 2 4" xfId="21685" xr:uid="{00000000-0005-0000-0000-00003C220000}"/>
    <cellStyle name="20% - Accent3 5 3 2 3" xfId="2371" xr:uid="{00000000-0005-0000-0000-00003D220000}"/>
    <cellStyle name="20% - Accent3 5 3 2 3 2" xfId="13689" xr:uid="{00000000-0005-0000-0000-00003E220000}"/>
    <cellStyle name="20% - Accent3 5 3 2 3 2 2" xfId="25546" xr:uid="{00000000-0005-0000-0000-00003F220000}"/>
    <cellStyle name="20% - Accent3 5 3 2 3 3" xfId="17640" xr:uid="{00000000-0005-0000-0000-000040220000}"/>
    <cellStyle name="20% - Accent3 5 3 2 3 3 2" xfId="29332" xr:uid="{00000000-0005-0000-0000-000041220000}"/>
    <cellStyle name="20% - Accent3 5 3 2 3 4" xfId="21686" xr:uid="{00000000-0005-0000-0000-000042220000}"/>
    <cellStyle name="20% - Accent3 5 3 2 4" xfId="13687" xr:uid="{00000000-0005-0000-0000-000043220000}"/>
    <cellStyle name="20% - Accent3 5 3 2 4 2" xfId="25544" xr:uid="{00000000-0005-0000-0000-000044220000}"/>
    <cellStyle name="20% - Accent3 5 3 2 5" xfId="17638" xr:uid="{00000000-0005-0000-0000-000045220000}"/>
    <cellStyle name="20% - Accent3 5 3 2 5 2" xfId="29330" xr:uid="{00000000-0005-0000-0000-000046220000}"/>
    <cellStyle name="20% - Accent3 5 3 2 6" xfId="21684" xr:uid="{00000000-0005-0000-0000-000047220000}"/>
    <cellStyle name="20% - Accent3 5 3 3" xfId="2372" xr:uid="{00000000-0005-0000-0000-000048220000}"/>
    <cellStyle name="20% - Accent3 5 3 3 2" xfId="2373" xr:uid="{00000000-0005-0000-0000-000049220000}"/>
    <cellStyle name="20% - Accent3 5 3 3 2 2" xfId="13691" xr:uid="{00000000-0005-0000-0000-00004A220000}"/>
    <cellStyle name="20% - Accent3 5 3 3 2 2 2" xfId="25548" xr:uid="{00000000-0005-0000-0000-00004B220000}"/>
    <cellStyle name="20% - Accent3 5 3 3 2 3" xfId="17642" xr:uid="{00000000-0005-0000-0000-00004C220000}"/>
    <cellStyle name="20% - Accent3 5 3 3 2 3 2" xfId="29334" xr:uid="{00000000-0005-0000-0000-00004D220000}"/>
    <cellStyle name="20% - Accent3 5 3 3 2 4" xfId="21688" xr:uid="{00000000-0005-0000-0000-00004E220000}"/>
    <cellStyle name="20% - Accent3 5 3 3 3" xfId="2374" xr:uid="{00000000-0005-0000-0000-00004F220000}"/>
    <cellStyle name="20% - Accent3 5 3 3 3 2" xfId="13692" xr:uid="{00000000-0005-0000-0000-000050220000}"/>
    <cellStyle name="20% - Accent3 5 3 3 3 2 2" xfId="25549" xr:uid="{00000000-0005-0000-0000-000051220000}"/>
    <cellStyle name="20% - Accent3 5 3 3 3 3" xfId="17643" xr:uid="{00000000-0005-0000-0000-000052220000}"/>
    <cellStyle name="20% - Accent3 5 3 3 3 3 2" xfId="29335" xr:uid="{00000000-0005-0000-0000-000053220000}"/>
    <cellStyle name="20% - Accent3 5 3 3 3 4" xfId="21689" xr:uid="{00000000-0005-0000-0000-000054220000}"/>
    <cellStyle name="20% - Accent3 5 3 3 4" xfId="13690" xr:uid="{00000000-0005-0000-0000-000055220000}"/>
    <cellStyle name="20% - Accent3 5 3 3 4 2" xfId="25547" xr:uid="{00000000-0005-0000-0000-000056220000}"/>
    <cellStyle name="20% - Accent3 5 3 3 5" xfId="17641" xr:uid="{00000000-0005-0000-0000-000057220000}"/>
    <cellStyle name="20% - Accent3 5 3 3 5 2" xfId="29333" xr:uid="{00000000-0005-0000-0000-000058220000}"/>
    <cellStyle name="20% - Accent3 5 3 3 6" xfId="21687" xr:uid="{00000000-0005-0000-0000-000059220000}"/>
    <cellStyle name="20% - Accent3 5 3 4" xfId="2375" xr:uid="{00000000-0005-0000-0000-00005A220000}"/>
    <cellStyle name="20% - Accent3 5 3 4 2" xfId="13693" xr:uid="{00000000-0005-0000-0000-00005B220000}"/>
    <cellStyle name="20% - Accent3 5 3 4 2 2" xfId="25550" xr:uid="{00000000-0005-0000-0000-00005C220000}"/>
    <cellStyle name="20% - Accent3 5 3 4 3" xfId="17644" xr:uid="{00000000-0005-0000-0000-00005D220000}"/>
    <cellStyle name="20% - Accent3 5 3 4 3 2" xfId="29336" xr:uid="{00000000-0005-0000-0000-00005E220000}"/>
    <cellStyle name="20% - Accent3 5 3 4 4" xfId="21690" xr:uid="{00000000-0005-0000-0000-00005F220000}"/>
    <cellStyle name="20% - Accent3 5 3 5" xfId="2376" xr:uid="{00000000-0005-0000-0000-000060220000}"/>
    <cellStyle name="20% - Accent3 5 3 5 2" xfId="13694" xr:uid="{00000000-0005-0000-0000-000061220000}"/>
    <cellStyle name="20% - Accent3 5 3 5 2 2" xfId="25551" xr:uid="{00000000-0005-0000-0000-000062220000}"/>
    <cellStyle name="20% - Accent3 5 3 5 3" xfId="17645" xr:uid="{00000000-0005-0000-0000-000063220000}"/>
    <cellStyle name="20% - Accent3 5 3 5 3 2" xfId="29337" xr:uid="{00000000-0005-0000-0000-000064220000}"/>
    <cellStyle name="20% - Accent3 5 3 5 4" xfId="21691" xr:uid="{00000000-0005-0000-0000-000065220000}"/>
    <cellStyle name="20% - Accent3 5 3 6" xfId="13686" xr:uid="{00000000-0005-0000-0000-000066220000}"/>
    <cellStyle name="20% - Accent3 5 3 6 2" xfId="25543" xr:uid="{00000000-0005-0000-0000-000067220000}"/>
    <cellStyle name="20% - Accent3 5 3 7" xfId="17637" xr:uid="{00000000-0005-0000-0000-000068220000}"/>
    <cellStyle name="20% - Accent3 5 3 7 2" xfId="29329" xr:uid="{00000000-0005-0000-0000-000069220000}"/>
    <cellStyle name="20% - Accent3 5 3 8" xfId="21683" xr:uid="{00000000-0005-0000-0000-00006A220000}"/>
    <cellStyle name="20% - Accent3 5 3_Volatility" xfId="2377" xr:uid="{00000000-0005-0000-0000-00006B220000}"/>
    <cellStyle name="20% - Accent3 5 4" xfId="2378" xr:uid="{00000000-0005-0000-0000-00006C220000}"/>
    <cellStyle name="20% - Accent3 5 4 2" xfId="2379" xr:uid="{00000000-0005-0000-0000-00006D220000}"/>
    <cellStyle name="20% - Accent3 5 4 2 2" xfId="13696" xr:uid="{00000000-0005-0000-0000-00006E220000}"/>
    <cellStyle name="20% - Accent3 5 4 2 2 2" xfId="25553" xr:uid="{00000000-0005-0000-0000-00006F220000}"/>
    <cellStyle name="20% - Accent3 5 4 2 3" xfId="17647" xr:uid="{00000000-0005-0000-0000-000070220000}"/>
    <cellStyle name="20% - Accent3 5 4 2 3 2" xfId="29339" xr:uid="{00000000-0005-0000-0000-000071220000}"/>
    <cellStyle name="20% - Accent3 5 4 2 4" xfId="21693" xr:uid="{00000000-0005-0000-0000-000072220000}"/>
    <cellStyle name="20% - Accent3 5 4 3" xfId="2380" xr:uid="{00000000-0005-0000-0000-000073220000}"/>
    <cellStyle name="20% - Accent3 5 4 3 2" xfId="13697" xr:uid="{00000000-0005-0000-0000-000074220000}"/>
    <cellStyle name="20% - Accent3 5 4 3 2 2" xfId="25554" xr:uid="{00000000-0005-0000-0000-000075220000}"/>
    <cellStyle name="20% - Accent3 5 4 3 3" xfId="17648" xr:uid="{00000000-0005-0000-0000-000076220000}"/>
    <cellStyle name="20% - Accent3 5 4 3 3 2" xfId="29340" xr:uid="{00000000-0005-0000-0000-000077220000}"/>
    <cellStyle name="20% - Accent3 5 4 3 4" xfId="21694" xr:uid="{00000000-0005-0000-0000-000078220000}"/>
    <cellStyle name="20% - Accent3 5 4 4" xfId="13695" xr:uid="{00000000-0005-0000-0000-000079220000}"/>
    <cellStyle name="20% - Accent3 5 4 4 2" xfId="25552" xr:uid="{00000000-0005-0000-0000-00007A220000}"/>
    <cellStyle name="20% - Accent3 5 4 5" xfId="17646" xr:uid="{00000000-0005-0000-0000-00007B220000}"/>
    <cellStyle name="20% - Accent3 5 4 5 2" xfId="29338" xr:uid="{00000000-0005-0000-0000-00007C220000}"/>
    <cellStyle name="20% - Accent3 5 4 6" xfId="21692" xr:uid="{00000000-0005-0000-0000-00007D220000}"/>
    <cellStyle name="20% - Accent3 5 5" xfId="2381" xr:uid="{00000000-0005-0000-0000-00007E220000}"/>
    <cellStyle name="20% - Accent3 5 5 2" xfId="2382" xr:uid="{00000000-0005-0000-0000-00007F220000}"/>
    <cellStyle name="20% - Accent3 5 5 2 2" xfId="13699" xr:uid="{00000000-0005-0000-0000-000080220000}"/>
    <cellStyle name="20% - Accent3 5 5 2 2 2" xfId="25556" xr:uid="{00000000-0005-0000-0000-000081220000}"/>
    <cellStyle name="20% - Accent3 5 5 2 3" xfId="17650" xr:uid="{00000000-0005-0000-0000-000082220000}"/>
    <cellStyle name="20% - Accent3 5 5 2 3 2" xfId="29342" xr:uid="{00000000-0005-0000-0000-000083220000}"/>
    <cellStyle name="20% - Accent3 5 5 2 4" xfId="21696" xr:uid="{00000000-0005-0000-0000-000084220000}"/>
    <cellStyle name="20% - Accent3 5 5 3" xfId="2383" xr:uid="{00000000-0005-0000-0000-000085220000}"/>
    <cellStyle name="20% - Accent3 5 5 3 2" xfId="13700" xr:uid="{00000000-0005-0000-0000-000086220000}"/>
    <cellStyle name="20% - Accent3 5 5 3 2 2" xfId="25557" xr:uid="{00000000-0005-0000-0000-000087220000}"/>
    <cellStyle name="20% - Accent3 5 5 3 3" xfId="17651" xr:uid="{00000000-0005-0000-0000-000088220000}"/>
    <cellStyle name="20% - Accent3 5 5 3 3 2" xfId="29343" xr:uid="{00000000-0005-0000-0000-000089220000}"/>
    <cellStyle name="20% - Accent3 5 5 3 4" xfId="21697" xr:uid="{00000000-0005-0000-0000-00008A220000}"/>
    <cellStyle name="20% - Accent3 5 5 4" xfId="13698" xr:uid="{00000000-0005-0000-0000-00008B220000}"/>
    <cellStyle name="20% - Accent3 5 5 4 2" xfId="25555" xr:uid="{00000000-0005-0000-0000-00008C220000}"/>
    <cellStyle name="20% - Accent3 5 5 5" xfId="17649" xr:uid="{00000000-0005-0000-0000-00008D220000}"/>
    <cellStyle name="20% - Accent3 5 5 5 2" xfId="29341" xr:uid="{00000000-0005-0000-0000-00008E220000}"/>
    <cellStyle name="20% - Accent3 5 5 6" xfId="21695" xr:uid="{00000000-0005-0000-0000-00008F220000}"/>
    <cellStyle name="20% - Accent3 5 6" xfId="2384" xr:uid="{00000000-0005-0000-0000-000090220000}"/>
    <cellStyle name="20% - Accent3 5 6 2" xfId="2385" xr:uid="{00000000-0005-0000-0000-000091220000}"/>
    <cellStyle name="20% - Accent3 5 6 2 2" xfId="13702" xr:uid="{00000000-0005-0000-0000-000092220000}"/>
    <cellStyle name="20% - Accent3 5 6 2 2 2" xfId="25559" xr:uid="{00000000-0005-0000-0000-000093220000}"/>
    <cellStyle name="20% - Accent3 5 6 2 3" xfId="17653" xr:uid="{00000000-0005-0000-0000-000094220000}"/>
    <cellStyle name="20% - Accent3 5 6 2 3 2" xfId="29345" xr:uid="{00000000-0005-0000-0000-000095220000}"/>
    <cellStyle name="20% - Accent3 5 6 2 4" xfId="21699" xr:uid="{00000000-0005-0000-0000-000096220000}"/>
    <cellStyle name="20% - Accent3 5 6 3" xfId="2386" xr:uid="{00000000-0005-0000-0000-000097220000}"/>
    <cellStyle name="20% - Accent3 5 6 3 2" xfId="13703" xr:uid="{00000000-0005-0000-0000-000098220000}"/>
    <cellStyle name="20% - Accent3 5 6 3 2 2" xfId="25560" xr:uid="{00000000-0005-0000-0000-000099220000}"/>
    <cellStyle name="20% - Accent3 5 6 3 3" xfId="17654" xr:uid="{00000000-0005-0000-0000-00009A220000}"/>
    <cellStyle name="20% - Accent3 5 6 3 3 2" xfId="29346" xr:uid="{00000000-0005-0000-0000-00009B220000}"/>
    <cellStyle name="20% - Accent3 5 6 3 4" xfId="21700" xr:uid="{00000000-0005-0000-0000-00009C220000}"/>
    <cellStyle name="20% - Accent3 5 6 4" xfId="13701" xr:uid="{00000000-0005-0000-0000-00009D220000}"/>
    <cellStyle name="20% - Accent3 5 6 4 2" xfId="25558" xr:uid="{00000000-0005-0000-0000-00009E220000}"/>
    <cellStyle name="20% - Accent3 5 6 5" xfId="17652" xr:uid="{00000000-0005-0000-0000-00009F220000}"/>
    <cellStyle name="20% - Accent3 5 6 5 2" xfId="29344" xr:uid="{00000000-0005-0000-0000-0000A0220000}"/>
    <cellStyle name="20% - Accent3 5 6 6" xfId="21698" xr:uid="{00000000-0005-0000-0000-0000A1220000}"/>
    <cellStyle name="20% - Accent3 5 7" xfId="2387" xr:uid="{00000000-0005-0000-0000-0000A2220000}"/>
    <cellStyle name="20% - Accent3 5 7 2" xfId="13704" xr:uid="{00000000-0005-0000-0000-0000A3220000}"/>
    <cellStyle name="20% - Accent3 5 7 2 2" xfId="25561" xr:uid="{00000000-0005-0000-0000-0000A4220000}"/>
    <cellStyle name="20% - Accent3 5 7 3" xfId="17655" xr:uid="{00000000-0005-0000-0000-0000A5220000}"/>
    <cellStyle name="20% - Accent3 5 7 3 2" xfId="29347" xr:uid="{00000000-0005-0000-0000-0000A6220000}"/>
    <cellStyle name="20% - Accent3 5 7 4" xfId="21701" xr:uid="{00000000-0005-0000-0000-0000A7220000}"/>
    <cellStyle name="20% - Accent3 5 8" xfId="2388" xr:uid="{00000000-0005-0000-0000-0000A8220000}"/>
    <cellStyle name="20% - Accent3 5 8 2" xfId="13705" xr:uid="{00000000-0005-0000-0000-0000A9220000}"/>
    <cellStyle name="20% - Accent3 5 8 2 2" xfId="25562" xr:uid="{00000000-0005-0000-0000-0000AA220000}"/>
    <cellStyle name="20% - Accent3 5 8 3" xfId="17656" xr:uid="{00000000-0005-0000-0000-0000AB220000}"/>
    <cellStyle name="20% - Accent3 5 8 3 2" xfId="29348" xr:uid="{00000000-0005-0000-0000-0000AC220000}"/>
    <cellStyle name="20% - Accent3 5 8 4" xfId="21702" xr:uid="{00000000-0005-0000-0000-0000AD220000}"/>
    <cellStyle name="20% - Accent3 5 9" xfId="13673" xr:uid="{00000000-0005-0000-0000-0000AE220000}"/>
    <cellStyle name="20% - Accent3 5 9 2" xfId="25530" xr:uid="{00000000-0005-0000-0000-0000AF220000}"/>
    <cellStyle name="20% - Accent3 5_Volatility" xfId="2389" xr:uid="{00000000-0005-0000-0000-0000B0220000}"/>
    <cellStyle name="20% - Accent3 6" xfId="2390" xr:uid="{00000000-0005-0000-0000-0000B1220000}"/>
    <cellStyle name="20% - Accent3 6 10" xfId="17657" xr:uid="{00000000-0005-0000-0000-0000B2220000}"/>
    <cellStyle name="20% - Accent3 6 10 2" xfId="29349" xr:uid="{00000000-0005-0000-0000-0000B3220000}"/>
    <cellStyle name="20% - Accent3 6 11" xfId="21703" xr:uid="{00000000-0005-0000-0000-0000B4220000}"/>
    <cellStyle name="20% - Accent3 6 2" xfId="2391" xr:uid="{00000000-0005-0000-0000-0000B5220000}"/>
    <cellStyle name="20% - Accent3 6 2 2" xfId="2392" xr:uid="{00000000-0005-0000-0000-0000B6220000}"/>
    <cellStyle name="20% - Accent3 6 2 2 2" xfId="2393" xr:uid="{00000000-0005-0000-0000-0000B7220000}"/>
    <cellStyle name="20% - Accent3 6 2 2 2 2" xfId="13709" xr:uid="{00000000-0005-0000-0000-0000B8220000}"/>
    <cellStyle name="20% - Accent3 6 2 2 2 2 2" xfId="25566" xr:uid="{00000000-0005-0000-0000-0000B9220000}"/>
    <cellStyle name="20% - Accent3 6 2 2 2 3" xfId="17660" xr:uid="{00000000-0005-0000-0000-0000BA220000}"/>
    <cellStyle name="20% - Accent3 6 2 2 2 3 2" xfId="29352" xr:uid="{00000000-0005-0000-0000-0000BB220000}"/>
    <cellStyle name="20% - Accent3 6 2 2 2 4" xfId="21706" xr:uid="{00000000-0005-0000-0000-0000BC220000}"/>
    <cellStyle name="20% - Accent3 6 2 2 3" xfId="2394" xr:uid="{00000000-0005-0000-0000-0000BD220000}"/>
    <cellStyle name="20% - Accent3 6 2 2 3 2" xfId="13710" xr:uid="{00000000-0005-0000-0000-0000BE220000}"/>
    <cellStyle name="20% - Accent3 6 2 2 3 2 2" xfId="25567" xr:uid="{00000000-0005-0000-0000-0000BF220000}"/>
    <cellStyle name="20% - Accent3 6 2 2 3 3" xfId="17661" xr:uid="{00000000-0005-0000-0000-0000C0220000}"/>
    <cellStyle name="20% - Accent3 6 2 2 3 3 2" xfId="29353" xr:uid="{00000000-0005-0000-0000-0000C1220000}"/>
    <cellStyle name="20% - Accent3 6 2 2 3 4" xfId="21707" xr:uid="{00000000-0005-0000-0000-0000C2220000}"/>
    <cellStyle name="20% - Accent3 6 2 2 4" xfId="13708" xr:uid="{00000000-0005-0000-0000-0000C3220000}"/>
    <cellStyle name="20% - Accent3 6 2 2 4 2" xfId="25565" xr:uid="{00000000-0005-0000-0000-0000C4220000}"/>
    <cellStyle name="20% - Accent3 6 2 2 5" xfId="17659" xr:uid="{00000000-0005-0000-0000-0000C5220000}"/>
    <cellStyle name="20% - Accent3 6 2 2 5 2" xfId="29351" xr:uid="{00000000-0005-0000-0000-0000C6220000}"/>
    <cellStyle name="20% - Accent3 6 2 2 6" xfId="21705" xr:uid="{00000000-0005-0000-0000-0000C7220000}"/>
    <cellStyle name="20% - Accent3 6 2 3" xfId="2395" xr:uid="{00000000-0005-0000-0000-0000C8220000}"/>
    <cellStyle name="20% - Accent3 6 2 3 2" xfId="2396" xr:uid="{00000000-0005-0000-0000-0000C9220000}"/>
    <cellStyle name="20% - Accent3 6 2 3 2 2" xfId="13712" xr:uid="{00000000-0005-0000-0000-0000CA220000}"/>
    <cellStyle name="20% - Accent3 6 2 3 2 2 2" xfId="25569" xr:uid="{00000000-0005-0000-0000-0000CB220000}"/>
    <cellStyle name="20% - Accent3 6 2 3 2 3" xfId="17663" xr:uid="{00000000-0005-0000-0000-0000CC220000}"/>
    <cellStyle name="20% - Accent3 6 2 3 2 3 2" xfId="29355" xr:uid="{00000000-0005-0000-0000-0000CD220000}"/>
    <cellStyle name="20% - Accent3 6 2 3 2 4" xfId="21709" xr:uid="{00000000-0005-0000-0000-0000CE220000}"/>
    <cellStyle name="20% - Accent3 6 2 3 3" xfId="2397" xr:uid="{00000000-0005-0000-0000-0000CF220000}"/>
    <cellStyle name="20% - Accent3 6 2 3 3 2" xfId="13713" xr:uid="{00000000-0005-0000-0000-0000D0220000}"/>
    <cellStyle name="20% - Accent3 6 2 3 3 2 2" xfId="25570" xr:uid="{00000000-0005-0000-0000-0000D1220000}"/>
    <cellStyle name="20% - Accent3 6 2 3 3 3" xfId="17664" xr:uid="{00000000-0005-0000-0000-0000D2220000}"/>
    <cellStyle name="20% - Accent3 6 2 3 3 3 2" xfId="29356" xr:uid="{00000000-0005-0000-0000-0000D3220000}"/>
    <cellStyle name="20% - Accent3 6 2 3 3 4" xfId="21710" xr:uid="{00000000-0005-0000-0000-0000D4220000}"/>
    <cellStyle name="20% - Accent3 6 2 3 4" xfId="13711" xr:uid="{00000000-0005-0000-0000-0000D5220000}"/>
    <cellStyle name="20% - Accent3 6 2 3 4 2" xfId="25568" xr:uid="{00000000-0005-0000-0000-0000D6220000}"/>
    <cellStyle name="20% - Accent3 6 2 3 5" xfId="17662" xr:uid="{00000000-0005-0000-0000-0000D7220000}"/>
    <cellStyle name="20% - Accent3 6 2 3 5 2" xfId="29354" xr:uid="{00000000-0005-0000-0000-0000D8220000}"/>
    <cellStyle name="20% - Accent3 6 2 3 6" xfId="21708" xr:uid="{00000000-0005-0000-0000-0000D9220000}"/>
    <cellStyle name="20% - Accent3 6 2 4" xfId="2398" xr:uid="{00000000-0005-0000-0000-0000DA220000}"/>
    <cellStyle name="20% - Accent3 6 2 4 2" xfId="2399" xr:uid="{00000000-0005-0000-0000-0000DB220000}"/>
    <cellStyle name="20% - Accent3 6 2 4 2 2" xfId="13715" xr:uid="{00000000-0005-0000-0000-0000DC220000}"/>
    <cellStyle name="20% - Accent3 6 2 4 2 2 2" xfId="25572" xr:uid="{00000000-0005-0000-0000-0000DD220000}"/>
    <cellStyle name="20% - Accent3 6 2 4 2 3" xfId="17666" xr:uid="{00000000-0005-0000-0000-0000DE220000}"/>
    <cellStyle name="20% - Accent3 6 2 4 2 3 2" xfId="29358" xr:uid="{00000000-0005-0000-0000-0000DF220000}"/>
    <cellStyle name="20% - Accent3 6 2 4 2 4" xfId="21712" xr:uid="{00000000-0005-0000-0000-0000E0220000}"/>
    <cellStyle name="20% - Accent3 6 2 4 3" xfId="2400" xr:uid="{00000000-0005-0000-0000-0000E1220000}"/>
    <cellStyle name="20% - Accent3 6 2 4 3 2" xfId="13716" xr:uid="{00000000-0005-0000-0000-0000E2220000}"/>
    <cellStyle name="20% - Accent3 6 2 4 3 2 2" xfId="25573" xr:uid="{00000000-0005-0000-0000-0000E3220000}"/>
    <cellStyle name="20% - Accent3 6 2 4 3 3" xfId="17667" xr:uid="{00000000-0005-0000-0000-0000E4220000}"/>
    <cellStyle name="20% - Accent3 6 2 4 3 3 2" xfId="29359" xr:uid="{00000000-0005-0000-0000-0000E5220000}"/>
    <cellStyle name="20% - Accent3 6 2 4 3 4" xfId="21713" xr:uid="{00000000-0005-0000-0000-0000E6220000}"/>
    <cellStyle name="20% - Accent3 6 2 4 4" xfId="13714" xr:uid="{00000000-0005-0000-0000-0000E7220000}"/>
    <cellStyle name="20% - Accent3 6 2 4 4 2" xfId="25571" xr:uid="{00000000-0005-0000-0000-0000E8220000}"/>
    <cellStyle name="20% - Accent3 6 2 4 5" xfId="17665" xr:uid="{00000000-0005-0000-0000-0000E9220000}"/>
    <cellStyle name="20% - Accent3 6 2 4 5 2" xfId="29357" xr:uid="{00000000-0005-0000-0000-0000EA220000}"/>
    <cellStyle name="20% - Accent3 6 2 4 6" xfId="21711" xr:uid="{00000000-0005-0000-0000-0000EB220000}"/>
    <cellStyle name="20% - Accent3 6 2 5" xfId="2401" xr:uid="{00000000-0005-0000-0000-0000EC220000}"/>
    <cellStyle name="20% - Accent3 6 2 5 2" xfId="13717" xr:uid="{00000000-0005-0000-0000-0000ED220000}"/>
    <cellStyle name="20% - Accent3 6 2 5 2 2" xfId="25574" xr:uid="{00000000-0005-0000-0000-0000EE220000}"/>
    <cellStyle name="20% - Accent3 6 2 5 3" xfId="17668" xr:uid="{00000000-0005-0000-0000-0000EF220000}"/>
    <cellStyle name="20% - Accent3 6 2 5 3 2" xfId="29360" xr:uid="{00000000-0005-0000-0000-0000F0220000}"/>
    <cellStyle name="20% - Accent3 6 2 5 4" xfId="21714" xr:uid="{00000000-0005-0000-0000-0000F1220000}"/>
    <cellStyle name="20% - Accent3 6 2 6" xfId="2402" xr:uid="{00000000-0005-0000-0000-0000F2220000}"/>
    <cellStyle name="20% - Accent3 6 2 6 2" xfId="13718" xr:uid="{00000000-0005-0000-0000-0000F3220000}"/>
    <cellStyle name="20% - Accent3 6 2 6 2 2" xfId="25575" xr:uid="{00000000-0005-0000-0000-0000F4220000}"/>
    <cellStyle name="20% - Accent3 6 2 6 3" xfId="17669" xr:uid="{00000000-0005-0000-0000-0000F5220000}"/>
    <cellStyle name="20% - Accent3 6 2 6 3 2" xfId="29361" xr:uid="{00000000-0005-0000-0000-0000F6220000}"/>
    <cellStyle name="20% - Accent3 6 2 6 4" xfId="21715" xr:uid="{00000000-0005-0000-0000-0000F7220000}"/>
    <cellStyle name="20% - Accent3 6 2 7" xfId="13707" xr:uid="{00000000-0005-0000-0000-0000F8220000}"/>
    <cellStyle name="20% - Accent3 6 2 7 2" xfId="25564" xr:uid="{00000000-0005-0000-0000-0000F9220000}"/>
    <cellStyle name="20% - Accent3 6 2 8" xfId="17658" xr:uid="{00000000-0005-0000-0000-0000FA220000}"/>
    <cellStyle name="20% - Accent3 6 2 8 2" xfId="29350" xr:uid="{00000000-0005-0000-0000-0000FB220000}"/>
    <cellStyle name="20% - Accent3 6 2 9" xfId="21704" xr:uid="{00000000-0005-0000-0000-0000FC220000}"/>
    <cellStyle name="20% - Accent3 6 2_Volatility" xfId="2403" xr:uid="{00000000-0005-0000-0000-0000FD220000}"/>
    <cellStyle name="20% - Accent3 6 3" xfId="2404" xr:uid="{00000000-0005-0000-0000-0000FE220000}"/>
    <cellStyle name="20% - Accent3 6 3 2" xfId="2405" xr:uid="{00000000-0005-0000-0000-0000FF220000}"/>
    <cellStyle name="20% - Accent3 6 3 2 2" xfId="2406" xr:uid="{00000000-0005-0000-0000-000000230000}"/>
    <cellStyle name="20% - Accent3 6 3 2 2 2" xfId="13721" xr:uid="{00000000-0005-0000-0000-000001230000}"/>
    <cellStyle name="20% - Accent3 6 3 2 2 2 2" xfId="25578" xr:uid="{00000000-0005-0000-0000-000002230000}"/>
    <cellStyle name="20% - Accent3 6 3 2 2 3" xfId="17672" xr:uid="{00000000-0005-0000-0000-000003230000}"/>
    <cellStyle name="20% - Accent3 6 3 2 2 3 2" xfId="29364" xr:uid="{00000000-0005-0000-0000-000004230000}"/>
    <cellStyle name="20% - Accent3 6 3 2 2 4" xfId="21718" xr:uid="{00000000-0005-0000-0000-000005230000}"/>
    <cellStyle name="20% - Accent3 6 3 2 3" xfId="2407" xr:uid="{00000000-0005-0000-0000-000006230000}"/>
    <cellStyle name="20% - Accent3 6 3 2 3 2" xfId="13722" xr:uid="{00000000-0005-0000-0000-000007230000}"/>
    <cellStyle name="20% - Accent3 6 3 2 3 2 2" xfId="25579" xr:uid="{00000000-0005-0000-0000-000008230000}"/>
    <cellStyle name="20% - Accent3 6 3 2 3 3" xfId="17673" xr:uid="{00000000-0005-0000-0000-000009230000}"/>
    <cellStyle name="20% - Accent3 6 3 2 3 3 2" xfId="29365" xr:uid="{00000000-0005-0000-0000-00000A230000}"/>
    <cellStyle name="20% - Accent3 6 3 2 3 4" xfId="21719" xr:uid="{00000000-0005-0000-0000-00000B230000}"/>
    <cellStyle name="20% - Accent3 6 3 2 4" xfId="13720" xr:uid="{00000000-0005-0000-0000-00000C230000}"/>
    <cellStyle name="20% - Accent3 6 3 2 4 2" xfId="25577" xr:uid="{00000000-0005-0000-0000-00000D230000}"/>
    <cellStyle name="20% - Accent3 6 3 2 5" xfId="17671" xr:uid="{00000000-0005-0000-0000-00000E230000}"/>
    <cellStyle name="20% - Accent3 6 3 2 5 2" xfId="29363" xr:uid="{00000000-0005-0000-0000-00000F230000}"/>
    <cellStyle name="20% - Accent3 6 3 2 6" xfId="21717" xr:uid="{00000000-0005-0000-0000-000010230000}"/>
    <cellStyle name="20% - Accent3 6 3 3" xfId="2408" xr:uid="{00000000-0005-0000-0000-000011230000}"/>
    <cellStyle name="20% - Accent3 6 3 3 2" xfId="2409" xr:uid="{00000000-0005-0000-0000-000012230000}"/>
    <cellStyle name="20% - Accent3 6 3 3 2 2" xfId="13724" xr:uid="{00000000-0005-0000-0000-000013230000}"/>
    <cellStyle name="20% - Accent3 6 3 3 2 2 2" xfId="25581" xr:uid="{00000000-0005-0000-0000-000014230000}"/>
    <cellStyle name="20% - Accent3 6 3 3 2 3" xfId="17675" xr:uid="{00000000-0005-0000-0000-000015230000}"/>
    <cellStyle name="20% - Accent3 6 3 3 2 3 2" xfId="29367" xr:uid="{00000000-0005-0000-0000-000016230000}"/>
    <cellStyle name="20% - Accent3 6 3 3 2 4" xfId="21721" xr:uid="{00000000-0005-0000-0000-000017230000}"/>
    <cellStyle name="20% - Accent3 6 3 3 3" xfId="2410" xr:uid="{00000000-0005-0000-0000-000018230000}"/>
    <cellStyle name="20% - Accent3 6 3 3 3 2" xfId="13725" xr:uid="{00000000-0005-0000-0000-000019230000}"/>
    <cellStyle name="20% - Accent3 6 3 3 3 2 2" xfId="25582" xr:uid="{00000000-0005-0000-0000-00001A230000}"/>
    <cellStyle name="20% - Accent3 6 3 3 3 3" xfId="17676" xr:uid="{00000000-0005-0000-0000-00001B230000}"/>
    <cellStyle name="20% - Accent3 6 3 3 3 3 2" xfId="29368" xr:uid="{00000000-0005-0000-0000-00001C230000}"/>
    <cellStyle name="20% - Accent3 6 3 3 3 4" xfId="21722" xr:uid="{00000000-0005-0000-0000-00001D230000}"/>
    <cellStyle name="20% - Accent3 6 3 3 4" xfId="13723" xr:uid="{00000000-0005-0000-0000-00001E230000}"/>
    <cellStyle name="20% - Accent3 6 3 3 4 2" xfId="25580" xr:uid="{00000000-0005-0000-0000-00001F230000}"/>
    <cellStyle name="20% - Accent3 6 3 3 5" xfId="17674" xr:uid="{00000000-0005-0000-0000-000020230000}"/>
    <cellStyle name="20% - Accent3 6 3 3 5 2" xfId="29366" xr:uid="{00000000-0005-0000-0000-000021230000}"/>
    <cellStyle name="20% - Accent3 6 3 3 6" xfId="21720" xr:uid="{00000000-0005-0000-0000-000022230000}"/>
    <cellStyle name="20% - Accent3 6 3 4" xfId="2411" xr:uid="{00000000-0005-0000-0000-000023230000}"/>
    <cellStyle name="20% - Accent3 6 3 4 2" xfId="13726" xr:uid="{00000000-0005-0000-0000-000024230000}"/>
    <cellStyle name="20% - Accent3 6 3 4 2 2" xfId="25583" xr:uid="{00000000-0005-0000-0000-000025230000}"/>
    <cellStyle name="20% - Accent3 6 3 4 3" xfId="17677" xr:uid="{00000000-0005-0000-0000-000026230000}"/>
    <cellStyle name="20% - Accent3 6 3 4 3 2" xfId="29369" xr:uid="{00000000-0005-0000-0000-000027230000}"/>
    <cellStyle name="20% - Accent3 6 3 4 4" xfId="21723" xr:uid="{00000000-0005-0000-0000-000028230000}"/>
    <cellStyle name="20% - Accent3 6 3 5" xfId="2412" xr:uid="{00000000-0005-0000-0000-000029230000}"/>
    <cellStyle name="20% - Accent3 6 3 5 2" xfId="13727" xr:uid="{00000000-0005-0000-0000-00002A230000}"/>
    <cellStyle name="20% - Accent3 6 3 5 2 2" xfId="25584" xr:uid="{00000000-0005-0000-0000-00002B230000}"/>
    <cellStyle name="20% - Accent3 6 3 5 3" xfId="17678" xr:uid="{00000000-0005-0000-0000-00002C230000}"/>
    <cellStyle name="20% - Accent3 6 3 5 3 2" xfId="29370" xr:uid="{00000000-0005-0000-0000-00002D230000}"/>
    <cellStyle name="20% - Accent3 6 3 5 4" xfId="21724" xr:uid="{00000000-0005-0000-0000-00002E230000}"/>
    <cellStyle name="20% - Accent3 6 3 6" xfId="13719" xr:uid="{00000000-0005-0000-0000-00002F230000}"/>
    <cellStyle name="20% - Accent3 6 3 6 2" xfId="25576" xr:uid="{00000000-0005-0000-0000-000030230000}"/>
    <cellStyle name="20% - Accent3 6 3 7" xfId="17670" xr:uid="{00000000-0005-0000-0000-000031230000}"/>
    <cellStyle name="20% - Accent3 6 3 7 2" xfId="29362" xr:uid="{00000000-0005-0000-0000-000032230000}"/>
    <cellStyle name="20% - Accent3 6 3 8" xfId="21716" xr:uid="{00000000-0005-0000-0000-000033230000}"/>
    <cellStyle name="20% - Accent3 6 3_Volatility" xfId="2413" xr:uid="{00000000-0005-0000-0000-000034230000}"/>
    <cellStyle name="20% - Accent3 6 4" xfId="2414" xr:uid="{00000000-0005-0000-0000-000035230000}"/>
    <cellStyle name="20% - Accent3 6 4 2" xfId="2415" xr:uid="{00000000-0005-0000-0000-000036230000}"/>
    <cellStyle name="20% - Accent3 6 4 2 2" xfId="13729" xr:uid="{00000000-0005-0000-0000-000037230000}"/>
    <cellStyle name="20% - Accent3 6 4 2 2 2" xfId="25586" xr:uid="{00000000-0005-0000-0000-000038230000}"/>
    <cellStyle name="20% - Accent3 6 4 2 3" xfId="17680" xr:uid="{00000000-0005-0000-0000-000039230000}"/>
    <cellStyle name="20% - Accent3 6 4 2 3 2" xfId="29372" xr:uid="{00000000-0005-0000-0000-00003A230000}"/>
    <cellStyle name="20% - Accent3 6 4 2 4" xfId="21726" xr:uid="{00000000-0005-0000-0000-00003B230000}"/>
    <cellStyle name="20% - Accent3 6 4 3" xfId="2416" xr:uid="{00000000-0005-0000-0000-00003C230000}"/>
    <cellStyle name="20% - Accent3 6 4 3 2" xfId="13730" xr:uid="{00000000-0005-0000-0000-00003D230000}"/>
    <cellStyle name="20% - Accent3 6 4 3 2 2" xfId="25587" xr:uid="{00000000-0005-0000-0000-00003E230000}"/>
    <cellStyle name="20% - Accent3 6 4 3 3" xfId="17681" xr:uid="{00000000-0005-0000-0000-00003F230000}"/>
    <cellStyle name="20% - Accent3 6 4 3 3 2" xfId="29373" xr:uid="{00000000-0005-0000-0000-000040230000}"/>
    <cellStyle name="20% - Accent3 6 4 3 4" xfId="21727" xr:uid="{00000000-0005-0000-0000-000041230000}"/>
    <cellStyle name="20% - Accent3 6 4 4" xfId="13728" xr:uid="{00000000-0005-0000-0000-000042230000}"/>
    <cellStyle name="20% - Accent3 6 4 4 2" xfId="25585" xr:uid="{00000000-0005-0000-0000-000043230000}"/>
    <cellStyle name="20% - Accent3 6 4 5" xfId="17679" xr:uid="{00000000-0005-0000-0000-000044230000}"/>
    <cellStyle name="20% - Accent3 6 4 5 2" xfId="29371" xr:uid="{00000000-0005-0000-0000-000045230000}"/>
    <cellStyle name="20% - Accent3 6 4 6" xfId="21725" xr:uid="{00000000-0005-0000-0000-000046230000}"/>
    <cellStyle name="20% - Accent3 6 5" xfId="2417" xr:uid="{00000000-0005-0000-0000-000047230000}"/>
    <cellStyle name="20% - Accent3 6 5 2" xfId="2418" xr:uid="{00000000-0005-0000-0000-000048230000}"/>
    <cellStyle name="20% - Accent3 6 5 2 2" xfId="13732" xr:uid="{00000000-0005-0000-0000-000049230000}"/>
    <cellStyle name="20% - Accent3 6 5 2 2 2" xfId="25589" xr:uid="{00000000-0005-0000-0000-00004A230000}"/>
    <cellStyle name="20% - Accent3 6 5 2 3" xfId="17683" xr:uid="{00000000-0005-0000-0000-00004B230000}"/>
    <cellStyle name="20% - Accent3 6 5 2 3 2" xfId="29375" xr:uid="{00000000-0005-0000-0000-00004C230000}"/>
    <cellStyle name="20% - Accent3 6 5 2 4" xfId="21729" xr:uid="{00000000-0005-0000-0000-00004D230000}"/>
    <cellStyle name="20% - Accent3 6 5 3" xfId="2419" xr:uid="{00000000-0005-0000-0000-00004E230000}"/>
    <cellStyle name="20% - Accent3 6 5 3 2" xfId="13733" xr:uid="{00000000-0005-0000-0000-00004F230000}"/>
    <cellStyle name="20% - Accent3 6 5 3 2 2" xfId="25590" xr:uid="{00000000-0005-0000-0000-000050230000}"/>
    <cellStyle name="20% - Accent3 6 5 3 3" xfId="17684" xr:uid="{00000000-0005-0000-0000-000051230000}"/>
    <cellStyle name="20% - Accent3 6 5 3 3 2" xfId="29376" xr:uid="{00000000-0005-0000-0000-000052230000}"/>
    <cellStyle name="20% - Accent3 6 5 3 4" xfId="21730" xr:uid="{00000000-0005-0000-0000-000053230000}"/>
    <cellStyle name="20% - Accent3 6 5 4" xfId="13731" xr:uid="{00000000-0005-0000-0000-000054230000}"/>
    <cellStyle name="20% - Accent3 6 5 4 2" xfId="25588" xr:uid="{00000000-0005-0000-0000-000055230000}"/>
    <cellStyle name="20% - Accent3 6 5 5" xfId="17682" xr:uid="{00000000-0005-0000-0000-000056230000}"/>
    <cellStyle name="20% - Accent3 6 5 5 2" xfId="29374" xr:uid="{00000000-0005-0000-0000-000057230000}"/>
    <cellStyle name="20% - Accent3 6 5 6" xfId="21728" xr:uid="{00000000-0005-0000-0000-000058230000}"/>
    <cellStyle name="20% - Accent3 6 6" xfId="2420" xr:uid="{00000000-0005-0000-0000-000059230000}"/>
    <cellStyle name="20% - Accent3 6 6 2" xfId="2421" xr:uid="{00000000-0005-0000-0000-00005A230000}"/>
    <cellStyle name="20% - Accent3 6 6 2 2" xfId="13735" xr:uid="{00000000-0005-0000-0000-00005B230000}"/>
    <cellStyle name="20% - Accent3 6 6 2 2 2" xfId="25592" xr:uid="{00000000-0005-0000-0000-00005C230000}"/>
    <cellStyle name="20% - Accent3 6 6 2 3" xfId="17686" xr:uid="{00000000-0005-0000-0000-00005D230000}"/>
    <cellStyle name="20% - Accent3 6 6 2 3 2" xfId="29378" xr:uid="{00000000-0005-0000-0000-00005E230000}"/>
    <cellStyle name="20% - Accent3 6 6 2 4" xfId="21732" xr:uid="{00000000-0005-0000-0000-00005F230000}"/>
    <cellStyle name="20% - Accent3 6 6 3" xfId="2422" xr:uid="{00000000-0005-0000-0000-000060230000}"/>
    <cellStyle name="20% - Accent3 6 6 3 2" xfId="13736" xr:uid="{00000000-0005-0000-0000-000061230000}"/>
    <cellStyle name="20% - Accent3 6 6 3 2 2" xfId="25593" xr:uid="{00000000-0005-0000-0000-000062230000}"/>
    <cellStyle name="20% - Accent3 6 6 3 3" xfId="17687" xr:uid="{00000000-0005-0000-0000-000063230000}"/>
    <cellStyle name="20% - Accent3 6 6 3 3 2" xfId="29379" xr:uid="{00000000-0005-0000-0000-000064230000}"/>
    <cellStyle name="20% - Accent3 6 6 3 4" xfId="21733" xr:uid="{00000000-0005-0000-0000-000065230000}"/>
    <cellStyle name="20% - Accent3 6 6 4" xfId="13734" xr:uid="{00000000-0005-0000-0000-000066230000}"/>
    <cellStyle name="20% - Accent3 6 6 4 2" xfId="25591" xr:uid="{00000000-0005-0000-0000-000067230000}"/>
    <cellStyle name="20% - Accent3 6 6 5" xfId="17685" xr:uid="{00000000-0005-0000-0000-000068230000}"/>
    <cellStyle name="20% - Accent3 6 6 5 2" xfId="29377" xr:uid="{00000000-0005-0000-0000-000069230000}"/>
    <cellStyle name="20% - Accent3 6 6 6" xfId="21731" xr:uid="{00000000-0005-0000-0000-00006A230000}"/>
    <cellStyle name="20% - Accent3 6 7" xfId="2423" xr:uid="{00000000-0005-0000-0000-00006B230000}"/>
    <cellStyle name="20% - Accent3 6 7 2" xfId="13737" xr:uid="{00000000-0005-0000-0000-00006C230000}"/>
    <cellStyle name="20% - Accent3 6 7 2 2" xfId="25594" xr:uid="{00000000-0005-0000-0000-00006D230000}"/>
    <cellStyle name="20% - Accent3 6 7 3" xfId="17688" xr:uid="{00000000-0005-0000-0000-00006E230000}"/>
    <cellStyle name="20% - Accent3 6 7 3 2" xfId="29380" xr:uid="{00000000-0005-0000-0000-00006F230000}"/>
    <cellStyle name="20% - Accent3 6 7 4" xfId="21734" xr:uid="{00000000-0005-0000-0000-000070230000}"/>
    <cellStyle name="20% - Accent3 6 8" xfId="2424" xr:uid="{00000000-0005-0000-0000-000071230000}"/>
    <cellStyle name="20% - Accent3 6 8 2" xfId="13738" xr:uid="{00000000-0005-0000-0000-000072230000}"/>
    <cellStyle name="20% - Accent3 6 8 2 2" xfId="25595" xr:uid="{00000000-0005-0000-0000-000073230000}"/>
    <cellStyle name="20% - Accent3 6 8 3" xfId="17689" xr:uid="{00000000-0005-0000-0000-000074230000}"/>
    <cellStyle name="20% - Accent3 6 8 3 2" xfId="29381" xr:uid="{00000000-0005-0000-0000-000075230000}"/>
    <cellStyle name="20% - Accent3 6 8 4" xfId="21735" xr:uid="{00000000-0005-0000-0000-000076230000}"/>
    <cellStyle name="20% - Accent3 6 9" xfId="13706" xr:uid="{00000000-0005-0000-0000-000077230000}"/>
    <cellStyle name="20% - Accent3 6 9 2" xfId="25563" xr:uid="{00000000-0005-0000-0000-000078230000}"/>
    <cellStyle name="20% - Accent3 6_Volatility" xfId="2425" xr:uid="{00000000-0005-0000-0000-000079230000}"/>
    <cellStyle name="20% - Accent3 7" xfId="2426" xr:uid="{00000000-0005-0000-0000-00007A230000}"/>
    <cellStyle name="20% - Accent3 7 10" xfId="17690" xr:uid="{00000000-0005-0000-0000-00007B230000}"/>
    <cellStyle name="20% - Accent3 7 10 2" xfId="29382" xr:uid="{00000000-0005-0000-0000-00007C230000}"/>
    <cellStyle name="20% - Accent3 7 11" xfId="21736" xr:uid="{00000000-0005-0000-0000-00007D230000}"/>
    <cellStyle name="20% - Accent3 7 2" xfId="2427" xr:uid="{00000000-0005-0000-0000-00007E230000}"/>
    <cellStyle name="20% - Accent3 7 2 2" xfId="2428" xr:uid="{00000000-0005-0000-0000-00007F230000}"/>
    <cellStyle name="20% - Accent3 7 2 2 2" xfId="2429" xr:uid="{00000000-0005-0000-0000-000080230000}"/>
    <cellStyle name="20% - Accent3 7 2 2 2 2" xfId="13742" xr:uid="{00000000-0005-0000-0000-000081230000}"/>
    <cellStyle name="20% - Accent3 7 2 2 2 2 2" xfId="25599" xr:uid="{00000000-0005-0000-0000-000082230000}"/>
    <cellStyle name="20% - Accent3 7 2 2 2 3" xfId="17693" xr:uid="{00000000-0005-0000-0000-000083230000}"/>
    <cellStyle name="20% - Accent3 7 2 2 2 3 2" xfId="29385" xr:uid="{00000000-0005-0000-0000-000084230000}"/>
    <cellStyle name="20% - Accent3 7 2 2 2 4" xfId="21739" xr:uid="{00000000-0005-0000-0000-000085230000}"/>
    <cellStyle name="20% - Accent3 7 2 2 3" xfId="2430" xr:uid="{00000000-0005-0000-0000-000086230000}"/>
    <cellStyle name="20% - Accent3 7 2 2 3 2" xfId="13743" xr:uid="{00000000-0005-0000-0000-000087230000}"/>
    <cellStyle name="20% - Accent3 7 2 2 3 2 2" xfId="25600" xr:uid="{00000000-0005-0000-0000-000088230000}"/>
    <cellStyle name="20% - Accent3 7 2 2 3 3" xfId="17694" xr:uid="{00000000-0005-0000-0000-000089230000}"/>
    <cellStyle name="20% - Accent3 7 2 2 3 3 2" xfId="29386" xr:uid="{00000000-0005-0000-0000-00008A230000}"/>
    <cellStyle name="20% - Accent3 7 2 2 3 4" xfId="21740" xr:uid="{00000000-0005-0000-0000-00008B230000}"/>
    <cellStyle name="20% - Accent3 7 2 2 4" xfId="13741" xr:uid="{00000000-0005-0000-0000-00008C230000}"/>
    <cellStyle name="20% - Accent3 7 2 2 4 2" xfId="25598" xr:uid="{00000000-0005-0000-0000-00008D230000}"/>
    <cellStyle name="20% - Accent3 7 2 2 5" xfId="17692" xr:uid="{00000000-0005-0000-0000-00008E230000}"/>
    <cellStyle name="20% - Accent3 7 2 2 5 2" xfId="29384" xr:uid="{00000000-0005-0000-0000-00008F230000}"/>
    <cellStyle name="20% - Accent3 7 2 2 6" xfId="21738" xr:uid="{00000000-0005-0000-0000-000090230000}"/>
    <cellStyle name="20% - Accent3 7 2 3" xfId="2431" xr:uid="{00000000-0005-0000-0000-000091230000}"/>
    <cellStyle name="20% - Accent3 7 2 3 2" xfId="2432" xr:uid="{00000000-0005-0000-0000-000092230000}"/>
    <cellStyle name="20% - Accent3 7 2 3 2 2" xfId="13745" xr:uid="{00000000-0005-0000-0000-000093230000}"/>
    <cellStyle name="20% - Accent3 7 2 3 2 2 2" xfId="25602" xr:uid="{00000000-0005-0000-0000-000094230000}"/>
    <cellStyle name="20% - Accent3 7 2 3 2 3" xfId="17696" xr:uid="{00000000-0005-0000-0000-000095230000}"/>
    <cellStyle name="20% - Accent3 7 2 3 2 3 2" xfId="29388" xr:uid="{00000000-0005-0000-0000-000096230000}"/>
    <cellStyle name="20% - Accent3 7 2 3 2 4" xfId="21742" xr:uid="{00000000-0005-0000-0000-000097230000}"/>
    <cellStyle name="20% - Accent3 7 2 3 3" xfId="2433" xr:uid="{00000000-0005-0000-0000-000098230000}"/>
    <cellStyle name="20% - Accent3 7 2 3 3 2" xfId="13746" xr:uid="{00000000-0005-0000-0000-000099230000}"/>
    <cellStyle name="20% - Accent3 7 2 3 3 2 2" xfId="25603" xr:uid="{00000000-0005-0000-0000-00009A230000}"/>
    <cellStyle name="20% - Accent3 7 2 3 3 3" xfId="17697" xr:uid="{00000000-0005-0000-0000-00009B230000}"/>
    <cellStyle name="20% - Accent3 7 2 3 3 3 2" xfId="29389" xr:uid="{00000000-0005-0000-0000-00009C230000}"/>
    <cellStyle name="20% - Accent3 7 2 3 3 4" xfId="21743" xr:uid="{00000000-0005-0000-0000-00009D230000}"/>
    <cellStyle name="20% - Accent3 7 2 3 4" xfId="13744" xr:uid="{00000000-0005-0000-0000-00009E230000}"/>
    <cellStyle name="20% - Accent3 7 2 3 4 2" xfId="25601" xr:uid="{00000000-0005-0000-0000-00009F230000}"/>
    <cellStyle name="20% - Accent3 7 2 3 5" xfId="17695" xr:uid="{00000000-0005-0000-0000-0000A0230000}"/>
    <cellStyle name="20% - Accent3 7 2 3 5 2" xfId="29387" xr:uid="{00000000-0005-0000-0000-0000A1230000}"/>
    <cellStyle name="20% - Accent3 7 2 3 6" xfId="21741" xr:uid="{00000000-0005-0000-0000-0000A2230000}"/>
    <cellStyle name="20% - Accent3 7 2 4" xfId="2434" xr:uid="{00000000-0005-0000-0000-0000A3230000}"/>
    <cellStyle name="20% - Accent3 7 2 4 2" xfId="2435" xr:uid="{00000000-0005-0000-0000-0000A4230000}"/>
    <cellStyle name="20% - Accent3 7 2 4 2 2" xfId="13748" xr:uid="{00000000-0005-0000-0000-0000A5230000}"/>
    <cellStyle name="20% - Accent3 7 2 4 2 2 2" xfId="25605" xr:uid="{00000000-0005-0000-0000-0000A6230000}"/>
    <cellStyle name="20% - Accent3 7 2 4 2 3" xfId="17699" xr:uid="{00000000-0005-0000-0000-0000A7230000}"/>
    <cellStyle name="20% - Accent3 7 2 4 2 3 2" xfId="29391" xr:uid="{00000000-0005-0000-0000-0000A8230000}"/>
    <cellStyle name="20% - Accent3 7 2 4 2 4" xfId="21745" xr:uid="{00000000-0005-0000-0000-0000A9230000}"/>
    <cellStyle name="20% - Accent3 7 2 4 3" xfId="2436" xr:uid="{00000000-0005-0000-0000-0000AA230000}"/>
    <cellStyle name="20% - Accent3 7 2 4 3 2" xfId="13749" xr:uid="{00000000-0005-0000-0000-0000AB230000}"/>
    <cellStyle name="20% - Accent3 7 2 4 3 2 2" xfId="25606" xr:uid="{00000000-0005-0000-0000-0000AC230000}"/>
    <cellStyle name="20% - Accent3 7 2 4 3 3" xfId="17700" xr:uid="{00000000-0005-0000-0000-0000AD230000}"/>
    <cellStyle name="20% - Accent3 7 2 4 3 3 2" xfId="29392" xr:uid="{00000000-0005-0000-0000-0000AE230000}"/>
    <cellStyle name="20% - Accent3 7 2 4 3 4" xfId="21746" xr:uid="{00000000-0005-0000-0000-0000AF230000}"/>
    <cellStyle name="20% - Accent3 7 2 4 4" xfId="13747" xr:uid="{00000000-0005-0000-0000-0000B0230000}"/>
    <cellStyle name="20% - Accent3 7 2 4 4 2" xfId="25604" xr:uid="{00000000-0005-0000-0000-0000B1230000}"/>
    <cellStyle name="20% - Accent3 7 2 4 5" xfId="17698" xr:uid="{00000000-0005-0000-0000-0000B2230000}"/>
    <cellStyle name="20% - Accent3 7 2 4 5 2" xfId="29390" xr:uid="{00000000-0005-0000-0000-0000B3230000}"/>
    <cellStyle name="20% - Accent3 7 2 4 6" xfId="21744" xr:uid="{00000000-0005-0000-0000-0000B4230000}"/>
    <cellStyle name="20% - Accent3 7 2 5" xfId="2437" xr:uid="{00000000-0005-0000-0000-0000B5230000}"/>
    <cellStyle name="20% - Accent3 7 2 5 2" xfId="13750" xr:uid="{00000000-0005-0000-0000-0000B6230000}"/>
    <cellStyle name="20% - Accent3 7 2 5 2 2" xfId="25607" xr:uid="{00000000-0005-0000-0000-0000B7230000}"/>
    <cellStyle name="20% - Accent3 7 2 5 3" xfId="17701" xr:uid="{00000000-0005-0000-0000-0000B8230000}"/>
    <cellStyle name="20% - Accent3 7 2 5 3 2" xfId="29393" xr:uid="{00000000-0005-0000-0000-0000B9230000}"/>
    <cellStyle name="20% - Accent3 7 2 5 4" xfId="21747" xr:uid="{00000000-0005-0000-0000-0000BA230000}"/>
    <cellStyle name="20% - Accent3 7 2 6" xfId="2438" xr:uid="{00000000-0005-0000-0000-0000BB230000}"/>
    <cellStyle name="20% - Accent3 7 2 6 2" xfId="13751" xr:uid="{00000000-0005-0000-0000-0000BC230000}"/>
    <cellStyle name="20% - Accent3 7 2 6 2 2" xfId="25608" xr:uid="{00000000-0005-0000-0000-0000BD230000}"/>
    <cellStyle name="20% - Accent3 7 2 6 3" xfId="17702" xr:uid="{00000000-0005-0000-0000-0000BE230000}"/>
    <cellStyle name="20% - Accent3 7 2 6 3 2" xfId="29394" xr:uid="{00000000-0005-0000-0000-0000BF230000}"/>
    <cellStyle name="20% - Accent3 7 2 6 4" xfId="21748" xr:uid="{00000000-0005-0000-0000-0000C0230000}"/>
    <cellStyle name="20% - Accent3 7 2 7" xfId="13740" xr:uid="{00000000-0005-0000-0000-0000C1230000}"/>
    <cellStyle name="20% - Accent3 7 2 7 2" xfId="25597" xr:uid="{00000000-0005-0000-0000-0000C2230000}"/>
    <cellStyle name="20% - Accent3 7 2 8" xfId="17691" xr:uid="{00000000-0005-0000-0000-0000C3230000}"/>
    <cellStyle name="20% - Accent3 7 2 8 2" xfId="29383" xr:uid="{00000000-0005-0000-0000-0000C4230000}"/>
    <cellStyle name="20% - Accent3 7 2 9" xfId="21737" xr:uid="{00000000-0005-0000-0000-0000C5230000}"/>
    <cellStyle name="20% - Accent3 7 2_Volatility" xfId="2439" xr:uid="{00000000-0005-0000-0000-0000C6230000}"/>
    <cellStyle name="20% - Accent3 7 3" xfId="2440" xr:uid="{00000000-0005-0000-0000-0000C7230000}"/>
    <cellStyle name="20% - Accent3 7 3 2" xfId="2441" xr:uid="{00000000-0005-0000-0000-0000C8230000}"/>
    <cellStyle name="20% - Accent3 7 3 2 2" xfId="2442" xr:uid="{00000000-0005-0000-0000-0000C9230000}"/>
    <cellStyle name="20% - Accent3 7 3 2 2 2" xfId="13754" xr:uid="{00000000-0005-0000-0000-0000CA230000}"/>
    <cellStyle name="20% - Accent3 7 3 2 2 2 2" xfId="25611" xr:uid="{00000000-0005-0000-0000-0000CB230000}"/>
    <cellStyle name="20% - Accent3 7 3 2 2 3" xfId="17705" xr:uid="{00000000-0005-0000-0000-0000CC230000}"/>
    <cellStyle name="20% - Accent3 7 3 2 2 3 2" xfId="29397" xr:uid="{00000000-0005-0000-0000-0000CD230000}"/>
    <cellStyle name="20% - Accent3 7 3 2 2 4" xfId="21751" xr:uid="{00000000-0005-0000-0000-0000CE230000}"/>
    <cellStyle name="20% - Accent3 7 3 2 3" xfId="2443" xr:uid="{00000000-0005-0000-0000-0000CF230000}"/>
    <cellStyle name="20% - Accent3 7 3 2 3 2" xfId="13755" xr:uid="{00000000-0005-0000-0000-0000D0230000}"/>
    <cellStyle name="20% - Accent3 7 3 2 3 2 2" xfId="25612" xr:uid="{00000000-0005-0000-0000-0000D1230000}"/>
    <cellStyle name="20% - Accent3 7 3 2 3 3" xfId="17706" xr:uid="{00000000-0005-0000-0000-0000D2230000}"/>
    <cellStyle name="20% - Accent3 7 3 2 3 3 2" xfId="29398" xr:uid="{00000000-0005-0000-0000-0000D3230000}"/>
    <cellStyle name="20% - Accent3 7 3 2 3 4" xfId="21752" xr:uid="{00000000-0005-0000-0000-0000D4230000}"/>
    <cellStyle name="20% - Accent3 7 3 2 4" xfId="13753" xr:uid="{00000000-0005-0000-0000-0000D5230000}"/>
    <cellStyle name="20% - Accent3 7 3 2 4 2" xfId="25610" xr:uid="{00000000-0005-0000-0000-0000D6230000}"/>
    <cellStyle name="20% - Accent3 7 3 2 5" xfId="17704" xr:uid="{00000000-0005-0000-0000-0000D7230000}"/>
    <cellStyle name="20% - Accent3 7 3 2 5 2" xfId="29396" xr:uid="{00000000-0005-0000-0000-0000D8230000}"/>
    <cellStyle name="20% - Accent3 7 3 2 6" xfId="21750" xr:uid="{00000000-0005-0000-0000-0000D9230000}"/>
    <cellStyle name="20% - Accent3 7 3 3" xfId="2444" xr:uid="{00000000-0005-0000-0000-0000DA230000}"/>
    <cellStyle name="20% - Accent3 7 3 3 2" xfId="2445" xr:uid="{00000000-0005-0000-0000-0000DB230000}"/>
    <cellStyle name="20% - Accent3 7 3 3 2 2" xfId="13757" xr:uid="{00000000-0005-0000-0000-0000DC230000}"/>
    <cellStyle name="20% - Accent3 7 3 3 2 2 2" xfId="25614" xr:uid="{00000000-0005-0000-0000-0000DD230000}"/>
    <cellStyle name="20% - Accent3 7 3 3 2 3" xfId="17708" xr:uid="{00000000-0005-0000-0000-0000DE230000}"/>
    <cellStyle name="20% - Accent3 7 3 3 2 3 2" xfId="29400" xr:uid="{00000000-0005-0000-0000-0000DF230000}"/>
    <cellStyle name="20% - Accent3 7 3 3 2 4" xfId="21754" xr:uid="{00000000-0005-0000-0000-0000E0230000}"/>
    <cellStyle name="20% - Accent3 7 3 3 3" xfId="2446" xr:uid="{00000000-0005-0000-0000-0000E1230000}"/>
    <cellStyle name="20% - Accent3 7 3 3 3 2" xfId="13758" xr:uid="{00000000-0005-0000-0000-0000E2230000}"/>
    <cellStyle name="20% - Accent3 7 3 3 3 2 2" xfId="25615" xr:uid="{00000000-0005-0000-0000-0000E3230000}"/>
    <cellStyle name="20% - Accent3 7 3 3 3 3" xfId="17709" xr:uid="{00000000-0005-0000-0000-0000E4230000}"/>
    <cellStyle name="20% - Accent3 7 3 3 3 3 2" xfId="29401" xr:uid="{00000000-0005-0000-0000-0000E5230000}"/>
    <cellStyle name="20% - Accent3 7 3 3 3 4" xfId="21755" xr:uid="{00000000-0005-0000-0000-0000E6230000}"/>
    <cellStyle name="20% - Accent3 7 3 3 4" xfId="13756" xr:uid="{00000000-0005-0000-0000-0000E7230000}"/>
    <cellStyle name="20% - Accent3 7 3 3 4 2" xfId="25613" xr:uid="{00000000-0005-0000-0000-0000E8230000}"/>
    <cellStyle name="20% - Accent3 7 3 3 5" xfId="17707" xr:uid="{00000000-0005-0000-0000-0000E9230000}"/>
    <cellStyle name="20% - Accent3 7 3 3 5 2" xfId="29399" xr:uid="{00000000-0005-0000-0000-0000EA230000}"/>
    <cellStyle name="20% - Accent3 7 3 3 6" xfId="21753" xr:uid="{00000000-0005-0000-0000-0000EB230000}"/>
    <cellStyle name="20% - Accent3 7 3 4" xfId="2447" xr:uid="{00000000-0005-0000-0000-0000EC230000}"/>
    <cellStyle name="20% - Accent3 7 3 4 2" xfId="13759" xr:uid="{00000000-0005-0000-0000-0000ED230000}"/>
    <cellStyle name="20% - Accent3 7 3 4 2 2" xfId="25616" xr:uid="{00000000-0005-0000-0000-0000EE230000}"/>
    <cellStyle name="20% - Accent3 7 3 4 3" xfId="17710" xr:uid="{00000000-0005-0000-0000-0000EF230000}"/>
    <cellStyle name="20% - Accent3 7 3 4 3 2" xfId="29402" xr:uid="{00000000-0005-0000-0000-0000F0230000}"/>
    <cellStyle name="20% - Accent3 7 3 4 4" xfId="21756" xr:uid="{00000000-0005-0000-0000-0000F1230000}"/>
    <cellStyle name="20% - Accent3 7 3 5" xfId="2448" xr:uid="{00000000-0005-0000-0000-0000F2230000}"/>
    <cellStyle name="20% - Accent3 7 3 5 2" xfId="13760" xr:uid="{00000000-0005-0000-0000-0000F3230000}"/>
    <cellStyle name="20% - Accent3 7 3 5 2 2" xfId="25617" xr:uid="{00000000-0005-0000-0000-0000F4230000}"/>
    <cellStyle name="20% - Accent3 7 3 5 3" xfId="17711" xr:uid="{00000000-0005-0000-0000-0000F5230000}"/>
    <cellStyle name="20% - Accent3 7 3 5 3 2" xfId="29403" xr:uid="{00000000-0005-0000-0000-0000F6230000}"/>
    <cellStyle name="20% - Accent3 7 3 5 4" xfId="21757" xr:uid="{00000000-0005-0000-0000-0000F7230000}"/>
    <cellStyle name="20% - Accent3 7 3 6" xfId="13752" xr:uid="{00000000-0005-0000-0000-0000F8230000}"/>
    <cellStyle name="20% - Accent3 7 3 6 2" xfId="25609" xr:uid="{00000000-0005-0000-0000-0000F9230000}"/>
    <cellStyle name="20% - Accent3 7 3 7" xfId="17703" xr:uid="{00000000-0005-0000-0000-0000FA230000}"/>
    <cellStyle name="20% - Accent3 7 3 7 2" xfId="29395" xr:uid="{00000000-0005-0000-0000-0000FB230000}"/>
    <cellStyle name="20% - Accent3 7 3 8" xfId="21749" xr:uid="{00000000-0005-0000-0000-0000FC230000}"/>
    <cellStyle name="20% - Accent3 7 3_Volatility" xfId="2449" xr:uid="{00000000-0005-0000-0000-0000FD230000}"/>
    <cellStyle name="20% - Accent3 7 4" xfId="2450" xr:uid="{00000000-0005-0000-0000-0000FE230000}"/>
    <cellStyle name="20% - Accent3 7 4 2" xfId="2451" xr:uid="{00000000-0005-0000-0000-0000FF230000}"/>
    <cellStyle name="20% - Accent3 7 4 2 2" xfId="13762" xr:uid="{00000000-0005-0000-0000-000000240000}"/>
    <cellStyle name="20% - Accent3 7 4 2 2 2" xfId="25619" xr:uid="{00000000-0005-0000-0000-000001240000}"/>
    <cellStyle name="20% - Accent3 7 4 2 3" xfId="17713" xr:uid="{00000000-0005-0000-0000-000002240000}"/>
    <cellStyle name="20% - Accent3 7 4 2 3 2" xfId="29405" xr:uid="{00000000-0005-0000-0000-000003240000}"/>
    <cellStyle name="20% - Accent3 7 4 2 4" xfId="21759" xr:uid="{00000000-0005-0000-0000-000004240000}"/>
    <cellStyle name="20% - Accent3 7 4 3" xfId="2452" xr:uid="{00000000-0005-0000-0000-000005240000}"/>
    <cellStyle name="20% - Accent3 7 4 3 2" xfId="13763" xr:uid="{00000000-0005-0000-0000-000006240000}"/>
    <cellStyle name="20% - Accent3 7 4 3 2 2" xfId="25620" xr:uid="{00000000-0005-0000-0000-000007240000}"/>
    <cellStyle name="20% - Accent3 7 4 3 3" xfId="17714" xr:uid="{00000000-0005-0000-0000-000008240000}"/>
    <cellStyle name="20% - Accent3 7 4 3 3 2" xfId="29406" xr:uid="{00000000-0005-0000-0000-000009240000}"/>
    <cellStyle name="20% - Accent3 7 4 3 4" xfId="21760" xr:uid="{00000000-0005-0000-0000-00000A240000}"/>
    <cellStyle name="20% - Accent3 7 4 4" xfId="13761" xr:uid="{00000000-0005-0000-0000-00000B240000}"/>
    <cellStyle name="20% - Accent3 7 4 4 2" xfId="25618" xr:uid="{00000000-0005-0000-0000-00000C240000}"/>
    <cellStyle name="20% - Accent3 7 4 5" xfId="17712" xr:uid="{00000000-0005-0000-0000-00000D240000}"/>
    <cellStyle name="20% - Accent3 7 4 5 2" xfId="29404" xr:uid="{00000000-0005-0000-0000-00000E240000}"/>
    <cellStyle name="20% - Accent3 7 4 6" xfId="21758" xr:uid="{00000000-0005-0000-0000-00000F240000}"/>
    <cellStyle name="20% - Accent3 7 5" xfId="2453" xr:uid="{00000000-0005-0000-0000-000010240000}"/>
    <cellStyle name="20% - Accent3 7 5 2" xfId="2454" xr:uid="{00000000-0005-0000-0000-000011240000}"/>
    <cellStyle name="20% - Accent3 7 5 2 2" xfId="13765" xr:uid="{00000000-0005-0000-0000-000012240000}"/>
    <cellStyle name="20% - Accent3 7 5 2 2 2" xfId="25622" xr:uid="{00000000-0005-0000-0000-000013240000}"/>
    <cellStyle name="20% - Accent3 7 5 2 3" xfId="17716" xr:uid="{00000000-0005-0000-0000-000014240000}"/>
    <cellStyle name="20% - Accent3 7 5 2 3 2" xfId="29408" xr:uid="{00000000-0005-0000-0000-000015240000}"/>
    <cellStyle name="20% - Accent3 7 5 2 4" xfId="21762" xr:uid="{00000000-0005-0000-0000-000016240000}"/>
    <cellStyle name="20% - Accent3 7 5 3" xfId="2455" xr:uid="{00000000-0005-0000-0000-000017240000}"/>
    <cellStyle name="20% - Accent3 7 5 3 2" xfId="13766" xr:uid="{00000000-0005-0000-0000-000018240000}"/>
    <cellStyle name="20% - Accent3 7 5 3 2 2" xfId="25623" xr:uid="{00000000-0005-0000-0000-000019240000}"/>
    <cellStyle name="20% - Accent3 7 5 3 3" xfId="17717" xr:uid="{00000000-0005-0000-0000-00001A240000}"/>
    <cellStyle name="20% - Accent3 7 5 3 3 2" xfId="29409" xr:uid="{00000000-0005-0000-0000-00001B240000}"/>
    <cellStyle name="20% - Accent3 7 5 3 4" xfId="21763" xr:uid="{00000000-0005-0000-0000-00001C240000}"/>
    <cellStyle name="20% - Accent3 7 5 4" xfId="13764" xr:uid="{00000000-0005-0000-0000-00001D240000}"/>
    <cellStyle name="20% - Accent3 7 5 4 2" xfId="25621" xr:uid="{00000000-0005-0000-0000-00001E240000}"/>
    <cellStyle name="20% - Accent3 7 5 5" xfId="17715" xr:uid="{00000000-0005-0000-0000-00001F240000}"/>
    <cellStyle name="20% - Accent3 7 5 5 2" xfId="29407" xr:uid="{00000000-0005-0000-0000-000020240000}"/>
    <cellStyle name="20% - Accent3 7 5 6" xfId="21761" xr:uid="{00000000-0005-0000-0000-000021240000}"/>
    <cellStyle name="20% - Accent3 7 6" xfId="2456" xr:uid="{00000000-0005-0000-0000-000022240000}"/>
    <cellStyle name="20% - Accent3 7 6 2" xfId="2457" xr:uid="{00000000-0005-0000-0000-000023240000}"/>
    <cellStyle name="20% - Accent3 7 6 2 2" xfId="13768" xr:uid="{00000000-0005-0000-0000-000024240000}"/>
    <cellStyle name="20% - Accent3 7 6 2 2 2" xfId="25625" xr:uid="{00000000-0005-0000-0000-000025240000}"/>
    <cellStyle name="20% - Accent3 7 6 2 3" xfId="17719" xr:uid="{00000000-0005-0000-0000-000026240000}"/>
    <cellStyle name="20% - Accent3 7 6 2 3 2" xfId="29411" xr:uid="{00000000-0005-0000-0000-000027240000}"/>
    <cellStyle name="20% - Accent3 7 6 2 4" xfId="21765" xr:uid="{00000000-0005-0000-0000-000028240000}"/>
    <cellStyle name="20% - Accent3 7 6 3" xfId="2458" xr:uid="{00000000-0005-0000-0000-000029240000}"/>
    <cellStyle name="20% - Accent3 7 6 3 2" xfId="13769" xr:uid="{00000000-0005-0000-0000-00002A240000}"/>
    <cellStyle name="20% - Accent3 7 6 3 2 2" xfId="25626" xr:uid="{00000000-0005-0000-0000-00002B240000}"/>
    <cellStyle name="20% - Accent3 7 6 3 3" xfId="17720" xr:uid="{00000000-0005-0000-0000-00002C240000}"/>
    <cellStyle name="20% - Accent3 7 6 3 3 2" xfId="29412" xr:uid="{00000000-0005-0000-0000-00002D240000}"/>
    <cellStyle name="20% - Accent3 7 6 3 4" xfId="21766" xr:uid="{00000000-0005-0000-0000-00002E240000}"/>
    <cellStyle name="20% - Accent3 7 6 4" xfId="13767" xr:uid="{00000000-0005-0000-0000-00002F240000}"/>
    <cellStyle name="20% - Accent3 7 6 4 2" xfId="25624" xr:uid="{00000000-0005-0000-0000-000030240000}"/>
    <cellStyle name="20% - Accent3 7 6 5" xfId="17718" xr:uid="{00000000-0005-0000-0000-000031240000}"/>
    <cellStyle name="20% - Accent3 7 6 5 2" xfId="29410" xr:uid="{00000000-0005-0000-0000-000032240000}"/>
    <cellStyle name="20% - Accent3 7 6 6" xfId="21764" xr:uid="{00000000-0005-0000-0000-000033240000}"/>
    <cellStyle name="20% - Accent3 7 7" xfId="2459" xr:uid="{00000000-0005-0000-0000-000034240000}"/>
    <cellStyle name="20% - Accent3 7 7 2" xfId="13770" xr:uid="{00000000-0005-0000-0000-000035240000}"/>
    <cellStyle name="20% - Accent3 7 7 2 2" xfId="25627" xr:uid="{00000000-0005-0000-0000-000036240000}"/>
    <cellStyle name="20% - Accent3 7 7 3" xfId="17721" xr:uid="{00000000-0005-0000-0000-000037240000}"/>
    <cellStyle name="20% - Accent3 7 7 3 2" xfId="29413" xr:uid="{00000000-0005-0000-0000-000038240000}"/>
    <cellStyle name="20% - Accent3 7 7 4" xfId="21767" xr:uid="{00000000-0005-0000-0000-000039240000}"/>
    <cellStyle name="20% - Accent3 7 8" xfId="2460" xr:uid="{00000000-0005-0000-0000-00003A240000}"/>
    <cellStyle name="20% - Accent3 7 8 2" xfId="13771" xr:uid="{00000000-0005-0000-0000-00003B240000}"/>
    <cellStyle name="20% - Accent3 7 8 2 2" xfId="25628" xr:uid="{00000000-0005-0000-0000-00003C240000}"/>
    <cellStyle name="20% - Accent3 7 8 3" xfId="17722" xr:uid="{00000000-0005-0000-0000-00003D240000}"/>
    <cellStyle name="20% - Accent3 7 8 3 2" xfId="29414" xr:uid="{00000000-0005-0000-0000-00003E240000}"/>
    <cellStyle name="20% - Accent3 7 8 4" xfId="21768" xr:uid="{00000000-0005-0000-0000-00003F240000}"/>
    <cellStyle name="20% - Accent3 7 9" xfId="13739" xr:uid="{00000000-0005-0000-0000-000040240000}"/>
    <cellStyle name="20% - Accent3 7 9 2" xfId="25596" xr:uid="{00000000-0005-0000-0000-000041240000}"/>
    <cellStyle name="20% - Accent3 7_Volatility" xfId="2461" xr:uid="{00000000-0005-0000-0000-000042240000}"/>
    <cellStyle name="20% - Accent3 8" xfId="2462" xr:uid="{00000000-0005-0000-0000-000043240000}"/>
    <cellStyle name="20% - Accent3 8 10" xfId="17723" xr:uid="{00000000-0005-0000-0000-000044240000}"/>
    <cellStyle name="20% - Accent3 8 10 2" xfId="29415" xr:uid="{00000000-0005-0000-0000-000045240000}"/>
    <cellStyle name="20% - Accent3 8 11" xfId="21769" xr:uid="{00000000-0005-0000-0000-000046240000}"/>
    <cellStyle name="20% - Accent3 8 2" xfId="2463" xr:uid="{00000000-0005-0000-0000-000047240000}"/>
    <cellStyle name="20% - Accent3 8 2 2" xfId="2464" xr:uid="{00000000-0005-0000-0000-000048240000}"/>
    <cellStyle name="20% - Accent3 8 2 2 2" xfId="2465" xr:uid="{00000000-0005-0000-0000-000049240000}"/>
    <cellStyle name="20% - Accent3 8 2 2 2 2" xfId="13775" xr:uid="{00000000-0005-0000-0000-00004A240000}"/>
    <cellStyle name="20% - Accent3 8 2 2 2 2 2" xfId="25632" xr:uid="{00000000-0005-0000-0000-00004B240000}"/>
    <cellStyle name="20% - Accent3 8 2 2 2 3" xfId="17726" xr:uid="{00000000-0005-0000-0000-00004C240000}"/>
    <cellStyle name="20% - Accent3 8 2 2 2 3 2" xfId="29418" xr:uid="{00000000-0005-0000-0000-00004D240000}"/>
    <cellStyle name="20% - Accent3 8 2 2 2 4" xfId="21772" xr:uid="{00000000-0005-0000-0000-00004E240000}"/>
    <cellStyle name="20% - Accent3 8 2 2 3" xfId="2466" xr:uid="{00000000-0005-0000-0000-00004F240000}"/>
    <cellStyle name="20% - Accent3 8 2 2 3 2" xfId="13776" xr:uid="{00000000-0005-0000-0000-000050240000}"/>
    <cellStyle name="20% - Accent3 8 2 2 3 2 2" xfId="25633" xr:uid="{00000000-0005-0000-0000-000051240000}"/>
    <cellStyle name="20% - Accent3 8 2 2 3 3" xfId="17727" xr:uid="{00000000-0005-0000-0000-000052240000}"/>
    <cellStyle name="20% - Accent3 8 2 2 3 3 2" xfId="29419" xr:uid="{00000000-0005-0000-0000-000053240000}"/>
    <cellStyle name="20% - Accent3 8 2 2 3 4" xfId="21773" xr:uid="{00000000-0005-0000-0000-000054240000}"/>
    <cellStyle name="20% - Accent3 8 2 2 4" xfId="13774" xr:uid="{00000000-0005-0000-0000-000055240000}"/>
    <cellStyle name="20% - Accent3 8 2 2 4 2" xfId="25631" xr:uid="{00000000-0005-0000-0000-000056240000}"/>
    <cellStyle name="20% - Accent3 8 2 2 5" xfId="17725" xr:uid="{00000000-0005-0000-0000-000057240000}"/>
    <cellStyle name="20% - Accent3 8 2 2 5 2" xfId="29417" xr:uid="{00000000-0005-0000-0000-000058240000}"/>
    <cellStyle name="20% - Accent3 8 2 2 6" xfId="21771" xr:uid="{00000000-0005-0000-0000-000059240000}"/>
    <cellStyle name="20% - Accent3 8 2 3" xfId="2467" xr:uid="{00000000-0005-0000-0000-00005A240000}"/>
    <cellStyle name="20% - Accent3 8 2 3 2" xfId="2468" xr:uid="{00000000-0005-0000-0000-00005B240000}"/>
    <cellStyle name="20% - Accent3 8 2 3 2 2" xfId="13778" xr:uid="{00000000-0005-0000-0000-00005C240000}"/>
    <cellStyle name="20% - Accent3 8 2 3 2 2 2" xfId="25635" xr:uid="{00000000-0005-0000-0000-00005D240000}"/>
    <cellStyle name="20% - Accent3 8 2 3 2 3" xfId="17729" xr:uid="{00000000-0005-0000-0000-00005E240000}"/>
    <cellStyle name="20% - Accent3 8 2 3 2 3 2" xfId="29421" xr:uid="{00000000-0005-0000-0000-00005F240000}"/>
    <cellStyle name="20% - Accent3 8 2 3 2 4" xfId="21775" xr:uid="{00000000-0005-0000-0000-000060240000}"/>
    <cellStyle name="20% - Accent3 8 2 3 3" xfId="2469" xr:uid="{00000000-0005-0000-0000-000061240000}"/>
    <cellStyle name="20% - Accent3 8 2 3 3 2" xfId="13779" xr:uid="{00000000-0005-0000-0000-000062240000}"/>
    <cellStyle name="20% - Accent3 8 2 3 3 2 2" xfId="25636" xr:uid="{00000000-0005-0000-0000-000063240000}"/>
    <cellStyle name="20% - Accent3 8 2 3 3 3" xfId="17730" xr:uid="{00000000-0005-0000-0000-000064240000}"/>
    <cellStyle name="20% - Accent3 8 2 3 3 3 2" xfId="29422" xr:uid="{00000000-0005-0000-0000-000065240000}"/>
    <cellStyle name="20% - Accent3 8 2 3 3 4" xfId="21776" xr:uid="{00000000-0005-0000-0000-000066240000}"/>
    <cellStyle name="20% - Accent3 8 2 3 4" xfId="13777" xr:uid="{00000000-0005-0000-0000-000067240000}"/>
    <cellStyle name="20% - Accent3 8 2 3 4 2" xfId="25634" xr:uid="{00000000-0005-0000-0000-000068240000}"/>
    <cellStyle name="20% - Accent3 8 2 3 5" xfId="17728" xr:uid="{00000000-0005-0000-0000-000069240000}"/>
    <cellStyle name="20% - Accent3 8 2 3 5 2" xfId="29420" xr:uid="{00000000-0005-0000-0000-00006A240000}"/>
    <cellStyle name="20% - Accent3 8 2 3 6" xfId="21774" xr:uid="{00000000-0005-0000-0000-00006B240000}"/>
    <cellStyle name="20% - Accent3 8 2 4" xfId="2470" xr:uid="{00000000-0005-0000-0000-00006C240000}"/>
    <cellStyle name="20% - Accent3 8 2 4 2" xfId="2471" xr:uid="{00000000-0005-0000-0000-00006D240000}"/>
    <cellStyle name="20% - Accent3 8 2 4 2 2" xfId="13781" xr:uid="{00000000-0005-0000-0000-00006E240000}"/>
    <cellStyle name="20% - Accent3 8 2 4 2 2 2" xfId="25638" xr:uid="{00000000-0005-0000-0000-00006F240000}"/>
    <cellStyle name="20% - Accent3 8 2 4 2 3" xfId="17732" xr:uid="{00000000-0005-0000-0000-000070240000}"/>
    <cellStyle name="20% - Accent3 8 2 4 2 3 2" xfId="29424" xr:uid="{00000000-0005-0000-0000-000071240000}"/>
    <cellStyle name="20% - Accent3 8 2 4 2 4" xfId="21778" xr:uid="{00000000-0005-0000-0000-000072240000}"/>
    <cellStyle name="20% - Accent3 8 2 4 3" xfId="2472" xr:uid="{00000000-0005-0000-0000-000073240000}"/>
    <cellStyle name="20% - Accent3 8 2 4 3 2" xfId="13782" xr:uid="{00000000-0005-0000-0000-000074240000}"/>
    <cellStyle name="20% - Accent3 8 2 4 3 2 2" xfId="25639" xr:uid="{00000000-0005-0000-0000-000075240000}"/>
    <cellStyle name="20% - Accent3 8 2 4 3 3" xfId="17733" xr:uid="{00000000-0005-0000-0000-000076240000}"/>
    <cellStyle name="20% - Accent3 8 2 4 3 3 2" xfId="29425" xr:uid="{00000000-0005-0000-0000-000077240000}"/>
    <cellStyle name="20% - Accent3 8 2 4 3 4" xfId="21779" xr:uid="{00000000-0005-0000-0000-000078240000}"/>
    <cellStyle name="20% - Accent3 8 2 4 4" xfId="13780" xr:uid="{00000000-0005-0000-0000-000079240000}"/>
    <cellStyle name="20% - Accent3 8 2 4 4 2" xfId="25637" xr:uid="{00000000-0005-0000-0000-00007A240000}"/>
    <cellStyle name="20% - Accent3 8 2 4 5" xfId="17731" xr:uid="{00000000-0005-0000-0000-00007B240000}"/>
    <cellStyle name="20% - Accent3 8 2 4 5 2" xfId="29423" xr:uid="{00000000-0005-0000-0000-00007C240000}"/>
    <cellStyle name="20% - Accent3 8 2 4 6" xfId="21777" xr:uid="{00000000-0005-0000-0000-00007D240000}"/>
    <cellStyle name="20% - Accent3 8 2 5" xfId="2473" xr:uid="{00000000-0005-0000-0000-00007E240000}"/>
    <cellStyle name="20% - Accent3 8 2 5 2" xfId="13783" xr:uid="{00000000-0005-0000-0000-00007F240000}"/>
    <cellStyle name="20% - Accent3 8 2 5 2 2" xfId="25640" xr:uid="{00000000-0005-0000-0000-000080240000}"/>
    <cellStyle name="20% - Accent3 8 2 5 3" xfId="17734" xr:uid="{00000000-0005-0000-0000-000081240000}"/>
    <cellStyle name="20% - Accent3 8 2 5 3 2" xfId="29426" xr:uid="{00000000-0005-0000-0000-000082240000}"/>
    <cellStyle name="20% - Accent3 8 2 5 4" xfId="21780" xr:uid="{00000000-0005-0000-0000-000083240000}"/>
    <cellStyle name="20% - Accent3 8 2 6" xfId="2474" xr:uid="{00000000-0005-0000-0000-000084240000}"/>
    <cellStyle name="20% - Accent3 8 2 6 2" xfId="13784" xr:uid="{00000000-0005-0000-0000-000085240000}"/>
    <cellStyle name="20% - Accent3 8 2 6 2 2" xfId="25641" xr:uid="{00000000-0005-0000-0000-000086240000}"/>
    <cellStyle name="20% - Accent3 8 2 6 3" xfId="17735" xr:uid="{00000000-0005-0000-0000-000087240000}"/>
    <cellStyle name="20% - Accent3 8 2 6 3 2" xfId="29427" xr:uid="{00000000-0005-0000-0000-000088240000}"/>
    <cellStyle name="20% - Accent3 8 2 6 4" xfId="21781" xr:uid="{00000000-0005-0000-0000-000089240000}"/>
    <cellStyle name="20% - Accent3 8 2 7" xfId="13773" xr:uid="{00000000-0005-0000-0000-00008A240000}"/>
    <cellStyle name="20% - Accent3 8 2 7 2" xfId="25630" xr:uid="{00000000-0005-0000-0000-00008B240000}"/>
    <cellStyle name="20% - Accent3 8 2 8" xfId="17724" xr:uid="{00000000-0005-0000-0000-00008C240000}"/>
    <cellStyle name="20% - Accent3 8 2 8 2" xfId="29416" xr:uid="{00000000-0005-0000-0000-00008D240000}"/>
    <cellStyle name="20% - Accent3 8 2 9" xfId="21770" xr:uid="{00000000-0005-0000-0000-00008E240000}"/>
    <cellStyle name="20% - Accent3 8 2_Volatility" xfId="2475" xr:uid="{00000000-0005-0000-0000-00008F240000}"/>
    <cellStyle name="20% - Accent3 8 3" xfId="2476" xr:uid="{00000000-0005-0000-0000-000090240000}"/>
    <cellStyle name="20% - Accent3 8 3 2" xfId="2477" xr:uid="{00000000-0005-0000-0000-000091240000}"/>
    <cellStyle name="20% - Accent3 8 3 2 2" xfId="2478" xr:uid="{00000000-0005-0000-0000-000092240000}"/>
    <cellStyle name="20% - Accent3 8 3 2 2 2" xfId="13787" xr:uid="{00000000-0005-0000-0000-000093240000}"/>
    <cellStyle name="20% - Accent3 8 3 2 2 2 2" xfId="25644" xr:uid="{00000000-0005-0000-0000-000094240000}"/>
    <cellStyle name="20% - Accent3 8 3 2 2 3" xfId="17738" xr:uid="{00000000-0005-0000-0000-000095240000}"/>
    <cellStyle name="20% - Accent3 8 3 2 2 3 2" xfId="29430" xr:uid="{00000000-0005-0000-0000-000096240000}"/>
    <cellStyle name="20% - Accent3 8 3 2 2 4" xfId="21784" xr:uid="{00000000-0005-0000-0000-000097240000}"/>
    <cellStyle name="20% - Accent3 8 3 2 3" xfId="2479" xr:uid="{00000000-0005-0000-0000-000098240000}"/>
    <cellStyle name="20% - Accent3 8 3 2 3 2" xfId="13788" xr:uid="{00000000-0005-0000-0000-000099240000}"/>
    <cellStyle name="20% - Accent3 8 3 2 3 2 2" xfId="25645" xr:uid="{00000000-0005-0000-0000-00009A240000}"/>
    <cellStyle name="20% - Accent3 8 3 2 3 3" xfId="17739" xr:uid="{00000000-0005-0000-0000-00009B240000}"/>
    <cellStyle name="20% - Accent3 8 3 2 3 3 2" xfId="29431" xr:uid="{00000000-0005-0000-0000-00009C240000}"/>
    <cellStyle name="20% - Accent3 8 3 2 3 4" xfId="21785" xr:uid="{00000000-0005-0000-0000-00009D240000}"/>
    <cellStyle name="20% - Accent3 8 3 2 4" xfId="13786" xr:uid="{00000000-0005-0000-0000-00009E240000}"/>
    <cellStyle name="20% - Accent3 8 3 2 4 2" xfId="25643" xr:uid="{00000000-0005-0000-0000-00009F240000}"/>
    <cellStyle name="20% - Accent3 8 3 2 5" xfId="17737" xr:uid="{00000000-0005-0000-0000-0000A0240000}"/>
    <cellStyle name="20% - Accent3 8 3 2 5 2" xfId="29429" xr:uid="{00000000-0005-0000-0000-0000A1240000}"/>
    <cellStyle name="20% - Accent3 8 3 2 6" xfId="21783" xr:uid="{00000000-0005-0000-0000-0000A2240000}"/>
    <cellStyle name="20% - Accent3 8 3 3" xfId="2480" xr:uid="{00000000-0005-0000-0000-0000A3240000}"/>
    <cellStyle name="20% - Accent3 8 3 3 2" xfId="2481" xr:uid="{00000000-0005-0000-0000-0000A4240000}"/>
    <cellStyle name="20% - Accent3 8 3 3 2 2" xfId="13790" xr:uid="{00000000-0005-0000-0000-0000A5240000}"/>
    <cellStyle name="20% - Accent3 8 3 3 2 2 2" xfId="25647" xr:uid="{00000000-0005-0000-0000-0000A6240000}"/>
    <cellStyle name="20% - Accent3 8 3 3 2 3" xfId="17741" xr:uid="{00000000-0005-0000-0000-0000A7240000}"/>
    <cellStyle name="20% - Accent3 8 3 3 2 3 2" xfId="29433" xr:uid="{00000000-0005-0000-0000-0000A8240000}"/>
    <cellStyle name="20% - Accent3 8 3 3 2 4" xfId="21787" xr:uid="{00000000-0005-0000-0000-0000A9240000}"/>
    <cellStyle name="20% - Accent3 8 3 3 3" xfId="2482" xr:uid="{00000000-0005-0000-0000-0000AA240000}"/>
    <cellStyle name="20% - Accent3 8 3 3 3 2" xfId="13791" xr:uid="{00000000-0005-0000-0000-0000AB240000}"/>
    <cellStyle name="20% - Accent3 8 3 3 3 2 2" xfId="25648" xr:uid="{00000000-0005-0000-0000-0000AC240000}"/>
    <cellStyle name="20% - Accent3 8 3 3 3 3" xfId="17742" xr:uid="{00000000-0005-0000-0000-0000AD240000}"/>
    <cellStyle name="20% - Accent3 8 3 3 3 3 2" xfId="29434" xr:uid="{00000000-0005-0000-0000-0000AE240000}"/>
    <cellStyle name="20% - Accent3 8 3 3 3 4" xfId="21788" xr:uid="{00000000-0005-0000-0000-0000AF240000}"/>
    <cellStyle name="20% - Accent3 8 3 3 4" xfId="13789" xr:uid="{00000000-0005-0000-0000-0000B0240000}"/>
    <cellStyle name="20% - Accent3 8 3 3 4 2" xfId="25646" xr:uid="{00000000-0005-0000-0000-0000B1240000}"/>
    <cellStyle name="20% - Accent3 8 3 3 5" xfId="17740" xr:uid="{00000000-0005-0000-0000-0000B2240000}"/>
    <cellStyle name="20% - Accent3 8 3 3 5 2" xfId="29432" xr:uid="{00000000-0005-0000-0000-0000B3240000}"/>
    <cellStyle name="20% - Accent3 8 3 3 6" xfId="21786" xr:uid="{00000000-0005-0000-0000-0000B4240000}"/>
    <cellStyle name="20% - Accent3 8 3 4" xfId="2483" xr:uid="{00000000-0005-0000-0000-0000B5240000}"/>
    <cellStyle name="20% - Accent3 8 3 4 2" xfId="13792" xr:uid="{00000000-0005-0000-0000-0000B6240000}"/>
    <cellStyle name="20% - Accent3 8 3 4 2 2" xfId="25649" xr:uid="{00000000-0005-0000-0000-0000B7240000}"/>
    <cellStyle name="20% - Accent3 8 3 4 3" xfId="17743" xr:uid="{00000000-0005-0000-0000-0000B8240000}"/>
    <cellStyle name="20% - Accent3 8 3 4 3 2" xfId="29435" xr:uid="{00000000-0005-0000-0000-0000B9240000}"/>
    <cellStyle name="20% - Accent3 8 3 4 4" xfId="21789" xr:uid="{00000000-0005-0000-0000-0000BA240000}"/>
    <cellStyle name="20% - Accent3 8 3 5" xfId="2484" xr:uid="{00000000-0005-0000-0000-0000BB240000}"/>
    <cellStyle name="20% - Accent3 8 3 5 2" xfId="13793" xr:uid="{00000000-0005-0000-0000-0000BC240000}"/>
    <cellStyle name="20% - Accent3 8 3 5 2 2" xfId="25650" xr:uid="{00000000-0005-0000-0000-0000BD240000}"/>
    <cellStyle name="20% - Accent3 8 3 5 3" xfId="17744" xr:uid="{00000000-0005-0000-0000-0000BE240000}"/>
    <cellStyle name="20% - Accent3 8 3 5 3 2" xfId="29436" xr:uid="{00000000-0005-0000-0000-0000BF240000}"/>
    <cellStyle name="20% - Accent3 8 3 5 4" xfId="21790" xr:uid="{00000000-0005-0000-0000-0000C0240000}"/>
    <cellStyle name="20% - Accent3 8 3 6" xfId="13785" xr:uid="{00000000-0005-0000-0000-0000C1240000}"/>
    <cellStyle name="20% - Accent3 8 3 6 2" xfId="25642" xr:uid="{00000000-0005-0000-0000-0000C2240000}"/>
    <cellStyle name="20% - Accent3 8 3 7" xfId="17736" xr:uid="{00000000-0005-0000-0000-0000C3240000}"/>
    <cellStyle name="20% - Accent3 8 3 7 2" xfId="29428" xr:uid="{00000000-0005-0000-0000-0000C4240000}"/>
    <cellStyle name="20% - Accent3 8 3 8" xfId="21782" xr:uid="{00000000-0005-0000-0000-0000C5240000}"/>
    <cellStyle name="20% - Accent3 8 3_Volatility" xfId="2485" xr:uid="{00000000-0005-0000-0000-0000C6240000}"/>
    <cellStyle name="20% - Accent3 8 4" xfId="2486" xr:uid="{00000000-0005-0000-0000-0000C7240000}"/>
    <cellStyle name="20% - Accent3 8 4 2" xfId="2487" xr:uid="{00000000-0005-0000-0000-0000C8240000}"/>
    <cellStyle name="20% - Accent3 8 4 2 2" xfId="13795" xr:uid="{00000000-0005-0000-0000-0000C9240000}"/>
    <cellStyle name="20% - Accent3 8 4 2 2 2" xfId="25652" xr:uid="{00000000-0005-0000-0000-0000CA240000}"/>
    <cellStyle name="20% - Accent3 8 4 2 3" xfId="17746" xr:uid="{00000000-0005-0000-0000-0000CB240000}"/>
    <cellStyle name="20% - Accent3 8 4 2 3 2" xfId="29438" xr:uid="{00000000-0005-0000-0000-0000CC240000}"/>
    <cellStyle name="20% - Accent3 8 4 2 4" xfId="21792" xr:uid="{00000000-0005-0000-0000-0000CD240000}"/>
    <cellStyle name="20% - Accent3 8 4 3" xfId="2488" xr:uid="{00000000-0005-0000-0000-0000CE240000}"/>
    <cellStyle name="20% - Accent3 8 4 3 2" xfId="13796" xr:uid="{00000000-0005-0000-0000-0000CF240000}"/>
    <cellStyle name="20% - Accent3 8 4 3 2 2" xfId="25653" xr:uid="{00000000-0005-0000-0000-0000D0240000}"/>
    <cellStyle name="20% - Accent3 8 4 3 3" xfId="17747" xr:uid="{00000000-0005-0000-0000-0000D1240000}"/>
    <cellStyle name="20% - Accent3 8 4 3 3 2" xfId="29439" xr:uid="{00000000-0005-0000-0000-0000D2240000}"/>
    <cellStyle name="20% - Accent3 8 4 3 4" xfId="21793" xr:uid="{00000000-0005-0000-0000-0000D3240000}"/>
    <cellStyle name="20% - Accent3 8 4 4" xfId="13794" xr:uid="{00000000-0005-0000-0000-0000D4240000}"/>
    <cellStyle name="20% - Accent3 8 4 4 2" xfId="25651" xr:uid="{00000000-0005-0000-0000-0000D5240000}"/>
    <cellStyle name="20% - Accent3 8 4 5" xfId="17745" xr:uid="{00000000-0005-0000-0000-0000D6240000}"/>
    <cellStyle name="20% - Accent3 8 4 5 2" xfId="29437" xr:uid="{00000000-0005-0000-0000-0000D7240000}"/>
    <cellStyle name="20% - Accent3 8 4 6" xfId="21791" xr:uid="{00000000-0005-0000-0000-0000D8240000}"/>
    <cellStyle name="20% - Accent3 8 5" xfId="2489" xr:uid="{00000000-0005-0000-0000-0000D9240000}"/>
    <cellStyle name="20% - Accent3 8 5 2" xfId="2490" xr:uid="{00000000-0005-0000-0000-0000DA240000}"/>
    <cellStyle name="20% - Accent3 8 5 2 2" xfId="13798" xr:uid="{00000000-0005-0000-0000-0000DB240000}"/>
    <cellStyle name="20% - Accent3 8 5 2 2 2" xfId="25655" xr:uid="{00000000-0005-0000-0000-0000DC240000}"/>
    <cellStyle name="20% - Accent3 8 5 2 3" xfId="17749" xr:uid="{00000000-0005-0000-0000-0000DD240000}"/>
    <cellStyle name="20% - Accent3 8 5 2 3 2" xfId="29441" xr:uid="{00000000-0005-0000-0000-0000DE240000}"/>
    <cellStyle name="20% - Accent3 8 5 2 4" xfId="21795" xr:uid="{00000000-0005-0000-0000-0000DF240000}"/>
    <cellStyle name="20% - Accent3 8 5 3" xfId="2491" xr:uid="{00000000-0005-0000-0000-0000E0240000}"/>
    <cellStyle name="20% - Accent3 8 5 3 2" xfId="13799" xr:uid="{00000000-0005-0000-0000-0000E1240000}"/>
    <cellStyle name="20% - Accent3 8 5 3 2 2" xfId="25656" xr:uid="{00000000-0005-0000-0000-0000E2240000}"/>
    <cellStyle name="20% - Accent3 8 5 3 3" xfId="17750" xr:uid="{00000000-0005-0000-0000-0000E3240000}"/>
    <cellStyle name="20% - Accent3 8 5 3 3 2" xfId="29442" xr:uid="{00000000-0005-0000-0000-0000E4240000}"/>
    <cellStyle name="20% - Accent3 8 5 3 4" xfId="21796" xr:uid="{00000000-0005-0000-0000-0000E5240000}"/>
    <cellStyle name="20% - Accent3 8 5 4" xfId="13797" xr:uid="{00000000-0005-0000-0000-0000E6240000}"/>
    <cellStyle name="20% - Accent3 8 5 4 2" xfId="25654" xr:uid="{00000000-0005-0000-0000-0000E7240000}"/>
    <cellStyle name="20% - Accent3 8 5 5" xfId="17748" xr:uid="{00000000-0005-0000-0000-0000E8240000}"/>
    <cellStyle name="20% - Accent3 8 5 5 2" xfId="29440" xr:uid="{00000000-0005-0000-0000-0000E9240000}"/>
    <cellStyle name="20% - Accent3 8 5 6" xfId="21794" xr:uid="{00000000-0005-0000-0000-0000EA240000}"/>
    <cellStyle name="20% - Accent3 8 6" xfId="2492" xr:uid="{00000000-0005-0000-0000-0000EB240000}"/>
    <cellStyle name="20% - Accent3 8 6 2" xfId="2493" xr:uid="{00000000-0005-0000-0000-0000EC240000}"/>
    <cellStyle name="20% - Accent3 8 6 2 2" xfId="13801" xr:uid="{00000000-0005-0000-0000-0000ED240000}"/>
    <cellStyle name="20% - Accent3 8 6 2 2 2" xfId="25658" xr:uid="{00000000-0005-0000-0000-0000EE240000}"/>
    <cellStyle name="20% - Accent3 8 6 2 3" xfId="17752" xr:uid="{00000000-0005-0000-0000-0000EF240000}"/>
    <cellStyle name="20% - Accent3 8 6 2 3 2" xfId="29444" xr:uid="{00000000-0005-0000-0000-0000F0240000}"/>
    <cellStyle name="20% - Accent3 8 6 2 4" xfId="21798" xr:uid="{00000000-0005-0000-0000-0000F1240000}"/>
    <cellStyle name="20% - Accent3 8 6 3" xfId="2494" xr:uid="{00000000-0005-0000-0000-0000F2240000}"/>
    <cellStyle name="20% - Accent3 8 6 3 2" xfId="13802" xr:uid="{00000000-0005-0000-0000-0000F3240000}"/>
    <cellStyle name="20% - Accent3 8 6 3 2 2" xfId="25659" xr:uid="{00000000-0005-0000-0000-0000F4240000}"/>
    <cellStyle name="20% - Accent3 8 6 3 3" xfId="17753" xr:uid="{00000000-0005-0000-0000-0000F5240000}"/>
    <cellStyle name="20% - Accent3 8 6 3 3 2" xfId="29445" xr:uid="{00000000-0005-0000-0000-0000F6240000}"/>
    <cellStyle name="20% - Accent3 8 6 3 4" xfId="21799" xr:uid="{00000000-0005-0000-0000-0000F7240000}"/>
    <cellStyle name="20% - Accent3 8 6 4" xfId="13800" xr:uid="{00000000-0005-0000-0000-0000F8240000}"/>
    <cellStyle name="20% - Accent3 8 6 4 2" xfId="25657" xr:uid="{00000000-0005-0000-0000-0000F9240000}"/>
    <cellStyle name="20% - Accent3 8 6 5" xfId="17751" xr:uid="{00000000-0005-0000-0000-0000FA240000}"/>
    <cellStyle name="20% - Accent3 8 6 5 2" xfId="29443" xr:uid="{00000000-0005-0000-0000-0000FB240000}"/>
    <cellStyle name="20% - Accent3 8 6 6" xfId="21797" xr:uid="{00000000-0005-0000-0000-0000FC240000}"/>
    <cellStyle name="20% - Accent3 8 7" xfId="2495" xr:uid="{00000000-0005-0000-0000-0000FD240000}"/>
    <cellStyle name="20% - Accent3 8 7 2" xfId="13803" xr:uid="{00000000-0005-0000-0000-0000FE240000}"/>
    <cellStyle name="20% - Accent3 8 7 2 2" xfId="25660" xr:uid="{00000000-0005-0000-0000-0000FF240000}"/>
    <cellStyle name="20% - Accent3 8 7 3" xfId="17754" xr:uid="{00000000-0005-0000-0000-000000250000}"/>
    <cellStyle name="20% - Accent3 8 7 3 2" xfId="29446" xr:uid="{00000000-0005-0000-0000-000001250000}"/>
    <cellStyle name="20% - Accent3 8 7 4" xfId="21800" xr:uid="{00000000-0005-0000-0000-000002250000}"/>
    <cellStyle name="20% - Accent3 8 8" xfId="2496" xr:uid="{00000000-0005-0000-0000-000003250000}"/>
    <cellStyle name="20% - Accent3 8 8 2" xfId="13804" xr:uid="{00000000-0005-0000-0000-000004250000}"/>
    <cellStyle name="20% - Accent3 8 8 2 2" xfId="25661" xr:uid="{00000000-0005-0000-0000-000005250000}"/>
    <cellStyle name="20% - Accent3 8 8 3" xfId="17755" xr:uid="{00000000-0005-0000-0000-000006250000}"/>
    <cellStyle name="20% - Accent3 8 8 3 2" xfId="29447" xr:uid="{00000000-0005-0000-0000-000007250000}"/>
    <cellStyle name="20% - Accent3 8 8 4" xfId="21801" xr:uid="{00000000-0005-0000-0000-000008250000}"/>
    <cellStyle name="20% - Accent3 8 9" xfId="13772" xr:uid="{00000000-0005-0000-0000-000009250000}"/>
    <cellStyle name="20% - Accent3 8 9 2" xfId="25629" xr:uid="{00000000-0005-0000-0000-00000A250000}"/>
    <cellStyle name="20% - Accent3 8_Volatility" xfId="2497" xr:uid="{00000000-0005-0000-0000-00000B250000}"/>
    <cellStyle name="20% - Accent3 9" xfId="2498" xr:uid="{00000000-0005-0000-0000-00000C250000}"/>
    <cellStyle name="20% - Accent3 9 10" xfId="17756" xr:uid="{00000000-0005-0000-0000-00000D250000}"/>
    <cellStyle name="20% - Accent3 9 10 2" xfId="29448" xr:uid="{00000000-0005-0000-0000-00000E250000}"/>
    <cellStyle name="20% - Accent3 9 11" xfId="21802" xr:uid="{00000000-0005-0000-0000-00000F250000}"/>
    <cellStyle name="20% - Accent3 9 2" xfId="2499" xr:uid="{00000000-0005-0000-0000-000010250000}"/>
    <cellStyle name="20% - Accent3 9 2 2" xfId="2500" xr:uid="{00000000-0005-0000-0000-000011250000}"/>
    <cellStyle name="20% - Accent3 9 2 2 2" xfId="2501" xr:uid="{00000000-0005-0000-0000-000012250000}"/>
    <cellStyle name="20% - Accent3 9 2 2 2 2" xfId="13808" xr:uid="{00000000-0005-0000-0000-000013250000}"/>
    <cellStyle name="20% - Accent3 9 2 2 2 2 2" xfId="25665" xr:uid="{00000000-0005-0000-0000-000014250000}"/>
    <cellStyle name="20% - Accent3 9 2 2 2 3" xfId="17759" xr:uid="{00000000-0005-0000-0000-000015250000}"/>
    <cellStyle name="20% - Accent3 9 2 2 2 3 2" xfId="29451" xr:uid="{00000000-0005-0000-0000-000016250000}"/>
    <cellStyle name="20% - Accent3 9 2 2 2 4" xfId="21805" xr:uid="{00000000-0005-0000-0000-000017250000}"/>
    <cellStyle name="20% - Accent3 9 2 2 3" xfId="2502" xr:uid="{00000000-0005-0000-0000-000018250000}"/>
    <cellStyle name="20% - Accent3 9 2 2 3 2" xfId="13809" xr:uid="{00000000-0005-0000-0000-000019250000}"/>
    <cellStyle name="20% - Accent3 9 2 2 3 2 2" xfId="25666" xr:uid="{00000000-0005-0000-0000-00001A250000}"/>
    <cellStyle name="20% - Accent3 9 2 2 3 3" xfId="17760" xr:uid="{00000000-0005-0000-0000-00001B250000}"/>
    <cellStyle name="20% - Accent3 9 2 2 3 3 2" xfId="29452" xr:uid="{00000000-0005-0000-0000-00001C250000}"/>
    <cellStyle name="20% - Accent3 9 2 2 3 4" xfId="21806" xr:uid="{00000000-0005-0000-0000-00001D250000}"/>
    <cellStyle name="20% - Accent3 9 2 2 4" xfId="13807" xr:uid="{00000000-0005-0000-0000-00001E250000}"/>
    <cellStyle name="20% - Accent3 9 2 2 4 2" xfId="25664" xr:uid="{00000000-0005-0000-0000-00001F250000}"/>
    <cellStyle name="20% - Accent3 9 2 2 5" xfId="17758" xr:uid="{00000000-0005-0000-0000-000020250000}"/>
    <cellStyle name="20% - Accent3 9 2 2 5 2" xfId="29450" xr:uid="{00000000-0005-0000-0000-000021250000}"/>
    <cellStyle name="20% - Accent3 9 2 2 6" xfId="21804" xr:uid="{00000000-0005-0000-0000-000022250000}"/>
    <cellStyle name="20% - Accent3 9 2 3" xfId="2503" xr:uid="{00000000-0005-0000-0000-000023250000}"/>
    <cellStyle name="20% - Accent3 9 2 3 2" xfId="2504" xr:uid="{00000000-0005-0000-0000-000024250000}"/>
    <cellStyle name="20% - Accent3 9 2 3 2 2" xfId="13811" xr:uid="{00000000-0005-0000-0000-000025250000}"/>
    <cellStyle name="20% - Accent3 9 2 3 2 2 2" xfId="25668" xr:uid="{00000000-0005-0000-0000-000026250000}"/>
    <cellStyle name="20% - Accent3 9 2 3 2 3" xfId="17762" xr:uid="{00000000-0005-0000-0000-000027250000}"/>
    <cellStyle name="20% - Accent3 9 2 3 2 3 2" xfId="29454" xr:uid="{00000000-0005-0000-0000-000028250000}"/>
    <cellStyle name="20% - Accent3 9 2 3 2 4" xfId="21808" xr:uid="{00000000-0005-0000-0000-000029250000}"/>
    <cellStyle name="20% - Accent3 9 2 3 3" xfId="2505" xr:uid="{00000000-0005-0000-0000-00002A250000}"/>
    <cellStyle name="20% - Accent3 9 2 3 3 2" xfId="13812" xr:uid="{00000000-0005-0000-0000-00002B250000}"/>
    <cellStyle name="20% - Accent3 9 2 3 3 2 2" xfId="25669" xr:uid="{00000000-0005-0000-0000-00002C250000}"/>
    <cellStyle name="20% - Accent3 9 2 3 3 3" xfId="17763" xr:uid="{00000000-0005-0000-0000-00002D250000}"/>
    <cellStyle name="20% - Accent3 9 2 3 3 3 2" xfId="29455" xr:uid="{00000000-0005-0000-0000-00002E250000}"/>
    <cellStyle name="20% - Accent3 9 2 3 3 4" xfId="21809" xr:uid="{00000000-0005-0000-0000-00002F250000}"/>
    <cellStyle name="20% - Accent3 9 2 3 4" xfId="13810" xr:uid="{00000000-0005-0000-0000-000030250000}"/>
    <cellStyle name="20% - Accent3 9 2 3 4 2" xfId="25667" xr:uid="{00000000-0005-0000-0000-000031250000}"/>
    <cellStyle name="20% - Accent3 9 2 3 5" xfId="17761" xr:uid="{00000000-0005-0000-0000-000032250000}"/>
    <cellStyle name="20% - Accent3 9 2 3 5 2" xfId="29453" xr:uid="{00000000-0005-0000-0000-000033250000}"/>
    <cellStyle name="20% - Accent3 9 2 3 6" xfId="21807" xr:uid="{00000000-0005-0000-0000-000034250000}"/>
    <cellStyle name="20% - Accent3 9 2 4" xfId="2506" xr:uid="{00000000-0005-0000-0000-000035250000}"/>
    <cellStyle name="20% - Accent3 9 2 4 2" xfId="2507" xr:uid="{00000000-0005-0000-0000-000036250000}"/>
    <cellStyle name="20% - Accent3 9 2 4 2 2" xfId="13814" xr:uid="{00000000-0005-0000-0000-000037250000}"/>
    <cellStyle name="20% - Accent3 9 2 4 2 2 2" xfId="25671" xr:uid="{00000000-0005-0000-0000-000038250000}"/>
    <cellStyle name="20% - Accent3 9 2 4 2 3" xfId="17765" xr:uid="{00000000-0005-0000-0000-000039250000}"/>
    <cellStyle name="20% - Accent3 9 2 4 2 3 2" xfId="29457" xr:uid="{00000000-0005-0000-0000-00003A250000}"/>
    <cellStyle name="20% - Accent3 9 2 4 2 4" xfId="21811" xr:uid="{00000000-0005-0000-0000-00003B250000}"/>
    <cellStyle name="20% - Accent3 9 2 4 3" xfId="2508" xr:uid="{00000000-0005-0000-0000-00003C250000}"/>
    <cellStyle name="20% - Accent3 9 2 4 3 2" xfId="13815" xr:uid="{00000000-0005-0000-0000-00003D250000}"/>
    <cellStyle name="20% - Accent3 9 2 4 3 2 2" xfId="25672" xr:uid="{00000000-0005-0000-0000-00003E250000}"/>
    <cellStyle name="20% - Accent3 9 2 4 3 3" xfId="17766" xr:uid="{00000000-0005-0000-0000-00003F250000}"/>
    <cellStyle name="20% - Accent3 9 2 4 3 3 2" xfId="29458" xr:uid="{00000000-0005-0000-0000-000040250000}"/>
    <cellStyle name="20% - Accent3 9 2 4 3 4" xfId="21812" xr:uid="{00000000-0005-0000-0000-000041250000}"/>
    <cellStyle name="20% - Accent3 9 2 4 4" xfId="13813" xr:uid="{00000000-0005-0000-0000-000042250000}"/>
    <cellStyle name="20% - Accent3 9 2 4 4 2" xfId="25670" xr:uid="{00000000-0005-0000-0000-000043250000}"/>
    <cellStyle name="20% - Accent3 9 2 4 5" xfId="17764" xr:uid="{00000000-0005-0000-0000-000044250000}"/>
    <cellStyle name="20% - Accent3 9 2 4 5 2" xfId="29456" xr:uid="{00000000-0005-0000-0000-000045250000}"/>
    <cellStyle name="20% - Accent3 9 2 4 6" xfId="21810" xr:uid="{00000000-0005-0000-0000-000046250000}"/>
    <cellStyle name="20% - Accent3 9 2 5" xfId="2509" xr:uid="{00000000-0005-0000-0000-000047250000}"/>
    <cellStyle name="20% - Accent3 9 2 5 2" xfId="13816" xr:uid="{00000000-0005-0000-0000-000048250000}"/>
    <cellStyle name="20% - Accent3 9 2 5 2 2" xfId="25673" xr:uid="{00000000-0005-0000-0000-000049250000}"/>
    <cellStyle name="20% - Accent3 9 2 5 3" xfId="17767" xr:uid="{00000000-0005-0000-0000-00004A250000}"/>
    <cellStyle name="20% - Accent3 9 2 5 3 2" xfId="29459" xr:uid="{00000000-0005-0000-0000-00004B250000}"/>
    <cellStyle name="20% - Accent3 9 2 5 4" xfId="21813" xr:uid="{00000000-0005-0000-0000-00004C250000}"/>
    <cellStyle name="20% - Accent3 9 2 6" xfId="2510" xr:uid="{00000000-0005-0000-0000-00004D250000}"/>
    <cellStyle name="20% - Accent3 9 2 6 2" xfId="13817" xr:uid="{00000000-0005-0000-0000-00004E250000}"/>
    <cellStyle name="20% - Accent3 9 2 6 2 2" xfId="25674" xr:uid="{00000000-0005-0000-0000-00004F250000}"/>
    <cellStyle name="20% - Accent3 9 2 6 3" xfId="17768" xr:uid="{00000000-0005-0000-0000-000050250000}"/>
    <cellStyle name="20% - Accent3 9 2 6 3 2" xfId="29460" xr:uid="{00000000-0005-0000-0000-000051250000}"/>
    <cellStyle name="20% - Accent3 9 2 6 4" xfId="21814" xr:uid="{00000000-0005-0000-0000-000052250000}"/>
    <cellStyle name="20% - Accent3 9 2 7" xfId="13806" xr:uid="{00000000-0005-0000-0000-000053250000}"/>
    <cellStyle name="20% - Accent3 9 2 7 2" xfId="25663" xr:uid="{00000000-0005-0000-0000-000054250000}"/>
    <cellStyle name="20% - Accent3 9 2 8" xfId="17757" xr:uid="{00000000-0005-0000-0000-000055250000}"/>
    <cellStyle name="20% - Accent3 9 2 8 2" xfId="29449" xr:uid="{00000000-0005-0000-0000-000056250000}"/>
    <cellStyle name="20% - Accent3 9 2 9" xfId="21803" xr:uid="{00000000-0005-0000-0000-000057250000}"/>
    <cellStyle name="20% - Accent3 9 2_Volatility" xfId="2511" xr:uid="{00000000-0005-0000-0000-000058250000}"/>
    <cellStyle name="20% - Accent3 9 3" xfId="2512" xr:uid="{00000000-0005-0000-0000-000059250000}"/>
    <cellStyle name="20% - Accent3 9 3 2" xfId="2513" xr:uid="{00000000-0005-0000-0000-00005A250000}"/>
    <cellStyle name="20% - Accent3 9 3 2 2" xfId="2514" xr:uid="{00000000-0005-0000-0000-00005B250000}"/>
    <cellStyle name="20% - Accent3 9 3 2 2 2" xfId="13820" xr:uid="{00000000-0005-0000-0000-00005C250000}"/>
    <cellStyle name="20% - Accent3 9 3 2 2 2 2" xfId="25677" xr:uid="{00000000-0005-0000-0000-00005D250000}"/>
    <cellStyle name="20% - Accent3 9 3 2 2 3" xfId="17771" xr:uid="{00000000-0005-0000-0000-00005E250000}"/>
    <cellStyle name="20% - Accent3 9 3 2 2 3 2" xfId="29463" xr:uid="{00000000-0005-0000-0000-00005F250000}"/>
    <cellStyle name="20% - Accent3 9 3 2 2 4" xfId="21817" xr:uid="{00000000-0005-0000-0000-000060250000}"/>
    <cellStyle name="20% - Accent3 9 3 2 3" xfId="2515" xr:uid="{00000000-0005-0000-0000-000061250000}"/>
    <cellStyle name="20% - Accent3 9 3 2 3 2" xfId="13821" xr:uid="{00000000-0005-0000-0000-000062250000}"/>
    <cellStyle name="20% - Accent3 9 3 2 3 2 2" xfId="25678" xr:uid="{00000000-0005-0000-0000-000063250000}"/>
    <cellStyle name="20% - Accent3 9 3 2 3 3" xfId="17772" xr:uid="{00000000-0005-0000-0000-000064250000}"/>
    <cellStyle name="20% - Accent3 9 3 2 3 3 2" xfId="29464" xr:uid="{00000000-0005-0000-0000-000065250000}"/>
    <cellStyle name="20% - Accent3 9 3 2 3 4" xfId="21818" xr:uid="{00000000-0005-0000-0000-000066250000}"/>
    <cellStyle name="20% - Accent3 9 3 2 4" xfId="13819" xr:uid="{00000000-0005-0000-0000-000067250000}"/>
    <cellStyle name="20% - Accent3 9 3 2 4 2" xfId="25676" xr:uid="{00000000-0005-0000-0000-000068250000}"/>
    <cellStyle name="20% - Accent3 9 3 2 5" xfId="17770" xr:uid="{00000000-0005-0000-0000-000069250000}"/>
    <cellStyle name="20% - Accent3 9 3 2 5 2" xfId="29462" xr:uid="{00000000-0005-0000-0000-00006A250000}"/>
    <cellStyle name="20% - Accent3 9 3 2 6" xfId="21816" xr:uid="{00000000-0005-0000-0000-00006B250000}"/>
    <cellStyle name="20% - Accent3 9 3 3" xfId="2516" xr:uid="{00000000-0005-0000-0000-00006C250000}"/>
    <cellStyle name="20% - Accent3 9 3 3 2" xfId="2517" xr:uid="{00000000-0005-0000-0000-00006D250000}"/>
    <cellStyle name="20% - Accent3 9 3 3 2 2" xfId="13823" xr:uid="{00000000-0005-0000-0000-00006E250000}"/>
    <cellStyle name="20% - Accent3 9 3 3 2 2 2" xfId="25680" xr:uid="{00000000-0005-0000-0000-00006F250000}"/>
    <cellStyle name="20% - Accent3 9 3 3 2 3" xfId="17774" xr:uid="{00000000-0005-0000-0000-000070250000}"/>
    <cellStyle name="20% - Accent3 9 3 3 2 3 2" xfId="29466" xr:uid="{00000000-0005-0000-0000-000071250000}"/>
    <cellStyle name="20% - Accent3 9 3 3 2 4" xfId="21820" xr:uid="{00000000-0005-0000-0000-000072250000}"/>
    <cellStyle name="20% - Accent3 9 3 3 3" xfId="2518" xr:uid="{00000000-0005-0000-0000-000073250000}"/>
    <cellStyle name="20% - Accent3 9 3 3 3 2" xfId="13824" xr:uid="{00000000-0005-0000-0000-000074250000}"/>
    <cellStyle name="20% - Accent3 9 3 3 3 2 2" xfId="25681" xr:uid="{00000000-0005-0000-0000-000075250000}"/>
    <cellStyle name="20% - Accent3 9 3 3 3 3" xfId="17775" xr:uid="{00000000-0005-0000-0000-000076250000}"/>
    <cellStyle name="20% - Accent3 9 3 3 3 3 2" xfId="29467" xr:uid="{00000000-0005-0000-0000-000077250000}"/>
    <cellStyle name="20% - Accent3 9 3 3 3 4" xfId="21821" xr:uid="{00000000-0005-0000-0000-000078250000}"/>
    <cellStyle name="20% - Accent3 9 3 3 4" xfId="13822" xr:uid="{00000000-0005-0000-0000-000079250000}"/>
    <cellStyle name="20% - Accent3 9 3 3 4 2" xfId="25679" xr:uid="{00000000-0005-0000-0000-00007A250000}"/>
    <cellStyle name="20% - Accent3 9 3 3 5" xfId="17773" xr:uid="{00000000-0005-0000-0000-00007B250000}"/>
    <cellStyle name="20% - Accent3 9 3 3 5 2" xfId="29465" xr:uid="{00000000-0005-0000-0000-00007C250000}"/>
    <cellStyle name="20% - Accent3 9 3 3 6" xfId="21819" xr:uid="{00000000-0005-0000-0000-00007D250000}"/>
    <cellStyle name="20% - Accent3 9 3 4" xfId="2519" xr:uid="{00000000-0005-0000-0000-00007E250000}"/>
    <cellStyle name="20% - Accent3 9 3 4 2" xfId="13825" xr:uid="{00000000-0005-0000-0000-00007F250000}"/>
    <cellStyle name="20% - Accent3 9 3 4 2 2" xfId="25682" xr:uid="{00000000-0005-0000-0000-000080250000}"/>
    <cellStyle name="20% - Accent3 9 3 4 3" xfId="17776" xr:uid="{00000000-0005-0000-0000-000081250000}"/>
    <cellStyle name="20% - Accent3 9 3 4 3 2" xfId="29468" xr:uid="{00000000-0005-0000-0000-000082250000}"/>
    <cellStyle name="20% - Accent3 9 3 4 4" xfId="21822" xr:uid="{00000000-0005-0000-0000-000083250000}"/>
    <cellStyle name="20% - Accent3 9 3 5" xfId="2520" xr:uid="{00000000-0005-0000-0000-000084250000}"/>
    <cellStyle name="20% - Accent3 9 3 5 2" xfId="13826" xr:uid="{00000000-0005-0000-0000-000085250000}"/>
    <cellStyle name="20% - Accent3 9 3 5 2 2" xfId="25683" xr:uid="{00000000-0005-0000-0000-000086250000}"/>
    <cellStyle name="20% - Accent3 9 3 5 3" xfId="17777" xr:uid="{00000000-0005-0000-0000-000087250000}"/>
    <cellStyle name="20% - Accent3 9 3 5 3 2" xfId="29469" xr:uid="{00000000-0005-0000-0000-000088250000}"/>
    <cellStyle name="20% - Accent3 9 3 5 4" xfId="21823" xr:uid="{00000000-0005-0000-0000-000089250000}"/>
    <cellStyle name="20% - Accent3 9 3 6" xfId="13818" xr:uid="{00000000-0005-0000-0000-00008A250000}"/>
    <cellStyle name="20% - Accent3 9 3 6 2" xfId="25675" xr:uid="{00000000-0005-0000-0000-00008B250000}"/>
    <cellStyle name="20% - Accent3 9 3 7" xfId="17769" xr:uid="{00000000-0005-0000-0000-00008C250000}"/>
    <cellStyle name="20% - Accent3 9 3 7 2" xfId="29461" xr:uid="{00000000-0005-0000-0000-00008D250000}"/>
    <cellStyle name="20% - Accent3 9 3 8" xfId="21815" xr:uid="{00000000-0005-0000-0000-00008E250000}"/>
    <cellStyle name="20% - Accent3 9 3_Volatility" xfId="2521" xr:uid="{00000000-0005-0000-0000-00008F250000}"/>
    <cellStyle name="20% - Accent3 9 4" xfId="2522" xr:uid="{00000000-0005-0000-0000-000090250000}"/>
    <cellStyle name="20% - Accent3 9 4 2" xfId="2523" xr:uid="{00000000-0005-0000-0000-000091250000}"/>
    <cellStyle name="20% - Accent3 9 4 2 2" xfId="13828" xr:uid="{00000000-0005-0000-0000-000092250000}"/>
    <cellStyle name="20% - Accent3 9 4 2 2 2" xfId="25685" xr:uid="{00000000-0005-0000-0000-000093250000}"/>
    <cellStyle name="20% - Accent3 9 4 2 3" xfId="17779" xr:uid="{00000000-0005-0000-0000-000094250000}"/>
    <cellStyle name="20% - Accent3 9 4 2 3 2" xfId="29471" xr:uid="{00000000-0005-0000-0000-000095250000}"/>
    <cellStyle name="20% - Accent3 9 4 2 4" xfId="21825" xr:uid="{00000000-0005-0000-0000-000096250000}"/>
    <cellStyle name="20% - Accent3 9 4 3" xfId="2524" xr:uid="{00000000-0005-0000-0000-000097250000}"/>
    <cellStyle name="20% - Accent3 9 4 3 2" xfId="13829" xr:uid="{00000000-0005-0000-0000-000098250000}"/>
    <cellStyle name="20% - Accent3 9 4 3 2 2" xfId="25686" xr:uid="{00000000-0005-0000-0000-000099250000}"/>
    <cellStyle name="20% - Accent3 9 4 3 3" xfId="17780" xr:uid="{00000000-0005-0000-0000-00009A250000}"/>
    <cellStyle name="20% - Accent3 9 4 3 3 2" xfId="29472" xr:uid="{00000000-0005-0000-0000-00009B250000}"/>
    <cellStyle name="20% - Accent3 9 4 3 4" xfId="21826" xr:uid="{00000000-0005-0000-0000-00009C250000}"/>
    <cellStyle name="20% - Accent3 9 4 4" xfId="13827" xr:uid="{00000000-0005-0000-0000-00009D250000}"/>
    <cellStyle name="20% - Accent3 9 4 4 2" xfId="25684" xr:uid="{00000000-0005-0000-0000-00009E250000}"/>
    <cellStyle name="20% - Accent3 9 4 5" xfId="17778" xr:uid="{00000000-0005-0000-0000-00009F250000}"/>
    <cellStyle name="20% - Accent3 9 4 5 2" xfId="29470" xr:uid="{00000000-0005-0000-0000-0000A0250000}"/>
    <cellStyle name="20% - Accent3 9 4 6" xfId="21824" xr:uid="{00000000-0005-0000-0000-0000A1250000}"/>
    <cellStyle name="20% - Accent3 9 5" xfId="2525" xr:uid="{00000000-0005-0000-0000-0000A2250000}"/>
    <cellStyle name="20% - Accent3 9 5 2" xfId="2526" xr:uid="{00000000-0005-0000-0000-0000A3250000}"/>
    <cellStyle name="20% - Accent3 9 5 2 2" xfId="13831" xr:uid="{00000000-0005-0000-0000-0000A4250000}"/>
    <cellStyle name="20% - Accent3 9 5 2 2 2" xfId="25688" xr:uid="{00000000-0005-0000-0000-0000A5250000}"/>
    <cellStyle name="20% - Accent3 9 5 2 3" xfId="17782" xr:uid="{00000000-0005-0000-0000-0000A6250000}"/>
    <cellStyle name="20% - Accent3 9 5 2 3 2" xfId="29474" xr:uid="{00000000-0005-0000-0000-0000A7250000}"/>
    <cellStyle name="20% - Accent3 9 5 2 4" xfId="21828" xr:uid="{00000000-0005-0000-0000-0000A8250000}"/>
    <cellStyle name="20% - Accent3 9 5 3" xfId="2527" xr:uid="{00000000-0005-0000-0000-0000A9250000}"/>
    <cellStyle name="20% - Accent3 9 5 3 2" xfId="13832" xr:uid="{00000000-0005-0000-0000-0000AA250000}"/>
    <cellStyle name="20% - Accent3 9 5 3 2 2" xfId="25689" xr:uid="{00000000-0005-0000-0000-0000AB250000}"/>
    <cellStyle name="20% - Accent3 9 5 3 3" xfId="17783" xr:uid="{00000000-0005-0000-0000-0000AC250000}"/>
    <cellStyle name="20% - Accent3 9 5 3 3 2" xfId="29475" xr:uid="{00000000-0005-0000-0000-0000AD250000}"/>
    <cellStyle name="20% - Accent3 9 5 3 4" xfId="21829" xr:uid="{00000000-0005-0000-0000-0000AE250000}"/>
    <cellStyle name="20% - Accent3 9 5 4" xfId="13830" xr:uid="{00000000-0005-0000-0000-0000AF250000}"/>
    <cellStyle name="20% - Accent3 9 5 4 2" xfId="25687" xr:uid="{00000000-0005-0000-0000-0000B0250000}"/>
    <cellStyle name="20% - Accent3 9 5 5" xfId="17781" xr:uid="{00000000-0005-0000-0000-0000B1250000}"/>
    <cellStyle name="20% - Accent3 9 5 5 2" xfId="29473" xr:uid="{00000000-0005-0000-0000-0000B2250000}"/>
    <cellStyle name="20% - Accent3 9 5 6" xfId="21827" xr:uid="{00000000-0005-0000-0000-0000B3250000}"/>
    <cellStyle name="20% - Accent3 9 6" xfId="2528" xr:uid="{00000000-0005-0000-0000-0000B4250000}"/>
    <cellStyle name="20% - Accent3 9 6 2" xfId="2529" xr:uid="{00000000-0005-0000-0000-0000B5250000}"/>
    <cellStyle name="20% - Accent3 9 6 2 2" xfId="13834" xr:uid="{00000000-0005-0000-0000-0000B6250000}"/>
    <cellStyle name="20% - Accent3 9 6 2 2 2" xfId="25691" xr:uid="{00000000-0005-0000-0000-0000B7250000}"/>
    <cellStyle name="20% - Accent3 9 6 2 3" xfId="17785" xr:uid="{00000000-0005-0000-0000-0000B8250000}"/>
    <cellStyle name="20% - Accent3 9 6 2 3 2" xfId="29477" xr:uid="{00000000-0005-0000-0000-0000B9250000}"/>
    <cellStyle name="20% - Accent3 9 6 2 4" xfId="21831" xr:uid="{00000000-0005-0000-0000-0000BA250000}"/>
    <cellStyle name="20% - Accent3 9 6 3" xfId="2530" xr:uid="{00000000-0005-0000-0000-0000BB250000}"/>
    <cellStyle name="20% - Accent3 9 6 3 2" xfId="13835" xr:uid="{00000000-0005-0000-0000-0000BC250000}"/>
    <cellStyle name="20% - Accent3 9 6 3 2 2" xfId="25692" xr:uid="{00000000-0005-0000-0000-0000BD250000}"/>
    <cellStyle name="20% - Accent3 9 6 3 3" xfId="17786" xr:uid="{00000000-0005-0000-0000-0000BE250000}"/>
    <cellStyle name="20% - Accent3 9 6 3 3 2" xfId="29478" xr:uid="{00000000-0005-0000-0000-0000BF250000}"/>
    <cellStyle name="20% - Accent3 9 6 3 4" xfId="21832" xr:uid="{00000000-0005-0000-0000-0000C0250000}"/>
    <cellStyle name="20% - Accent3 9 6 4" xfId="13833" xr:uid="{00000000-0005-0000-0000-0000C1250000}"/>
    <cellStyle name="20% - Accent3 9 6 4 2" xfId="25690" xr:uid="{00000000-0005-0000-0000-0000C2250000}"/>
    <cellStyle name="20% - Accent3 9 6 5" xfId="17784" xr:uid="{00000000-0005-0000-0000-0000C3250000}"/>
    <cellStyle name="20% - Accent3 9 6 5 2" xfId="29476" xr:uid="{00000000-0005-0000-0000-0000C4250000}"/>
    <cellStyle name="20% - Accent3 9 6 6" xfId="21830" xr:uid="{00000000-0005-0000-0000-0000C5250000}"/>
    <cellStyle name="20% - Accent3 9 7" xfId="2531" xr:uid="{00000000-0005-0000-0000-0000C6250000}"/>
    <cellStyle name="20% - Accent3 9 7 2" xfId="13836" xr:uid="{00000000-0005-0000-0000-0000C7250000}"/>
    <cellStyle name="20% - Accent3 9 7 2 2" xfId="25693" xr:uid="{00000000-0005-0000-0000-0000C8250000}"/>
    <cellStyle name="20% - Accent3 9 7 3" xfId="17787" xr:uid="{00000000-0005-0000-0000-0000C9250000}"/>
    <cellStyle name="20% - Accent3 9 7 3 2" xfId="29479" xr:uid="{00000000-0005-0000-0000-0000CA250000}"/>
    <cellStyle name="20% - Accent3 9 7 4" xfId="21833" xr:uid="{00000000-0005-0000-0000-0000CB250000}"/>
    <cellStyle name="20% - Accent3 9 8" xfId="2532" xr:uid="{00000000-0005-0000-0000-0000CC250000}"/>
    <cellStyle name="20% - Accent3 9 8 2" xfId="13837" xr:uid="{00000000-0005-0000-0000-0000CD250000}"/>
    <cellStyle name="20% - Accent3 9 8 2 2" xfId="25694" xr:uid="{00000000-0005-0000-0000-0000CE250000}"/>
    <cellStyle name="20% - Accent3 9 8 3" xfId="17788" xr:uid="{00000000-0005-0000-0000-0000CF250000}"/>
    <cellStyle name="20% - Accent3 9 8 3 2" xfId="29480" xr:uid="{00000000-0005-0000-0000-0000D0250000}"/>
    <cellStyle name="20% - Accent3 9 8 4" xfId="21834" xr:uid="{00000000-0005-0000-0000-0000D1250000}"/>
    <cellStyle name="20% - Accent3 9 9" xfId="13805" xr:uid="{00000000-0005-0000-0000-0000D2250000}"/>
    <cellStyle name="20% - Accent3 9 9 2" xfId="25662" xr:uid="{00000000-0005-0000-0000-0000D3250000}"/>
    <cellStyle name="20% - Accent3 9_Volatility" xfId="2533" xr:uid="{00000000-0005-0000-0000-0000D4250000}"/>
    <cellStyle name="20% - Accent4 10" xfId="2534" xr:uid="{00000000-0005-0000-0000-0000D5250000}"/>
    <cellStyle name="20% - Accent4 10 10" xfId="17789" xr:uid="{00000000-0005-0000-0000-0000D6250000}"/>
    <cellStyle name="20% - Accent4 10 10 2" xfId="29481" xr:uid="{00000000-0005-0000-0000-0000D7250000}"/>
    <cellStyle name="20% - Accent4 10 11" xfId="21835" xr:uid="{00000000-0005-0000-0000-0000D8250000}"/>
    <cellStyle name="20% - Accent4 10 2" xfId="2535" xr:uid="{00000000-0005-0000-0000-0000D9250000}"/>
    <cellStyle name="20% - Accent4 10 2 2" xfId="2536" xr:uid="{00000000-0005-0000-0000-0000DA250000}"/>
    <cellStyle name="20% - Accent4 10 2 2 2" xfId="2537" xr:uid="{00000000-0005-0000-0000-0000DB250000}"/>
    <cellStyle name="20% - Accent4 10 2 2 2 2" xfId="13841" xr:uid="{00000000-0005-0000-0000-0000DC250000}"/>
    <cellStyle name="20% - Accent4 10 2 2 2 2 2" xfId="25698" xr:uid="{00000000-0005-0000-0000-0000DD250000}"/>
    <cellStyle name="20% - Accent4 10 2 2 2 3" xfId="17792" xr:uid="{00000000-0005-0000-0000-0000DE250000}"/>
    <cellStyle name="20% - Accent4 10 2 2 2 3 2" xfId="29484" xr:uid="{00000000-0005-0000-0000-0000DF250000}"/>
    <cellStyle name="20% - Accent4 10 2 2 2 4" xfId="21838" xr:uid="{00000000-0005-0000-0000-0000E0250000}"/>
    <cellStyle name="20% - Accent4 10 2 2 3" xfId="2538" xr:uid="{00000000-0005-0000-0000-0000E1250000}"/>
    <cellStyle name="20% - Accent4 10 2 2 3 2" xfId="13842" xr:uid="{00000000-0005-0000-0000-0000E2250000}"/>
    <cellStyle name="20% - Accent4 10 2 2 3 2 2" xfId="25699" xr:uid="{00000000-0005-0000-0000-0000E3250000}"/>
    <cellStyle name="20% - Accent4 10 2 2 3 3" xfId="17793" xr:uid="{00000000-0005-0000-0000-0000E4250000}"/>
    <cellStyle name="20% - Accent4 10 2 2 3 3 2" xfId="29485" xr:uid="{00000000-0005-0000-0000-0000E5250000}"/>
    <cellStyle name="20% - Accent4 10 2 2 3 4" xfId="21839" xr:uid="{00000000-0005-0000-0000-0000E6250000}"/>
    <cellStyle name="20% - Accent4 10 2 2 4" xfId="13840" xr:uid="{00000000-0005-0000-0000-0000E7250000}"/>
    <cellStyle name="20% - Accent4 10 2 2 4 2" xfId="25697" xr:uid="{00000000-0005-0000-0000-0000E8250000}"/>
    <cellStyle name="20% - Accent4 10 2 2 5" xfId="17791" xr:uid="{00000000-0005-0000-0000-0000E9250000}"/>
    <cellStyle name="20% - Accent4 10 2 2 5 2" xfId="29483" xr:uid="{00000000-0005-0000-0000-0000EA250000}"/>
    <cellStyle name="20% - Accent4 10 2 2 6" xfId="21837" xr:uid="{00000000-0005-0000-0000-0000EB250000}"/>
    <cellStyle name="20% - Accent4 10 2 3" xfId="2539" xr:uid="{00000000-0005-0000-0000-0000EC250000}"/>
    <cellStyle name="20% - Accent4 10 2 3 2" xfId="2540" xr:uid="{00000000-0005-0000-0000-0000ED250000}"/>
    <cellStyle name="20% - Accent4 10 2 3 2 2" xfId="13844" xr:uid="{00000000-0005-0000-0000-0000EE250000}"/>
    <cellStyle name="20% - Accent4 10 2 3 2 2 2" xfId="25701" xr:uid="{00000000-0005-0000-0000-0000EF250000}"/>
    <cellStyle name="20% - Accent4 10 2 3 2 3" xfId="17795" xr:uid="{00000000-0005-0000-0000-0000F0250000}"/>
    <cellStyle name="20% - Accent4 10 2 3 2 3 2" xfId="29487" xr:uid="{00000000-0005-0000-0000-0000F1250000}"/>
    <cellStyle name="20% - Accent4 10 2 3 2 4" xfId="21841" xr:uid="{00000000-0005-0000-0000-0000F2250000}"/>
    <cellStyle name="20% - Accent4 10 2 3 3" xfId="2541" xr:uid="{00000000-0005-0000-0000-0000F3250000}"/>
    <cellStyle name="20% - Accent4 10 2 3 3 2" xfId="13845" xr:uid="{00000000-0005-0000-0000-0000F4250000}"/>
    <cellStyle name="20% - Accent4 10 2 3 3 2 2" xfId="25702" xr:uid="{00000000-0005-0000-0000-0000F5250000}"/>
    <cellStyle name="20% - Accent4 10 2 3 3 3" xfId="17796" xr:uid="{00000000-0005-0000-0000-0000F6250000}"/>
    <cellStyle name="20% - Accent4 10 2 3 3 3 2" xfId="29488" xr:uid="{00000000-0005-0000-0000-0000F7250000}"/>
    <cellStyle name="20% - Accent4 10 2 3 3 4" xfId="21842" xr:uid="{00000000-0005-0000-0000-0000F8250000}"/>
    <cellStyle name="20% - Accent4 10 2 3 4" xfId="13843" xr:uid="{00000000-0005-0000-0000-0000F9250000}"/>
    <cellStyle name="20% - Accent4 10 2 3 4 2" xfId="25700" xr:uid="{00000000-0005-0000-0000-0000FA250000}"/>
    <cellStyle name="20% - Accent4 10 2 3 5" xfId="17794" xr:uid="{00000000-0005-0000-0000-0000FB250000}"/>
    <cellStyle name="20% - Accent4 10 2 3 5 2" xfId="29486" xr:uid="{00000000-0005-0000-0000-0000FC250000}"/>
    <cellStyle name="20% - Accent4 10 2 3 6" xfId="21840" xr:uid="{00000000-0005-0000-0000-0000FD250000}"/>
    <cellStyle name="20% - Accent4 10 2 4" xfId="2542" xr:uid="{00000000-0005-0000-0000-0000FE250000}"/>
    <cellStyle name="20% - Accent4 10 2 4 2" xfId="2543" xr:uid="{00000000-0005-0000-0000-0000FF250000}"/>
    <cellStyle name="20% - Accent4 10 2 4 2 2" xfId="13847" xr:uid="{00000000-0005-0000-0000-000000260000}"/>
    <cellStyle name="20% - Accent4 10 2 4 2 2 2" xfId="25704" xr:uid="{00000000-0005-0000-0000-000001260000}"/>
    <cellStyle name="20% - Accent4 10 2 4 2 3" xfId="17798" xr:uid="{00000000-0005-0000-0000-000002260000}"/>
    <cellStyle name="20% - Accent4 10 2 4 2 3 2" xfId="29490" xr:uid="{00000000-0005-0000-0000-000003260000}"/>
    <cellStyle name="20% - Accent4 10 2 4 2 4" xfId="21844" xr:uid="{00000000-0005-0000-0000-000004260000}"/>
    <cellStyle name="20% - Accent4 10 2 4 3" xfId="2544" xr:uid="{00000000-0005-0000-0000-000005260000}"/>
    <cellStyle name="20% - Accent4 10 2 4 3 2" xfId="13848" xr:uid="{00000000-0005-0000-0000-000006260000}"/>
    <cellStyle name="20% - Accent4 10 2 4 3 2 2" xfId="25705" xr:uid="{00000000-0005-0000-0000-000007260000}"/>
    <cellStyle name="20% - Accent4 10 2 4 3 3" xfId="17799" xr:uid="{00000000-0005-0000-0000-000008260000}"/>
    <cellStyle name="20% - Accent4 10 2 4 3 3 2" xfId="29491" xr:uid="{00000000-0005-0000-0000-000009260000}"/>
    <cellStyle name="20% - Accent4 10 2 4 3 4" xfId="21845" xr:uid="{00000000-0005-0000-0000-00000A260000}"/>
    <cellStyle name="20% - Accent4 10 2 4 4" xfId="13846" xr:uid="{00000000-0005-0000-0000-00000B260000}"/>
    <cellStyle name="20% - Accent4 10 2 4 4 2" xfId="25703" xr:uid="{00000000-0005-0000-0000-00000C260000}"/>
    <cellStyle name="20% - Accent4 10 2 4 5" xfId="17797" xr:uid="{00000000-0005-0000-0000-00000D260000}"/>
    <cellStyle name="20% - Accent4 10 2 4 5 2" xfId="29489" xr:uid="{00000000-0005-0000-0000-00000E260000}"/>
    <cellStyle name="20% - Accent4 10 2 4 6" xfId="21843" xr:uid="{00000000-0005-0000-0000-00000F260000}"/>
    <cellStyle name="20% - Accent4 10 2 5" xfId="2545" xr:uid="{00000000-0005-0000-0000-000010260000}"/>
    <cellStyle name="20% - Accent4 10 2 5 2" xfId="13849" xr:uid="{00000000-0005-0000-0000-000011260000}"/>
    <cellStyle name="20% - Accent4 10 2 5 2 2" xfId="25706" xr:uid="{00000000-0005-0000-0000-000012260000}"/>
    <cellStyle name="20% - Accent4 10 2 5 3" xfId="17800" xr:uid="{00000000-0005-0000-0000-000013260000}"/>
    <cellStyle name="20% - Accent4 10 2 5 3 2" xfId="29492" xr:uid="{00000000-0005-0000-0000-000014260000}"/>
    <cellStyle name="20% - Accent4 10 2 5 4" xfId="21846" xr:uid="{00000000-0005-0000-0000-000015260000}"/>
    <cellStyle name="20% - Accent4 10 2 6" xfId="2546" xr:uid="{00000000-0005-0000-0000-000016260000}"/>
    <cellStyle name="20% - Accent4 10 2 6 2" xfId="13850" xr:uid="{00000000-0005-0000-0000-000017260000}"/>
    <cellStyle name="20% - Accent4 10 2 6 2 2" xfId="25707" xr:uid="{00000000-0005-0000-0000-000018260000}"/>
    <cellStyle name="20% - Accent4 10 2 6 3" xfId="17801" xr:uid="{00000000-0005-0000-0000-000019260000}"/>
    <cellStyle name="20% - Accent4 10 2 6 3 2" xfId="29493" xr:uid="{00000000-0005-0000-0000-00001A260000}"/>
    <cellStyle name="20% - Accent4 10 2 6 4" xfId="21847" xr:uid="{00000000-0005-0000-0000-00001B260000}"/>
    <cellStyle name="20% - Accent4 10 2 7" xfId="13839" xr:uid="{00000000-0005-0000-0000-00001C260000}"/>
    <cellStyle name="20% - Accent4 10 2 7 2" xfId="25696" xr:uid="{00000000-0005-0000-0000-00001D260000}"/>
    <cellStyle name="20% - Accent4 10 2 8" xfId="17790" xr:uid="{00000000-0005-0000-0000-00001E260000}"/>
    <cellStyle name="20% - Accent4 10 2 8 2" xfId="29482" xr:uid="{00000000-0005-0000-0000-00001F260000}"/>
    <cellStyle name="20% - Accent4 10 2 9" xfId="21836" xr:uid="{00000000-0005-0000-0000-000020260000}"/>
    <cellStyle name="20% - Accent4 10 2_Volatility" xfId="2547" xr:uid="{00000000-0005-0000-0000-000021260000}"/>
    <cellStyle name="20% - Accent4 10 3" xfId="2548" xr:uid="{00000000-0005-0000-0000-000022260000}"/>
    <cellStyle name="20% - Accent4 10 3 2" xfId="2549" xr:uid="{00000000-0005-0000-0000-000023260000}"/>
    <cellStyle name="20% - Accent4 10 3 2 2" xfId="2550" xr:uid="{00000000-0005-0000-0000-000024260000}"/>
    <cellStyle name="20% - Accent4 10 3 2 2 2" xfId="13853" xr:uid="{00000000-0005-0000-0000-000025260000}"/>
    <cellStyle name="20% - Accent4 10 3 2 2 2 2" xfId="25710" xr:uid="{00000000-0005-0000-0000-000026260000}"/>
    <cellStyle name="20% - Accent4 10 3 2 2 3" xfId="17804" xr:uid="{00000000-0005-0000-0000-000027260000}"/>
    <cellStyle name="20% - Accent4 10 3 2 2 3 2" xfId="29496" xr:uid="{00000000-0005-0000-0000-000028260000}"/>
    <cellStyle name="20% - Accent4 10 3 2 2 4" xfId="21850" xr:uid="{00000000-0005-0000-0000-000029260000}"/>
    <cellStyle name="20% - Accent4 10 3 2 3" xfId="2551" xr:uid="{00000000-0005-0000-0000-00002A260000}"/>
    <cellStyle name="20% - Accent4 10 3 2 3 2" xfId="13854" xr:uid="{00000000-0005-0000-0000-00002B260000}"/>
    <cellStyle name="20% - Accent4 10 3 2 3 2 2" xfId="25711" xr:uid="{00000000-0005-0000-0000-00002C260000}"/>
    <cellStyle name="20% - Accent4 10 3 2 3 3" xfId="17805" xr:uid="{00000000-0005-0000-0000-00002D260000}"/>
    <cellStyle name="20% - Accent4 10 3 2 3 3 2" xfId="29497" xr:uid="{00000000-0005-0000-0000-00002E260000}"/>
    <cellStyle name="20% - Accent4 10 3 2 3 4" xfId="21851" xr:uid="{00000000-0005-0000-0000-00002F260000}"/>
    <cellStyle name="20% - Accent4 10 3 2 4" xfId="13852" xr:uid="{00000000-0005-0000-0000-000030260000}"/>
    <cellStyle name="20% - Accent4 10 3 2 4 2" xfId="25709" xr:uid="{00000000-0005-0000-0000-000031260000}"/>
    <cellStyle name="20% - Accent4 10 3 2 5" xfId="17803" xr:uid="{00000000-0005-0000-0000-000032260000}"/>
    <cellStyle name="20% - Accent4 10 3 2 5 2" xfId="29495" xr:uid="{00000000-0005-0000-0000-000033260000}"/>
    <cellStyle name="20% - Accent4 10 3 2 6" xfId="21849" xr:uid="{00000000-0005-0000-0000-000034260000}"/>
    <cellStyle name="20% - Accent4 10 3 3" xfId="2552" xr:uid="{00000000-0005-0000-0000-000035260000}"/>
    <cellStyle name="20% - Accent4 10 3 3 2" xfId="2553" xr:uid="{00000000-0005-0000-0000-000036260000}"/>
    <cellStyle name="20% - Accent4 10 3 3 2 2" xfId="13856" xr:uid="{00000000-0005-0000-0000-000037260000}"/>
    <cellStyle name="20% - Accent4 10 3 3 2 2 2" xfId="25713" xr:uid="{00000000-0005-0000-0000-000038260000}"/>
    <cellStyle name="20% - Accent4 10 3 3 2 3" xfId="17807" xr:uid="{00000000-0005-0000-0000-000039260000}"/>
    <cellStyle name="20% - Accent4 10 3 3 2 3 2" xfId="29499" xr:uid="{00000000-0005-0000-0000-00003A260000}"/>
    <cellStyle name="20% - Accent4 10 3 3 2 4" xfId="21853" xr:uid="{00000000-0005-0000-0000-00003B260000}"/>
    <cellStyle name="20% - Accent4 10 3 3 3" xfId="2554" xr:uid="{00000000-0005-0000-0000-00003C260000}"/>
    <cellStyle name="20% - Accent4 10 3 3 3 2" xfId="13857" xr:uid="{00000000-0005-0000-0000-00003D260000}"/>
    <cellStyle name="20% - Accent4 10 3 3 3 2 2" xfId="25714" xr:uid="{00000000-0005-0000-0000-00003E260000}"/>
    <cellStyle name="20% - Accent4 10 3 3 3 3" xfId="17808" xr:uid="{00000000-0005-0000-0000-00003F260000}"/>
    <cellStyle name="20% - Accent4 10 3 3 3 3 2" xfId="29500" xr:uid="{00000000-0005-0000-0000-000040260000}"/>
    <cellStyle name="20% - Accent4 10 3 3 3 4" xfId="21854" xr:uid="{00000000-0005-0000-0000-000041260000}"/>
    <cellStyle name="20% - Accent4 10 3 3 4" xfId="13855" xr:uid="{00000000-0005-0000-0000-000042260000}"/>
    <cellStyle name="20% - Accent4 10 3 3 4 2" xfId="25712" xr:uid="{00000000-0005-0000-0000-000043260000}"/>
    <cellStyle name="20% - Accent4 10 3 3 5" xfId="17806" xr:uid="{00000000-0005-0000-0000-000044260000}"/>
    <cellStyle name="20% - Accent4 10 3 3 5 2" xfId="29498" xr:uid="{00000000-0005-0000-0000-000045260000}"/>
    <cellStyle name="20% - Accent4 10 3 3 6" xfId="21852" xr:uid="{00000000-0005-0000-0000-000046260000}"/>
    <cellStyle name="20% - Accent4 10 3 4" xfId="2555" xr:uid="{00000000-0005-0000-0000-000047260000}"/>
    <cellStyle name="20% - Accent4 10 3 4 2" xfId="13858" xr:uid="{00000000-0005-0000-0000-000048260000}"/>
    <cellStyle name="20% - Accent4 10 3 4 2 2" xfId="25715" xr:uid="{00000000-0005-0000-0000-000049260000}"/>
    <cellStyle name="20% - Accent4 10 3 4 3" xfId="17809" xr:uid="{00000000-0005-0000-0000-00004A260000}"/>
    <cellStyle name="20% - Accent4 10 3 4 3 2" xfId="29501" xr:uid="{00000000-0005-0000-0000-00004B260000}"/>
    <cellStyle name="20% - Accent4 10 3 4 4" xfId="21855" xr:uid="{00000000-0005-0000-0000-00004C260000}"/>
    <cellStyle name="20% - Accent4 10 3 5" xfId="2556" xr:uid="{00000000-0005-0000-0000-00004D260000}"/>
    <cellStyle name="20% - Accent4 10 3 5 2" xfId="13859" xr:uid="{00000000-0005-0000-0000-00004E260000}"/>
    <cellStyle name="20% - Accent4 10 3 5 2 2" xfId="25716" xr:uid="{00000000-0005-0000-0000-00004F260000}"/>
    <cellStyle name="20% - Accent4 10 3 5 3" xfId="17810" xr:uid="{00000000-0005-0000-0000-000050260000}"/>
    <cellStyle name="20% - Accent4 10 3 5 3 2" xfId="29502" xr:uid="{00000000-0005-0000-0000-000051260000}"/>
    <cellStyle name="20% - Accent4 10 3 5 4" xfId="21856" xr:uid="{00000000-0005-0000-0000-000052260000}"/>
    <cellStyle name="20% - Accent4 10 3 6" xfId="13851" xr:uid="{00000000-0005-0000-0000-000053260000}"/>
    <cellStyle name="20% - Accent4 10 3 6 2" xfId="25708" xr:uid="{00000000-0005-0000-0000-000054260000}"/>
    <cellStyle name="20% - Accent4 10 3 7" xfId="17802" xr:uid="{00000000-0005-0000-0000-000055260000}"/>
    <cellStyle name="20% - Accent4 10 3 7 2" xfId="29494" xr:uid="{00000000-0005-0000-0000-000056260000}"/>
    <cellStyle name="20% - Accent4 10 3 8" xfId="21848" xr:uid="{00000000-0005-0000-0000-000057260000}"/>
    <cellStyle name="20% - Accent4 10 3_Volatility" xfId="2557" xr:uid="{00000000-0005-0000-0000-000058260000}"/>
    <cellStyle name="20% - Accent4 10 4" xfId="2558" xr:uid="{00000000-0005-0000-0000-000059260000}"/>
    <cellStyle name="20% - Accent4 10 4 2" xfId="2559" xr:uid="{00000000-0005-0000-0000-00005A260000}"/>
    <cellStyle name="20% - Accent4 10 4 2 2" xfId="13861" xr:uid="{00000000-0005-0000-0000-00005B260000}"/>
    <cellStyle name="20% - Accent4 10 4 2 2 2" xfId="25718" xr:uid="{00000000-0005-0000-0000-00005C260000}"/>
    <cellStyle name="20% - Accent4 10 4 2 3" xfId="17812" xr:uid="{00000000-0005-0000-0000-00005D260000}"/>
    <cellStyle name="20% - Accent4 10 4 2 3 2" xfId="29504" xr:uid="{00000000-0005-0000-0000-00005E260000}"/>
    <cellStyle name="20% - Accent4 10 4 2 4" xfId="21858" xr:uid="{00000000-0005-0000-0000-00005F260000}"/>
    <cellStyle name="20% - Accent4 10 4 3" xfId="2560" xr:uid="{00000000-0005-0000-0000-000060260000}"/>
    <cellStyle name="20% - Accent4 10 4 3 2" xfId="13862" xr:uid="{00000000-0005-0000-0000-000061260000}"/>
    <cellStyle name="20% - Accent4 10 4 3 2 2" xfId="25719" xr:uid="{00000000-0005-0000-0000-000062260000}"/>
    <cellStyle name="20% - Accent4 10 4 3 3" xfId="17813" xr:uid="{00000000-0005-0000-0000-000063260000}"/>
    <cellStyle name="20% - Accent4 10 4 3 3 2" xfId="29505" xr:uid="{00000000-0005-0000-0000-000064260000}"/>
    <cellStyle name="20% - Accent4 10 4 3 4" xfId="21859" xr:uid="{00000000-0005-0000-0000-000065260000}"/>
    <cellStyle name="20% - Accent4 10 4 4" xfId="13860" xr:uid="{00000000-0005-0000-0000-000066260000}"/>
    <cellStyle name="20% - Accent4 10 4 4 2" xfId="25717" xr:uid="{00000000-0005-0000-0000-000067260000}"/>
    <cellStyle name="20% - Accent4 10 4 5" xfId="17811" xr:uid="{00000000-0005-0000-0000-000068260000}"/>
    <cellStyle name="20% - Accent4 10 4 5 2" xfId="29503" xr:uid="{00000000-0005-0000-0000-000069260000}"/>
    <cellStyle name="20% - Accent4 10 4 6" xfId="21857" xr:uid="{00000000-0005-0000-0000-00006A260000}"/>
    <cellStyle name="20% - Accent4 10 5" xfId="2561" xr:uid="{00000000-0005-0000-0000-00006B260000}"/>
    <cellStyle name="20% - Accent4 10 5 2" xfId="2562" xr:uid="{00000000-0005-0000-0000-00006C260000}"/>
    <cellStyle name="20% - Accent4 10 5 2 2" xfId="13864" xr:uid="{00000000-0005-0000-0000-00006D260000}"/>
    <cellStyle name="20% - Accent4 10 5 2 2 2" xfId="25721" xr:uid="{00000000-0005-0000-0000-00006E260000}"/>
    <cellStyle name="20% - Accent4 10 5 2 3" xfId="17815" xr:uid="{00000000-0005-0000-0000-00006F260000}"/>
    <cellStyle name="20% - Accent4 10 5 2 3 2" xfId="29507" xr:uid="{00000000-0005-0000-0000-000070260000}"/>
    <cellStyle name="20% - Accent4 10 5 2 4" xfId="21861" xr:uid="{00000000-0005-0000-0000-000071260000}"/>
    <cellStyle name="20% - Accent4 10 5 3" xfId="2563" xr:uid="{00000000-0005-0000-0000-000072260000}"/>
    <cellStyle name="20% - Accent4 10 5 3 2" xfId="13865" xr:uid="{00000000-0005-0000-0000-000073260000}"/>
    <cellStyle name="20% - Accent4 10 5 3 2 2" xfId="25722" xr:uid="{00000000-0005-0000-0000-000074260000}"/>
    <cellStyle name="20% - Accent4 10 5 3 3" xfId="17816" xr:uid="{00000000-0005-0000-0000-000075260000}"/>
    <cellStyle name="20% - Accent4 10 5 3 3 2" xfId="29508" xr:uid="{00000000-0005-0000-0000-000076260000}"/>
    <cellStyle name="20% - Accent4 10 5 3 4" xfId="21862" xr:uid="{00000000-0005-0000-0000-000077260000}"/>
    <cellStyle name="20% - Accent4 10 5 4" xfId="13863" xr:uid="{00000000-0005-0000-0000-000078260000}"/>
    <cellStyle name="20% - Accent4 10 5 4 2" xfId="25720" xr:uid="{00000000-0005-0000-0000-000079260000}"/>
    <cellStyle name="20% - Accent4 10 5 5" xfId="17814" xr:uid="{00000000-0005-0000-0000-00007A260000}"/>
    <cellStyle name="20% - Accent4 10 5 5 2" xfId="29506" xr:uid="{00000000-0005-0000-0000-00007B260000}"/>
    <cellStyle name="20% - Accent4 10 5 6" xfId="21860" xr:uid="{00000000-0005-0000-0000-00007C260000}"/>
    <cellStyle name="20% - Accent4 10 6" xfId="2564" xr:uid="{00000000-0005-0000-0000-00007D260000}"/>
    <cellStyle name="20% - Accent4 10 6 2" xfId="2565" xr:uid="{00000000-0005-0000-0000-00007E260000}"/>
    <cellStyle name="20% - Accent4 10 6 2 2" xfId="13867" xr:uid="{00000000-0005-0000-0000-00007F260000}"/>
    <cellStyle name="20% - Accent4 10 6 2 2 2" xfId="25724" xr:uid="{00000000-0005-0000-0000-000080260000}"/>
    <cellStyle name="20% - Accent4 10 6 2 3" xfId="17818" xr:uid="{00000000-0005-0000-0000-000081260000}"/>
    <cellStyle name="20% - Accent4 10 6 2 3 2" xfId="29510" xr:uid="{00000000-0005-0000-0000-000082260000}"/>
    <cellStyle name="20% - Accent4 10 6 2 4" xfId="21864" xr:uid="{00000000-0005-0000-0000-000083260000}"/>
    <cellStyle name="20% - Accent4 10 6 3" xfId="2566" xr:uid="{00000000-0005-0000-0000-000084260000}"/>
    <cellStyle name="20% - Accent4 10 6 3 2" xfId="13868" xr:uid="{00000000-0005-0000-0000-000085260000}"/>
    <cellStyle name="20% - Accent4 10 6 3 2 2" xfId="25725" xr:uid="{00000000-0005-0000-0000-000086260000}"/>
    <cellStyle name="20% - Accent4 10 6 3 3" xfId="17819" xr:uid="{00000000-0005-0000-0000-000087260000}"/>
    <cellStyle name="20% - Accent4 10 6 3 3 2" xfId="29511" xr:uid="{00000000-0005-0000-0000-000088260000}"/>
    <cellStyle name="20% - Accent4 10 6 3 4" xfId="21865" xr:uid="{00000000-0005-0000-0000-000089260000}"/>
    <cellStyle name="20% - Accent4 10 6 4" xfId="13866" xr:uid="{00000000-0005-0000-0000-00008A260000}"/>
    <cellStyle name="20% - Accent4 10 6 4 2" xfId="25723" xr:uid="{00000000-0005-0000-0000-00008B260000}"/>
    <cellStyle name="20% - Accent4 10 6 5" xfId="17817" xr:uid="{00000000-0005-0000-0000-00008C260000}"/>
    <cellStyle name="20% - Accent4 10 6 5 2" xfId="29509" xr:uid="{00000000-0005-0000-0000-00008D260000}"/>
    <cellStyle name="20% - Accent4 10 6 6" xfId="21863" xr:uid="{00000000-0005-0000-0000-00008E260000}"/>
    <cellStyle name="20% - Accent4 10 7" xfId="2567" xr:uid="{00000000-0005-0000-0000-00008F260000}"/>
    <cellStyle name="20% - Accent4 10 7 2" xfId="13869" xr:uid="{00000000-0005-0000-0000-000090260000}"/>
    <cellStyle name="20% - Accent4 10 7 2 2" xfId="25726" xr:uid="{00000000-0005-0000-0000-000091260000}"/>
    <cellStyle name="20% - Accent4 10 7 3" xfId="17820" xr:uid="{00000000-0005-0000-0000-000092260000}"/>
    <cellStyle name="20% - Accent4 10 7 3 2" xfId="29512" xr:uid="{00000000-0005-0000-0000-000093260000}"/>
    <cellStyle name="20% - Accent4 10 7 4" xfId="21866" xr:uid="{00000000-0005-0000-0000-000094260000}"/>
    <cellStyle name="20% - Accent4 10 8" xfId="2568" xr:uid="{00000000-0005-0000-0000-000095260000}"/>
    <cellStyle name="20% - Accent4 10 8 2" xfId="13870" xr:uid="{00000000-0005-0000-0000-000096260000}"/>
    <cellStyle name="20% - Accent4 10 8 2 2" xfId="25727" xr:uid="{00000000-0005-0000-0000-000097260000}"/>
    <cellStyle name="20% - Accent4 10 8 3" xfId="17821" xr:uid="{00000000-0005-0000-0000-000098260000}"/>
    <cellStyle name="20% - Accent4 10 8 3 2" xfId="29513" xr:uid="{00000000-0005-0000-0000-000099260000}"/>
    <cellStyle name="20% - Accent4 10 8 4" xfId="21867" xr:uid="{00000000-0005-0000-0000-00009A260000}"/>
    <cellStyle name="20% - Accent4 10 9" xfId="13838" xr:uid="{00000000-0005-0000-0000-00009B260000}"/>
    <cellStyle name="20% - Accent4 10 9 2" xfId="25695" xr:uid="{00000000-0005-0000-0000-00009C260000}"/>
    <cellStyle name="20% - Accent4 10_Volatility" xfId="2569" xr:uid="{00000000-0005-0000-0000-00009D260000}"/>
    <cellStyle name="20% - Accent4 11" xfId="2570" xr:uid="{00000000-0005-0000-0000-00009E260000}"/>
    <cellStyle name="20% - Accent4 11 10" xfId="17822" xr:uid="{00000000-0005-0000-0000-00009F260000}"/>
    <cellStyle name="20% - Accent4 11 10 2" xfId="29514" xr:uid="{00000000-0005-0000-0000-0000A0260000}"/>
    <cellStyle name="20% - Accent4 11 11" xfId="21868" xr:uid="{00000000-0005-0000-0000-0000A1260000}"/>
    <cellStyle name="20% - Accent4 11 2" xfId="2571" xr:uid="{00000000-0005-0000-0000-0000A2260000}"/>
    <cellStyle name="20% - Accent4 11 2 2" xfId="2572" xr:uid="{00000000-0005-0000-0000-0000A3260000}"/>
    <cellStyle name="20% - Accent4 11 2 2 2" xfId="2573" xr:uid="{00000000-0005-0000-0000-0000A4260000}"/>
    <cellStyle name="20% - Accent4 11 2 2 2 2" xfId="13874" xr:uid="{00000000-0005-0000-0000-0000A5260000}"/>
    <cellStyle name="20% - Accent4 11 2 2 2 2 2" xfId="25731" xr:uid="{00000000-0005-0000-0000-0000A6260000}"/>
    <cellStyle name="20% - Accent4 11 2 2 2 3" xfId="17825" xr:uid="{00000000-0005-0000-0000-0000A7260000}"/>
    <cellStyle name="20% - Accent4 11 2 2 2 3 2" xfId="29517" xr:uid="{00000000-0005-0000-0000-0000A8260000}"/>
    <cellStyle name="20% - Accent4 11 2 2 2 4" xfId="21871" xr:uid="{00000000-0005-0000-0000-0000A9260000}"/>
    <cellStyle name="20% - Accent4 11 2 2 3" xfId="2574" xr:uid="{00000000-0005-0000-0000-0000AA260000}"/>
    <cellStyle name="20% - Accent4 11 2 2 3 2" xfId="13875" xr:uid="{00000000-0005-0000-0000-0000AB260000}"/>
    <cellStyle name="20% - Accent4 11 2 2 3 2 2" xfId="25732" xr:uid="{00000000-0005-0000-0000-0000AC260000}"/>
    <cellStyle name="20% - Accent4 11 2 2 3 3" xfId="17826" xr:uid="{00000000-0005-0000-0000-0000AD260000}"/>
    <cellStyle name="20% - Accent4 11 2 2 3 3 2" xfId="29518" xr:uid="{00000000-0005-0000-0000-0000AE260000}"/>
    <cellStyle name="20% - Accent4 11 2 2 3 4" xfId="21872" xr:uid="{00000000-0005-0000-0000-0000AF260000}"/>
    <cellStyle name="20% - Accent4 11 2 2 4" xfId="13873" xr:uid="{00000000-0005-0000-0000-0000B0260000}"/>
    <cellStyle name="20% - Accent4 11 2 2 4 2" xfId="25730" xr:uid="{00000000-0005-0000-0000-0000B1260000}"/>
    <cellStyle name="20% - Accent4 11 2 2 5" xfId="17824" xr:uid="{00000000-0005-0000-0000-0000B2260000}"/>
    <cellStyle name="20% - Accent4 11 2 2 5 2" xfId="29516" xr:uid="{00000000-0005-0000-0000-0000B3260000}"/>
    <cellStyle name="20% - Accent4 11 2 2 6" xfId="21870" xr:uid="{00000000-0005-0000-0000-0000B4260000}"/>
    <cellStyle name="20% - Accent4 11 2 3" xfId="2575" xr:uid="{00000000-0005-0000-0000-0000B5260000}"/>
    <cellStyle name="20% - Accent4 11 2 3 2" xfId="2576" xr:uid="{00000000-0005-0000-0000-0000B6260000}"/>
    <cellStyle name="20% - Accent4 11 2 3 2 2" xfId="13877" xr:uid="{00000000-0005-0000-0000-0000B7260000}"/>
    <cellStyle name="20% - Accent4 11 2 3 2 2 2" xfId="25734" xr:uid="{00000000-0005-0000-0000-0000B8260000}"/>
    <cellStyle name="20% - Accent4 11 2 3 2 3" xfId="17828" xr:uid="{00000000-0005-0000-0000-0000B9260000}"/>
    <cellStyle name="20% - Accent4 11 2 3 2 3 2" xfId="29520" xr:uid="{00000000-0005-0000-0000-0000BA260000}"/>
    <cellStyle name="20% - Accent4 11 2 3 2 4" xfId="21874" xr:uid="{00000000-0005-0000-0000-0000BB260000}"/>
    <cellStyle name="20% - Accent4 11 2 3 3" xfId="2577" xr:uid="{00000000-0005-0000-0000-0000BC260000}"/>
    <cellStyle name="20% - Accent4 11 2 3 3 2" xfId="13878" xr:uid="{00000000-0005-0000-0000-0000BD260000}"/>
    <cellStyle name="20% - Accent4 11 2 3 3 2 2" xfId="25735" xr:uid="{00000000-0005-0000-0000-0000BE260000}"/>
    <cellStyle name="20% - Accent4 11 2 3 3 3" xfId="17829" xr:uid="{00000000-0005-0000-0000-0000BF260000}"/>
    <cellStyle name="20% - Accent4 11 2 3 3 3 2" xfId="29521" xr:uid="{00000000-0005-0000-0000-0000C0260000}"/>
    <cellStyle name="20% - Accent4 11 2 3 3 4" xfId="21875" xr:uid="{00000000-0005-0000-0000-0000C1260000}"/>
    <cellStyle name="20% - Accent4 11 2 3 4" xfId="13876" xr:uid="{00000000-0005-0000-0000-0000C2260000}"/>
    <cellStyle name="20% - Accent4 11 2 3 4 2" xfId="25733" xr:uid="{00000000-0005-0000-0000-0000C3260000}"/>
    <cellStyle name="20% - Accent4 11 2 3 5" xfId="17827" xr:uid="{00000000-0005-0000-0000-0000C4260000}"/>
    <cellStyle name="20% - Accent4 11 2 3 5 2" xfId="29519" xr:uid="{00000000-0005-0000-0000-0000C5260000}"/>
    <cellStyle name="20% - Accent4 11 2 3 6" xfId="21873" xr:uid="{00000000-0005-0000-0000-0000C6260000}"/>
    <cellStyle name="20% - Accent4 11 2 4" xfId="2578" xr:uid="{00000000-0005-0000-0000-0000C7260000}"/>
    <cellStyle name="20% - Accent4 11 2 4 2" xfId="2579" xr:uid="{00000000-0005-0000-0000-0000C8260000}"/>
    <cellStyle name="20% - Accent4 11 2 4 2 2" xfId="13880" xr:uid="{00000000-0005-0000-0000-0000C9260000}"/>
    <cellStyle name="20% - Accent4 11 2 4 2 2 2" xfId="25737" xr:uid="{00000000-0005-0000-0000-0000CA260000}"/>
    <cellStyle name="20% - Accent4 11 2 4 2 3" xfId="17831" xr:uid="{00000000-0005-0000-0000-0000CB260000}"/>
    <cellStyle name="20% - Accent4 11 2 4 2 3 2" xfId="29523" xr:uid="{00000000-0005-0000-0000-0000CC260000}"/>
    <cellStyle name="20% - Accent4 11 2 4 2 4" xfId="21877" xr:uid="{00000000-0005-0000-0000-0000CD260000}"/>
    <cellStyle name="20% - Accent4 11 2 4 3" xfId="2580" xr:uid="{00000000-0005-0000-0000-0000CE260000}"/>
    <cellStyle name="20% - Accent4 11 2 4 3 2" xfId="13881" xr:uid="{00000000-0005-0000-0000-0000CF260000}"/>
    <cellStyle name="20% - Accent4 11 2 4 3 2 2" xfId="25738" xr:uid="{00000000-0005-0000-0000-0000D0260000}"/>
    <cellStyle name="20% - Accent4 11 2 4 3 3" xfId="17832" xr:uid="{00000000-0005-0000-0000-0000D1260000}"/>
    <cellStyle name="20% - Accent4 11 2 4 3 3 2" xfId="29524" xr:uid="{00000000-0005-0000-0000-0000D2260000}"/>
    <cellStyle name="20% - Accent4 11 2 4 3 4" xfId="21878" xr:uid="{00000000-0005-0000-0000-0000D3260000}"/>
    <cellStyle name="20% - Accent4 11 2 4 4" xfId="13879" xr:uid="{00000000-0005-0000-0000-0000D4260000}"/>
    <cellStyle name="20% - Accent4 11 2 4 4 2" xfId="25736" xr:uid="{00000000-0005-0000-0000-0000D5260000}"/>
    <cellStyle name="20% - Accent4 11 2 4 5" xfId="17830" xr:uid="{00000000-0005-0000-0000-0000D6260000}"/>
    <cellStyle name="20% - Accent4 11 2 4 5 2" xfId="29522" xr:uid="{00000000-0005-0000-0000-0000D7260000}"/>
    <cellStyle name="20% - Accent4 11 2 4 6" xfId="21876" xr:uid="{00000000-0005-0000-0000-0000D8260000}"/>
    <cellStyle name="20% - Accent4 11 2 5" xfId="2581" xr:uid="{00000000-0005-0000-0000-0000D9260000}"/>
    <cellStyle name="20% - Accent4 11 2 5 2" xfId="13882" xr:uid="{00000000-0005-0000-0000-0000DA260000}"/>
    <cellStyle name="20% - Accent4 11 2 5 2 2" xfId="25739" xr:uid="{00000000-0005-0000-0000-0000DB260000}"/>
    <cellStyle name="20% - Accent4 11 2 5 3" xfId="17833" xr:uid="{00000000-0005-0000-0000-0000DC260000}"/>
    <cellStyle name="20% - Accent4 11 2 5 3 2" xfId="29525" xr:uid="{00000000-0005-0000-0000-0000DD260000}"/>
    <cellStyle name="20% - Accent4 11 2 5 4" xfId="21879" xr:uid="{00000000-0005-0000-0000-0000DE260000}"/>
    <cellStyle name="20% - Accent4 11 2 6" xfId="2582" xr:uid="{00000000-0005-0000-0000-0000DF260000}"/>
    <cellStyle name="20% - Accent4 11 2 6 2" xfId="13883" xr:uid="{00000000-0005-0000-0000-0000E0260000}"/>
    <cellStyle name="20% - Accent4 11 2 6 2 2" xfId="25740" xr:uid="{00000000-0005-0000-0000-0000E1260000}"/>
    <cellStyle name="20% - Accent4 11 2 6 3" xfId="17834" xr:uid="{00000000-0005-0000-0000-0000E2260000}"/>
    <cellStyle name="20% - Accent4 11 2 6 3 2" xfId="29526" xr:uid="{00000000-0005-0000-0000-0000E3260000}"/>
    <cellStyle name="20% - Accent4 11 2 6 4" xfId="21880" xr:uid="{00000000-0005-0000-0000-0000E4260000}"/>
    <cellStyle name="20% - Accent4 11 2 7" xfId="13872" xr:uid="{00000000-0005-0000-0000-0000E5260000}"/>
    <cellStyle name="20% - Accent4 11 2 7 2" xfId="25729" xr:uid="{00000000-0005-0000-0000-0000E6260000}"/>
    <cellStyle name="20% - Accent4 11 2 8" xfId="17823" xr:uid="{00000000-0005-0000-0000-0000E7260000}"/>
    <cellStyle name="20% - Accent4 11 2 8 2" xfId="29515" xr:uid="{00000000-0005-0000-0000-0000E8260000}"/>
    <cellStyle name="20% - Accent4 11 2 9" xfId="21869" xr:uid="{00000000-0005-0000-0000-0000E9260000}"/>
    <cellStyle name="20% - Accent4 11 2_Volatility" xfId="2583" xr:uid="{00000000-0005-0000-0000-0000EA260000}"/>
    <cellStyle name="20% - Accent4 11 3" xfId="2584" xr:uid="{00000000-0005-0000-0000-0000EB260000}"/>
    <cellStyle name="20% - Accent4 11 3 2" xfId="2585" xr:uid="{00000000-0005-0000-0000-0000EC260000}"/>
    <cellStyle name="20% - Accent4 11 3 2 2" xfId="2586" xr:uid="{00000000-0005-0000-0000-0000ED260000}"/>
    <cellStyle name="20% - Accent4 11 3 2 2 2" xfId="13886" xr:uid="{00000000-0005-0000-0000-0000EE260000}"/>
    <cellStyle name="20% - Accent4 11 3 2 2 2 2" xfId="25743" xr:uid="{00000000-0005-0000-0000-0000EF260000}"/>
    <cellStyle name="20% - Accent4 11 3 2 2 3" xfId="17837" xr:uid="{00000000-0005-0000-0000-0000F0260000}"/>
    <cellStyle name="20% - Accent4 11 3 2 2 3 2" xfId="29529" xr:uid="{00000000-0005-0000-0000-0000F1260000}"/>
    <cellStyle name="20% - Accent4 11 3 2 2 4" xfId="21883" xr:uid="{00000000-0005-0000-0000-0000F2260000}"/>
    <cellStyle name="20% - Accent4 11 3 2 3" xfId="2587" xr:uid="{00000000-0005-0000-0000-0000F3260000}"/>
    <cellStyle name="20% - Accent4 11 3 2 3 2" xfId="13887" xr:uid="{00000000-0005-0000-0000-0000F4260000}"/>
    <cellStyle name="20% - Accent4 11 3 2 3 2 2" xfId="25744" xr:uid="{00000000-0005-0000-0000-0000F5260000}"/>
    <cellStyle name="20% - Accent4 11 3 2 3 3" xfId="17838" xr:uid="{00000000-0005-0000-0000-0000F6260000}"/>
    <cellStyle name="20% - Accent4 11 3 2 3 3 2" xfId="29530" xr:uid="{00000000-0005-0000-0000-0000F7260000}"/>
    <cellStyle name="20% - Accent4 11 3 2 3 4" xfId="21884" xr:uid="{00000000-0005-0000-0000-0000F8260000}"/>
    <cellStyle name="20% - Accent4 11 3 2 4" xfId="13885" xr:uid="{00000000-0005-0000-0000-0000F9260000}"/>
    <cellStyle name="20% - Accent4 11 3 2 4 2" xfId="25742" xr:uid="{00000000-0005-0000-0000-0000FA260000}"/>
    <cellStyle name="20% - Accent4 11 3 2 5" xfId="17836" xr:uid="{00000000-0005-0000-0000-0000FB260000}"/>
    <cellStyle name="20% - Accent4 11 3 2 5 2" xfId="29528" xr:uid="{00000000-0005-0000-0000-0000FC260000}"/>
    <cellStyle name="20% - Accent4 11 3 2 6" xfId="21882" xr:uid="{00000000-0005-0000-0000-0000FD260000}"/>
    <cellStyle name="20% - Accent4 11 3 3" xfId="2588" xr:uid="{00000000-0005-0000-0000-0000FE260000}"/>
    <cellStyle name="20% - Accent4 11 3 3 2" xfId="2589" xr:uid="{00000000-0005-0000-0000-0000FF260000}"/>
    <cellStyle name="20% - Accent4 11 3 3 2 2" xfId="13889" xr:uid="{00000000-0005-0000-0000-000000270000}"/>
    <cellStyle name="20% - Accent4 11 3 3 2 2 2" xfId="25746" xr:uid="{00000000-0005-0000-0000-000001270000}"/>
    <cellStyle name="20% - Accent4 11 3 3 2 3" xfId="17840" xr:uid="{00000000-0005-0000-0000-000002270000}"/>
    <cellStyle name="20% - Accent4 11 3 3 2 3 2" xfId="29532" xr:uid="{00000000-0005-0000-0000-000003270000}"/>
    <cellStyle name="20% - Accent4 11 3 3 2 4" xfId="21886" xr:uid="{00000000-0005-0000-0000-000004270000}"/>
    <cellStyle name="20% - Accent4 11 3 3 3" xfId="2590" xr:uid="{00000000-0005-0000-0000-000005270000}"/>
    <cellStyle name="20% - Accent4 11 3 3 3 2" xfId="13890" xr:uid="{00000000-0005-0000-0000-000006270000}"/>
    <cellStyle name="20% - Accent4 11 3 3 3 2 2" xfId="25747" xr:uid="{00000000-0005-0000-0000-000007270000}"/>
    <cellStyle name="20% - Accent4 11 3 3 3 3" xfId="17841" xr:uid="{00000000-0005-0000-0000-000008270000}"/>
    <cellStyle name="20% - Accent4 11 3 3 3 3 2" xfId="29533" xr:uid="{00000000-0005-0000-0000-000009270000}"/>
    <cellStyle name="20% - Accent4 11 3 3 3 4" xfId="21887" xr:uid="{00000000-0005-0000-0000-00000A270000}"/>
    <cellStyle name="20% - Accent4 11 3 3 4" xfId="13888" xr:uid="{00000000-0005-0000-0000-00000B270000}"/>
    <cellStyle name="20% - Accent4 11 3 3 4 2" xfId="25745" xr:uid="{00000000-0005-0000-0000-00000C270000}"/>
    <cellStyle name="20% - Accent4 11 3 3 5" xfId="17839" xr:uid="{00000000-0005-0000-0000-00000D270000}"/>
    <cellStyle name="20% - Accent4 11 3 3 5 2" xfId="29531" xr:uid="{00000000-0005-0000-0000-00000E270000}"/>
    <cellStyle name="20% - Accent4 11 3 3 6" xfId="21885" xr:uid="{00000000-0005-0000-0000-00000F270000}"/>
    <cellStyle name="20% - Accent4 11 3 4" xfId="2591" xr:uid="{00000000-0005-0000-0000-000010270000}"/>
    <cellStyle name="20% - Accent4 11 3 4 2" xfId="13891" xr:uid="{00000000-0005-0000-0000-000011270000}"/>
    <cellStyle name="20% - Accent4 11 3 4 2 2" xfId="25748" xr:uid="{00000000-0005-0000-0000-000012270000}"/>
    <cellStyle name="20% - Accent4 11 3 4 3" xfId="17842" xr:uid="{00000000-0005-0000-0000-000013270000}"/>
    <cellStyle name="20% - Accent4 11 3 4 3 2" xfId="29534" xr:uid="{00000000-0005-0000-0000-000014270000}"/>
    <cellStyle name="20% - Accent4 11 3 4 4" xfId="21888" xr:uid="{00000000-0005-0000-0000-000015270000}"/>
    <cellStyle name="20% - Accent4 11 3 5" xfId="2592" xr:uid="{00000000-0005-0000-0000-000016270000}"/>
    <cellStyle name="20% - Accent4 11 3 5 2" xfId="13892" xr:uid="{00000000-0005-0000-0000-000017270000}"/>
    <cellStyle name="20% - Accent4 11 3 5 2 2" xfId="25749" xr:uid="{00000000-0005-0000-0000-000018270000}"/>
    <cellStyle name="20% - Accent4 11 3 5 3" xfId="17843" xr:uid="{00000000-0005-0000-0000-000019270000}"/>
    <cellStyle name="20% - Accent4 11 3 5 3 2" xfId="29535" xr:uid="{00000000-0005-0000-0000-00001A270000}"/>
    <cellStyle name="20% - Accent4 11 3 5 4" xfId="21889" xr:uid="{00000000-0005-0000-0000-00001B270000}"/>
    <cellStyle name="20% - Accent4 11 3 6" xfId="13884" xr:uid="{00000000-0005-0000-0000-00001C270000}"/>
    <cellStyle name="20% - Accent4 11 3 6 2" xfId="25741" xr:uid="{00000000-0005-0000-0000-00001D270000}"/>
    <cellStyle name="20% - Accent4 11 3 7" xfId="17835" xr:uid="{00000000-0005-0000-0000-00001E270000}"/>
    <cellStyle name="20% - Accent4 11 3 7 2" xfId="29527" xr:uid="{00000000-0005-0000-0000-00001F270000}"/>
    <cellStyle name="20% - Accent4 11 3 8" xfId="21881" xr:uid="{00000000-0005-0000-0000-000020270000}"/>
    <cellStyle name="20% - Accent4 11 3_Volatility" xfId="2593" xr:uid="{00000000-0005-0000-0000-000021270000}"/>
    <cellStyle name="20% - Accent4 11 4" xfId="2594" xr:uid="{00000000-0005-0000-0000-000022270000}"/>
    <cellStyle name="20% - Accent4 11 4 2" xfId="2595" xr:uid="{00000000-0005-0000-0000-000023270000}"/>
    <cellStyle name="20% - Accent4 11 4 2 2" xfId="13894" xr:uid="{00000000-0005-0000-0000-000024270000}"/>
    <cellStyle name="20% - Accent4 11 4 2 2 2" xfId="25751" xr:uid="{00000000-0005-0000-0000-000025270000}"/>
    <cellStyle name="20% - Accent4 11 4 2 3" xfId="17845" xr:uid="{00000000-0005-0000-0000-000026270000}"/>
    <cellStyle name="20% - Accent4 11 4 2 3 2" xfId="29537" xr:uid="{00000000-0005-0000-0000-000027270000}"/>
    <cellStyle name="20% - Accent4 11 4 2 4" xfId="21891" xr:uid="{00000000-0005-0000-0000-000028270000}"/>
    <cellStyle name="20% - Accent4 11 4 3" xfId="2596" xr:uid="{00000000-0005-0000-0000-000029270000}"/>
    <cellStyle name="20% - Accent4 11 4 3 2" xfId="13895" xr:uid="{00000000-0005-0000-0000-00002A270000}"/>
    <cellStyle name="20% - Accent4 11 4 3 2 2" xfId="25752" xr:uid="{00000000-0005-0000-0000-00002B270000}"/>
    <cellStyle name="20% - Accent4 11 4 3 3" xfId="17846" xr:uid="{00000000-0005-0000-0000-00002C270000}"/>
    <cellStyle name="20% - Accent4 11 4 3 3 2" xfId="29538" xr:uid="{00000000-0005-0000-0000-00002D270000}"/>
    <cellStyle name="20% - Accent4 11 4 3 4" xfId="21892" xr:uid="{00000000-0005-0000-0000-00002E270000}"/>
    <cellStyle name="20% - Accent4 11 4 4" xfId="13893" xr:uid="{00000000-0005-0000-0000-00002F270000}"/>
    <cellStyle name="20% - Accent4 11 4 4 2" xfId="25750" xr:uid="{00000000-0005-0000-0000-000030270000}"/>
    <cellStyle name="20% - Accent4 11 4 5" xfId="17844" xr:uid="{00000000-0005-0000-0000-000031270000}"/>
    <cellStyle name="20% - Accent4 11 4 5 2" xfId="29536" xr:uid="{00000000-0005-0000-0000-000032270000}"/>
    <cellStyle name="20% - Accent4 11 4 6" xfId="21890" xr:uid="{00000000-0005-0000-0000-000033270000}"/>
    <cellStyle name="20% - Accent4 11 5" xfId="2597" xr:uid="{00000000-0005-0000-0000-000034270000}"/>
    <cellStyle name="20% - Accent4 11 5 2" xfId="2598" xr:uid="{00000000-0005-0000-0000-000035270000}"/>
    <cellStyle name="20% - Accent4 11 5 2 2" xfId="13897" xr:uid="{00000000-0005-0000-0000-000036270000}"/>
    <cellStyle name="20% - Accent4 11 5 2 2 2" xfId="25754" xr:uid="{00000000-0005-0000-0000-000037270000}"/>
    <cellStyle name="20% - Accent4 11 5 2 3" xfId="17848" xr:uid="{00000000-0005-0000-0000-000038270000}"/>
    <cellStyle name="20% - Accent4 11 5 2 3 2" xfId="29540" xr:uid="{00000000-0005-0000-0000-000039270000}"/>
    <cellStyle name="20% - Accent4 11 5 2 4" xfId="21894" xr:uid="{00000000-0005-0000-0000-00003A270000}"/>
    <cellStyle name="20% - Accent4 11 5 3" xfId="2599" xr:uid="{00000000-0005-0000-0000-00003B270000}"/>
    <cellStyle name="20% - Accent4 11 5 3 2" xfId="13898" xr:uid="{00000000-0005-0000-0000-00003C270000}"/>
    <cellStyle name="20% - Accent4 11 5 3 2 2" xfId="25755" xr:uid="{00000000-0005-0000-0000-00003D270000}"/>
    <cellStyle name="20% - Accent4 11 5 3 3" xfId="17849" xr:uid="{00000000-0005-0000-0000-00003E270000}"/>
    <cellStyle name="20% - Accent4 11 5 3 3 2" xfId="29541" xr:uid="{00000000-0005-0000-0000-00003F270000}"/>
    <cellStyle name="20% - Accent4 11 5 3 4" xfId="21895" xr:uid="{00000000-0005-0000-0000-000040270000}"/>
    <cellStyle name="20% - Accent4 11 5 4" xfId="13896" xr:uid="{00000000-0005-0000-0000-000041270000}"/>
    <cellStyle name="20% - Accent4 11 5 4 2" xfId="25753" xr:uid="{00000000-0005-0000-0000-000042270000}"/>
    <cellStyle name="20% - Accent4 11 5 5" xfId="17847" xr:uid="{00000000-0005-0000-0000-000043270000}"/>
    <cellStyle name="20% - Accent4 11 5 5 2" xfId="29539" xr:uid="{00000000-0005-0000-0000-000044270000}"/>
    <cellStyle name="20% - Accent4 11 5 6" xfId="21893" xr:uid="{00000000-0005-0000-0000-000045270000}"/>
    <cellStyle name="20% - Accent4 11 6" xfId="2600" xr:uid="{00000000-0005-0000-0000-000046270000}"/>
    <cellStyle name="20% - Accent4 11 6 2" xfId="2601" xr:uid="{00000000-0005-0000-0000-000047270000}"/>
    <cellStyle name="20% - Accent4 11 6 2 2" xfId="13900" xr:uid="{00000000-0005-0000-0000-000048270000}"/>
    <cellStyle name="20% - Accent4 11 6 2 2 2" xfId="25757" xr:uid="{00000000-0005-0000-0000-000049270000}"/>
    <cellStyle name="20% - Accent4 11 6 2 3" xfId="17851" xr:uid="{00000000-0005-0000-0000-00004A270000}"/>
    <cellStyle name="20% - Accent4 11 6 2 3 2" xfId="29543" xr:uid="{00000000-0005-0000-0000-00004B270000}"/>
    <cellStyle name="20% - Accent4 11 6 2 4" xfId="21897" xr:uid="{00000000-0005-0000-0000-00004C270000}"/>
    <cellStyle name="20% - Accent4 11 6 3" xfId="2602" xr:uid="{00000000-0005-0000-0000-00004D270000}"/>
    <cellStyle name="20% - Accent4 11 6 3 2" xfId="13901" xr:uid="{00000000-0005-0000-0000-00004E270000}"/>
    <cellStyle name="20% - Accent4 11 6 3 2 2" xfId="25758" xr:uid="{00000000-0005-0000-0000-00004F270000}"/>
    <cellStyle name="20% - Accent4 11 6 3 3" xfId="17852" xr:uid="{00000000-0005-0000-0000-000050270000}"/>
    <cellStyle name="20% - Accent4 11 6 3 3 2" xfId="29544" xr:uid="{00000000-0005-0000-0000-000051270000}"/>
    <cellStyle name="20% - Accent4 11 6 3 4" xfId="21898" xr:uid="{00000000-0005-0000-0000-000052270000}"/>
    <cellStyle name="20% - Accent4 11 6 4" xfId="13899" xr:uid="{00000000-0005-0000-0000-000053270000}"/>
    <cellStyle name="20% - Accent4 11 6 4 2" xfId="25756" xr:uid="{00000000-0005-0000-0000-000054270000}"/>
    <cellStyle name="20% - Accent4 11 6 5" xfId="17850" xr:uid="{00000000-0005-0000-0000-000055270000}"/>
    <cellStyle name="20% - Accent4 11 6 5 2" xfId="29542" xr:uid="{00000000-0005-0000-0000-000056270000}"/>
    <cellStyle name="20% - Accent4 11 6 6" xfId="21896" xr:uid="{00000000-0005-0000-0000-000057270000}"/>
    <cellStyle name="20% - Accent4 11 7" xfId="2603" xr:uid="{00000000-0005-0000-0000-000058270000}"/>
    <cellStyle name="20% - Accent4 11 7 2" xfId="13902" xr:uid="{00000000-0005-0000-0000-000059270000}"/>
    <cellStyle name="20% - Accent4 11 7 2 2" xfId="25759" xr:uid="{00000000-0005-0000-0000-00005A270000}"/>
    <cellStyle name="20% - Accent4 11 7 3" xfId="17853" xr:uid="{00000000-0005-0000-0000-00005B270000}"/>
    <cellStyle name="20% - Accent4 11 7 3 2" xfId="29545" xr:uid="{00000000-0005-0000-0000-00005C270000}"/>
    <cellStyle name="20% - Accent4 11 7 4" xfId="21899" xr:uid="{00000000-0005-0000-0000-00005D270000}"/>
    <cellStyle name="20% - Accent4 11 8" xfId="2604" xr:uid="{00000000-0005-0000-0000-00005E270000}"/>
    <cellStyle name="20% - Accent4 11 8 2" xfId="13903" xr:uid="{00000000-0005-0000-0000-00005F270000}"/>
    <cellStyle name="20% - Accent4 11 8 2 2" xfId="25760" xr:uid="{00000000-0005-0000-0000-000060270000}"/>
    <cellStyle name="20% - Accent4 11 8 3" xfId="17854" xr:uid="{00000000-0005-0000-0000-000061270000}"/>
    <cellStyle name="20% - Accent4 11 8 3 2" xfId="29546" xr:uid="{00000000-0005-0000-0000-000062270000}"/>
    <cellStyle name="20% - Accent4 11 8 4" xfId="21900" xr:uid="{00000000-0005-0000-0000-000063270000}"/>
    <cellStyle name="20% - Accent4 11 9" xfId="13871" xr:uid="{00000000-0005-0000-0000-000064270000}"/>
    <cellStyle name="20% - Accent4 11 9 2" xfId="25728" xr:uid="{00000000-0005-0000-0000-000065270000}"/>
    <cellStyle name="20% - Accent4 11_Volatility" xfId="2605" xr:uid="{00000000-0005-0000-0000-000066270000}"/>
    <cellStyle name="20% - Accent4 12" xfId="2606" xr:uid="{00000000-0005-0000-0000-000067270000}"/>
    <cellStyle name="20% - Accent4 12 10" xfId="17855" xr:uid="{00000000-0005-0000-0000-000068270000}"/>
    <cellStyle name="20% - Accent4 12 10 2" xfId="29547" xr:uid="{00000000-0005-0000-0000-000069270000}"/>
    <cellStyle name="20% - Accent4 12 11" xfId="21901" xr:uid="{00000000-0005-0000-0000-00006A270000}"/>
    <cellStyle name="20% - Accent4 12 2" xfId="2607" xr:uid="{00000000-0005-0000-0000-00006B270000}"/>
    <cellStyle name="20% - Accent4 12 2 2" xfId="2608" xr:uid="{00000000-0005-0000-0000-00006C270000}"/>
    <cellStyle name="20% - Accent4 12 2 2 2" xfId="2609" xr:uid="{00000000-0005-0000-0000-00006D270000}"/>
    <cellStyle name="20% - Accent4 12 2 2 2 2" xfId="13907" xr:uid="{00000000-0005-0000-0000-00006E270000}"/>
    <cellStyle name="20% - Accent4 12 2 2 2 2 2" xfId="25764" xr:uid="{00000000-0005-0000-0000-00006F270000}"/>
    <cellStyle name="20% - Accent4 12 2 2 2 3" xfId="17858" xr:uid="{00000000-0005-0000-0000-000070270000}"/>
    <cellStyle name="20% - Accent4 12 2 2 2 3 2" xfId="29550" xr:uid="{00000000-0005-0000-0000-000071270000}"/>
    <cellStyle name="20% - Accent4 12 2 2 2 4" xfId="21904" xr:uid="{00000000-0005-0000-0000-000072270000}"/>
    <cellStyle name="20% - Accent4 12 2 2 3" xfId="2610" xr:uid="{00000000-0005-0000-0000-000073270000}"/>
    <cellStyle name="20% - Accent4 12 2 2 3 2" xfId="13908" xr:uid="{00000000-0005-0000-0000-000074270000}"/>
    <cellStyle name="20% - Accent4 12 2 2 3 2 2" xfId="25765" xr:uid="{00000000-0005-0000-0000-000075270000}"/>
    <cellStyle name="20% - Accent4 12 2 2 3 3" xfId="17859" xr:uid="{00000000-0005-0000-0000-000076270000}"/>
    <cellStyle name="20% - Accent4 12 2 2 3 3 2" xfId="29551" xr:uid="{00000000-0005-0000-0000-000077270000}"/>
    <cellStyle name="20% - Accent4 12 2 2 3 4" xfId="21905" xr:uid="{00000000-0005-0000-0000-000078270000}"/>
    <cellStyle name="20% - Accent4 12 2 2 4" xfId="13906" xr:uid="{00000000-0005-0000-0000-000079270000}"/>
    <cellStyle name="20% - Accent4 12 2 2 4 2" xfId="25763" xr:uid="{00000000-0005-0000-0000-00007A270000}"/>
    <cellStyle name="20% - Accent4 12 2 2 5" xfId="17857" xr:uid="{00000000-0005-0000-0000-00007B270000}"/>
    <cellStyle name="20% - Accent4 12 2 2 5 2" xfId="29549" xr:uid="{00000000-0005-0000-0000-00007C270000}"/>
    <cellStyle name="20% - Accent4 12 2 2 6" xfId="21903" xr:uid="{00000000-0005-0000-0000-00007D270000}"/>
    <cellStyle name="20% - Accent4 12 2 3" xfId="2611" xr:uid="{00000000-0005-0000-0000-00007E270000}"/>
    <cellStyle name="20% - Accent4 12 2 3 2" xfId="2612" xr:uid="{00000000-0005-0000-0000-00007F270000}"/>
    <cellStyle name="20% - Accent4 12 2 3 2 2" xfId="13910" xr:uid="{00000000-0005-0000-0000-000080270000}"/>
    <cellStyle name="20% - Accent4 12 2 3 2 2 2" xfId="25767" xr:uid="{00000000-0005-0000-0000-000081270000}"/>
    <cellStyle name="20% - Accent4 12 2 3 2 3" xfId="17861" xr:uid="{00000000-0005-0000-0000-000082270000}"/>
    <cellStyle name="20% - Accent4 12 2 3 2 3 2" xfId="29553" xr:uid="{00000000-0005-0000-0000-000083270000}"/>
    <cellStyle name="20% - Accent4 12 2 3 2 4" xfId="21907" xr:uid="{00000000-0005-0000-0000-000084270000}"/>
    <cellStyle name="20% - Accent4 12 2 3 3" xfId="2613" xr:uid="{00000000-0005-0000-0000-000085270000}"/>
    <cellStyle name="20% - Accent4 12 2 3 3 2" xfId="13911" xr:uid="{00000000-0005-0000-0000-000086270000}"/>
    <cellStyle name="20% - Accent4 12 2 3 3 2 2" xfId="25768" xr:uid="{00000000-0005-0000-0000-000087270000}"/>
    <cellStyle name="20% - Accent4 12 2 3 3 3" xfId="17862" xr:uid="{00000000-0005-0000-0000-000088270000}"/>
    <cellStyle name="20% - Accent4 12 2 3 3 3 2" xfId="29554" xr:uid="{00000000-0005-0000-0000-000089270000}"/>
    <cellStyle name="20% - Accent4 12 2 3 3 4" xfId="21908" xr:uid="{00000000-0005-0000-0000-00008A270000}"/>
    <cellStyle name="20% - Accent4 12 2 3 4" xfId="13909" xr:uid="{00000000-0005-0000-0000-00008B270000}"/>
    <cellStyle name="20% - Accent4 12 2 3 4 2" xfId="25766" xr:uid="{00000000-0005-0000-0000-00008C270000}"/>
    <cellStyle name="20% - Accent4 12 2 3 5" xfId="17860" xr:uid="{00000000-0005-0000-0000-00008D270000}"/>
    <cellStyle name="20% - Accent4 12 2 3 5 2" xfId="29552" xr:uid="{00000000-0005-0000-0000-00008E270000}"/>
    <cellStyle name="20% - Accent4 12 2 3 6" xfId="21906" xr:uid="{00000000-0005-0000-0000-00008F270000}"/>
    <cellStyle name="20% - Accent4 12 2 4" xfId="2614" xr:uid="{00000000-0005-0000-0000-000090270000}"/>
    <cellStyle name="20% - Accent4 12 2 4 2" xfId="2615" xr:uid="{00000000-0005-0000-0000-000091270000}"/>
    <cellStyle name="20% - Accent4 12 2 4 2 2" xfId="13913" xr:uid="{00000000-0005-0000-0000-000092270000}"/>
    <cellStyle name="20% - Accent4 12 2 4 2 2 2" xfId="25770" xr:uid="{00000000-0005-0000-0000-000093270000}"/>
    <cellStyle name="20% - Accent4 12 2 4 2 3" xfId="17864" xr:uid="{00000000-0005-0000-0000-000094270000}"/>
    <cellStyle name="20% - Accent4 12 2 4 2 3 2" xfId="29556" xr:uid="{00000000-0005-0000-0000-000095270000}"/>
    <cellStyle name="20% - Accent4 12 2 4 2 4" xfId="21910" xr:uid="{00000000-0005-0000-0000-000096270000}"/>
    <cellStyle name="20% - Accent4 12 2 4 3" xfId="2616" xr:uid="{00000000-0005-0000-0000-000097270000}"/>
    <cellStyle name="20% - Accent4 12 2 4 3 2" xfId="13914" xr:uid="{00000000-0005-0000-0000-000098270000}"/>
    <cellStyle name="20% - Accent4 12 2 4 3 2 2" xfId="25771" xr:uid="{00000000-0005-0000-0000-000099270000}"/>
    <cellStyle name="20% - Accent4 12 2 4 3 3" xfId="17865" xr:uid="{00000000-0005-0000-0000-00009A270000}"/>
    <cellStyle name="20% - Accent4 12 2 4 3 3 2" xfId="29557" xr:uid="{00000000-0005-0000-0000-00009B270000}"/>
    <cellStyle name="20% - Accent4 12 2 4 3 4" xfId="21911" xr:uid="{00000000-0005-0000-0000-00009C270000}"/>
    <cellStyle name="20% - Accent4 12 2 4 4" xfId="13912" xr:uid="{00000000-0005-0000-0000-00009D270000}"/>
    <cellStyle name="20% - Accent4 12 2 4 4 2" xfId="25769" xr:uid="{00000000-0005-0000-0000-00009E270000}"/>
    <cellStyle name="20% - Accent4 12 2 4 5" xfId="17863" xr:uid="{00000000-0005-0000-0000-00009F270000}"/>
    <cellStyle name="20% - Accent4 12 2 4 5 2" xfId="29555" xr:uid="{00000000-0005-0000-0000-0000A0270000}"/>
    <cellStyle name="20% - Accent4 12 2 4 6" xfId="21909" xr:uid="{00000000-0005-0000-0000-0000A1270000}"/>
    <cellStyle name="20% - Accent4 12 2 5" xfId="2617" xr:uid="{00000000-0005-0000-0000-0000A2270000}"/>
    <cellStyle name="20% - Accent4 12 2 5 2" xfId="13915" xr:uid="{00000000-0005-0000-0000-0000A3270000}"/>
    <cellStyle name="20% - Accent4 12 2 5 2 2" xfId="25772" xr:uid="{00000000-0005-0000-0000-0000A4270000}"/>
    <cellStyle name="20% - Accent4 12 2 5 3" xfId="17866" xr:uid="{00000000-0005-0000-0000-0000A5270000}"/>
    <cellStyle name="20% - Accent4 12 2 5 3 2" xfId="29558" xr:uid="{00000000-0005-0000-0000-0000A6270000}"/>
    <cellStyle name="20% - Accent4 12 2 5 4" xfId="21912" xr:uid="{00000000-0005-0000-0000-0000A7270000}"/>
    <cellStyle name="20% - Accent4 12 2 6" xfId="2618" xr:uid="{00000000-0005-0000-0000-0000A8270000}"/>
    <cellStyle name="20% - Accent4 12 2 6 2" xfId="13916" xr:uid="{00000000-0005-0000-0000-0000A9270000}"/>
    <cellStyle name="20% - Accent4 12 2 6 2 2" xfId="25773" xr:uid="{00000000-0005-0000-0000-0000AA270000}"/>
    <cellStyle name="20% - Accent4 12 2 6 3" xfId="17867" xr:uid="{00000000-0005-0000-0000-0000AB270000}"/>
    <cellStyle name="20% - Accent4 12 2 6 3 2" xfId="29559" xr:uid="{00000000-0005-0000-0000-0000AC270000}"/>
    <cellStyle name="20% - Accent4 12 2 6 4" xfId="21913" xr:uid="{00000000-0005-0000-0000-0000AD270000}"/>
    <cellStyle name="20% - Accent4 12 2 7" xfId="13905" xr:uid="{00000000-0005-0000-0000-0000AE270000}"/>
    <cellStyle name="20% - Accent4 12 2 7 2" xfId="25762" xr:uid="{00000000-0005-0000-0000-0000AF270000}"/>
    <cellStyle name="20% - Accent4 12 2 8" xfId="17856" xr:uid="{00000000-0005-0000-0000-0000B0270000}"/>
    <cellStyle name="20% - Accent4 12 2 8 2" xfId="29548" xr:uid="{00000000-0005-0000-0000-0000B1270000}"/>
    <cellStyle name="20% - Accent4 12 2 9" xfId="21902" xr:uid="{00000000-0005-0000-0000-0000B2270000}"/>
    <cellStyle name="20% - Accent4 12 2_Volatility" xfId="2619" xr:uid="{00000000-0005-0000-0000-0000B3270000}"/>
    <cellStyle name="20% - Accent4 12 3" xfId="2620" xr:uid="{00000000-0005-0000-0000-0000B4270000}"/>
    <cellStyle name="20% - Accent4 12 3 2" xfId="2621" xr:uid="{00000000-0005-0000-0000-0000B5270000}"/>
    <cellStyle name="20% - Accent4 12 3 2 2" xfId="2622" xr:uid="{00000000-0005-0000-0000-0000B6270000}"/>
    <cellStyle name="20% - Accent4 12 3 2 2 2" xfId="13919" xr:uid="{00000000-0005-0000-0000-0000B7270000}"/>
    <cellStyle name="20% - Accent4 12 3 2 2 2 2" xfId="25776" xr:uid="{00000000-0005-0000-0000-0000B8270000}"/>
    <cellStyle name="20% - Accent4 12 3 2 2 3" xfId="17870" xr:uid="{00000000-0005-0000-0000-0000B9270000}"/>
    <cellStyle name="20% - Accent4 12 3 2 2 3 2" xfId="29562" xr:uid="{00000000-0005-0000-0000-0000BA270000}"/>
    <cellStyle name="20% - Accent4 12 3 2 2 4" xfId="21916" xr:uid="{00000000-0005-0000-0000-0000BB270000}"/>
    <cellStyle name="20% - Accent4 12 3 2 3" xfId="2623" xr:uid="{00000000-0005-0000-0000-0000BC270000}"/>
    <cellStyle name="20% - Accent4 12 3 2 3 2" xfId="13920" xr:uid="{00000000-0005-0000-0000-0000BD270000}"/>
    <cellStyle name="20% - Accent4 12 3 2 3 2 2" xfId="25777" xr:uid="{00000000-0005-0000-0000-0000BE270000}"/>
    <cellStyle name="20% - Accent4 12 3 2 3 3" xfId="17871" xr:uid="{00000000-0005-0000-0000-0000BF270000}"/>
    <cellStyle name="20% - Accent4 12 3 2 3 3 2" xfId="29563" xr:uid="{00000000-0005-0000-0000-0000C0270000}"/>
    <cellStyle name="20% - Accent4 12 3 2 3 4" xfId="21917" xr:uid="{00000000-0005-0000-0000-0000C1270000}"/>
    <cellStyle name="20% - Accent4 12 3 2 4" xfId="13918" xr:uid="{00000000-0005-0000-0000-0000C2270000}"/>
    <cellStyle name="20% - Accent4 12 3 2 4 2" xfId="25775" xr:uid="{00000000-0005-0000-0000-0000C3270000}"/>
    <cellStyle name="20% - Accent4 12 3 2 5" xfId="17869" xr:uid="{00000000-0005-0000-0000-0000C4270000}"/>
    <cellStyle name="20% - Accent4 12 3 2 5 2" xfId="29561" xr:uid="{00000000-0005-0000-0000-0000C5270000}"/>
    <cellStyle name="20% - Accent4 12 3 2 6" xfId="21915" xr:uid="{00000000-0005-0000-0000-0000C6270000}"/>
    <cellStyle name="20% - Accent4 12 3 3" xfId="2624" xr:uid="{00000000-0005-0000-0000-0000C7270000}"/>
    <cellStyle name="20% - Accent4 12 3 3 2" xfId="2625" xr:uid="{00000000-0005-0000-0000-0000C8270000}"/>
    <cellStyle name="20% - Accent4 12 3 3 2 2" xfId="13922" xr:uid="{00000000-0005-0000-0000-0000C9270000}"/>
    <cellStyle name="20% - Accent4 12 3 3 2 2 2" xfId="25779" xr:uid="{00000000-0005-0000-0000-0000CA270000}"/>
    <cellStyle name="20% - Accent4 12 3 3 2 3" xfId="17873" xr:uid="{00000000-0005-0000-0000-0000CB270000}"/>
    <cellStyle name="20% - Accent4 12 3 3 2 3 2" xfId="29565" xr:uid="{00000000-0005-0000-0000-0000CC270000}"/>
    <cellStyle name="20% - Accent4 12 3 3 2 4" xfId="21919" xr:uid="{00000000-0005-0000-0000-0000CD270000}"/>
    <cellStyle name="20% - Accent4 12 3 3 3" xfId="2626" xr:uid="{00000000-0005-0000-0000-0000CE270000}"/>
    <cellStyle name="20% - Accent4 12 3 3 3 2" xfId="13923" xr:uid="{00000000-0005-0000-0000-0000CF270000}"/>
    <cellStyle name="20% - Accent4 12 3 3 3 2 2" xfId="25780" xr:uid="{00000000-0005-0000-0000-0000D0270000}"/>
    <cellStyle name="20% - Accent4 12 3 3 3 3" xfId="17874" xr:uid="{00000000-0005-0000-0000-0000D1270000}"/>
    <cellStyle name="20% - Accent4 12 3 3 3 3 2" xfId="29566" xr:uid="{00000000-0005-0000-0000-0000D2270000}"/>
    <cellStyle name="20% - Accent4 12 3 3 3 4" xfId="21920" xr:uid="{00000000-0005-0000-0000-0000D3270000}"/>
    <cellStyle name="20% - Accent4 12 3 3 4" xfId="13921" xr:uid="{00000000-0005-0000-0000-0000D4270000}"/>
    <cellStyle name="20% - Accent4 12 3 3 4 2" xfId="25778" xr:uid="{00000000-0005-0000-0000-0000D5270000}"/>
    <cellStyle name="20% - Accent4 12 3 3 5" xfId="17872" xr:uid="{00000000-0005-0000-0000-0000D6270000}"/>
    <cellStyle name="20% - Accent4 12 3 3 5 2" xfId="29564" xr:uid="{00000000-0005-0000-0000-0000D7270000}"/>
    <cellStyle name="20% - Accent4 12 3 3 6" xfId="21918" xr:uid="{00000000-0005-0000-0000-0000D8270000}"/>
    <cellStyle name="20% - Accent4 12 3 4" xfId="2627" xr:uid="{00000000-0005-0000-0000-0000D9270000}"/>
    <cellStyle name="20% - Accent4 12 3 4 2" xfId="13924" xr:uid="{00000000-0005-0000-0000-0000DA270000}"/>
    <cellStyle name="20% - Accent4 12 3 4 2 2" xfId="25781" xr:uid="{00000000-0005-0000-0000-0000DB270000}"/>
    <cellStyle name="20% - Accent4 12 3 4 3" xfId="17875" xr:uid="{00000000-0005-0000-0000-0000DC270000}"/>
    <cellStyle name="20% - Accent4 12 3 4 3 2" xfId="29567" xr:uid="{00000000-0005-0000-0000-0000DD270000}"/>
    <cellStyle name="20% - Accent4 12 3 4 4" xfId="21921" xr:uid="{00000000-0005-0000-0000-0000DE270000}"/>
    <cellStyle name="20% - Accent4 12 3 5" xfId="2628" xr:uid="{00000000-0005-0000-0000-0000DF270000}"/>
    <cellStyle name="20% - Accent4 12 3 5 2" xfId="13925" xr:uid="{00000000-0005-0000-0000-0000E0270000}"/>
    <cellStyle name="20% - Accent4 12 3 5 2 2" xfId="25782" xr:uid="{00000000-0005-0000-0000-0000E1270000}"/>
    <cellStyle name="20% - Accent4 12 3 5 3" xfId="17876" xr:uid="{00000000-0005-0000-0000-0000E2270000}"/>
    <cellStyle name="20% - Accent4 12 3 5 3 2" xfId="29568" xr:uid="{00000000-0005-0000-0000-0000E3270000}"/>
    <cellStyle name="20% - Accent4 12 3 5 4" xfId="21922" xr:uid="{00000000-0005-0000-0000-0000E4270000}"/>
    <cellStyle name="20% - Accent4 12 3 6" xfId="13917" xr:uid="{00000000-0005-0000-0000-0000E5270000}"/>
    <cellStyle name="20% - Accent4 12 3 6 2" xfId="25774" xr:uid="{00000000-0005-0000-0000-0000E6270000}"/>
    <cellStyle name="20% - Accent4 12 3 7" xfId="17868" xr:uid="{00000000-0005-0000-0000-0000E7270000}"/>
    <cellStyle name="20% - Accent4 12 3 7 2" xfId="29560" xr:uid="{00000000-0005-0000-0000-0000E8270000}"/>
    <cellStyle name="20% - Accent4 12 3 8" xfId="21914" xr:uid="{00000000-0005-0000-0000-0000E9270000}"/>
    <cellStyle name="20% - Accent4 12 3_Volatility" xfId="2629" xr:uid="{00000000-0005-0000-0000-0000EA270000}"/>
    <cellStyle name="20% - Accent4 12 4" xfId="2630" xr:uid="{00000000-0005-0000-0000-0000EB270000}"/>
    <cellStyle name="20% - Accent4 12 4 2" xfId="2631" xr:uid="{00000000-0005-0000-0000-0000EC270000}"/>
    <cellStyle name="20% - Accent4 12 4 2 2" xfId="13927" xr:uid="{00000000-0005-0000-0000-0000ED270000}"/>
    <cellStyle name="20% - Accent4 12 4 2 2 2" xfId="25784" xr:uid="{00000000-0005-0000-0000-0000EE270000}"/>
    <cellStyle name="20% - Accent4 12 4 2 3" xfId="17878" xr:uid="{00000000-0005-0000-0000-0000EF270000}"/>
    <cellStyle name="20% - Accent4 12 4 2 3 2" xfId="29570" xr:uid="{00000000-0005-0000-0000-0000F0270000}"/>
    <cellStyle name="20% - Accent4 12 4 2 4" xfId="21924" xr:uid="{00000000-0005-0000-0000-0000F1270000}"/>
    <cellStyle name="20% - Accent4 12 4 3" xfId="2632" xr:uid="{00000000-0005-0000-0000-0000F2270000}"/>
    <cellStyle name="20% - Accent4 12 4 3 2" xfId="13928" xr:uid="{00000000-0005-0000-0000-0000F3270000}"/>
    <cellStyle name="20% - Accent4 12 4 3 2 2" xfId="25785" xr:uid="{00000000-0005-0000-0000-0000F4270000}"/>
    <cellStyle name="20% - Accent4 12 4 3 3" xfId="17879" xr:uid="{00000000-0005-0000-0000-0000F5270000}"/>
    <cellStyle name="20% - Accent4 12 4 3 3 2" xfId="29571" xr:uid="{00000000-0005-0000-0000-0000F6270000}"/>
    <cellStyle name="20% - Accent4 12 4 3 4" xfId="21925" xr:uid="{00000000-0005-0000-0000-0000F7270000}"/>
    <cellStyle name="20% - Accent4 12 4 4" xfId="13926" xr:uid="{00000000-0005-0000-0000-0000F8270000}"/>
    <cellStyle name="20% - Accent4 12 4 4 2" xfId="25783" xr:uid="{00000000-0005-0000-0000-0000F9270000}"/>
    <cellStyle name="20% - Accent4 12 4 5" xfId="17877" xr:uid="{00000000-0005-0000-0000-0000FA270000}"/>
    <cellStyle name="20% - Accent4 12 4 5 2" xfId="29569" xr:uid="{00000000-0005-0000-0000-0000FB270000}"/>
    <cellStyle name="20% - Accent4 12 4 6" xfId="21923" xr:uid="{00000000-0005-0000-0000-0000FC270000}"/>
    <cellStyle name="20% - Accent4 12 5" xfId="2633" xr:uid="{00000000-0005-0000-0000-0000FD270000}"/>
    <cellStyle name="20% - Accent4 12 5 2" xfId="2634" xr:uid="{00000000-0005-0000-0000-0000FE270000}"/>
    <cellStyle name="20% - Accent4 12 5 2 2" xfId="13930" xr:uid="{00000000-0005-0000-0000-0000FF270000}"/>
    <cellStyle name="20% - Accent4 12 5 2 2 2" xfId="25787" xr:uid="{00000000-0005-0000-0000-000000280000}"/>
    <cellStyle name="20% - Accent4 12 5 2 3" xfId="17881" xr:uid="{00000000-0005-0000-0000-000001280000}"/>
    <cellStyle name="20% - Accent4 12 5 2 3 2" xfId="29573" xr:uid="{00000000-0005-0000-0000-000002280000}"/>
    <cellStyle name="20% - Accent4 12 5 2 4" xfId="21927" xr:uid="{00000000-0005-0000-0000-000003280000}"/>
    <cellStyle name="20% - Accent4 12 5 3" xfId="2635" xr:uid="{00000000-0005-0000-0000-000004280000}"/>
    <cellStyle name="20% - Accent4 12 5 3 2" xfId="13931" xr:uid="{00000000-0005-0000-0000-000005280000}"/>
    <cellStyle name="20% - Accent4 12 5 3 2 2" xfId="25788" xr:uid="{00000000-0005-0000-0000-000006280000}"/>
    <cellStyle name="20% - Accent4 12 5 3 3" xfId="17882" xr:uid="{00000000-0005-0000-0000-000007280000}"/>
    <cellStyle name="20% - Accent4 12 5 3 3 2" xfId="29574" xr:uid="{00000000-0005-0000-0000-000008280000}"/>
    <cellStyle name="20% - Accent4 12 5 3 4" xfId="21928" xr:uid="{00000000-0005-0000-0000-000009280000}"/>
    <cellStyle name="20% - Accent4 12 5 4" xfId="13929" xr:uid="{00000000-0005-0000-0000-00000A280000}"/>
    <cellStyle name="20% - Accent4 12 5 4 2" xfId="25786" xr:uid="{00000000-0005-0000-0000-00000B280000}"/>
    <cellStyle name="20% - Accent4 12 5 5" xfId="17880" xr:uid="{00000000-0005-0000-0000-00000C280000}"/>
    <cellStyle name="20% - Accent4 12 5 5 2" xfId="29572" xr:uid="{00000000-0005-0000-0000-00000D280000}"/>
    <cellStyle name="20% - Accent4 12 5 6" xfId="21926" xr:uid="{00000000-0005-0000-0000-00000E280000}"/>
    <cellStyle name="20% - Accent4 12 6" xfId="2636" xr:uid="{00000000-0005-0000-0000-00000F280000}"/>
    <cellStyle name="20% - Accent4 12 6 2" xfId="2637" xr:uid="{00000000-0005-0000-0000-000010280000}"/>
    <cellStyle name="20% - Accent4 12 6 2 2" xfId="13933" xr:uid="{00000000-0005-0000-0000-000011280000}"/>
    <cellStyle name="20% - Accent4 12 6 2 2 2" xfId="25790" xr:uid="{00000000-0005-0000-0000-000012280000}"/>
    <cellStyle name="20% - Accent4 12 6 2 3" xfId="17884" xr:uid="{00000000-0005-0000-0000-000013280000}"/>
    <cellStyle name="20% - Accent4 12 6 2 3 2" xfId="29576" xr:uid="{00000000-0005-0000-0000-000014280000}"/>
    <cellStyle name="20% - Accent4 12 6 2 4" xfId="21930" xr:uid="{00000000-0005-0000-0000-000015280000}"/>
    <cellStyle name="20% - Accent4 12 6 3" xfId="2638" xr:uid="{00000000-0005-0000-0000-000016280000}"/>
    <cellStyle name="20% - Accent4 12 6 3 2" xfId="13934" xr:uid="{00000000-0005-0000-0000-000017280000}"/>
    <cellStyle name="20% - Accent4 12 6 3 2 2" xfId="25791" xr:uid="{00000000-0005-0000-0000-000018280000}"/>
    <cellStyle name="20% - Accent4 12 6 3 3" xfId="17885" xr:uid="{00000000-0005-0000-0000-000019280000}"/>
    <cellStyle name="20% - Accent4 12 6 3 3 2" xfId="29577" xr:uid="{00000000-0005-0000-0000-00001A280000}"/>
    <cellStyle name="20% - Accent4 12 6 3 4" xfId="21931" xr:uid="{00000000-0005-0000-0000-00001B280000}"/>
    <cellStyle name="20% - Accent4 12 6 4" xfId="13932" xr:uid="{00000000-0005-0000-0000-00001C280000}"/>
    <cellStyle name="20% - Accent4 12 6 4 2" xfId="25789" xr:uid="{00000000-0005-0000-0000-00001D280000}"/>
    <cellStyle name="20% - Accent4 12 6 5" xfId="17883" xr:uid="{00000000-0005-0000-0000-00001E280000}"/>
    <cellStyle name="20% - Accent4 12 6 5 2" xfId="29575" xr:uid="{00000000-0005-0000-0000-00001F280000}"/>
    <cellStyle name="20% - Accent4 12 6 6" xfId="21929" xr:uid="{00000000-0005-0000-0000-000020280000}"/>
    <cellStyle name="20% - Accent4 12 7" xfId="2639" xr:uid="{00000000-0005-0000-0000-000021280000}"/>
    <cellStyle name="20% - Accent4 12 7 2" xfId="13935" xr:uid="{00000000-0005-0000-0000-000022280000}"/>
    <cellStyle name="20% - Accent4 12 7 2 2" xfId="25792" xr:uid="{00000000-0005-0000-0000-000023280000}"/>
    <cellStyle name="20% - Accent4 12 7 3" xfId="17886" xr:uid="{00000000-0005-0000-0000-000024280000}"/>
    <cellStyle name="20% - Accent4 12 7 3 2" xfId="29578" xr:uid="{00000000-0005-0000-0000-000025280000}"/>
    <cellStyle name="20% - Accent4 12 7 4" xfId="21932" xr:uid="{00000000-0005-0000-0000-000026280000}"/>
    <cellStyle name="20% - Accent4 12 8" xfId="2640" xr:uid="{00000000-0005-0000-0000-000027280000}"/>
    <cellStyle name="20% - Accent4 12 8 2" xfId="13936" xr:uid="{00000000-0005-0000-0000-000028280000}"/>
    <cellStyle name="20% - Accent4 12 8 2 2" xfId="25793" xr:uid="{00000000-0005-0000-0000-000029280000}"/>
    <cellStyle name="20% - Accent4 12 8 3" xfId="17887" xr:uid="{00000000-0005-0000-0000-00002A280000}"/>
    <cellStyle name="20% - Accent4 12 8 3 2" xfId="29579" xr:uid="{00000000-0005-0000-0000-00002B280000}"/>
    <cellStyle name="20% - Accent4 12 8 4" xfId="21933" xr:uid="{00000000-0005-0000-0000-00002C280000}"/>
    <cellStyle name="20% - Accent4 12 9" xfId="13904" xr:uid="{00000000-0005-0000-0000-00002D280000}"/>
    <cellStyle name="20% - Accent4 12 9 2" xfId="25761" xr:uid="{00000000-0005-0000-0000-00002E280000}"/>
    <cellStyle name="20% - Accent4 12_Volatility" xfId="2641" xr:uid="{00000000-0005-0000-0000-00002F280000}"/>
    <cellStyle name="20% - Accent4 13" xfId="2642" xr:uid="{00000000-0005-0000-0000-000030280000}"/>
    <cellStyle name="20% - Accent4 13 10" xfId="17888" xr:uid="{00000000-0005-0000-0000-000031280000}"/>
    <cellStyle name="20% - Accent4 13 10 2" xfId="29580" xr:uid="{00000000-0005-0000-0000-000032280000}"/>
    <cellStyle name="20% - Accent4 13 11" xfId="21934" xr:uid="{00000000-0005-0000-0000-000033280000}"/>
    <cellStyle name="20% - Accent4 13 2" xfId="2643" xr:uid="{00000000-0005-0000-0000-000034280000}"/>
    <cellStyle name="20% - Accent4 13 2 2" xfId="2644" xr:uid="{00000000-0005-0000-0000-000035280000}"/>
    <cellStyle name="20% - Accent4 13 2 2 2" xfId="2645" xr:uid="{00000000-0005-0000-0000-000036280000}"/>
    <cellStyle name="20% - Accent4 13 2 2 2 2" xfId="13940" xr:uid="{00000000-0005-0000-0000-000037280000}"/>
    <cellStyle name="20% - Accent4 13 2 2 2 2 2" xfId="25797" xr:uid="{00000000-0005-0000-0000-000038280000}"/>
    <cellStyle name="20% - Accent4 13 2 2 2 3" xfId="17891" xr:uid="{00000000-0005-0000-0000-000039280000}"/>
    <cellStyle name="20% - Accent4 13 2 2 2 3 2" xfId="29583" xr:uid="{00000000-0005-0000-0000-00003A280000}"/>
    <cellStyle name="20% - Accent4 13 2 2 2 4" xfId="21937" xr:uid="{00000000-0005-0000-0000-00003B280000}"/>
    <cellStyle name="20% - Accent4 13 2 2 3" xfId="2646" xr:uid="{00000000-0005-0000-0000-00003C280000}"/>
    <cellStyle name="20% - Accent4 13 2 2 3 2" xfId="13941" xr:uid="{00000000-0005-0000-0000-00003D280000}"/>
    <cellStyle name="20% - Accent4 13 2 2 3 2 2" xfId="25798" xr:uid="{00000000-0005-0000-0000-00003E280000}"/>
    <cellStyle name="20% - Accent4 13 2 2 3 3" xfId="17892" xr:uid="{00000000-0005-0000-0000-00003F280000}"/>
    <cellStyle name="20% - Accent4 13 2 2 3 3 2" xfId="29584" xr:uid="{00000000-0005-0000-0000-000040280000}"/>
    <cellStyle name="20% - Accent4 13 2 2 3 4" xfId="21938" xr:uid="{00000000-0005-0000-0000-000041280000}"/>
    <cellStyle name="20% - Accent4 13 2 2 4" xfId="13939" xr:uid="{00000000-0005-0000-0000-000042280000}"/>
    <cellStyle name="20% - Accent4 13 2 2 4 2" xfId="25796" xr:uid="{00000000-0005-0000-0000-000043280000}"/>
    <cellStyle name="20% - Accent4 13 2 2 5" xfId="17890" xr:uid="{00000000-0005-0000-0000-000044280000}"/>
    <cellStyle name="20% - Accent4 13 2 2 5 2" xfId="29582" xr:uid="{00000000-0005-0000-0000-000045280000}"/>
    <cellStyle name="20% - Accent4 13 2 2 6" xfId="21936" xr:uid="{00000000-0005-0000-0000-000046280000}"/>
    <cellStyle name="20% - Accent4 13 2 3" xfId="2647" xr:uid="{00000000-0005-0000-0000-000047280000}"/>
    <cellStyle name="20% - Accent4 13 2 3 2" xfId="2648" xr:uid="{00000000-0005-0000-0000-000048280000}"/>
    <cellStyle name="20% - Accent4 13 2 3 2 2" xfId="13943" xr:uid="{00000000-0005-0000-0000-000049280000}"/>
    <cellStyle name="20% - Accent4 13 2 3 2 2 2" xfId="25800" xr:uid="{00000000-0005-0000-0000-00004A280000}"/>
    <cellStyle name="20% - Accent4 13 2 3 2 3" xfId="17894" xr:uid="{00000000-0005-0000-0000-00004B280000}"/>
    <cellStyle name="20% - Accent4 13 2 3 2 3 2" xfId="29586" xr:uid="{00000000-0005-0000-0000-00004C280000}"/>
    <cellStyle name="20% - Accent4 13 2 3 2 4" xfId="21940" xr:uid="{00000000-0005-0000-0000-00004D280000}"/>
    <cellStyle name="20% - Accent4 13 2 3 3" xfId="2649" xr:uid="{00000000-0005-0000-0000-00004E280000}"/>
    <cellStyle name="20% - Accent4 13 2 3 3 2" xfId="13944" xr:uid="{00000000-0005-0000-0000-00004F280000}"/>
    <cellStyle name="20% - Accent4 13 2 3 3 2 2" xfId="25801" xr:uid="{00000000-0005-0000-0000-000050280000}"/>
    <cellStyle name="20% - Accent4 13 2 3 3 3" xfId="17895" xr:uid="{00000000-0005-0000-0000-000051280000}"/>
    <cellStyle name="20% - Accent4 13 2 3 3 3 2" xfId="29587" xr:uid="{00000000-0005-0000-0000-000052280000}"/>
    <cellStyle name="20% - Accent4 13 2 3 3 4" xfId="21941" xr:uid="{00000000-0005-0000-0000-000053280000}"/>
    <cellStyle name="20% - Accent4 13 2 3 4" xfId="13942" xr:uid="{00000000-0005-0000-0000-000054280000}"/>
    <cellStyle name="20% - Accent4 13 2 3 4 2" xfId="25799" xr:uid="{00000000-0005-0000-0000-000055280000}"/>
    <cellStyle name="20% - Accent4 13 2 3 5" xfId="17893" xr:uid="{00000000-0005-0000-0000-000056280000}"/>
    <cellStyle name="20% - Accent4 13 2 3 5 2" xfId="29585" xr:uid="{00000000-0005-0000-0000-000057280000}"/>
    <cellStyle name="20% - Accent4 13 2 3 6" xfId="21939" xr:uid="{00000000-0005-0000-0000-000058280000}"/>
    <cellStyle name="20% - Accent4 13 2 4" xfId="2650" xr:uid="{00000000-0005-0000-0000-000059280000}"/>
    <cellStyle name="20% - Accent4 13 2 4 2" xfId="2651" xr:uid="{00000000-0005-0000-0000-00005A280000}"/>
    <cellStyle name="20% - Accent4 13 2 4 2 2" xfId="13946" xr:uid="{00000000-0005-0000-0000-00005B280000}"/>
    <cellStyle name="20% - Accent4 13 2 4 2 2 2" xfId="25803" xr:uid="{00000000-0005-0000-0000-00005C280000}"/>
    <cellStyle name="20% - Accent4 13 2 4 2 3" xfId="17897" xr:uid="{00000000-0005-0000-0000-00005D280000}"/>
    <cellStyle name="20% - Accent4 13 2 4 2 3 2" xfId="29589" xr:uid="{00000000-0005-0000-0000-00005E280000}"/>
    <cellStyle name="20% - Accent4 13 2 4 2 4" xfId="21943" xr:uid="{00000000-0005-0000-0000-00005F280000}"/>
    <cellStyle name="20% - Accent4 13 2 4 3" xfId="2652" xr:uid="{00000000-0005-0000-0000-000060280000}"/>
    <cellStyle name="20% - Accent4 13 2 4 3 2" xfId="13947" xr:uid="{00000000-0005-0000-0000-000061280000}"/>
    <cellStyle name="20% - Accent4 13 2 4 3 2 2" xfId="25804" xr:uid="{00000000-0005-0000-0000-000062280000}"/>
    <cellStyle name="20% - Accent4 13 2 4 3 3" xfId="17898" xr:uid="{00000000-0005-0000-0000-000063280000}"/>
    <cellStyle name="20% - Accent4 13 2 4 3 3 2" xfId="29590" xr:uid="{00000000-0005-0000-0000-000064280000}"/>
    <cellStyle name="20% - Accent4 13 2 4 3 4" xfId="21944" xr:uid="{00000000-0005-0000-0000-000065280000}"/>
    <cellStyle name="20% - Accent4 13 2 4 4" xfId="13945" xr:uid="{00000000-0005-0000-0000-000066280000}"/>
    <cellStyle name="20% - Accent4 13 2 4 4 2" xfId="25802" xr:uid="{00000000-0005-0000-0000-000067280000}"/>
    <cellStyle name="20% - Accent4 13 2 4 5" xfId="17896" xr:uid="{00000000-0005-0000-0000-000068280000}"/>
    <cellStyle name="20% - Accent4 13 2 4 5 2" xfId="29588" xr:uid="{00000000-0005-0000-0000-000069280000}"/>
    <cellStyle name="20% - Accent4 13 2 4 6" xfId="21942" xr:uid="{00000000-0005-0000-0000-00006A280000}"/>
    <cellStyle name="20% - Accent4 13 2 5" xfId="2653" xr:uid="{00000000-0005-0000-0000-00006B280000}"/>
    <cellStyle name="20% - Accent4 13 2 5 2" xfId="13948" xr:uid="{00000000-0005-0000-0000-00006C280000}"/>
    <cellStyle name="20% - Accent4 13 2 5 2 2" xfId="25805" xr:uid="{00000000-0005-0000-0000-00006D280000}"/>
    <cellStyle name="20% - Accent4 13 2 5 3" xfId="17899" xr:uid="{00000000-0005-0000-0000-00006E280000}"/>
    <cellStyle name="20% - Accent4 13 2 5 3 2" xfId="29591" xr:uid="{00000000-0005-0000-0000-00006F280000}"/>
    <cellStyle name="20% - Accent4 13 2 5 4" xfId="21945" xr:uid="{00000000-0005-0000-0000-000070280000}"/>
    <cellStyle name="20% - Accent4 13 2 6" xfId="2654" xr:uid="{00000000-0005-0000-0000-000071280000}"/>
    <cellStyle name="20% - Accent4 13 2 6 2" xfId="13949" xr:uid="{00000000-0005-0000-0000-000072280000}"/>
    <cellStyle name="20% - Accent4 13 2 6 2 2" xfId="25806" xr:uid="{00000000-0005-0000-0000-000073280000}"/>
    <cellStyle name="20% - Accent4 13 2 6 3" xfId="17900" xr:uid="{00000000-0005-0000-0000-000074280000}"/>
    <cellStyle name="20% - Accent4 13 2 6 3 2" xfId="29592" xr:uid="{00000000-0005-0000-0000-000075280000}"/>
    <cellStyle name="20% - Accent4 13 2 6 4" xfId="21946" xr:uid="{00000000-0005-0000-0000-000076280000}"/>
    <cellStyle name="20% - Accent4 13 2 7" xfId="13938" xr:uid="{00000000-0005-0000-0000-000077280000}"/>
    <cellStyle name="20% - Accent4 13 2 7 2" xfId="25795" xr:uid="{00000000-0005-0000-0000-000078280000}"/>
    <cellStyle name="20% - Accent4 13 2 8" xfId="17889" xr:uid="{00000000-0005-0000-0000-000079280000}"/>
    <cellStyle name="20% - Accent4 13 2 8 2" xfId="29581" xr:uid="{00000000-0005-0000-0000-00007A280000}"/>
    <cellStyle name="20% - Accent4 13 2 9" xfId="21935" xr:uid="{00000000-0005-0000-0000-00007B280000}"/>
    <cellStyle name="20% - Accent4 13 2_Volatility" xfId="2655" xr:uid="{00000000-0005-0000-0000-00007C280000}"/>
    <cellStyle name="20% - Accent4 13 3" xfId="2656" xr:uid="{00000000-0005-0000-0000-00007D280000}"/>
    <cellStyle name="20% - Accent4 13 3 2" xfId="2657" xr:uid="{00000000-0005-0000-0000-00007E280000}"/>
    <cellStyle name="20% - Accent4 13 3 2 2" xfId="2658" xr:uid="{00000000-0005-0000-0000-00007F280000}"/>
    <cellStyle name="20% - Accent4 13 3 2 2 2" xfId="13952" xr:uid="{00000000-0005-0000-0000-000080280000}"/>
    <cellStyle name="20% - Accent4 13 3 2 2 2 2" xfId="25809" xr:uid="{00000000-0005-0000-0000-000081280000}"/>
    <cellStyle name="20% - Accent4 13 3 2 2 3" xfId="17903" xr:uid="{00000000-0005-0000-0000-000082280000}"/>
    <cellStyle name="20% - Accent4 13 3 2 2 3 2" xfId="29595" xr:uid="{00000000-0005-0000-0000-000083280000}"/>
    <cellStyle name="20% - Accent4 13 3 2 2 4" xfId="21949" xr:uid="{00000000-0005-0000-0000-000084280000}"/>
    <cellStyle name="20% - Accent4 13 3 2 3" xfId="2659" xr:uid="{00000000-0005-0000-0000-000085280000}"/>
    <cellStyle name="20% - Accent4 13 3 2 3 2" xfId="13953" xr:uid="{00000000-0005-0000-0000-000086280000}"/>
    <cellStyle name="20% - Accent4 13 3 2 3 2 2" xfId="25810" xr:uid="{00000000-0005-0000-0000-000087280000}"/>
    <cellStyle name="20% - Accent4 13 3 2 3 3" xfId="17904" xr:uid="{00000000-0005-0000-0000-000088280000}"/>
    <cellStyle name="20% - Accent4 13 3 2 3 3 2" xfId="29596" xr:uid="{00000000-0005-0000-0000-000089280000}"/>
    <cellStyle name="20% - Accent4 13 3 2 3 4" xfId="21950" xr:uid="{00000000-0005-0000-0000-00008A280000}"/>
    <cellStyle name="20% - Accent4 13 3 2 4" xfId="13951" xr:uid="{00000000-0005-0000-0000-00008B280000}"/>
    <cellStyle name="20% - Accent4 13 3 2 4 2" xfId="25808" xr:uid="{00000000-0005-0000-0000-00008C280000}"/>
    <cellStyle name="20% - Accent4 13 3 2 5" xfId="17902" xr:uid="{00000000-0005-0000-0000-00008D280000}"/>
    <cellStyle name="20% - Accent4 13 3 2 5 2" xfId="29594" xr:uid="{00000000-0005-0000-0000-00008E280000}"/>
    <cellStyle name="20% - Accent4 13 3 2 6" xfId="21948" xr:uid="{00000000-0005-0000-0000-00008F280000}"/>
    <cellStyle name="20% - Accent4 13 3 3" xfId="2660" xr:uid="{00000000-0005-0000-0000-000090280000}"/>
    <cellStyle name="20% - Accent4 13 3 3 2" xfId="2661" xr:uid="{00000000-0005-0000-0000-000091280000}"/>
    <cellStyle name="20% - Accent4 13 3 3 2 2" xfId="13955" xr:uid="{00000000-0005-0000-0000-000092280000}"/>
    <cellStyle name="20% - Accent4 13 3 3 2 2 2" xfId="25812" xr:uid="{00000000-0005-0000-0000-000093280000}"/>
    <cellStyle name="20% - Accent4 13 3 3 2 3" xfId="17906" xr:uid="{00000000-0005-0000-0000-000094280000}"/>
    <cellStyle name="20% - Accent4 13 3 3 2 3 2" xfId="29598" xr:uid="{00000000-0005-0000-0000-000095280000}"/>
    <cellStyle name="20% - Accent4 13 3 3 2 4" xfId="21952" xr:uid="{00000000-0005-0000-0000-000096280000}"/>
    <cellStyle name="20% - Accent4 13 3 3 3" xfId="2662" xr:uid="{00000000-0005-0000-0000-000097280000}"/>
    <cellStyle name="20% - Accent4 13 3 3 3 2" xfId="13956" xr:uid="{00000000-0005-0000-0000-000098280000}"/>
    <cellStyle name="20% - Accent4 13 3 3 3 2 2" xfId="25813" xr:uid="{00000000-0005-0000-0000-000099280000}"/>
    <cellStyle name="20% - Accent4 13 3 3 3 3" xfId="17907" xr:uid="{00000000-0005-0000-0000-00009A280000}"/>
    <cellStyle name="20% - Accent4 13 3 3 3 3 2" xfId="29599" xr:uid="{00000000-0005-0000-0000-00009B280000}"/>
    <cellStyle name="20% - Accent4 13 3 3 3 4" xfId="21953" xr:uid="{00000000-0005-0000-0000-00009C280000}"/>
    <cellStyle name="20% - Accent4 13 3 3 4" xfId="13954" xr:uid="{00000000-0005-0000-0000-00009D280000}"/>
    <cellStyle name="20% - Accent4 13 3 3 4 2" xfId="25811" xr:uid="{00000000-0005-0000-0000-00009E280000}"/>
    <cellStyle name="20% - Accent4 13 3 3 5" xfId="17905" xr:uid="{00000000-0005-0000-0000-00009F280000}"/>
    <cellStyle name="20% - Accent4 13 3 3 5 2" xfId="29597" xr:uid="{00000000-0005-0000-0000-0000A0280000}"/>
    <cellStyle name="20% - Accent4 13 3 3 6" xfId="21951" xr:uid="{00000000-0005-0000-0000-0000A1280000}"/>
    <cellStyle name="20% - Accent4 13 3 4" xfId="2663" xr:uid="{00000000-0005-0000-0000-0000A2280000}"/>
    <cellStyle name="20% - Accent4 13 3 4 2" xfId="13957" xr:uid="{00000000-0005-0000-0000-0000A3280000}"/>
    <cellStyle name="20% - Accent4 13 3 4 2 2" xfId="25814" xr:uid="{00000000-0005-0000-0000-0000A4280000}"/>
    <cellStyle name="20% - Accent4 13 3 4 3" xfId="17908" xr:uid="{00000000-0005-0000-0000-0000A5280000}"/>
    <cellStyle name="20% - Accent4 13 3 4 3 2" xfId="29600" xr:uid="{00000000-0005-0000-0000-0000A6280000}"/>
    <cellStyle name="20% - Accent4 13 3 4 4" xfId="21954" xr:uid="{00000000-0005-0000-0000-0000A7280000}"/>
    <cellStyle name="20% - Accent4 13 3 5" xfId="2664" xr:uid="{00000000-0005-0000-0000-0000A8280000}"/>
    <cellStyle name="20% - Accent4 13 3 5 2" xfId="13958" xr:uid="{00000000-0005-0000-0000-0000A9280000}"/>
    <cellStyle name="20% - Accent4 13 3 5 2 2" xfId="25815" xr:uid="{00000000-0005-0000-0000-0000AA280000}"/>
    <cellStyle name="20% - Accent4 13 3 5 3" xfId="17909" xr:uid="{00000000-0005-0000-0000-0000AB280000}"/>
    <cellStyle name="20% - Accent4 13 3 5 3 2" xfId="29601" xr:uid="{00000000-0005-0000-0000-0000AC280000}"/>
    <cellStyle name="20% - Accent4 13 3 5 4" xfId="21955" xr:uid="{00000000-0005-0000-0000-0000AD280000}"/>
    <cellStyle name="20% - Accent4 13 3 6" xfId="13950" xr:uid="{00000000-0005-0000-0000-0000AE280000}"/>
    <cellStyle name="20% - Accent4 13 3 6 2" xfId="25807" xr:uid="{00000000-0005-0000-0000-0000AF280000}"/>
    <cellStyle name="20% - Accent4 13 3 7" xfId="17901" xr:uid="{00000000-0005-0000-0000-0000B0280000}"/>
    <cellStyle name="20% - Accent4 13 3 7 2" xfId="29593" xr:uid="{00000000-0005-0000-0000-0000B1280000}"/>
    <cellStyle name="20% - Accent4 13 3 8" xfId="21947" xr:uid="{00000000-0005-0000-0000-0000B2280000}"/>
    <cellStyle name="20% - Accent4 13 3_Volatility" xfId="2665" xr:uid="{00000000-0005-0000-0000-0000B3280000}"/>
    <cellStyle name="20% - Accent4 13 4" xfId="2666" xr:uid="{00000000-0005-0000-0000-0000B4280000}"/>
    <cellStyle name="20% - Accent4 13 4 2" xfId="2667" xr:uid="{00000000-0005-0000-0000-0000B5280000}"/>
    <cellStyle name="20% - Accent4 13 4 2 2" xfId="13960" xr:uid="{00000000-0005-0000-0000-0000B6280000}"/>
    <cellStyle name="20% - Accent4 13 4 2 2 2" xfId="25817" xr:uid="{00000000-0005-0000-0000-0000B7280000}"/>
    <cellStyle name="20% - Accent4 13 4 2 3" xfId="17911" xr:uid="{00000000-0005-0000-0000-0000B8280000}"/>
    <cellStyle name="20% - Accent4 13 4 2 3 2" xfId="29603" xr:uid="{00000000-0005-0000-0000-0000B9280000}"/>
    <cellStyle name="20% - Accent4 13 4 2 4" xfId="21957" xr:uid="{00000000-0005-0000-0000-0000BA280000}"/>
    <cellStyle name="20% - Accent4 13 4 3" xfId="2668" xr:uid="{00000000-0005-0000-0000-0000BB280000}"/>
    <cellStyle name="20% - Accent4 13 4 3 2" xfId="13961" xr:uid="{00000000-0005-0000-0000-0000BC280000}"/>
    <cellStyle name="20% - Accent4 13 4 3 2 2" xfId="25818" xr:uid="{00000000-0005-0000-0000-0000BD280000}"/>
    <cellStyle name="20% - Accent4 13 4 3 3" xfId="17912" xr:uid="{00000000-0005-0000-0000-0000BE280000}"/>
    <cellStyle name="20% - Accent4 13 4 3 3 2" xfId="29604" xr:uid="{00000000-0005-0000-0000-0000BF280000}"/>
    <cellStyle name="20% - Accent4 13 4 3 4" xfId="21958" xr:uid="{00000000-0005-0000-0000-0000C0280000}"/>
    <cellStyle name="20% - Accent4 13 4 4" xfId="13959" xr:uid="{00000000-0005-0000-0000-0000C1280000}"/>
    <cellStyle name="20% - Accent4 13 4 4 2" xfId="25816" xr:uid="{00000000-0005-0000-0000-0000C2280000}"/>
    <cellStyle name="20% - Accent4 13 4 5" xfId="17910" xr:uid="{00000000-0005-0000-0000-0000C3280000}"/>
    <cellStyle name="20% - Accent4 13 4 5 2" xfId="29602" xr:uid="{00000000-0005-0000-0000-0000C4280000}"/>
    <cellStyle name="20% - Accent4 13 4 6" xfId="21956" xr:uid="{00000000-0005-0000-0000-0000C5280000}"/>
    <cellStyle name="20% - Accent4 13 5" xfId="2669" xr:uid="{00000000-0005-0000-0000-0000C6280000}"/>
    <cellStyle name="20% - Accent4 13 5 2" xfId="2670" xr:uid="{00000000-0005-0000-0000-0000C7280000}"/>
    <cellStyle name="20% - Accent4 13 5 2 2" xfId="13963" xr:uid="{00000000-0005-0000-0000-0000C8280000}"/>
    <cellStyle name="20% - Accent4 13 5 2 2 2" xfId="25820" xr:uid="{00000000-0005-0000-0000-0000C9280000}"/>
    <cellStyle name="20% - Accent4 13 5 2 3" xfId="17914" xr:uid="{00000000-0005-0000-0000-0000CA280000}"/>
    <cellStyle name="20% - Accent4 13 5 2 3 2" xfId="29606" xr:uid="{00000000-0005-0000-0000-0000CB280000}"/>
    <cellStyle name="20% - Accent4 13 5 2 4" xfId="21960" xr:uid="{00000000-0005-0000-0000-0000CC280000}"/>
    <cellStyle name="20% - Accent4 13 5 3" xfId="2671" xr:uid="{00000000-0005-0000-0000-0000CD280000}"/>
    <cellStyle name="20% - Accent4 13 5 3 2" xfId="13964" xr:uid="{00000000-0005-0000-0000-0000CE280000}"/>
    <cellStyle name="20% - Accent4 13 5 3 2 2" xfId="25821" xr:uid="{00000000-0005-0000-0000-0000CF280000}"/>
    <cellStyle name="20% - Accent4 13 5 3 3" xfId="17915" xr:uid="{00000000-0005-0000-0000-0000D0280000}"/>
    <cellStyle name="20% - Accent4 13 5 3 3 2" xfId="29607" xr:uid="{00000000-0005-0000-0000-0000D1280000}"/>
    <cellStyle name="20% - Accent4 13 5 3 4" xfId="21961" xr:uid="{00000000-0005-0000-0000-0000D2280000}"/>
    <cellStyle name="20% - Accent4 13 5 4" xfId="13962" xr:uid="{00000000-0005-0000-0000-0000D3280000}"/>
    <cellStyle name="20% - Accent4 13 5 4 2" xfId="25819" xr:uid="{00000000-0005-0000-0000-0000D4280000}"/>
    <cellStyle name="20% - Accent4 13 5 5" xfId="17913" xr:uid="{00000000-0005-0000-0000-0000D5280000}"/>
    <cellStyle name="20% - Accent4 13 5 5 2" xfId="29605" xr:uid="{00000000-0005-0000-0000-0000D6280000}"/>
    <cellStyle name="20% - Accent4 13 5 6" xfId="21959" xr:uid="{00000000-0005-0000-0000-0000D7280000}"/>
    <cellStyle name="20% - Accent4 13 6" xfId="2672" xr:uid="{00000000-0005-0000-0000-0000D8280000}"/>
    <cellStyle name="20% - Accent4 13 6 2" xfId="2673" xr:uid="{00000000-0005-0000-0000-0000D9280000}"/>
    <cellStyle name="20% - Accent4 13 6 2 2" xfId="13966" xr:uid="{00000000-0005-0000-0000-0000DA280000}"/>
    <cellStyle name="20% - Accent4 13 6 2 2 2" xfId="25823" xr:uid="{00000000-0005-0000-0000-0000DB280000}"/>
    <cellStyle name="20% - Accent4 13 6 2 3" xfId="17917" xr:uid="{00000000-0005-0000-0000-0000DC280000}"/>
    <cellStyle name="20% - Accent4 13 6 2 3 2" xfId="29609" xr:uid="{00000000-0005-0000-0000-0000DD280000}"/>
    <cellStyle name="20% - Accent4 13 6 2 4" xfId="21963" xr:uid="{00000000-0005-0000-0000-0000DE280000}"/>
    <cellStyle name="20% - Accent4 13 6 3" xfId="2674" xr:uid="{00000000-0005-0000-0000-0000DF280000}"/>
    <cellStyle name="20% - Accent4 13 6 3 2" xfId="13967" xr:uid="{00000000-0005-0000-0000-0000E0280000}"/>
    <cellStyle name="20% - Accent4 13 6 3 2 2" xfId="25824" xr:uid="{00000000-0005-0000-0000-0000E1280000}"/>
    <cellStyle name="20% - Accent4 13 6 3 3" xfId="17918" xr:uid="{00000000-0005-0000-0000-0000E2280000}"/>
    <cellStyle name="20% - Accent4 13 6 3 3 2" xfId="29610" xr:uid="{00000000-0005-0000-0000-0000E3280000}"/>
    <cellStyle name="20% - Accent4 13 6 3 4" xfId="21964" xr:uid="{00000000-0005-0000-0000-0000E4280000}"/>
    <cellStyle name="20% - Accent4 13 6 4" xfId="13965" xr:uid="{00000000-0005-0000-0000-0000E5280000}"/>
    <cellStyle name="20% - Accent4 13 6 4 2" xfId="25822" xr:uid="{00000000-0005-0000-0000-0000E6280000}"/>
    <cellStyle name="20% - Accent4 13 6 5" xfId="17916" xr:uid="{00000000-0005-0000-0000-0000E7280000}"/>
    <cellStyle name="20% - Accent4 13 6 5 2" xfId="29608" xr:uid="{00000000-0005-0000-0000-0000E8280000}"/>
    <cellStyle name="20% - Accent4 13 6 6" xfId="21962" xr:uid="{00000000-0005-0000-0000-0000E9280000}"/>
    <cellStyle name="20% - Accent4 13 7" xfId="2675" xr:uid="{00000000-0005-0000-0000-0000EA280000}"/>
    <cellStyle name="20% - Accent4 13 7 2" xfId="13968" xr:uid="{00000000-0005-0000-0000-0000EB280000}"/>
    <cellStyle name="20% - Accent4 13 7 2 2" xfId="25825" xr:uid="{00000000-0005-0000-0000-0000EC280000}"/>
    <cellStyle name="20% - Accent4 13 7 3" xfId="17919" xr:uid="{00000000-0005-0000-0000-0000ED280000}"/>
    <cellStyle name="20% - Accent4 13 7 3 2" xfId="29611" xr:uid="{00000000-0005-0000-0000-0000EE280000}"/>
    <cellStyle name="20% - Accent4 13 7 4" xfId="21965" xr:uid="{00000000-0005-0000-0000-0000EF280000}"/>
    <cellStyle name="20% - Accent4 13 8" xfId="2676" xr:uid="{00000000-0005-0000-0000-0000F0280000}"/>
    <cellStyle name="20% - Accent4 13 8 2" xfId="13969" xr:uid="{00000000-0005-0000-0000-0000F1280000}"/>
    <cellStyle name="20% - Accent4 13 8 2 2" xfId="25826" xr:uid="{00000000-0005-0000-0000-0000F2280000}"/>
    <cellStyle name="20% - Accent4 13 8 3" xfId="17920" xr:uid="{00000000-0005-0000-0000-0000F3280000}"/>
    <cellStyle name="20% - Accent4 13 8 3 2" xfId="29612" xr:uid="{00000000-0005-0000-0000-0000F4280000}"/>
    <cellStyle name="20% - Accent4 13 8 4" xfId="21966" xr:uid="{00000000-0005-0000-0000-0000F5280000}"/>
    <cellStyle name="20% - Accent4 13 9" xfId="13937" xr:uid="{00000000-0005-0000-0000-0000F6280000}"/>
    <cellStyle name="20% - Accent4 13 9 2" xfId="25794" xr:uid="{00000000-0005-0000-0000-0000F7280000}"/>
    <cellStyle name="20% - Accent4 13_Volatility" xfId="2677" xr:uid="{00000000-0005-0000-0000-0000F8280000}"/>
    <cellStyle name="20% - Accent4 14" xfId="2678" xr:uid="{00000000-0005-0000-0000-0000F9280000}"/>
    <cellStyle name="20% - Accent4 14 10" xfId="17921" xr:uid="{00000000-0005-0000-0000-0000FA280000}"/>
    <cellStyle name="20% - Accent4 14 10 2" xfId="29613" xr:uid="{00000000-0005-0000-0000-0000FB280000}"/>
    <cellStyle name="20% - Accent4 14 11" xfId="21967" xr:uid="{00000000-0005-0000-0000-0000FC280000}"/>
    <cellStyle name="20% - Accent4 14 2" xfId="2679" xr:uid="{00000000-0005-0000-0000-0000FD280000}"/>
    <cellStyle name="20% - Accent4 14 2 2" xfId="2680" xr:uid="{00000000-0005-0000-0000-0000FE280000}"/>
    <cellStyle name="20% - Accent4 14 2 2 2" xfId="2681" xr:uid="{00000000-0005-0000-0000-0000FF280000}"/>
    <cellStyle name="20% - Accent4 14 2 2 2 2" xfId="13973" xr:uid="{00000000-0005-0000-0000-000000290000}"/>
    <cellStyle name="20% - Accent4 14 2 2 2 2 2" xfId="25830" xr:uid="{00000000-0005-0000-0000-000001290000}"/>
    <cellStyle name="20% - Accent4 14 2 2 2 3" xfId="17924" xr:uid="{00000000-0005-0000-0000-000002290000}"/>
    <cellStyle name="20% - Accent4 14 2 2 2 3 2" xfId="29616" xr:uid="{00000000-0005-0000-0000-000003290000}"/>
    <cellStyle name="20% - Accent4 14 2 2 2 4" xfId="21970" xr:uid="{00000000-0005-0000-0000-000004290000}"/>
    <cellStyle name="20% - Accent4 14 2 2 3" xfId="2682" xr:uid="{00000000-0005-0000-0000-000005290000}"/>
    <cellStyle name="20% - Accent4 14 2 2 3 2" xfId="13974" xr:uid="{00000000-0005-0000-0000-000006290000}"/>
    <cellStyle name="20% - Accent4 14 2 2 3 2 2" xfId="25831" xr:uid="{00000000-0005-0000-0000-000007290000}"/>
    <cellStyle name="20% - Accent4 14 2 2 3 3" xfId="17925" xr:uid="{00000000-0005-0000-0000-000008290000}"/>
    <cellStyle name="20% - Accent4 14 2 2 3 3 2" xfId="29617" xr:uid="{00000000-0005-0000-0000-000009290000}"/>
    <cellStyle name="20% - Accent4 14 2 2 3 4" xfId="21971" xr:uid="{00000000-0005-0000-0000-00000A290000}"/>
    <cellStyle name="20% - Accent4 14 2 2 4" xfId="13972" xr:uid="{00000000-0005-0000-0000-00000B290000}"/>
    <cellStyle name="20% - Accent4 14 2 2 4 2" xfId="25829" xr:uid="{00000000-0005-0000-0000-00000C290000}"/>
    <cellStyle name="20% - Accent4 14 2 2 5" xfId="17923" xr:uid="{00000000-0005-0000-0000-00000D290000}"/>
    <cellStyle name="20% - Accent4 14 2 2 5 2" xfId="29615" xr:uid="{00000000-0005-0000-0000-00000E290000}"/>
    <cellStyle name="20% - Accent4 14 2 2 6" xfId="21969" xr:uid="{00000000-0005-0000-0000-00000F290000}"/>
    <cellStyle name="20% - Accent4 14 2 3" xfId="2683" xr:uid="{00000000-0005-0000-0000-000010290000}"/>
    <cellStyle name="20% - Accent4 14 2 3 2" xfId="2684" xr:uid="{00000000-0005-0000-0000-000011290000}"/>
    <cellStyle name="20% - Accent4 14 2 3 2 2" xfId="13976" xr:uid="{00000000-0005-0000-0000-000012290000}"/>
    <cellStyle name="20% - Accent4 14 2 3 2 2 2" xfId="25833" xr:uid="{00000000-0005-0000-0000-000013290000}"/>
    <cellStyle name="20% - Accent4 14 2 3 2 3" xfId="17927" xr:uid="{00000000-0005-0000-0000-000014290000}"/>
    <cellStyle name="20% - Accent4 14 2 3 2 3 2" xfId="29619" xr:uid="{00000000-0005-0000-0000-000015290000}"/>
    <cellStyle name="20% - Accent4 14 2 3 2 4" xfId="21973" xr:uid="{00000000-0005-0000-0000-000016290000}"/>
    <cellStyle name="20% - Accent4 14 2 3 3" xfId="2685" xr:uid="{00000000-0005-0000-0000-000017290000}"/>
    <cellStyle name="20% - Accent4 14 2 3 3 2" xfId="13977" xr:uid="{00000000-0005-0000-0000-000018290000}"/>
    <cellStyle name="20% - Accent4 14 2 3 3 2 2" xfId="25834" xr:uid="{00000000-0005-0000-0000-000019290000}"/>
    <cellStyle name="20% - Accent4 14 2 3 3 3" xfId="17928" xr:uid="{00000000-0005-0000-0000-00001A290000}"/>
    <cellStyle name="20% - Accent4 14 2 3 3 3 2" xfId="29620" xr:uid="{00000000-0005-0000-0000-00001B290000}"/>
    <cellStyle name="20% - Accent4 14 2 3 3 4" xfId="21974" xr:uid="{00000000-0005-0000-0000-00001C290000}"/>
    <cellStyle name="20% - Accent4 14 2 3 4" xfId="13975" xr:uid="{00000000-0005-0000-0000-00001D290000}"/>
    <cellStyle name="20% - Accent4 14 2 3 4 2" xfId="25832" xr:uid="{00000000-0005-0000-0000-00001E290000}"/>
    <cellStyle name="20% - Accent4 14 2 3 5" xfId="17926" xr:uid="{00000000-0005-0000-0000-00001F290000}"/>
    <cellStyle name="20% - Accent4 14 2 3 5 2" xfId="29618" xr:uid="{00000000-0005-0000-0000-000020290000}"/>
    <cellStyle name="20% - Accent4 14 2 3 6" xfId="21972" xr:uid="{00000000-0005-0000-0000-000021290000}"/>
    <cellStyle name="20% - Accent4 14 2 4" xfId="2686" xr:uid="{00000000-0005-0000-0000-000022290000}"/>
    <cellStyle name="20% - Accent4 14 2 4 2" xfId="2687" xr:uid="{00000000-0005-0000-0000-000023290000}"/>
    <cellStyle name="20% - Accent4 14 2 4 2 2" xfId="13979" xr:uid="{00000000-0005-0000-0000-000024290000}"/>
    <cellStyle name="20% - Accent4 14 2 4 2 2 2" xfId="25836" xr:uid="{00000000-0005-0000-0000-000025290000}"/>
    <cellStyle name="20% - Accent4 14 2 4 2 3" xfId="17930" xr:uid="{00000000-0005-0000-0000-000026290000}"/>
    <cellStyle name="20% - Accent4 14 2 4 2 3 2" xfId="29622" xr:uid="{00000000-0005-0000-0000-000027290000}"/>
    <cellStyle name="20% - Accent4 14 2 4 2 4" xfId="21976" xr:uid="{00000000-0005-0000-0000-000028290000}"/>
    <cellStyle name="20% - Accent4 14 2 4 3" xfId="2688" xr:uid="{00000000-0005-0000-0000-000029290000}"/>
    <cellStyle name="20% - Accent4 14 2 4 3 2" xfId="13980" xr:uid="{00000000-0005-0000-0000-00002A290000}"/>
    <cellStyle name="20% - Accent4 14 2 4 3 2 2" xfId="25837" xr:uid="{00000000-0005-0000-0000-00002B290000}"/>
    <cellStyle name="20% - Accent4 14 2 4 3 3" xfId="17931" xr:uid="{00000000-0005-0000-0000-00002C290000}"/>
    <cellStyle name="20% - Accent4 14 2 4 3 3 2" xfId="29623" xr:uid="{00000000-0005-0000-0000-00002D290000}"/>
    <cellStyle name="20% - Accent4 14 2 4 3 4" xfId="21977" xr:uid="{00000000-0005-0000-0000-00002E290000}"/>
    <cellStyle name="20% - Accent4 14 2 4 4" xfId="13978" xr:uid="{00000000-0005-0000-0000-00002F290000}"/>
    <cellStyle name="20% - Accent4 14 2 4 4 2" xfId="25835" xr:uid="{00000000-0005-0000-0000-000030290000}"/>
    <cellStyle name="20% - Accent4 14 2 4 5" xfId="17929" xr:uid="{00000000-0005-0000-0000-000031290000}"/>
    <cellStyle name="20% - Accent4 14 2 4 5 2" xfId="29621" xr:uid="{00000000-0005-0000-0000-000032290000}"/>
    <cellStyle name="20% - Accent4 14 2 4 6" xfId="21975" xr:uid="{00000000-0005-0000-0000-000033290000}"/>
    <cellStyle name="20% - Accent4 14 2 5" xfId="2689" xr:uid="{00000000-0005-0000-0000-000034290000}"/>
    <cellStyle name="20% - Accent4 14 2 5 2" xfId="13981" xr:uid="{00000000-0005-0000-0000-000035290000}"/>
    <cellStyle name="20% - Accent4 14 2 5 2 2" xfId="25838" xr:uid="{00000000-0005-0000-0000-000036290000}"/>
    <cellStyle name="20% - Accent4 14 2 5 3" xfId="17932" xr:uid="{00000000-0005-0000-0000-000037290000}"/>
    <cellStyle name="20% - Accent4 14 2 5 3 2" xfId="29624" xr:uid="{00000000-0005-0000-0000-000038290000}"/>
    <cellStyle name="20% - Accent4 14 2 5 4" xfId="21978" xr:uid="{00000000-0005-0000-0000-000039290000}"/>
    <cellStyle name="20% - Accent4 14 2 6" xfId="2690" xr:uid="{00000000-0005-0000-0000-00003A290000}"/>
    <cellStyle name="20% - Accent4 14 2 6 2" xfId="13982" xr:uid="{00000000-0005-0000-0000-00003B290000}"/>
    <cellStyle name="20% - Accent4 14 2 6 2 2" xfId="25839" xr:uid="{00000000-0005-0000-0000-00003C290000}"/>
    <cellStyle name="20% - Accent4 14 2 6 3" xfId="17933" xr:uid="{00000000-0005-0000-0000-00003D290000}"/>
    <cellStyle name="20% - Accent4 14 2 6 3 2" xfId="29625" xr:uid="{00000000-0005-0000-0000-00003E290000}"/>
    <cellStyle name="20% - Accent4 14 2 6 4" xfId="21979" xr:uid="{00000000-0005-0000-0000-00003F290000}"/>
    <cellStyle name="20% - Accent4 14 2 7" xfId="13971" xr:uid="{00000000-0005-0000-0000-000040290000}"/>
    <cellStyle name="20% - Accent4 14 2 7 2" xfId="25828" xr:uid="{00000000-0005-0000-0000-000041290000}"/>
    <cellStyle name="20% - Accent4 14 2 8" xfId="17922" xr:uid="{00000000-0005-0000-0000-000042290000}"/>
    <cellStyle name="20% - Accent4 14 2 8 2" xfId="29614" xr:uid="{00000000-0005-0000-0000-000043290000}"/>
    <cellStyle name="20% - Accent4 14 2 9" xfId="21968" xr:uid="{00000000-0005-0000-0000-000044290000}"/>
    <cellStyle name="20% - Accent4 14 2_Volatility" xfId="2691" xr:uid="{00000000-0005-0000-0000-000045290000}"/>
    <cellStyle name="20% - Accent4 14 3" xfId="2692" xr:uid="{00000000-0005-0000-0000-000046290000}"/>
    <cellStyle name="20% - Accent4 14 3 2" xfId="2693" xr:uid="{00000000-0005-0000-0000-000047290000}"/>
    <cellStyle name="20% - Accent4 14 3 2 2" xfId="2694" xr:uid="{00000000-0005-0000-0000-000048290000}"/>
    <cellStyle name="20% - Accent4 14 3 2 2 2" xfId="13985" xr:uid="{00000000-0005-0000-0000-000049290000}"/>
    <cellStyle name="20% - Accent4 14 3 2 2 2 2" xfId="25842" xr:uid="{00000000-0005-0000-0000-00004A290000}"/>
    <cellStyle name="20% - Accent4 14 3 2 2 3" xfId="17936" xr:uid="{00000000-0005-0000-0000-00004B290000}"/>
    <cellStyle name="20% - Accent4 14 3 2 2 3 2" xfId="29628" xr:uid="{00000000-0005-0000-0000-00004C290000}"/>
    <cellStyle name="20% - Accent4 14 3 2 2 4" xfId="21982" xr:uid="{00000000-0005-0000-0000-00004D290000}"/>
    <cellStyle name="20% - Accent4 14 3 2 3" xfId="2695" xr:uid="{00000000-0005-0000-0000-00004E290000}"/>
    <cellStyle name="20% - Accent4 14 3 2 3 2" xfId="13986" xr:uid="{00000000-0005-0000-0000-00004F290000}"/>
    <cellStyle name="20% - Accent4 14 3 2 3 2 2" xfId="25843" xr:uid="{00000000-0005-0000-0000-000050290000}"/>
    <cellStyle name="20% - Accent4 14 3 2 3 3" xfId="17937" xr:uid="{00000000-0005-0000-0000-000051290000}"/>
    <cellStyle name="20% - Accent4 14 3 2 3 3 2" xfId="29629" xr:uid="{00000000-0005-0000-0000-000052290000}"/>
    <cellStyle name="20% - Accent4 14 3 2 3 4" xfId="21983" xr:uid="{00000000-0005-0000-0000-000053290000}"/>
    <cellStyle name="20% - Accent4 14 3 2 4" xfId="13984" xr:uid="{00000000-0005-0000-0000-000054290000}"/>
    <cellStyle name="20% - Accent4 14 3 2 4 2" xfId="25841" xr:uid="{00000000-0005-0000-0000-000055290000}"/>
    <cellStyle name="20% - Accent4 14 3 2 5" xfId="17935" xr:uid="{00000000-0005-0000-0000-000056290000}"/>
    <cellStyle name="20% - Accent4 14 3 2 5 2" xfId="29627" xr:uid="{00000000-0005-0000-0000-000057290000}"/>
    <cellStyle name="20% - Accent4 14 3 2 6" xfId="21981" xr:uid="{00000000-0005-0000-0000-000058290000}"/>
    <cellStyle name="20% - Accent4 14 3 3" xfId="2696" xr:uid="{00000000-0005-0000-0000-000059290000}"/>
    <cellStyle name="20% - Accent4 14 3 3 2" xfId="2697" xr:uid="{00000000-0005-0000-0000-00005A290000}"/>
    <cellStyle name="20% - Accent4 14 3 3 2 2" xfId="13988" xr:uid="{00000000-0005-0000-0000-00005B290000}"/>
    <cellStyle name="20% - Accent4 14 3 3 2 2 2" xfId="25845" xr:uid="{00000000-0005-0000-0000-00005C290000}"/>
    <cellStyle name="20% - Accent4 14 3 3 2 3" xfId="17939" xr:uid="{00000000-0005-0000-0000-00005D290000}"/>
    <cellStyle name="20% - Accent4 14 3 3 2 3 2" xfId="29631" xr:uid="{00000000-0005-0000-0000-00005E290000}"/>
    <cellStyle name="20% - Accent4 14 3 3 2 4" xfId="21985" xr:uid="{00000000-0005-0000-0000-00005F290000}"/>
    <cellStyle name="20% - Accent4 14 3 3 3" xfId="2698" xr:uid="{00000000-0005-0000-0000-000060290000}"/>
    <cellStyle name="20% - Accent4 14 3 3 3 2" xfId="13989" xr:uid="{00000000-0005-0000-0000-000061290000}"/>
    <cellStyle name="20% - Accent4 14 3 3 3 2 2" xfId="25846" xr:uid="{00000000-0005-0000-0000-000062290000}"/>
    <cellStyle name="20% - Accent4 14 3 3 3 3" xfId="17940" xr:uid="{00000000-0005-0000-0000-000063290000}"/>
    <cellStyle name="20% - Accent4 14 3 3 3 3 2" xfId="29632" xr:uid="{00000000-0005-0000-0000-000064290000}"/>
    <cellStyle name="20% - Accent4 14 3 3 3 4" xfId="21986" xr:uid="{00000000-0005-0000-0000-000065290000}"/>
    <cellStyle name="20% - Accent4 14 3 3 4" xfId="13987" xr:uid="{00000000-0005-0000-0000-000066290000}"/>
    <cellStyle name="20% - Accent4 14 3 3 4 2" xfId="25844" xr:uid="{00000000-0005-0000-0000-000067290000}"/>
    <cellStyle name="20% - Accent4 14 3 3 5" xfId="17938" xr:uid="{00000000-0005-0000-0000-000068290000}"/>
    <cellStyle name="20% - Accent4 14 3 3 5 2" xfId="29630" xr:uid="{00000000-0005-0000-0000-000069290000}"/>
    <cellStyle name="20% - Accent4 14 3 3 6" xfId="21984" xr:uid="{00000000-0005-0000-0000-00006A290000}"/>
    <cellStyle name="20% - Accent4 14 3 4" xfId="2699" xr:uid="{00000000-0005-0000-0000-00006B290000}"/>
    <cellStyle name="20% - Accent4 14 3 4 2" xfId="13990" xr:uid="{00000000-0005-0000-0000-00006C290000}"/>
    <cellStyle name="20% - Accent4 14 3 4 2 2" xfId="25847" xr:uid="{00000000-0005-0000-0000-00006D290000}"/>
    <cellStyle name="20% - Accent4 14 3 4 3" xfId="17941" xr:uid="{00000000-0005-0000-0000-00006E290000}"/>
    <cellStyle name="20% - Accent4 14 3 4 3 2" xfId="29633" xr:uid="{00000000-0005-0000-0000-00006F290000}"/>
    <cellStyle name="20% - Accent4 14 3 4 4" xfId="21987" xr:uid="{00000000-0005-0000-0000-000070290000}"/>
    <cellStyle name="20% - Accent4 14 3 5" xfId="2700" xr:uid="{00000000-0005-0000-0000-000071290000}"/>
    <cellStyle name="20% - Accent4 14 3 5 2" xfId="13991" xr:uid="{00000000-0005-0000-0000-000072290000}"/>
    <cellStyle name="20% - Accent4 14 3 5 2 2" xfId="25848" xr:uid="{00000000-0005-0000-0000-000073290000}"/>
    <cellStyle name="20% - Accent4 14 3 5 3" xfId="17942" xr:uid="{00000000-0005-0000-0000-000074290000}"/>
    <cellStyle name="20% - Accent4 14 3 5 3 2" xfId="29634" xr:uid="{00000000-0005-0000-0000-000075290000}"/>
    <cellStyle name="20% - Accent4 14 3 5 4" xfId="21988" xr:uid="{00000000-0005-0000-0000-000076290000}"/>
    <cellStyle name="20% - Accent4 14 3 6" xfId="13983" xr:uid="{00000000-0005-0000-0000-000077290000}"/>
    <cellStyle name="20% - Accent4 14 3 6 2" xfId="25840" xr:uid="{00000000-0005-0000-0000-000078290000}"/>
    <cellStyle name="20% - Accent4 14 3 7" xfId="17934" xr:uid="{00000000-0005-0000-0000-000079290000}"/>
    <cellStyle name="20% - Accent4 14 3 7 2" xfId="29626" xr:uid="{00000000-0005-0000-0000-00007A290000}"/>
    <cellStyle name="20% - Accent4 14 3 8" xfId="21980" xr:uid="{00000000-0005-0000-0000-00007B290000}"/>
    <cellStyle name="20% - Accent4 14 3_Volatility" xfId="2701" xr:uid="{00000000-0005-0000-0000-00007C290000}"/>
    <cellStyle name="20% - Accent4 14 4" xfId="2702" xr:uid="{00000000-0005-0000-0000-00007D290000}"/>
    <cellStyle name="20% - Accent4 14 4 2" xfId="2703" xr:uid="{00000000-0005-0000-0000-00007E290000}"/>
    <cellStyle name="20% - Accent4 14 4 2 2" xfId="13993" xr:uid="{00000000-0005-0000-0000-00007F290000}"/>
    <cellStyle name="20% - Accent4 14 4 2 2 2" xfId="25850" xr:uid="{00000000-0005-0000-0000-000080290000}"/>
    <cellStyle name="20% - Accent4 14 4 2 3" xfId="17944" xr:uid="{00000000-0005-0000-0000-000081290000}"/>
    <cellStyle name="20% - Accent4 14 4 2 3 2" xfId="29636" xr:uid="{00000000-0005-0000-0000-000082290000}"/>
    <cellStyle name="20% - Accent4 14 4 2 4" xfId="21990" xr:uid="{00000000-0005-0000-0000-000083290000}"/>
    <cellStyle name="20% - Accent4 14 4 3" xfId="2704" xr:uid="{00000000-0005-0000-0000-000084290000}"/>
    <cellStyle name="20% - Accent4 14 4 3 2" xfId="13994" xr:uid="{00000000-0005-0000-0000-000085290000}"/>
    <cellStyle name="20% - Accent4 14 4 3 2 2" xfId="25851" xr:uid="{00000000-0005-0000-0000-000086290000}"/>
    <cellStyle name="20% - Accent4 14 4 3 3" xfId="17945" xr:uid="{00000000-0005-0000-0000-000087290000}"/>
    <cellStyle name="20% - Accent4 14 4 3 3 2" xfId="29637" xr:uid="{00000000-0005-0000-0000-000088290000}"/>
    <cellStyle name="20% - Accent4 14 4 3 4" xfId="21991" xr:uid="{00000000-0005-0000-0000-000089290000}"/>
    <cellStyle name="20% - Accent4 14 4 4" xfId="13992" xr:uid="{00000000-0005-0000-0000-00008A290000}"/>
    <cellStyle name="20% - Accent4 14 4 4 2" xfId="25849" xr:uid="{00000000-0005-0000-0000-00008B290000}"/>
    <cellStyle name="20% - Accent4 14 4 5" xfId="17943" xr:uid="{00000000-0005-0000-0000-00008C290000}"/>
    <cellStyle name="20% - Accent4 14 4 5 2" xfId="29635" xr:uid="{00000000-0005-0000-0000-00008D290000}"/>
    <cellStyle name="20% - Accent4 14 4 6" xfId="21989" xr:uid="{00000000-0005-0000-0000-00008E290000}"/>
    <cellStyle name="20% - Accent4 14 5" xfId="2705" xr:uid="{00000000-0005-0000-0000-00008F290000}"/>
    <cellStyle name="20% - Accent4 14 5 2" xfId="2706" xr:uid="{00000000-0005-0000-0000-000090290000}"/>
    <cellStyle name="20% - Accent4 14 5 2 2" xfId="13996" xr:uid="{00000000-0005-0000-0000-000091290000}"/>
    <cellStyle name="20% - Accent4 14 5 2 2 2" xfId="25853" xr:uid="{00000000-0005-0000-0000-000092290000}"/>
    <cellStyle name="20% - Accent4 14 5 2 3" xfId="17947" xr:uid="{00000000-0005-0000-0000-000093290000}"/>
    <cellStyle name="20% - Accent4 14 5 2 3 2" xfId="29639" xr:uid="{00000000-0005-0000-0000-000094290000}"/>
    <cellStyle name="20% - Accent4 14 5 2 4" xfId="21993" xr:uid="{00000000-0005-0000-0000-000095290000}"/>
    <cellStyle name="20% - Accent4 14 5 3" xfId="2707" xr:uid="{00000000-0005-0000-0000-000096290000}"/>
    <cellStyle name="20% - Accent4 14 5 3 2" xfId="13997" xr:uid="{00000000-0005-0000-0000-000097290000}"/>
    <cellStyle name="20% - Accent4 14 5 3 2 2" xfId="25854" xr:uid="{00000000-0005-0000-0000-000098290000}"/>
    <cellStyle name="20% - Accent4 14 5 3 3" xfId="17948" xr:uid="{00000000-0005-0000-0000-000099290000}"/>
    <cellStyle name="20% - Accent4 14 5 3 3 2" xfId="29640" xr:uid="{00000000-0005-0000-0000-00009A290000}"/>
    <cellStyle name="20% - Accent4 14 5 3 4" xfId="21994" xr:uid="{00000000-0005-0000-0000-00009B290000}"/>
    <cellStyle name="20% - Accent4 14 5 4" xfId="13995" xr:uid="{00000000-0005-0000-0000-00009C290000}"/>
    <cellStyle name="20% - Accent4 14 5 4 2" xfId="25852" xr:uid="{00000000-0005-0000-0000-00009D290000}"/>
    <cellStyle name="20% - Accent4 14 5 5" xfId="17946" xr:uid="{00000000-0005-0000-0000-00009E290000}"/>
    <cellStyle name="20% - Accent4 14 5 5 2" xfId="29638" xr:uid="{00000000-0005-0000-0000-00009F290000}"/>
    <cellStyle name="20% - Accent4 14 5 6" xfId="21992" xr:uid="{00000000-0005-0000-0000-0000A0290000}"/>
    <cellStyle name="20% - Accent4 14 6" xfId="2708" xr:uid="{00000000-0005-0000-0000-0000A1290000}"/>
    <cellStyle name="20% - Accent4 14 6 2" xfId="2709" xr:uid="{00000000-0005-0000-0000-0000A2290000}"/>
    <cellStyle name="20% - Accent4 14 6 2 2" xfId="13999" xr:uid="{00000000-0005-0000-0000-0000A3290000}"/>
    <cellStyle name="20% - Accent4 14 6 2 2 2" xfId="25856" xr:uid="{00000000-0005-0000-0000-0000A4290000}"/>
    <cellStyle name="20% - Accent4 14 6 2 3" xfId="17950" xr:uid="{00000000-0005-0000-0000-0000A5290000}"/>
    <cellStyle name="20% - Accent4 14 6 2 3 2" xfId="29642" xr:uid="{00000000-0005-0000-0000-0000A6290000}"/>
    <cellStyle name="20% - Accent4 14 6 2 4" xfId="21996" xr:uid="{00000000-0005-0000-0000-0000A7290000}"/>
    <cellStyle name="20% - Accent4 14 6 3" xfId="2710" xr:uid="{00000000-0005-0000-0000-0000A8290000}"/>
    <cellStyle name="20% - Accent4 14 6 3 2" xfId="14000" xr:uid="{00000000-0005-0000-0000-0000A9290000}"/>
    <cellStyle name="20% - Accent4 14 6 3 2 2" xfId="25857" xr:uid="{00000000-0005-0000-0000-0000AA290000}"/>
    <cellStyle name="20% - Accent4 14 6 3 3" xfId="17951" xr:uid="{00000000-0005-0000-0000-0000AB290000}"/>
    <cellStyle name="20% - Accent4 14 6 3 3 2" xfId="29643" xr:uid="{00000000-0005-0000-0000-0000AC290000}"/>
    <cellStyle name="20% - Accent4 14 6 3 4" xfId="21997" xr:uid="{00000000-0005-0000-0000-0000AD290000}"/>
    <cellStyle name="20% - Accent4 14 6 4" xfId="13998" xr:uid="{00000000-0005-0000-0000-0000AE290000}"/>
    <cellStyle name="20% - Accent4 14 6 4 2" xfId="25855" xr:uid="{00000000-0005-0000-0000-0000AF290000}"/>
    <cellStyle name="20% - Accent4 14 6 5" xfId="17949" xr:uid="{00000000-0005-0000-0000-0000B0290000}"/>
    <cellStyle name="20% - Accent4 14 6 5 2" xfId="29641" xr:uid="{00000000-0005-0000-0000-0000B1290000}"/>
    <cellStyle name="20% - Accent4 14 6 6" xfId="21995" xr:uid="{00000000-0005-0000-0000-0000B2290000}"/>
    <cellStyle name="20% - Accent4 14 7" xfId="2711" xr:uid="{00000000-0005-0000-0000-0000B3290000}"/>
    <cellStyle name="20% - Accent4 14 7 2" xfId="14001" xr:uid="{00000000-0005-0000-0000-0000B4290000}"/>
    <cellStyle name="20% - Accent4 14 7 2 2" xfId="25858" xr:uid="{00000000-0005-0000-0000-0000B5290000}"/>
    <cellStyle name="20% - Accent4 14 7 3" xfId="17952" xr:uid="{00000000-0005-0000-0000-0000B6290000}"/>
    <cellStyle name="20% - Accent4 14 7 3 2" xfId="29644" xr:uid="{00000000-0005-0000-0000-0000B7290000}"/>
    <cellStyle name="20% - Accent4 14 7 4" xfId="21998" xr:uid="{00000000-0005-0000-0000-0000B8290000}"/>
    <cellStyle name="20% - Accent4 14 8" xfId="2712" xr:uid="{00000000-0005-0000-0000-0000B9290000}"/>
    <cellStyle name="20% - Accent4 14 8 2" xfId="14002" xr:uid="{00000000-0005-0000-0000-0000BA290000}"/>
    <cellStyle name="20% - Accent4 14 8 2 2" xfId="25859" xr:uid="{00000000-0005-0000-0000-0000BB290000}"/>
    <cellStyle name="20% - Accent4 14 8 3" xfId="17953" xr:uid="{00000000-0005-0000-0000-0000BC290000}"/>
    <cellStyle name="20% - Accent4 14 8 3 2" xfId="29645" xr:uid="{00000000-0005-0000-0000-0000BD290000}"/>
    <cellStyle name="20% - Accent4 14 8 4" xfId="21999" xr:uid="{00000000-0005-0000-0000-0000BE290000}"/>
    <cellStyle name="20% - Accent4 14 9" xfId="13970" xr:uid="{00000000-0005-0000-0000-0000BF290000}"/>
    <cellStyle name="20% - Accent4 14 9 2" xfId="25827" xr:uid="{00000000-0005-0000-0000-0000C0290000}"/>
    <cellStyle name="20% - Accent4 14_Volatility" xfId="2713" xr:uid="{00000000-0005-0000-0000-0000C1290000}"/>
    <cellStyle name="20% - Accent4 15" xfId="2714" xr:uid="{00000000-0005-0000-0000-0000C2290000}"/>
    <cellStyle name="20% - Accent4 15 10" xfId="17954" xr:uid="{00000000-0005-0000-0000-0000C3290000}"/>
    <cellStyle name="20% - Accent4 15 10 2" xfId="29646" xr:uid="{00000000-0005-0000-0000-0000C4290000}"/>
    <cellStyle name="20% - Accent4 15 11" xfId="22000" xr:uid="{00000000-0005-0000-0000-0000C5290000}"/>
    <cellStyle name="20% - Accent4 15 2" xfId="2715" xr:uid="{00000000-0005-0000-0000-0000C6290000}"/>
    <cellStyle name="20% - Accent4 15 2 2" xfId="2716" xr:uid="{00000000-0005-0000-0000-0000C7290000}"/>
    <cellStyle name="20% - Accent4 15 2 2 2" xfId="2717" xr:uid="{00000000-0005-0000-0000-0000C8290000}"/>
    <cellStyle name="20% - Accent4 15 2 2 2 2" xfId="14006" xr:uid="{00000000-0005-0000-0000-0000C9290000}"/>
    <cellStyle name="20% - Accent4 15 2 2 2 2 2" xfId="25863" xr:uid="{00000000-0005-0000-0000-0000CA290000}"/>
    <cellStyle name="20% - Accent4 15 2 2 2 3" xfId="17957" xr:uid="{00000000-0005-0000-0000-0000CB290000}"/>
    <cellStyle name="20% - Accent4 15 2 2 2 3 2" xfId="29649" xr:uid="{00000000-0005-0000-0000-0000CC290000}"/>
    <cellStyle name="20% - Accent4 15 2 2 2 4" xfId="22003" xr:uid="{00000000-0005-0000-0000-0000CD290000}"/>
    <cellStyle name="20% - Accent4 15 2 2 3" xfId="2718" xr:uid="{00000000-0005-0000-0000-0000CE290000}"/>
    <cellStyle name="20% - Accent4 15 2 2 3 2" xfId="14007" xr:uid="{00000000-0005-0000-0000-0000CF290000}"/>
    <cellStyle name="20% - Accent4 15 2 2 3 2 2" xfId="25864" xr:uid="{00000000-0005-0000-0000-0000D0290000}"/>
    <cellStyle name="20% - Accent4 15 2 2 3 3" xfId="17958" xr:uid="{00000000-0005-0000-0000-0000D1290000}"/>
    <cellStyle name="20% - Accent4 15 2 2 3 3 2" xfId="29650" xr:uid="{00000000-0005-0000-0000-0000D2290000}"/>
    <cellStyle name="20% - Accent4 15 2 2 3 4" xfId="22004" xr:uid="{00000000-0005-0000-0000-0000D3290000}"/>
    <cellStyle name="20% - Accent4 15 2 2 4" xfId="14005" xr:uid="{00000000-0005-0000-0000-0000D4290000}"/>
    <cellStyle name="20% - Accent4 15 2 2 4 2" xfId="25862" xr:uid="{00000000-0005-0000-0000-0000D5290000}"/>
    <cellStyle name="20% - Accent4 15 2 2 5" xfId="17956" xr:uid="{00000000-0005-0000-0000-0000D6290000}"/>
    <cellStyle name="20% - Accent4 15 2 2 5 2" xfId="29648" xr:uid="{00000000-0005-0000-0000-0000D7290000}"/>
    <cellStyle name="20% - Accent4 15 2 2 6" xfId="22002" xr:uid="{00000000-0005-0000-0000-0000D8290000}"/>
    <cellStyle name="20% - Accent4 15 2 3" xfId="2719" xr:uid="{00000000-0005-0000-0000-0000D9290000}"/>
    <cellStyle name="20% - Accent4 15 2 3 2" xfId="2720" xr:uid="{00000000-0005-0000-0000-0000DA290000}"/>
    <cellStyle name="20% - Accent4 15 2 3 2 2" xfId="14009" xr:uid="{00000000-0005-0000-0000-0000DB290000}"/>
    <cellStyle name="20% - Accent4 15 2 3 2 2 2" xfId="25866" xr:uid="{00000000-0005-0000-0000-0000DC290000}"/>
    <cellStyle name="20% - Accent4 15 2 3 2 3" xfId="17960" xr:uid="{00000000-0005-0000-0000-0000DD290000}"/>
    <cellStyle name="20% - Accent4 15 2 3 2 3 2" xfId="29652" xr:uid="{00000000-0005-0000-0000-0000DE290000}"/>
    <cellStyle name="20% - Accent4 15 2 3 2 4" xfId="22006" xr:uid="{00000000-0005-0000-0000-0000DF290000}"/>
    <cellStyle name="20% - Accent4 15 2 3 3" xfId="2721" xr:uid="{00000000-0005-0000-0000-0000E0290000}"/>
    <cellStyle name="20% - Accent4 15 2 3 3 2" xfId="14010" xr:uid="{00000000-0005-0000-0000-0000E1290000}"/>
    <cellStyle name="20% - Accent4 15 2 3 3 2 2" xfId="25867" xr:uid="{00000000-0005-0000-0000-0000E2290000}"/>
    <cellStyle name="20% - Accent4 15 2 3 3 3" xfId="17961" xr:uid="{00000000-0005-0000-0000-0000E3290000}"/>
    <cellStyle name="20% - Accent4 15 2 3 3 3 2" xfId="29653" xr:uid="{00000000-0005-0000-0000-0000E4290000}"/>
    <cellStyle name="20% - Accent4 15 2 3 3 4" xfId="22007" xr:uid="{00000000-0005-0000-0000-0000E5290000}"/>
    <cellStyle name="20% - Accent4 15 2 3 4" xfId="14008" xr:uid="{00000000-0005-0000-0000-0000E6290000}"/>
    <cellStyle name="20% - Accent4 15 2 3 4 2" xfId="25865" xr:uid="{00000000-0005-0000-0000-0000E7290000}"/>
    <cellStyle name="20% - Accent4 15 2 3 5" xfId="17959" xr:uid="{00000000-0005-0000-0000-0000E8290000}"/>
    <cellStyle name="20% - Accent4 15 2 3 5 2" xfId="29651" xr:uid="{00000000-0005-0000-0000-0000E9290000}"/>
    <cellStyle name="20% - Accent4 15 2 3 6" xfId="22005" xr:uid="{00000000-0005-0000-0000-0000EA290000}"/>
    <cellStyle name="20% - Accent4 15 2 4" xfId="2722" xr:uid="{00000000-0005-0000-0000-0000EB290000}"/>
    <cellStyle name="20% - Accent4 15 2 4 2" xfId="2723" xr:uid="{00000000-0005-0000-0000-0000EC290000}"/>
    <cellStyle name="20% - Accent4 15 2 4 2 2" xfId="14012" xr:uid="{00000000-0005-0000-0000-0000ED290000}"/>
    <cellStyle name="20% - Accent4 15 2 4 2 2 2" xfId="25869" xr:uid="{00000000-0005-0000-0000-0000EE290000}"/>
    <cellStyle name="20% - Accent4 15 2 4 2 3" xfId="17963" xr:uid="{00000000-0005-0000-0000-0000EF290000}"/>
    <cellStyle name="20% - Accent4 15 2 4 2 3 2" xfId="29655" xr:uid="{00000000-0005-0000-0000-0000F0290000}"/>
    <cellStyle name="20% - Accent4 15 2 4 2 4" xfId="22009" xr:uid="{00000000-0005-0000-0000-0000F1290000}"/>
    <cellStyle name="20% - Accent4 15 2 4 3" xfId="2724" xr:uid="{00000000-0005-0000-0000-0000F2290000}"/>
    <cellStyle name="20% - Accent4 15 2 4 3 2" xfId="14013" xr:uid="{00000000-0005-0000-0000-0000F3290000}"/>
    <cellStyle name="20% - Accent4 15 2 4 3 2 2" xfId="25870" xr:uid="{00000000-0005-0000-0000-0000F4290000}"/>
    <cellStyle name="20% - Accent4 15 2 4 3 3" xfId="17964" xr:uid="{00000000-0005-0000-0000-0000F5290000}"/>
    <cellStyle name="20% - Accent4 15 2 4 3 3 2" xfId="29656" xr:uid="{00000000-0005-0000-0000-0000F6290000}"/>
    <cellStyle name="20% - Accent4 15 2 4 3 4" xfId="22010" xr:uid="{00000000-0005-0000-0000-0000F7290000}"/>
    <cellStyle name="20% - Accent4 15 2 4 4" xfId="14011" xr:uid="{00000000-0005-0000-0000-0000F8290000}"/>
    <cellStyle name="20% - Accent4 15 2 4 4 2" xfId="25868" xr:uid="{00000000-0005-0000-0000-0000F9290000}"/>
    <cellStyle name="20% - Accent4 15 2 4 5" xfId="17962" xr:uid="{00000000-0005-0000-0000-0000FA290000}"/>
    <cellStyle name="20% - Accent4 15 2 4 5 2" xfId="29654" xr:uid="{00000000-0005-0000-0000-0000FB290000}"/>
    <cellStyle name="20% - Accent4 15 2 4 6" xfId="22008" xr:uid="{00000000-0005-0000-0000-0000FC290000}"/>
    <cellStyle name="20% - Accent4 15 2 5" xfId="2725" xr:uid="{00000000-0005-0000-0000-0000FD290000}"/>
    <cellStyle name="20% - Accent4 15 2 5 2" xfId="14014" xr:uid="{00000000-0005-0000-0000-0000FE290000}"/>
    <cellStyle name="20% - Accent4 15 2 5 2 2" xfId="25871" xr:uid="{00000000-0005-0000-0000-0000FF290000}"/>
    <cellStyle name="20% - Accent4 15 2 5 3" xfId="17965" xr:uid="{00000000-0005-0000-0000-0000002A0000}"/>
    <cellStyle name="20% - Accent4 15 2 5 3 2" xfId="29657" xr:uid="{00000000-0005-0000-0000-0000012A0000}"/>
    <cellStyle name="20% - Accent4 15 2 5 4" xfId="22011" xr:uid="{00000000-0005-0000-0000-0000022A0000}"/>
    <cellStyle name="20% - Accent4 15 2 6" xfId="2726" xr:uid="{00000000-0005-0000-0000-0000032A0000}"/>
    <cellStyle name="20% - Accent4 15 2 6 2" xfId="14015" xr:uid="{00000000-0005-0000-0000-0000042A0000}"/>
    <cellStyle name="20% - Accent4 15 2 6 2 2" xfId="25872" xr:uid="{00000000-0005-0000-0000-0000052A0000}"/>
    <cellStyle name="20% - Accent4 15 2 6 3" xfId="17966" xr:uid="{00000000-0005-0000-0000-0000062A0000}"/>
    <cellStyle name="20% - Accent4 15 2 6 3 2" xfId="29658" xr:uid="{00000000-0005-0000-0000-0000072A0000}"/>
    <cellStyle name="20% - Accent4 15 2 6 4" xfId="22012" xr:uid="{00000000-0005-0000-0000-0000082A0000}"/>
    <cellStyle name="20% - Accent4 15 2 7" xfId="14004" xr:uid="{00000000-0005-0000-0000-0000092A0000}"/>
    <cellStyle name="20% - Accent4 15 2 7 2" xfId="25861" xr:uid="{00000000-0005-0000-0000-00000A2A0000}"/>
    <cellStyle name="20% - Accent4 15 2 8" xfId="17955" xr:uid="{00000000-0005-0000-0000-00000B2A0000}"/>
    <cellStyle name="20% - Accent4 15 2 8 2" xfId="29647" xr:uid="{00000000-0005-0000-0000-00000C2A0000}"/>
    <cellStyle name="20% - Accent4 15 2 9" xfId="22001" xr:uid="{00000000-0005-0000-0000-00000D2A0000}"/>
    <cellStyle name="20% - Accent4 15 2_Volatility" xfId="2727" xr:uid="{00000000-0005-0000-0000-00000E2A0000}"/>
    <cellStyle name="20% - Accent4 15 3" xfId="2728" xr:uid="{00000000-0005-0000-0000-00000F2A0000}"/>
    <cellStyle name="20% - Accent4 15 3 2" xfId="2729" xr:uid="{00000000-0005-0000-0000-0000102A0000}"/>
    <cellStyle name="20% - Accent4 15 3 2 2" xfId="2730" xr:uid="{00000000-0005-0000-0000-0000112A0000}"/>
    <cellStyle name="20% - Accent4 15 3 2 2 2" xfId="14018" xr:uid="{00000000-0005-0000-0000-0000122A0000}"/>
    <cellStyle name="20% - Accent4 15 3 2 2 2 2" xfId="25875" xr:uid="{00000000-0005-0000-0000-0000132A0000}"/>
    <cellStyle name="20% - Accent4 15 3 2 2 3" xfId="17969" xr:uid="{00000000-0005-0000-0000-0000142A0000}"/>
    <cellStyle name="20% - Accent4 15 3 2 2 3 2" xfId="29661" xr:uid="{00000000-0005-0000-0000-0000152A0000}"/>
    <cellStyle name="20% - Accent4 15 3 2 2 4" xfId="22015" xr:uid="{00000000-0005-0000-0000-0000162A0000}"/>
    <cellStyle name="20% - Accent4 15 3 2 3" xfId="2731" xr:uid="{00000000-0005-0000-0000-0000172A0000}"/>
    <cellStyle name="20% - Accent4 15 3 2 3 2" xfId="14019" xr:uid="{00000000-0005-0000-0000-0000182A0000}"/>
    <cellStyle name="20% - Accent4 15 3 2 3 2 2" xfId="25876" xr:uid="{00000000-0005-0000-0000-0000192A0000}"/>
    <cellStyle name="20% - Accent4 15 3 2 3 3" xfId="17970" xr:uid="{00000000-0005-0000-0000-00001A2A0000}"/>
    <cellStyle name="20% - Accent4 15 3 2 3 3 2" xfId="29662" xr:uid="{00000000-0005-0000-0000-00001B2A0000}"/>
    <cellStyle name="20% - Accent4 15 3 2 3 4" xfId="22016" xr:uid="{00000000-0005-0000-0000-00001C2A0000}"/>
    <cellStyle name="20% - Accent4 15 3 2 4" xfId="14017" xr:uid="{00000000-0005-0000-0000-00001D2A0000}"/>
    <cellStyle name="20% - Accent4 15 3 2 4 2" xfId="25874" xr:uid="{00000000-0005-0000-0000-00001E2A0000}"/>
    <cellStyle name="20% - Accent4 15 3 2 5" xfId="17968" xr:uid="{00000000-0005-0000-0000-00001F2A0000}"/>
    <cellStyle name="20% - Accent4 15 3 2 5 2" xfId="29660" xr:uid="{00000000-0005-0000-0000-0000202A0000}"/>
    <cellStyle name="20% - Accent4 15 3 2 6" xfId="22014" xr:uid="{00000000-0005-0000-0000-0000212A0000}"/>
    <cellStyle name="20% - Accent4 15 3 3" xfId="2732" xr:uid="{00000000-0005-0000-0000-0000222A0000}"/>
    <cellStyle name="20% - Accent4 15 3 3 2" xfId="2733" xr:uid="{00000000-0005-0000-0000-0000232A0000}"/>
    <cellStyle name="20% - Accent4 15 3 3 2 2" xfId="14021" xr:uid="{00000000-0005-0000-0000-0000242A0000}"/>
    <cellStyle name="20% - Accent4 15 3 3 2 2 2" xfId="25878" xr:uid="{00000000-0005-0000-0000-0000252A0000}"/>
    <cellStyle name="20% - Accent4 15 3 3 2 3" xfId="17972" xr:uid="{00000000-0005-0000-0000-0000262A0000}"/>
    <cellStyle name="20% - Accent4 15 3 3 2 3 2" xfId="29664" xr:uid="{00000000-0005-0000-0000-0000272A0000}"/>
    <cellStyle name="20% - Accent4 15 3 3 2 4" xfId="22018" xr:uid="{00000000-0005-0000-0000-0000282A0000}"/>
    <cellStyle name="20% - Accent4 15 3 3 3" xfId="2734" xr:uid="{00000000-0005-0000-0000-0000292A0000}"/>
    <cellStyle name="20% - Accent4 15 3 3 3 2" xfId="14022" xr:uid="{00000000-0005-0000-0000-00002A2A0000}"/>
    <cellStyle name="20% - Accent4 15 3 3 3 2 2" xfId="25879" xr:uid="{00000000-0005-0000-0000-00002B2A0000}"/>
    <cellStyle name="20% - Accent4 15 3 3 3 3" xfId="17973" xr:uid="{00000000-0005-0000-0000-00002C2A0000}"/>
    <cellStyle name="20% - Accent4 15 3 3 3 3 2" xfId="29665" xr:uid="{00000000-0005-0000-0000-00002D2A0000}"/>
    <cellStyle name="20% - Accent4 15 3 3 3 4" xfId="22019" xr:uid="{00000000-0005-0000-0000-00002E2A0000}"/>
    <cellStyle name="20% - Accent4 15 3 3 4" xfId="14020" xr:uid="{00000000-0005-0000-0000-00002F2A0000}"/>
    <cellStyle name="20% - Accent4 15 3 3 4 2" xfId="25877" xr:uid="{00000000-0005-0000-0000-0000302A0000}"/>
    <cellStyle name="20% - Accent4 15 3 3 5" xfId="17971" xr:uid="{00000000-0005-0000-0000-0000312A0000}"/>
    <cellStyle name="20% - Accent4 15 3 3 5 2" xfId="29663" xr:uid="{00000000-0005-0000-0000-0000322A0000}"/>
    <cellStyle name="20% - Accent4 15 3 3 6" xfId="22017" xr:uid="{00000000-0005-0000-0000-0000332A0000}"/>
    <cellStyle name="20% - Accent4 15 3 4" xfId="2735" xr:uid="{00000000-0005-0000-0000-0000342A0000}"/>
    <cellStyle name="20% - Accent4 15 3 4 2" xfId="14023" xr:uid="{00000000-0005-0000-0000-0000352A0000}"/>
    <cellStyle name="20% - Accent4 15 3 4 2 2" xfId="25880" xr:uid="{00000000-0005-0000-0000-0000362A0000}"/>
    <cellStyle name="20% - Accent4 15 3 4 3" xfId="17974" xr:uid="{00000000-0005-0000-0000-0000372A0000}"/>
    <cellStyle name="20% - Accent4 15 3 4 3 2" xfId="29666" xr:uid="{00000000-0005-0000-0000-0000382A0000}"/>
    <cellStyle name="20% - Accent4 15 3 4 4" xfId="22020" xr:uid="{00000000-0005-0000-0000-0000392A0000}"/>
    <cellStyle name="20% - Accent4 15 3 5" xfId="2736" xr:uid="{00000000-0005-0000-0000-00003A2A0000}"/>
    <cellStyle name="20% - Accent4 15 3 5 2" xfId="14024" xr:uid="{00000000-0005-0000-0000-00003B2A0000}"/>
    <cellStyle name="20% - Accent4 15 3 5 2 2" xfId="25881" xr:uid="{00000000-0005-0000-0000-00003C2A0000}"/>
    <cellStyle name="20% - Accent4 15 3 5 3" xfId="17975" xr:uid="{00000000-0005-0000-0000-00003D2A0000}"/>
    <cellStyle name="20% - Accent4 15 3 5 3 2" xfId="29667" xr:uid="{00000000-0005-0000-0000-00003E2A0000}"/>
    <cellStyle name="20% - Accent4 15 3 5 4" xfId="22021" xr:uid="{00000000-0005-0000-0000-00003F2A0000}"/>
    <cellStyle name="20% - Accent4 15 3 6" xfId="14016" xr:uid="{00000000-0005-0000-0000-0000402A0000}"/>
    <cellStyle name="20% - Accent4 15 3 6 2" xfId="25873" xr:uid="{00000000-0005-0000-0000-0000412A0000}"/>
    <cellStyle name="20% - Accent4 15 3 7" xfId="17967" xr:uid="{00000000-0005-0000-0000-0000422A0000}"/>
    <cellStyle name="20% - Accent4 15 3 7 2" xfId="29659" xr:uid="{00000000-0005-0000-0000-0000432A0000}"/>
    <cellStyle name="20% - Accent4 15 3 8" xfId="22013" xr:uid="{00000000-0005-0000-0000-0000442A0000}"/>
    <cellStyle name="20% - Accent4 15 3_Volatility" xfId="2737" xr:uid="{00000000-0005-0000-0000-0000452A0000}"/>
    <cellStyle name="20% - Accent4 15 4" xfId="2738" xr:uid="{00000000-0005-0000-0000-0000462A0000}"/>
    <cellStyle name="20% - Accent4 15 4 2" xfId="2739" xr:uid="{00000000-0005-0000-0000-0000472A0000}"/>
    <cellStyle name="20% - Accent4 15 4 2 2" xfId="14026" xr:uid="{00000000-0005-0000-0000-0000482A0000}"/>
    <cellStyle name="20% - Accent4 15 4 2 2 2" xfId="25883" xr:uid="{00000000-0005-0000-0000-0000492A0000}"/>
    <cellStyle name="20% - Accent4 15 4 2 3" xfId="17977" xr:uid="{00000000-0005-0000-0000-00004A2A0000}"/>
    <cellStyle name="20% - Accent4 15 4 2 3 2" xfId="29669" xr:uid="{00000000-0005-0000-0000-00004B2A0000}"/>
    <cellStyle name="20% - Accent4 15 4 2 4" xfId="22023" xr:uid="{00000000-0005-0000-0000-00004C2A0000}"/>
    <cellStyle name="20% - Accent4 15 4 3" xfId="2740" xr:uid="{00000000-0005-0000-0000-00004D2A0000}"/>
    <cellStyle name="20% - Accent4 15 4 3 2" xfId="14027" xr:uid="{00000000-0005-0000-0000-00004E2A0000}"/>
    <cellStyle name="20% - Accent4 15 4 3 2 2" xfId="25884" xr:uid="{00000000-0005-0000-0000-00004F2A0000}"/>
    <cellStyle name="20% - Accent4 15 4 3 3" xfId="17978" xr:uid="{00000000-0005-0000-0000-0000502A0000}"/>
    <cellStyle name="20% - Accent4 15 4 3 3 2" xfId="29670" xr:uid="{00000000-0005-0000-0000-0000512A0000}"/>
    <cellStyle name="20% - Accent4 15 4 3 4" xfId="22024" xr:uid="{00000000-0005-0000-0000-0000522A0000}"/>
    <cellStyle name="20% - Accent4 15 4 4" xfId="14025" xr:uid="{00000000-0005-0000-0000-0000532A0000}"/>
    <cellStyle name="20% - Accent4 15 4 4 2" xfId="25882" xr:uid="{00000000-0005-0000-0000-0000542A0000}"/>
    <cellStyle name="20% - Accent4 15 4 5" xfId="17976" xr:uid="{00000000-0005-0000-0000-0000552A0000}"/>
    <cellStyle name="20% - Accent4 15 4 5 2" xfId="29668" xr:uid="{00000000-0005-0000-0000-0000562A0000}"/>
    <cellStyle name="20% - Accent4 15 4 6" xfId="22022" xr:uid="{00000000-0005-0000-0000-0000572A0000}"/>
    <cellStyle name="20% - Accent4 15 5" xfId="2741" xr:uid="{00000000-0005-0000-0000-0000582A0000}"/>
    <cellStyle name="20% - Accent4 15 5 2" xfId="2742" xr:uid="{00000000-0005-0000-0000-0000592A0000}"/>
    <cellStyle name="20% - Accent4 15 5 2 2" xfId="14029" xr:uid="{00000000-0005-0000-0000-00005A2A0000}"/>
    <cellStyle name="20% - Accent4 15 5 2 2 2" xfId="25886" xr:uid="{00000000-0005-0000-0000-00005B2A0000}"/>
    <cellStyle name="20% - Accent4 15 5 2 3" xfId="17980" xr:uid="{00000000-0005-0000-0000-00005C2A0000}"/>
    <cellStyle name="20% - Accent4 15 5 2 3 2" xfId="29672" xr:uid="{00000000-0005-0000-0000-00005D2A0000}"/>
    <cellStyle name="20% - Accent4 15 5 2 4" xfId="22026" xr:uid="{00000000-0005-0000-0000-00005E2A0000}"/>
    <cellStyle name="20% - Accent4 15 5 3" xfId="2743" xr:uid="{00000000-0005-0000-0000-00005F2A0000}"/>
    <cellStyle name="20% - Accent4 15 5 3 2" xfId="14030" xr:uid="{00000000-0005-0000-0000-0000602A0000}"/>
    <cellStyle name="20% - Accent4 15 5 3 2 2" xfId="25887" xr:uid="{00000000-0005-0000-0000-0000612A0000}"/>
    <cellStyle name="20% - Accent4 15 5 3 3" xfId="17981" xr:uid="{00000000-0005-0000-0000-0000622A0000}"/>
    <cellStyle name="20% - Accent4 15 5 3 3 2" xfId="29673" xr:uid="{00000000-0005-0000-0000-0000632A0000}"/>
    <cellStyle name="20% - Accent4 15 5 3 4" xfId="22027" xr:uid="{00000000-0005-0000-0000-0000642A0000}"/>
    <cellStyle name="20% - Accent4 15 5 4" xfId="14028" xr:uid="{00000000-0005-0000-0000-0000652A0000}"/>
    <cellStyle name="20% - Accent4 15 5 4 2" xfId="25885" xr:uid="{00000000-0005-0000-0000-0000662A0000}"/>
    <cellStyle name="20% - Accent4 15 5 5" xfId="17979" xr:uid="{00000000-0005-0000-0000-0000672A0000}"/>
    <cellStyle name="20% - Accent4 15 5 5 2" xfId="29671" xr:uid="{00000000-0005-0000-0000-0000682A0000}"/>
    <cellStyle name="20% - Accent4 15 5 6" xfId="22025" xr:uid="{00000000-0005-0000-0000-0000692A0000}"/>
    <cellStyle name="20% - Accent4 15 6" xfId="2744" xr:uid="{00000000-0005-0000-0000-00006A2A0000}"/>
    <cellStyle name="20% - Accent4 15 6 2" xfId="2745" xr:uid="{00000000-0005-0000-0000-00006B2A0000}"/>
    <cellStyle name="20% - Accent4 15 6 2 2" xfId="14032" xr:uid="{00000000-0005-0000-0000-00006C2A0000}"/>
    <cellStyle name="20% - Accent4 15 6 2 2 2" xfId="25889" xr:uid="{00000000-0005-0000-0000-00006D2A0000}"/>
    <cellStyle name="20% - Accent4 15 6 2 3" xfId="17983" xr:uid="{00000000-0005-0000-0000-00006E2A0000}"/>
    <cellStyle name="20% - Accent4 15 6 2 3 2" xfId="29675" xr:uid="{00000000-0005-0000-0000-00006F2A0000}"/>
    <cellStyle name="20% - Accent4 15 6 2 4" xfId="22029" xr:uid="{00000000-0005-0000-0000-0000702A0000}"/>
    <cellStyle name="20% - Accent4 15 6 3" xfId="2746" xr:uid="{00000000-0005-0000-0000-0000712A0000}"/>
    <cellStyle name="20% - Accent4 15 6 3 2" xfId="14033" xr:uid="{00000000-0005-0000-0000-0000722A0000}"/>
    <cellStyle name="20% - Accent4 15 6 3 2 2" xfId="25890" xr:uid="{00000000-0005-0000-0000-0000732A0000}"/>
    <cellStyle name="20% - Accent4 15 6 3 3" xfId="17984" xr:uid="{00000000-0005-0000-0000-0000742A0000}"/>
    <cellStyle name="20% - Accent4 15 6 3 3 2" xfId="29676" xr:uid="{00000000-0005-0000-0000-0000752A0000}"/>
    <cellStyle name="20% - Accent4 15 6 3 4" xfId="22030" xr:uid="{00000000-0005-0000-0000-0000762A0000}"/>
    <cellStyle name="20% - Accent4 15 6 4" xfId="14031" xr:uid="{00000000-0005-0000-0000-0000772A0000}"/>
    <cellStyle name="20% - Accent4 15 6 4 2" xfId="25888" xr:uid="{00000000-0005-0000-0000-0000782A0000}"/>
    <cellStyle name="20% - Accent4 15 6 5" xfId="17982" xr:uid="{00000000-0005-0000-0000-0000792A0000}"/>
    <cellStyle name="20% - Accent4 15 6 5 2" xfId="29674" xr:uid="{00000000-0005-0000-0000-00007A2A0000}"/>
    <cellStyle name="20% - Accent4 15 6 6" xfId="22028" xr:uid="{00000000-0005-0000-0000-00007B2A0000}"/>
    <cellStyle name="20% - Accent4 15 7" xfId="2747" xr:uid="{00000000-0005-0000-0000-00007C2A0000}"/>
    <cellStyle name="20% - Accent4 15 7 2" xfId="14034" xr:uid="{00000000-0005-0000-0000-00007D2A0000}"/>
    <cellStyle name="20% - Accent4 15 7 2 2" xfId="25891" xr:uid="{00000000-0005-0000-0000-00007E2A0000}"/>
    <cellStyle name="20% - Accent4 15 7 3" xfId="17985" xr:uid="{00000000-0005-0000-0000-00007F2A0000}"/>
    <cellStyle name="20% - Accent4 15 7 3 2" xfId="29677" xr:uid="{00000000-0005-0000-0000-0000802A0000}"/>
    <cellStyle name="20% - Accent4 15 7 4" xfId="22031" xr:uid="{00000000-0005-0000-0000-0000812A0000}"/>
    <cellStyle name="20% - Accent4 15 8" xfId="2748" xr:uid="{00000000-0005-0000-0000-0000822A0000}"/>
    <cellStyle name="20% - Accent4 15 8 2" xfId="14035" xr:uid="{00000000-0005-0000-0000-0000832A0000}"/>
    <cellStyle name="20% - Accent4 15 8 2 2" xfId="25892" xr:uid="{00000000-0005-0000-0000-0000842A0000}"/>
    <cellStyle name="20% - Accent4 15 8 3" xfId="17986" xr:uid="{00000000-0005-0000-0000-0000852A0000}"/>
    <cellStyle name="20% - Accent4 15 8 3 2" xfId="29678" xr:uid="{00000000-0005-0000-0000-0000862A0000}"/>
    <cellStyle name="20% - Accent4 15 8 4" xfId="22032" xr:uid="{00000000-0005-0000-0000-0000872A0000}"/>
    <cellStyle name="20% - Accent4 15 9" xfId="14003" xr:uid="{00000000-0005-0000-0000-0000882A0000}"/>
    <cellStyle name="20% - Accent4 15 9 2" xfId="25860" xr:uid="{00000000-0005-0000-0000-0000892A0000}"/>
    <cellStyle name="20% - Accent4 15_Volatility" xfId="2749" xr:uid="{00000000-0005-0000-0000-00008A2A0000}"/>
    <cellStyle name="20% - Accent4 16" xfId="2750" xr:uid="{00000000-0005-0000-0000-00008B2A0000}"/>
    <cellStyle name="20% - Accent4 16 2" xfId="14036" xr:uid="{00000000-0005-0000-0000-00008C2A0000}"/>
    <cellStyle name="20% - Accent4 16 2 2" xfId="25893" xr:uid="{00000000-0005-0000-0000-00008D2A0000}"/>
    <cellStyle name="20% - Accent4 16 3" xfId="17987" xr:uid="{00000000-0005-0000-0000-00008E2A0000}"/>
    <cellStyle name="20% - Accent4 16 3 2" xfId="29679" xr:uid="{00000000-0005-0000-0000-00008F2A0000}"/>
    <cellStyle name="20% - Accent4 16 4" xfId="22033" xr:uid="{00000000-0005-0000-0000-0000902A0000}"/>
    <cellStyle name="20% - Accent4 17" xfId="2751" xr:uid="{00000000-0005-0000-0000-0000912A0000}"/>
    <cellStyle name="20% - Accent4 17 2" xfId="14037" xr:uid="{00000000-0005-0000-0000-0000922A0000}"/>
    <cellStyle name="20% - Accent4 17 2 2" xfId="25894" xr:uid="{00000000-0005-0000-0000-0000932A0000}"/>
    <cellStyle name="20% - Accent4 17 3" xfId="17988" xr:uid="{00000000-0005-0000-0000-0000942A0000}"/>
    <cellStyle name="20% - Accent4 17 3 2" xfId="29680" xr:uid="{00000000-0005-0000-0000-0000952A0000}"/>
    <cellStyle name="20% - Accent4 17 4" xfId="22034" xr:uid="{00000000-0005-0000-0000-0000962A0000}"/>
    <cellStyle name="20% - Accent4 18" xfId="2752" xr:uid="{00000000-0005-0000-0000-0000972A0000}"/>
    <cellStyle name="20% - Accent4 18 2" xfId="14038" xr:uid="{00000000-0005-0000-0000-0000982A0000}"/>
    <cellStyle name="20% - Accent4 18 2 2" xfId="25895" xr:uid="{00000000-0005-0000-0000-0000992A0000}"/>
    <cellStyle name="20% - Accent4 18 3" xfId="17989" xr:uid="{00000000-0005-0000-0000-00009A2A0000}"/>
    <cellStyle name="20% - Accent4 18 3 2" xfId="29681" xr:uid="{00000000-0005-0000-0000-00009B2A0000}"/>
    <cellStyle name="20% - Accent4 18 4" xfId="22035" xr:uid="{00000000-0005-0000-0000-00009C2A0000}"/>
    <cellStyle name="20% - Accent4 19" xfId="2753" xr:uid="{00000000-0005-0000-0000-00009D2A0000}"/>
    <cellStyle name="20% - Accent4 19 2" xfId="14039" xr:uid="{00000000-0005-0000-0000-00009E2A0000}"/>
    <cellStyle name="20% - Accent4 19 2 2" xfId="25896" xr:uid="{00000000-0005-0000-0000-00009F2A0000}"/>
    <cellStyle name="20% - Accent4 19 3" xfId="17990" xr:uid="{00000000-0005-0000-0000-0000A02A0000}"/>
    <cellStyle name="20% - Accent4 19 3 2" xfId="29682" xr:uid="{00000000-0005-0000-0000-0000A12A0000}"/>
    <cellStyle name="20% - Accent4 19 4" xfId="22036" xr:uid="{00000000-0005-0000-0000-0000A22A0000}"/>
    <cellStyle name="20% - Accent4 2" xfId="2754" xr:uid="{00000000-0005-0000-0000-0000A32A0000}"/>
    <cellStyle name="20% - Accent4 2 10" xfId="17991" xr:uid="{00000000-0005-0000-0000-0000A42A0000}"/>
    <cellStyle name="20% - Accent4 2 10 2" xfId="29683" xr:uid="{00000000-0005-0000-0000-0000A52A0000}"/>
    <cellStyle name="20% - Accent4 2 11" xfId="22037" xr:uid="{00000000-0005-0000-0000-0000A62A0000}"/>
    <cellStyle name="20% - Accent4 2 2" xfId="2755" xr:uid="{00000000-0005-0000-0000-0000A72A0000}"/>
    <cellStyle name="20% - Accent4 2 2 2" xfId="2756" xr:uid="{00000000-0005-0000-0000-0000A82A0000}"/>
    <cellStyle name="20% - Accent4 2 2 2 2" xfId="2757" xr:uid="{00000000-0005-0000-0000-0000A92A0000}"/>
    <cellStyle name="20% - Accent4 2 2 2 2 2" xfId="14043" xr:uid="{00000000-0005-0000-0000-0000AA2A0000}"/>
    <cellStyle name="20% - Accent4 2 2 2 2 2 2" xfId="25900" xr:uid="{00000000-0005-0000-0000-0000AB2A0000}"/>
    <cellStyle name="20% - Accent4 2 2 2 2 3" xfId="17994" xr:uid="{00000000-0005-0000-0000-0000AC2A0000}"/>
    <cellStyle name="20% - Accent4 2 2 2 2 3 2" xfId="29686" xr:uid="{00000000-0005-0000-0000-0000AD2A0000}"/>
    <cellStyle name="20% - Accent4 2 2 2 2 4" xfId="22040" xr:uid="{00000000-0005-0000-0000-0000AE2A0000}"/>
    <cellStyle name="20% - Accent4 2 2 2 3" xfId="2758" xr:uid="{00000000-0005-0000-0000-0000AF2A0000}"/>
    <cellStyle name="20% - Accent4 2 2 2 3 2" xfId="14044" xr:uid="{00000000-0005-0000-0000-0000B02A0000}"/>
    <cellStyle name="20% - Accent4 2 2 2 3 2 2" xfId="25901" xr:uid="{00000000-0005-0000-0000-0000B12A0000}"/>
    <cellStyle name="20% - Accent4 2 2 2 3 3" xfId="17995" xr:uid="{00000000-0005-0000-0000-0000B22A0000}"/>
    <cellStyle name="20% - Accent4 2 2 2 3 3 2" xfId="29687" xr:uid="{00000000-0005-0000-0000-0000B32A0000}"/>
    <cellStyle name="20% - Accent4 2 2 2 3 4" xfId="22041" xr:uid="{00000000-0005-0000-0000-0000B42A0000}"/>
    <cellStyle name="20% - Accent4 2 2 2 4" xfId="14042" xr:uid="{00000000-0005-0000-0000-0000B52A0000}"/>
    <cellStyle name="20% - Accent4 2 2 2 4 2" xfId="25899" xr:uid="{00000000-0005-0000-0000-0000B62A0000}"/>
    <cellStyle name="20% - Accent4 2 2 2 5" xfId="17993" xr:uid="{00000000-0005-0000-0000-0000B72A0000}"/>
    <cellStyle name="20% - Accent4 2 2 2 5 2" xfId="29685" xr:uid="{00000000-0005-0000-0000-0000B82A0000}"/>
    <cellStyle name="20% - Accent4 2 2 2 6" xfId="22039" xr:uid="{00000000-0005-0000-0000-0000B92A0000}"/>
    <cellStyle name="20% - Accent4 2 2 3" xfId="2759" xr:uid="{00000000-0005-0000-0000-0000BA2A0000}"/>
    <cellStyle name="20% - Accent4 2 2 3 2" xfId="2760" xr:uid="{00000000-0005-0000-0000-0000BB2A0000}"/>
    <cellStyle name="20% - Accent4 2 2 3 2 2" xfId="14046" xr:uid="{00000000-0005-0000-0000-0000BC2A0000}"/>
    <cellStyle name="20% - Accent4 2 2 3 2 2 2" xfId="25903" xr:uid="{00000000-0005-0000-0000-0000BD2A0000}"/>
    <cellStyle name="20% - Accent4 2 2 3 2 3" xfId="17997" xr:uid="{00000000-0005-0000-0000-0000BE2A0000}"/>
    <cellStyle name="20% - Accent4 2 2 3 2 3 2" xfId="29689" xr:uid="{00000000-0005-0000-0000-0000BF2A0000}"/>
    <cellStyle name="20% - Accent4 2 2 3 2 4" xfId="22043" xr:uid="{00000000-0005-0000-0000-0000C02A0000}"/>
    <cellStyle name="20% - Accent4 2 2 3 3" xfId="2761" xr:uid="{00000000-0005-0000-0000-0000C12A0000}"/>
    <cellStyle name="20% - Accent4 2 2 3 3 2" xfId="14047" xr:uid="{00000000-0005-0000-0000-0000C22A0000}"/>
    <cellStyle name="20% - Accent4 2 2 3 3 2 2" xfId="25904" xr:uid="{00000000-0005-0000-0000-0000C32A0000}"/>
    <cellStyle name="20% - Accent4 2 2 3 3 3" xfId="17998" xr:uid="{00000000-0005-0000-0000-0000C42A0000}"/>
    <cellStyle name="20% - Accent4 2 2 3 3 3 2" xfId="29690" xr:uid="{00000000-0005-0000-0000-0000C52A0000}"/>
    <cellStyle name="20% - Accent4 2 2 3 3 4" xfId="22044" xr:uid="{00000000-0005-0000-0000-0000C62A0000}"/>
    <cellStyle name="20% - Accent4 2 2 3 4" xfId="14045" xr:uid="{00000000-0005-0000-0000-0000C72A0000}"/>
    <cellStyle name="20% - Accent4 2 2 3 4 2" xfId="25902" xr:uid="{00000000-0005-0000-0000-0000C82A0000}"/>
    <cellStyle name="20% - Accent4 2 2 3 5" xfId="17996" xr:uid="{00000000-0005-0000-0000-0000C92A0000}"/>
    <cellStyle name="20% - Accent4 2 2 3 5 2" xfId="29688" xr:uid="{00000000-0005-0000-0000-0000CA2A0000}"/>
    <cellStyle name="20% - Accent4 2 2 3 6" xfId="22042" xr:uid="{00000000-0005-0000-0000-0000CB2A0000}"/>
    <cellStyle name="20% - Accent4 2 2 4" xfId="2762" xr:uid="{00000000-0005-0000-0000-0000CC2A0000}"/>
    <cellStyle name="20% - Accent4 2 2 4 2" xfId="2763" xr:uid="{00000000-0005-0000-0000-0000CD2A0000}"/>
    <cellStyle name="20% - Accent4 2 2 4 2 2" xfId="14049" xr:uid="{00000000-0005-0000-0000-0000CE2A0000}"/>
    <cellStyle name="20% - Accent4 2 2 4 2 2 2" xfId="25906" xr:uid="{00000000-0005-0000-0000-0000CF2A0000}"/>
    <cellStyle name="20% - Accent4 2 2 4 2 3" xfId="18000" xr:uid="{00000000-0005-0000-0000-0000D02A0000}"/>
    <cellStyle name="20% - Accent4 2 2 4 2 3 2" xfId="29692" xr:uid="{00000000-0005-0000-0000-0000D12A0000}"/>
    <cellStyle name="20% - Accent4 2 2 4 2 4" xfId="22046" xr:uid="{00000000-0005-0000-0000-0000D22A0000}"/>
    <cellStyle name="20% - Accent4 2 2 4 3" xfId="2764" xr:uid="{00000000-0005-0000-0000-0000D32A0000}"/>
    <cellStyle name="20% - Accent4 2 2 4 3 2" xfId="14050" xr:uid="{00000000-0005-0000-0000-0000D42A0000}"/>
    <cellStyle name="20% - Accent4 2 2 4 3 2 2" xfId="25907" xr:uid="{00000000-0005-0000-0000-0000D52A0000}"/>
    <cellStyle name="20% - Accent4 2 2 4 3 3" xfId="18001" xr:uid="{00000000-0005-0000-0000-0000D62A0000}"/>
    <cellStyle name="20% - Accent4 2 2 4 3 3 2" xfId="29693" xr:uid="{00000000-0005-0000-0000-0000D72A0000}"/>
    <cellStyle name="20% - Accent4 2 2 4 3 4" xfId="22047" xr:uid="{00000000-0005-0000-0000-0000D82A0000}"/>
    <cellStyle name="20% - Accent4 2 2 4 4" xfId="14048" xr:uid="{00000000-0005-0000-0000-0000D92A0000}"/>
    <cellStyle name="20% - Accent4 2 2 4 4 2" xfId="25905" xr:uid="{00000000-0005-0000-0000-0000DA2A0000}"/>
    <cellStyle name="20% - Accent4 2 2 4 5" xfId="17999" xr:uid="{00000000-0005-0000-0000-0000DB2A0000}"/>
    <cellStyle name="20% - Accent4 2 2 4 5 2" xfId="29691" xr:uid="{00000000-0005-0000-0000-0000DC2A0000}"/>
    <cellStyle name="20% - Accent4 2 2 4 6" xfId="22045" xr:uid="{00000000-0005-0000-0000-0000DD2A0000}"/>
    <cellStyle name="20% - Accent4 2 2 5" xfId="2765" xr:uid="{00000000-0005-0000-0000-0000DE2A0000}"/>
    <cellStyle name="20% - Accent4 2 2 5 2" xfId="14051" xr:uid="{00000000-0005-0000-0000-0000DF2A0000}"/>
    <cellStyle name="20% - Accent4 2 2 5 2 2" xfId="25908" xr:uid="{00000000-0005-0000-0000-0000E02A0000}"/>
    <cellStyle name="20% - Accent4 2 2 5 3" xfId="18002" xr:uid="{00000000-0005-0000-0000-0000E12A0000}"/>
    <cellStyle name="20% - Accent4 2 2 5 3 2" xfId="29694" xr:uid="{00000000-0005-0000-0000-0000E22A0000}"/>
    <cellStyle name="20% - Accent4 2 2 5 4" xfId="22048" xr:uid="{00000000-0005-0000-0000-0000E32A0000}"/>
    <cellStyle name="20% - Accent4 2 2 6" xfId="2766" xr:uid="{00000000-0005-0000-0000-0000E42A0000}"/>
    <cellStyle name="20% - Accent4 2 2 6 2" xfId="14052" xr:uid="{00000000-0005-0000-0000-0000E52A0000}"/>
    <cellStyle name="20% - Accent4 2 2 6 2 2" xfId="25909" xr:uid="{00000000-0005-0000-0000-0000E62A0000}"/>
    <cellStyle name="20% - Accent4 2 2 6 3" xfId="18003" xr:uid="{00000000-0005-0000-0000-0000E72A0000}"/>
    <cellStyle name="20% - Accent4 2 2 6 3 2" xfId="29695" xr:uid="{00000000-0005-0000-0000-0000E82A0000}"/>
    <cellStyle name="20% - Accent4 2 2 6 4" xfId="22049" xr:uid="{00000000-0005-0000-0000-0000E92A0000}"/>
    <cellStyle name="20% - Accent4 2 2 7" xfId="14041" xr:uid="{00000000-0005-0000-0000-0000EA2A0000}"/>
    <cellStyle name="20% - Accent4 2 2 7 2" xfId="25898" xr:uid="{00000000-0005-0000-0000-0000EB2A0000}"/>
    <cellStyle name="20% - Accent4 2 2 8" xfId="17992" xr:uid="{00000000-0005-0000-0000-0000EC2A0000}"/>
    <cellStyle name="20% - Accent4 2 2 8 2" xfId="29684" xr:uid="{00000000-0005-0000-0000-0000ED2A0000}"/>
    <cellStyle name="20% - Accent4 2 2 9" xfId="22038" xr:uid="{00000000-0005-0000-0000-0000EE2A0000}"/>
    <cellStyle name="20% - Accent4 2 2_Volatility" xfId="2767" xr:uid="{00000000-0005-0000-0000-0000EF2A0000}"/>
    <cellStyle name="20% - Accent4 2 3" xfId="2768" xr:uid="{00000000-0005-0000-0000-0000F02A0000}"/>
    <cellStyle name="20% - Accent4 2 3 2" xfId="2769" xr:uid="{00000000-0005-0000-0000-0000F12A0000}"/>
    <cellStyle name="20% - Accent4 2 3 2 2" xfId="2770" xr:uid="{00000000-0005-0000-0000-0000F22A0000}"/>
    <cellStyle name="20% - Accent4 2 3 2 2 2" xfId="14055" xr:uid="{00000000-0005-0000-0000-0000F32A0000}"/>
    <cellStyle name="20% - Accent4 2 3 2 2 2 2" xfId="25912" xr:uid="{00000000-0005-0000-0000-0000F42A0000}"/>
    <cellStyle name="20% - Accent4 2 3 2 2 3" xfId="18006" xr:uid="{00000000-0005-0000-0000-0000F52A0000}"/>
    <cellStyle name="20% - Accent4 2 3 2 2 3 2" xfId="29698" xr:uid="{00000000-0005-0000-0000-0000F62A0000}"/>
    <cellStyle name="20% - Accent4 2 3 2 2 4" xfId="22052" xr:uid="{00000000-0005-0000-0000-0000F72A0000}"/>
    <cellStyle name="20% - Accent4 2 3 2 3" xfId="2771" xr:uid="{00000000-0005-0000-0000-0000F82A0000}"/>
    <cellStyle name="20% - Accent4 2 3 2 3 2" xfId="14056" xr:uid="{00000000-0005-0000-0000-0000F92A0000}"/>
    <cellStyle name="20% - Accent4 2 3 2 3 2 2" xfId="25913" xr:uid="{00000000-0005-0000-0000-0000FA2A0000}"/>
    <cellStyle name="20% - Accent4 2 3 2 3 3" xfId="18007" xr:uid="{00000000-0005-0000-0000-0000FB2A0000}"/>
    <cellStyle name="20% - Accent4 2 3 2 3 3 2" xfId="29699" xr:uid="{00000000-0005-0000-0000-0000FC2A0000}"/>
    <cellStyle name="20% - Accent4 2 3 2 3 4" xfId="22053" xr:uid="{00000000-0005-0000-0000-0000FD2A0000}"/>
    <cellStyle name="20% - Accent4 2 3 2 4" xfId="14054" xr:uid="{00000000-0005-0000-0000-0000FE2A0000}"/>
    <cellStyle name="20% - Accent4 2 3 2 4 2" xfId="25911" xr:uid="{00000000-0005-0000-0000-0000FF2A0000}"/>
    <cellStyle name="20% - Accent4 2 3 2 5" xfId="18005" xr:uid="{00000000-0005-0000-0000-0000002B0000}"/>
    <cellStyle name="20% - Accent4 2 3 2 5 2" xfId="29697" xr:uid="{00000000-0005-0000-0000-0000012B0000}"/>
    <cellStyle name="20% - Accent4 2 3 2 6" xfId="22051" xr:uid="{00000000-0005-0000-0000-0000022B0000}"/>
    <cellStyle name="20% - Accent4 2 3 3" xfId="2772" xr:uid="{00000000-0005-0000-0000-0000032B0000}"/>
    <cellStyle name="20% - Accent4 2 3 3 2" xfId="2773" xr:uid="{00000000-0005-0000-0000-0000042B0000}"/>
    <cellStyle name="20% - Accent4 2 3 3 2 2" xfId="14058" xr:uid="{00000000-0005-0000-0000-0000052B0000}"/>
    <cellStyle name="20% - Accent4 2 3 3 2 2 2" xfId="25915" xr:uid="{00000000-0005-0000-0000-0000062B0000}"/>
    <cellStyle name="20% - Accent4 2 3 3 2 3" xfId="18009" xr:uid="{00000000-0005-0000-0000-0000072B0000}"/>
    <cellStyle name="20% - Accent4 2 3 3 2 3 2" xfId="29701" xr:uid="{00000000-0005-0000-0000-0000082B0000}"/>
    <cellStyle name="20% - Accent4 2 3 3 2 4" xfId="22055" xr:uid="{00000000-0005-0000-0000-0000092B0000}"/>
    <cellStyle name="20% - Accent4 2 3 3 3" xfId="2774" xr:uid="{00000000-0005-0000-0000-00000A2B0000}"/>
    <cellStyle name="20% - Accent4 2 3 3 3 2" xfId="14059" xr:uid="{00000000-0005-0000-0000-00000B2B0000}"/>
    <cellStyle name="20% - Accent4 2 3 3 3 2 2" xfId="25916" xr:uid="{00000000-0005-0000-0000-00000C2B0000}"/>
    <cellStyle name="20% - Accent4 2 3 3 3 3" xfId="18010" xr:uid="{00000000-0005-0000-0000-00000D2B0000}"/>
    <cellStyle name="20% - Accent4 2 3 3 3 3 2" xfId="29702" xr:uid="{00000000-0005-0000-0000-00000E2B0000}"/>
    <cellStyle name="20% - Accent4 2 3 3 3 4" xfId="22056" xr:uid="{00000000-0005-0000-0000-00000F2B0000}"/>
    <cellStyle name="20% - Accent4 2 3 3 4" xfId="14057" xr:uid="{00000000-0005-0000-0000-0000102B0000}"/>
    <cellStyle name="20% - Accent4 2 3 3 4 2" xfId="25914" xr:uid="{00000000-0005-0000-0000-0000112B0000}"/>
    <cellStyle name="20% - Accent4 2 3 3 5" xfId="18008" xr:uid="{00000000-0005-0000-0000-0000122B0000}"/>
    <cellStyle name="20% - Accent4 2 3 3 5 2" xfId="29700" xr:uid="{00000000-0005-0000-0000-0000132B0000}"/>
    <cellStyle name="20% - Accent4 2 3 3 6" xfId="22054" xr:uid="{00000000-0005-0000-0000-0000142B0000}"/>
    <cellStyle name="20% - Accent4 2 3 4" xfId="2775" xr:uid="{00000000-0005-0000-0000-0000152B0000}"/>
    <cellStyle name="20% - Accent4 2 3 4 2" xfId="14060" xr:uid="{00000000-0005-0000-0000-0000162B0000}"/>
    <cellStyle name="20% - Accent4 2 3 4 2 2" xfId="25917" xr:uid="{00000000-0005-0000-0000-0000172B0000}"/>
    <cellStyle name="20% - Accent4 2 3 4 3" xfId="18011" xr:uid="{00000000-0005-0000-0000-0000182B0000}"/>
    <cellStyle name="20% - Accent4 2 3 4 3 2" xfId="29703" xr:uid="{00000000-0005-0000-0000-0000192B0000}"/>
    <cellStyle name="20% - Accent4 2 3 4 4" xfId="22057" xr:uid="{00000000-0005-0000-0000-00001A2B0000}"/>
    <cellStyle name="20% - Accent4 2 3 5" xfId="2776" xr:uid="{00000000-0005-0000-0000-00001B2B0000}"/>
    <cellStyle name="20% - Accent4 2 3 5 2" xfId="14061" xr:uid="{00000000-0005-0000-0000-00001C2B0000}"/>
    <cellStyle name="20% - Accent4 2 3 5 2 2" xfId="25918" xr:uid="{00000000-0005-0000-0000-00001D2B0000}"/>
    <cellStyle name="20% - Accent4 2 3 5 3" xfId="18012" xr:uid="{00000000-0005-0000-0000-00001E2B0000}"/>
    <cellStyle name="20% - Accent4 2 3 5 3 2" xfId="29704" xr:uid="{00000000-0005-0000-0000-00001F2B0000}"/>
    <cellStyle name="20% - Accent4 2 3 5 4" xfId="22058" xr:uid="{00000000-0005-0000-0000-0000202B0000}"/>
    <cellStyle name="20% - Accent4 2 3 6" xfId="14053" xr:uid="{00000000-0005-0000-0000-0000212B0000}"/>
    <cellStyle name="20% - Accent4 2 3 6 2" xfId="25910" xr:uid="{00000000-0005-0000-0000-0000222B0000}"/>
    <cellStyle name="20% - Accent4 2 3 7" xfId="18004" xr:uid="{00000000-0005-0000-0000-0000232B0000}"/>
    <cellStyle name="20% - Accent4 2 3 7 2" xfId="29696" xr:uid="{00000000-0005-0000-0000-0000242B0000}"/>
    <cellStyle name="20% - Accent4 2 3 8" xfId="22050" xr:uid="{00000000-0005-0000-0000-0000252B0000}"/>
    <cellStyle name="20% - Accent4 2 3_Volatility" xfId="2777" xr:uid="{00000000-0005-0000-0000-0000262B0000}"/>
    <cellStyle name="20% - Accent4 2 4" xfId="2778" xr:uid="{00000000-0005-0000-0000-0000272B0000}"/>
    <cellStyle name="20% - Accent4 2 4 2" xfId="2779" xr:uid="{00000000-0005-0000-0000-0000282B0000}"/>
    <cellStyle name="20% - Accent4 2 4 2 2" xfId="14063" xr:uid="{00000000-0005-0000-0000-0000292B0000}"/>
    <cellStyle name="20% - Accent4 2 4 2 2 2" xfId="25920" xr:uid="{00000000-0005-0000-0000-00002A2B0000}"/>
    <cellStyle name="20% - Accent4 2 4 2 3" xfId="18014" xr:uid="{00000000-0005-0000-0000-00002B2B0000}"/>
    <cellStyle name="20% - Accent4 2 4 2 3 2" xfId="29706" xr:uid="{00000000-0005-0000-0000-00002C2B0000}"/>
    <cellStyle name="20% - Accent4 2 4 2 4" xfId="22060" xr:uid="{00000000-0005-0000-0000-00002D2B0000}"/>
    <cellStyle name="20% - Accent4 2 4 3" xfId="2780" xr:uid="{00000000-0005-0000-0000-00002E2B0000}"/>
    <cellStyle name="20% - Accent4 2 4 3 2" xfId="14064" xr:uid="{00000000-0005-0000-0000-00002F2B0000}"/>
    <cellStyle name="20% - Accent4 2 4 3 2 2" xfId="25921" xr:uid="{00000000-0005-0000-0000-0000302B0000}"/>
    <cellStyle name="20% - Accent4 2 4 3 3" xfId="18015" xr:uid="{00000000-0005-0000-0000-0000312B0000}"/>
    <cellStyle name="20% - Accent4 2 4 3 3 2" xfId="29707" xr:uid="{00000000-0005-0000-0000-0000322B0000}"/>
    <cellStyle name="20% - Accent4 2 4 3 4" xfId="22061" xr:uid="{00000000-0005-0000-0000-0000332B0000}"/>
    <cellStyle name="20% - Accent4 2 4 4" xfId="14062" xr:uid="{00000000-0005-0000-0000-0000342B0000}"/>
    <cellStyle name="20% - Accent4 2 4 4 2" xfId="25919" xr:uid="{00000000-0005-0000-0000-0000352B0000}"/>
    <cellStyle name="20% - Accent4 2 4 5" xfId="18013" xr:uid="{00000000-0005-0000-0000-0000362B0000}"/>
    <cellStyle name="20% - Accent4 2 4 5 2" xfId="29705" xr:uid="{00000000-0005-0000-0000-0000372B0000}"/>
    <cellStyle name="20% - Accent4 2 4 6" xfId="22059" xr:uid="{00000000-0005-0000-0000-0000382B0000}"/>
    <cellStyle name="20% - Accent4 2 5" xfId="2781" xr:uid="{00000000-0005-0000-0000-0000392B0000}"/>
    <cellStyle name="20% - Accent4 2 5 2" xfId="2782" xr:uid="{00000000-0005-0000-0000-00003A2B0000}"/>
    <cellStyle name="20% - Accent4 2 5 2 2" xfId="14066" xr:uid="{00000000-0005-0000-0000-00003B2B0000}"/>
    <cellStyle name="20% - Accent4 2 5 2 2 2" xfId="25923" xr:uid="{00000000-0005-0000-0000-00003C2B0000}"/>
    <cellStyle name="20% - Accent4 2 5 2 3" xfId="18017" xr:uid="{00000000-0005-0000-0000-00003D2B0000}"/>
    <cellStyle name="20% - Accent4 2 5 2 3 2" xfId="29709" xr:uid="{00000000-0005-0000-0000-00003E2B0000}"/>
    <cellStyle name="20% - Accent4 2 5 2 4" xfId="22063" xr:uid="{00000000-0005-0000-0000-00003F2B0000}"/>
    <cellStyle name="20% - Accent4 2 5 3" xfId="2783" xr:uid="{00000000-0005-0000-0000-0000402B0000}"/>
    <cellStyle name="20% - Accent4 2 5 3 2" xfId="14067" xr:uid="{00000000-0005-0000-0000-0000412B0000}"/>
    <cellStyle name="20% - Accent4 2 5 3 2 2" xfId="25924" xr:uid="{00000000-0005-0000-0000-0000422B0000}"/>
    <cellStyle name="20% - Accent4 2 5 3 3" xfId="18018" xr:uid="{00000000-0005-0000-0000-0000432B0000}"/>
    <cellStyle name="20% - Accent4 2 5 3 3 2" xfId="29710" xr:uid="{00000000-0005-0000-0000-0000442B0000}"/>
    <cellStyle name="20% - Accent4 2 5 3 4" xfId="22064" xr:uid="{00000000-0005-0000-0000-0000452B0000}"/>
    <cellStyle name="20% - Accent4 2 5 4" xfId="14065" xr:uid="{00000000-0005-0000-0000-0000462B0000}"/>
    <cellStyle name="20% - Accent4 2 5 4 2" xfId="25922" xr:uid="{00000000-0005-0000-0000-0000472B0000}"/>
    <cellStyle name="20% - Accent4 2 5 5" xfId="18016" xr:uid="{00000000-0005-0000-0000-0000482B0000}"/>
    <cellStyle name="20% - Accent4 2 5 5 2" xfId="29708" xr:uid="{00000000-0005-0000-0000-0000492B0000}"/>
    <cellStyle name="20% - Accent4 2 5 6" xfId="22062" xr:uid="{00000000-0005-0000-0000-00004A2B0000}"/>
    <cellStyle name="20% - Accent4 2 6" xfId="2784" xr:uid="{00000000-0005-0000-0000-00004B2B0000}"/>
    <cellStyle name="20% - Accent4 2 6 2" xfId="2785" xr:uid="{00000000-0005-0000-0000-00004C2B0000}"/>
    <cellStyle name="20% - Accent4 2 6 2 2" xfId="14069" xr:uid="{00000000-0005-0000-0000-00004D2B0000}"/>
    <cellStyle name="20% - Accent4 2 6 2 2 2" xfId="25926" xr:uid="{00000000-0005-0000-0000-00004E2B0000}"/>
    <cellStyle name="20% - Accent4 2 6 2 3" xfId="18020" xr:uid="{00000000-0005-0000-0000-00004F2B0000}"/>
    <cellStyle name="20% - Accent4 2 6 2 3 2" xfId="29712" xr:uid="{00000000-0005-0000-0000-0000502B0000}"/>
    <cellStyle name="20% - Accent4 2 6 2 4" xfId="22066" xr:uid="{00000000-0005-0000-0000-0000512B0000}"/>
    <cellStyle name="20% - Accent4 2 6 3" xfId="2786" xr:uid="{00000000-0005-0000-0000-0000522B0000}"/>
    <cellStyle name="20% - Accent4 2 6 3 2" xfId="14070" xr:uid="{00000000-0005-0000-0000-0000532B0000}"/>
    <cellStyle name="20% - Accent4 2 6 3 2 2" xfId="25927" xr:uid="{00000000-0005-0000-0000-0000542B0000}"/>
    <cellStyle name="20% - Accent4 2 6 3 3" xfId="18021" xr:uid="{00000000-0005-0000-0000-0000552B0000}"/>
    <cellStyle name="20% - Accent4 2 6 3 3 2" xfId="29713" xr:uid="{00000000-0005-0000-0000-0000562B0000}"/>
    <cellStyle name="20% - Accent4 2 6 3 4" xfId="22067" xr:uid="{00000000-0005-0000-0000-0000572B0000}"/>
    <cellStyle name="20% - Accent4 2 6 4" xfId="14068" xr:uid="{00000000-0005-0000-0000-0000582B0000}"/>
    <cellStyle name="20% - Accent4 2 6 4 2" xfId="25925" xr:uid="{00000000-0005-0000-0000-0000592B0000}"/>
    <cellStyle name="20% - Accent4 2 6 5" xfId="18019" xr:uid="{00000000-0005-0000-0000-00005A2B0000}"/>
    <cellStyle name="20% - Accent4 2 6 5 2" xfId="29711" xr:uid="{00000000-0005-0000-0000-00005B2B0000}"/>
    <cellStyle name="20% - Accent4 2 6 6" xfId="22065" xr:uid="{00000000-0005-0000-0000-00005C2B0000}"/>
    <cellStyle name="20% - Accent4 2 7" xfId="2787" xr:uid="{00000000-0005-0000-0000-00005D2B0000}"/>
    <cellStyle name="20% - Accent4 2 7 2" xfId="14071" xr:uid="{00000000-0005-0000-0000-00005E2B0000}"/>
    <cellStyle name="20% - Accent4 2 7 2 2" xfId="25928" xr:uid="{00000000-0005-0000-0000-00005F2B0000}"/>
    <cellStyle name="20% - Accent4 2 7 3" xfId="18022" xr:uid="{00000000-0005-0000-0000-0000602B0000}"/>
    <cellStyle name="20% - Accent4 2 7 3 2" xfId="29714" xr:uid="{00000000-0005-0000-0000-0000612B0000}"/>
    <cellStyle name="20% - Accent4 2 7 4" xfId="22068" xr:uid="{00000000-0005-0000-0000-0000622B0000}"/>
    <cellStyle name="20% - Accent4 2 8" xfId="2788" xr:uid="{00000000-0005-0000-0000-0000632B0000}"/>
    <cellStyle name="20% - Accent4 2 8 2" xfId="14072" xr:uid="{00000000-0005-0000-0000-0000642B0000}"/>
    <cellStyle name="20% - Accent4 2 8 2 2" xfId="25929" xr:uid="{00000000-0005-0000-0000-0000652B0000}"/>
    <cellStyle name="20% - Accent4 2 8 3" xfId="18023" xr:uid="{00000000-0005-0000-0000-0000662B0000}"/>
    <cellStyle name="20% - Accent4 2 8 3 2" xfId="29715" xr:uid="{00000000-0005-0000-0000-0000672B0000}"/>
    <cellStyle name="20% - Accent4 2 8 4" xfId="22069" xr:uid="{00000000-0005-0000-0000-0000682B0000}"/>
    <cellStyle name="20% - Accent4 2 9" xfId="14040" xr:uid="{00000000-0005-0000-0000-0000692B0000}"/>
    <cellStyle name="20% - Accent4 2 9 2" xfId="25897" xr:uid="{00000000-0005-0000-0000-00006A2B0000}"/>
    <cellStyle name="20% - Accent4 2_Volatility" xfId="2789" xr:uid="{00000000-0005-0000-0000-00006B2B0000}"/>
    <cellStyle name="20% - Accent4 3" xfId="2790" xr:uid="{00000000-0005-0000-0000-00006C2B0000}"/>
    <cellStyle name="20% - Accent4 3 10" xfId="18024" xr:uid="{00000000-0005-0000-0000-00006D2B0000}"/>
    <cellStyle name="20% - Accent4 3 10 2" xfId="29716" xr:uid="{00000000-0005-0000-0000-00006E2B0000}"/>
    <cellStyle name="20% - Accent4 3 11" xfId="22070" xr:uid="{00000000-0005-0000-0000-00006F2B0000}"/>
    <cellStyle name="20% - Accent4 3 2" xfId="2791" xr:uid="{00000000-0005-0000-0000-0000702B0000}"/>
    <cellStyle name="20% - Accent4 3 2 2" xfId="2792" xr:uid="{00000000-0005-0000-0000-0000712B0000}"/>
    <cellStyle name="20% - Accent4 3 2 2 2" xfId="2793" xr:uid="{00000000-0005-0000-0000-0000722B0000}"/>
    <cellStyle name="20% - Accent4 3 2 2 2 2" xfId="14076" xr:uid="{00000000-0005-0000-0000-0000732B0000}"/>
    <cellStyle name="20% - Accent4 3 2 2 2 2 2" xfId="25933" xr:uid="{00000000-0005-0000-0000-0000742B0000}"/>
    <cellStyle name="20% - Accent4 3 2 2 2 3" xfId="18027" xr:uid="{00000000-0005-0000-0000-0000752B0000}"/>
    <cellStyle name="20% - Accent4 3 2 2 2 3 2" xfId="29719" xr:uid="{00000000-0005-0000-0000-0000762B0000}"/>
    <cellStyle name="20% - Accent4 3 2 2 2 4" xfId="22073" xr:uid="{00000000-0005-0000-0000-0000772B0000}"/>
    <cellStyle name="20% - Accent4 3 2 2 3" xfId="2794" xr:uid="{00000000-0005-0000-0000-0000782B0000}"/>
    <cellStyle name="20% - Accent4 3 2 2 3 2" xfId="14077" xr:uid="{00000000-0005-0000-0000-0000792B0000}"/>
    <cellStyle name="20% - Accent4 3 2 2 3 2 2" xfId="25934" xr:uid="{00000000-0005-0000-0000-00007A2B0000}"/>
    <cellStyle name="20% - Accent4 3 2 2 3 3" xfId="18028" xr:uid="{00000000-0005-0000-0000-00007B2B0000}"/>
    <cellStyle name="20% - Accent4 3 2 2 3 3 2" xfId="29720" xr:uid="{00000000-0005-0000-0000-00007C2B0000}"/>
    <cellStyle name="20% - Accent4 3 2 2 3 4" xfId="22074" xr:uid="{00000000-0005-0000-0000-00007D2B0000}"/>
    <cellStyle name="20% - Accent4 3 2 2 4" xfId="14075" xr:uid="{00000000-0005-0000-0000-00007E2B0000}"/>
    <cellStyle name="20% - Accent4 3 2 2 4 2" xfId="25932" xr:uid="{00000000-0005-0000-0000-00007F2B0000}"/>
    <cellStyle name="20% - Accent4 3 2 2 5" xfId="18026" xr:uid="{00000000-0005-0000-0000-0000802B0000}"/>
    <cellStyle name="20% - Accent4 3 2 2 5 2" xfId="29718" xr:uid="{00000000-0005-0000-0000-0000812B0000}"/>
    <cellStyle name="20% - Accent4 3 2 2 6" xfId="22072" xr:uid="{00000000-0005-0000-0000-0000822B0000}"/>
    <cellStyle name="20% - Accent4 3 2 3" xfId="2795" xr:uid="{00000000-0005-0000-0000-0000832B0000}"/>
    <cellStyle name="20% - Accent4 3 2 3 2" xfId="2796" xr:uid="{00000000-0005-0000-0000-0000842B0000}"/>
    <cellStyle name="20% - Accent4 3 2 3 2 2" xfId="14079" xr:uid="{00000000-0005-0000-0000-0000852B0000}"/>
    <cellStyle name="20% - Accent4 3 2 3 2 2 2" xfId="25936" xr:uid="{00000000-0005-0000-0000-0000862B0000}"/>
    <cellStyle name="20% - Accent4 3 2 3 2 3" xfId="18030" xr:uid="{00000000-0005-0000-0000-0000872B0000}"/>
    <cellStyle name="20% - Accent4 3 2 3 2 3 2" xfId="29722" xr:uid="{00000000-0005-0000-0000-0000882B0000}"/>
    <cellStyle name="20% - Accent4 3 2 3 2 4" xfId="22076" xr:uid="{00000000-0005-0000-0000-0000892B0000}"/>
    <cellStyle name="20% - Accent4 3 2 3 3" xfId="2797" xr:uid="{00000000-0005-0000-0000-00008A2B0000}"/>
    <cellStyle name="20% - Accent4 3 2 3 3 2" xfId="14080" xr:uid="{00000000-0005-0000-0000-00008B2B0000}"/>
    <cellStyle name="20% - Accent4 3 2 3 3 2 2" xfId="25937" xr:uid="{00000000-0005-0000-0000-00008C2B0000}"/>
    <cellStyle name="20% - Accent4 3 2 3 3 3" xfId="18031" xr:uid="{00000000-0005-0000-0000-00008D2B0000}"/>
    <cellStyle name="20% - Accent4 3 2 3 3 3 2" xfId="29723" xr:uid="{00000000-0005-0000-0000-00008E2B0000}"/>
    <cellStyle name="20% - Accent4 3 2 3 3 4" xfId="22077" xr:uid="{00000000-0005-0000-0000-00008F2B0000}"/>
    <cellStyle name="20% - Accent4 3 2 3 4" xfId="14078" xr:uid="{00000000-0005-0000-0000-0000902B0000}"/>
    <cellStyle name="20% - Accent4 3 2 3 4 2" xfId="25935" xr:uid="{00000000-0005-0000-0000-0000912B0000}"/>
    <cellStyle name="20% - Accent4 3 2 3 5" xfId="18029" xr:uid="{00000000-0005-0000-0000-0000922B0000}"/>
    <cellStyle name="20% - Accent4 3 2 3 5 2" xfId="29721" xr:uid="{00000000-0005-0000-0000-0000932B0000}"/>
    <cellStyle name="20% - Accent4 3 2 3 6" xfId="22075" xr:uid="{00000000-0005-0000-0000-0000942B0000}"/>
    <cellStyle name="20% - Accent4 3 2 4" xfId="2798" xr:uid="{00000000-0005-0000-0000-0000952B0000}"/>
    <cellStyle name="20% - Accent4 3 2 4 2" xfId="2799" xr:uid="{00000000-0005-0000-0000-0000962B0000}"/>
    <cellStyle name="20% - Accent4 3 2 4 2 2" xfId="14082" xr:uid="{00000000-0005-0000-0000-0000972B0000}"/>
    <cellStyle name="20% - Accent4 3 2 4 2 2 2" xfId="25939" xr:uid="{00000000-0005-0000-0000-0000982B0000}"/>
    <cellStyle name="20% - Accent4 3 2 4 2 3" xfId="18033" xr:uid="{00000000-0005-0000-0000-0000992B0000}"/>
    <cellStyle name="20% - Accent4 3 2 4 2 3 2" xfId="29725" xr:uid="{00000000-0005-0000-0000-00009A2B0000}"/>
    <cellStyle name="20% - Accent4 3 2 4 2 4" xfId="22079" xr:uid="{00000000-0005-0000-0000-00009B2B0000}"/>
    <cellStyle name="20% - Accent4 3 2 4 3" xfId="2800" xr:uid="{00000000-0005-0000-0000-00009C2B0000}"/>
    <cellStyle name="20% - Accent4 3 2 4 3 2" xfId="14083" xr:uid="{00000000-0005-0000-0000-00009D2B0000}"/>
    <cellStyle name="20% - Accent4 3 2 4 3 2 2" xfId="25940" xr:uid="{00000000-0005-0000-0000-00009E2B0000}"/>
    <cellStyle name="20% - Accent4 3 2 4 3 3" xfId="18034" xr:uid="{00000000-0005-0000-0000-00009F2B0000}"/>
    <cellStyle name="20% - Accent4 3 2 4 3 3 2" xfId="29726" xr:uid="{00000000-0005-0000-0000-0000A02B0000}"/>
    <cellStyle name="20% - Accent4 3 2 4 3 4" xfId="22080" xr:uid="{00000000-0005-0000-0000-0000A12B0000}"/>
    <cellStyle name="20% - Accent4 3 2 4 4" xfId="14081" xr:uid="{00000000-0005-0000-0000-0000A22B0000}"/>
    <cellStyle name="20% - Accent4 3 2 4 4 2" xfId="25938" xr:uid="{00000000-0005-0000-0000-0000A32B0000}"/>
    <cellStyle name="20% - Accent4 3 2 4 5" xfId="18032" xr:uid="{00000000-0005-0000-0000-0000A42B0000}"/>
    <cellStyle name="20% - Accent4 3 2 4 5 2" xfId="29724" xr:uid="{00000000-0005-0000-0000-0000A52B0000}"/>
    <cellStyle name="20% - Accent4 3 2 4 6" xfId="22078" xr:uid="{00000000-0005-0000-0000-0000A62B0000}"/>
    <cellStyle name="20% - Accent4 3 2 5" xfId="2801" xr:uid="{00000000-0005-0000-0000-0000A72B0000}"/>
    <cellStyle name="20% - Accent4 3 2 5 2" xfId="14084" xr:uid="{00000000-0005-0000-0000-0000A82B0000}"/>
    <cellStyle name="20% - Accent4 3 2 5 2 2" xfId="25941" xr:uid="{00000000-0005-0000-0000-0000A92B0000}"/>
    <cellStyle name="20% - Accent4 3 2 5 3" xfId="18035" xr:uid="{00000000-0005-0000-0000-0000AA2B0000}"/>
    <cellStyle name="20% - Accent4 3 2 5 3 2" xfId="29727" xr:uid="{00000000-0005-0000-0000-0000AB2B0000}"/>
    <cellStyle name="20% - Accent4 3 2 5 4" xfId="22081" xr:uid="{00000000-0005-0000-0000-0000AC2B0000}"/>
    <cellStyle name="20% - Accent4 3 2 6" xfId="2802" xr:uid="{00000000-0005-0000-0000-0000AD2B0000}"/>
    <cellStyle name="20% - Accent4 3 2 6 2" xfId="14085" xr:uid="{00000000-0005-0000-0000-0000AE2B0000}"/>
    <cellStyle name="20% - Accent4 3 2 6 2 2" xfId="25942" xr:uid="{00000000-0005-0000-0000-0000AF2B0000}"/>
    <cellStyle name="20% - Accent4 3 2 6 3" xfId="18036" xr:uid="{00000000-0005-0000-0000-0000B02B0000}"/>
    <cellStyle name="20% - Accent4 3 2 6 3 2" xfId="29728" xr:uid="{00000000-0005-0000-0000-0000B12B0000}"/>
    <cellStyle name="20% - Accent4 3 2 6 4" xfId="22082" xr:uid="{00000000-0005-0000-0000-0000B22B0000}"/>
    <cellStyle name="20% - Accent4 3 2 7" xfId="14074" xr:uid="{00000000-0005-0000-0000-0000B32B0000}"/>
    <cellStyle name="20% - Accent4 3 2 7 2" xfId="25931" xr:uid="{00000000-0005-0000-0000-0000B42B0000}"/>
    <cellStyle name="20% - Accent4 3 2 8" xfId="18025" xr:uid="{00000000-0005-0000-0000-0000B52B0000}"/>
    <cellStyle name="20% - Accent4 3 2 8 2" xfId="29717" xr:uid="{00000000-0005-0000-0000-0000B62B0000}"/>
    <cellStyle name="20% - Accent4 3 2 9" xfId="22071" xr:uid="{00000000-0005-0000-0000-0000B72B0000}"/>
    <cellStyle name="20% - Accent4 3 2_Volatility" xfId="2803" xr:uid="{00000000-0005-0000-0000-0000B82B0000}"/>
    <cellStyle name="20% - Accent4 3 3" xfId="2804" xr:uid="{00000000-0005-0000-0000-0000B92B0000}"/>
    <cellStyle name="20% - Accent4 3 3 2" xfId="2805" xr:uid="{00000000-0005-0000-0000-0000BA2B0000}"/>
    <cellStyle name="20% - Accent4 3 3 2 2" xfId="2806" xr:uid="{00000000-0005-0000-0000-0000BB2B0000}"/>
    <cellStyle name="20% - Accent4 3 3 2 2 2" xfId="14088" xr:uid="{00000000-0005-0000-0000-0000BC2B0000}"/>
    <cellStyle name="20% - Accent4 3 3 2 2 2 2" xfId="25945" xr:uid="{00000000-0005-0000-0000-0000BD2B0000}"/>
    <cellStyle name="20% - Accent4 3 3 2 2 3" xfId="18039" xr:uid="{00000000-0005-0000-0000-0000BE2B0000}"/>
    <cellStyle name="20% - Accent4 3 3 2 2 3 2" xfId="29731" xr:uid="{00000000-0005-0000-0000-0000BF2B0000}"/>
    <cellStyle name="20% - Accent4 3 3 2 2 4" xfId="22085" xr:uid="{00000000-0005-0000-0000-0000C02B0000}"/>
    <cellStyle name="20% - Accent4 3 3 2 3" xfId="2807" xr:uid="{00000000-0005-0000-0000-0000C12B0000}"/>
    <cellStyle name="20% - Accent4 3 3 2 3 2" xfId="14089" xr:uid="{00000000-0005-0000-0000-0000C22B0000}"/>
    <cellStyle name="20% - Accent4 3 3 2 3 2 2" xfId="25946" xr:uid="{00000000-0005-0000-0000-0000C32B0000}"/>
    <cellStyle name="20% - Accent4 3 3 2 3 3" xfId="18040" xr:uid="{00000000-0005-0000-0000-0000C42B0000}"/>
    <cellStyle name="20% - Accent4 3 3 2 3 3 2" xfId="29732" xr:uid="{00000000-0005-0000-0000-0000C52B0000}"/>
    <cellStyle name="20% - Accent4 3 3 2 3 4" xfId="22086" xr:uid="{00000000-0005-0000-0000-0000C62B0000}"/>
    <cellStyle name="20% - Accent4 3 3 2 4" xfId="14087" xr:uid="{00000000-0005-0000-0000-0000C72B0000}"/>
    <cellStyle name="20% - Accent4 3 3 2 4 2" xfId="25944" xr:uid="{00000000-0005-0000-0000-0000C82B0000}"/>
    <cellStyle name="20% - Accent4 3 3 2 5" xfId="18038" xr:uid="{00000000-0005-0000-0000-0000C92B0000}"/>
    <cellStyle name="20% - Accent4 3 3 2 5 2" xfId="29730" xr:uid="{00000000-0005-0000-0000-0000CA2B0000}"/>
    <cellStyle name="20% - Accent4 3 3 2 6" xfId="22084" xr:uid="{00000000-0005-0000-0000-0000CB2B0000}"/>
    <cellStyle name="20% - Accent4 3 3 3" xfId="2808" xr:uid="{00000000-0005-0000-0000-0000CC2B0000}"/>
    <cellStyle name="20% - Accent4 3 3 3 2" xfId="2809" xr:uid="{00000000-0005-0000-0000-0000CD2B0000}"/>
    <cellStyle name="20% - Accent4 3 3 3 2 2" xfId="14091" xr:uid="{00000000-0005-0000-0000-0000CE2B0000}"/>
    <cellStyle name="20% - Accent4 3 3 3 2 2 2" xfId="25948" xr:uid="{00000000-0005-0000-0000-0000CF2B0000}"/>
    <cellStyle name="20% - Accent4 3 3 3 2 3" xfId="18042" xr:uid="{00000000-0005-0000-0000-0000D02B0000}"/>
    <cellStyle name="20% - Accent4 3 3 3 2 3 2" xfId="29734" xr:uid="{00000000-0005-0000-0000-0000D12B0000}"/>
    <cellStyle name="20% - Accent4 3 3 3 2 4" xfId="22088" xr:uid="{00000000-0005-0000-0000-0000D22B0000}"/>
    <cellStyle name="20% - Accent4 3 3 3 3" xfId="2810" xr:uid="{00000000-0005-0000-0000-0000D32B0000}"/>
    <cellStyle name="20% - Accent4 3 3 3 3 2" xfId="14092" xr:uid="{00000000-0005-0000-0000-0000D42B0000}"/>
    <cellStyle name="20% - Accent4 3 3 3 3 2 2" xfId="25949" xr:uid="{00000000-0005-0000-0000-0000D52B0000}"/>
    <cellStyle name="20% - Accent4 3 3 3 3 3" xfId="18043" xr:uid="{00000000-0005-0000-0000-0000D62B0000}"/>
    <cellStyle name="20% - Accent4 3 3 3 3 3 2" xfId="29735" xr:uid="{00000000-0005-0000-0000-0000D72B0000}"/>
    <cellStyle name="20% - Accent4 3 3 3 3 4" xfId="22089" xr:uid="{00000000-0005-0000-0000-0000D82B0000}"/>
    <cellStyle name="20% - Accent4 3 3 3 4" xfId="14090" xr:uid="{00000000-0005-0000-0000-0000D92B0000}"/>
    <cellStyle name="20% - Accent4 3 3 3 4 2" xfId="25947" xr:uid="{00000000-0005-0000-0000-0000DA2B0000}"/>
    <cellStyle name="20% - Accent4 3 3 3 5" xfId="18041" xr:uid="{00000000-0005-0000-0000-0000DB2B0000}"/>
    <cellStyle name="20% - Accent4 3 3 3 5 2" xfId="29733" xr:uid="{00000000-0005-0000-0000-0000DC2B0000}"/>
    <cellStyle name="20% - Accent4 3 3 3 6" xfId="22087" xr:uid="{00000000-0005-0000-0000-0000DD2B0000}"/>
    <cellStyle name="20% - Accent4 3 3 4" xfId="2811" xr:uid="{00000000-0005-0000-0000-0000DE2B0000}"/>
    <cellStyle name="20% - Accent4 3 3 4 2" xfId="14093" xr:uid="{00000000-0005-0000-0000-0000DF2B0000}"/>
    <cellStyle name="20% - Accent4 3 3 4 2 2" xfId="25950" xr:uid="{00000000-0005-0000-0000-0000E02B0000}"/>
    <cellStyle name="20% - Accent4 3 3 4 3" xfId="18044" xr:uid="{00000000-0005-0000-0000-0000E12B0000}"/>
    <cellStyle name="20% - Accent4 3 3 4 3 2" xfId="29736" xr:uid="{00000000-0005-0000-0000-0000E22B0000}"/>
    <cellStyle name="20% - Accent4 3 3 4 4" xfId="22090" xr:uid="{00000000-0005-0000-0000-0000E32B0000}"/>
    <cellStyle name="20% - Accent4 3 3 5" xfId="2812" xr:uid="{00000000-0005-0000-0000-0000E42B0000}"/>
    <cellStyle name="20% - Accent4 3 3 5 2" xfId="14094" xr:uid="{00000000-0005-0000-0000-0000E52B0000}"/>
    <cellStyle name="20% - Accent4 3 3 5 2 2" xfId="25951" xr:uid="{00000000-0005-0000-0000-0000E62B0000}"/>
    <cellStyle name="20% - Accent4 3 3 5 3" xfId="18045" xr:uid="{00000000-0005-0000-0000-0000E72B0000}"/>
    <cellStyle name="20% - Accent4 3 3 5 3 2" xfId="29737" xr:uid="{00000000-0005-0000-0000-0000E82B0000}"/>
    <cellStyle name="20% - Accent4 3 3 5 4" xfId="22091" xr:uid="{00000000-0005-0000-0000-0000E92B0000}"/>
    <cellStyle name="20% - Accent4 3 3 6" xfId="14086" xr:uid="{00000000-0005-0000-0000-0000EA2B0000}"/>
    <cellStyle name="20% - Accent4 3 3 6 2" xfId="25943" xr:uid="{00000000-0005-0000-0000-0000EB2B0000}"/>
    <cellStyle name="20% - Accent4 3 3 7" xfId="18037" xr:uid="{00000000-0005-0000-0000-0000EC2B0000}"/>
    <cellStyle name="20% - Accent4 3 3 7 2" xfId="29729" xr:uid="{00000000-0005-0000-0000-0000ED2B0000}"/>
    <cellStyle name="20% - Accent4 3 3 8" xfId="22083" xr:uid="{00000000-0005-0000-0000-0000EE2B0000}"/>
    <cellStyle name="20% - Accent4 3 3_Volatility" xfId="2813" xr:uid="{00000000-0005-0000-0000-0000EF2B0000}"/>
    <cellStyle name="20% - Accent4 3 4" xfId="2814" xr:uid="{00000000-0005-0000-0000-0000F02B0000}"/>
    <cellStyle name="20% - Accent4 3 4 2" xfId="2815" xr:uid="{00000000-0005-0000-0000-0000F12B0000}"/>
    <cellStyle name="20% - Accent4 3 4 2 2" xfId="14096" xr:uid="{00000000-0005-0000-0000-0000F22B0000}"/>
    <cellStyle name="20% - Accent4 3 4 2 2 2" xfId="25953" xr:uid="{00000000-0005-0000-0000-0000F32B0000}"/>
    <cellStyle name="20% - Accent4 3 4 2 3" xfId="18047" xr:uid="{00000000-0005-0000-0000-0000F42B0000}"/>
    <cellStyle name="20% - Accent4 3 4 2 3 2" xfId="29739" xr:uid="{00000000-0005-0000-0000-0000F52B0000}"/>
    <cellStyle name="20% - Accent4 3 4 2 4" xfId="22093" xr:uid="{00000000-0005-0000-0000-0000F62B0000}"/>
    <cellStyle name="20% - Accent4 3 4 3" xfId="2816" xr:uid="{00000000-0005-0000-0000-0000F72B0000}"/>
    <cellStyle name="20% - Accent4 3 4 3 2" xfId="14097" xr:uid="{00000000-0005-0000-0000-0000F82B0000}"/>
    <cellStyle name="20% - Accent4 3 4 3 2 2" xfId="25954" xr:uid="{00000000-0005-0000-0000-0000F92B0000}"/>
    <cellStyle name="20% - Accent4 3 4 3 3" xfId="18048" xr:uid="{00000000-0005-0000-0000-0000FA2B0000}"/>
    <cellStyle name="20% - Accent4 3 4 3 3 2" xfId="29740" xr:uid="{00000000-0005-0000-0000-0000FB2B0000}"/>
    <cellStyle name="20% - Accent4 3 4 3 4" xfId="22094" xr:uid="{00000000-0005-0000-0000-0000FC2B0000}"/>
    <cellStyle name="20% - Accent4 3 4 4" xfId="14095" xr:uid="{00000000-0005-0000-0000-0000FD2B0000}"/>
    <cellStyle name="20% - Accent4 3 4 4 2" xfId="25952" xr:uid="{00000000-0005-0000-0000-0000FE2B0000}"/>
    <cellStyle name="20% - Accent4 3 4 5" xfId="18046" xr:uid="{00000000-0005-0000-0000-0000FF2B0000}"/>
    <cellStyle name="20% - Accent4 3 4 5 2" xfId="29738" xr:uid="{00000000-0005-0000-0000-0000002C0000}"/>
    <cellStyle name="20% - Accent4 3 4 6" xfId="22092" xr:uid="{00000000-0005-0000-0000-0000012C0000}"/>
    <cellStyle name="20% - Accent4 3 5" xfId="2817" xr:uid="{00000000-0005-0000-0000-0000022C0000}"/>
    <cellStyle name="20% - Accent4 3 5 2" xfId="2818" xr:uid="{00000000-0005-0000-0000-0000032C0000}"/>
    <cellStyle name="20% - Accent4 3 5 2 2" xfId="14099" xr:uid="{00000000-0005-0000-0000-0000042C0000}"/>
    <cellStyle name="20% - Accent4 3 5 2 2 2" xfId="25956" xr:uid="{00000000-0005-0000-0000-0000052C0000}"/>
    <cellStyle name="20% - Accent4 3 5 2 3" xfId="18050" xr:uid="{00000000-0005-0000-0000-0000062C0000}"/>
    <cellStyle name="20% - Accent4 3 5 2 3 2" xfId="29742" xr:uid="{00000000-0005-0000-0000-0000072C0000}"/>
    <cellStyle name="20% - Accent4 3 5 2 4" xfId="22096" xr:uid="{00000000-0005-0000-0000-0000082C0000}"/>
    <cellStyle name="20% - Accent4 3 5 3" xfId="2819" xr:uid="{00000000-0005-0000-0000-0000092C0000}"/>
    <cellStyle name="20% - Accent4 3 5 3 2" xfId="14100" xr:uid="{00000000-0005-0000-0000-00000A2C0000}"/>
    <cellStyle name="20% - Accent4 3 5 3 2 2" xfId="25957" xr:uid="{00000000-0005-0000-0000-00000B2C0000}"/>
    <cellStyle name="20% - Accent4 3 5 3 3" xfId="18051" xr:uid="{00000000-0005-0000-0000-00000C2C0000}"/>
    <cellStyle name="20% - Accent4 3 5 3 3 2" xfId="29743" xr:uid="{00000000-0005-0000-0000-00000D2C0000}"/>
    <cellStyle name="20% - Accent4 3 5 3 4" xfId="22097" xr:uid="{00000000-0005-0000-0000-00000E2C0000}"/>
    <cellStyle name="20% - Accent4 3 5 4" xfId="14098" xr:uid="{00000000-0005-0000-0000-00000F2C0000}"/>
    <cellStyle name="20% - Accent4 3 5 4 2" xfId="25955" xr:uid="{00000000-0005-0000-0000-0000102C0000}"/>
    <cellStyle name="20% - Accent4 3 5 5" xfId="18049" xr:uid="{00000000-0005-0000-0000-0000112C0000}"/>
    <cellStyle name="20% - Accent4 3 5 5 2" xfId="29741" xr:uid="{00000000-0005-0000-0000-0000122C0000}"/>
    <cellStyle name="20% - Accent4 3 5 6" xfId="22095" xr:uid="{00000000-0005-0000-0000-0000132C0000}"/>
    <cellStyle name="20% - Accent4 3 6" xfId="2820" xr:uid="{00000000-0005-0000-0000-0000142C0000}"/>
    <cellStyle name="20% - Accent4 3 6 2" xfId="2821" xr:uid="{00000000-0005-0000-0000-0000152C0000}"/>
    <cellStyle name="20% - Accent4 3 6 2 2" xfId="14102" xr:uid="{00000000-0005-0000-0000-0000162C0000}"/>
    <cellStyle name="20% - Accent4 3 6 2 2 2" xfId="25959" xr:uid="{00000000-0005-0000-0000-0000172C0000}"/>
    <cellStyle name="20% - Accent4 3 6 2 3" xfId="18053" xr:uid="{00000000-0005-0000-0000-0000182C0000}"/>
    <cellStyle name="20% - Accent4 3 6 2 3 2" xfId="29745" xr:uid="{00000000-0005-0000-0000-0000192C0000}"/>
    <cellStyle name="20% - Accent4 3 6 2 4" xfId="22099" xr:uid="{00000000-0005-0000-0000-00001A2C0000}"/>
    <cellStyle name="20% - Accent4 3 6 3" xfId="2822" xr:uid="{00000000-0005-0000-0000-00001B2C0000}"/>
    <cellStyle name="20% - Accent4 3 6 3 2" xfId="14103" xr:uid="{00000000-0005-0000-0000-00001C2C0000}"/>
    <cellStyle name="20% - Accent4 3 6 3 2 2" xfId="25960" xr:uid="{00000000-0005-0000-0000-00001D2C0000}"/>
    <cellStyle name="20% - Accent4 3 6 3 3" xfId="18054" xr:uid="{00000000-0005-0000-0000-00001E2C0000}"/>
    <cellStyle name="20% - Accent4 3 6 3 3 2" xfId="29746" xr:uid="{00000000-0005-0000-0000-00001F2C0000}"/>
    <cellStyle name="20% - Accent4 3 6 3 4" xfId="22100" xr:uid="{00000000-0005-0000-0000-0000202C0000}"/>
    <cellStyle name="20% - Accent4 3 6 4" xfId="14101" xr:uid="{00000000-0005-0000-0000-0000212C0000}"/>
    <cellStyle name="20% - Accent4 3 6 4 2" xfId="25958" xr:uid="{00000000-0005-0000-0000-0000222C0000}"/>
    <cellStyle name="20% - Accent4 3 6 5" xfId="18052" xr:uid="{00000000-0005-0000-0000-0000232C0000}"/>
    <cellStyle name="20% - Accent4 3 6 5 2" xfId="29744" xr:uid="{00000000-0005-0000-0000-0000242C0000}"/>
    <cellStyle name="20% - Accent4 3 6 6" xfId="22098" xr:uid="{00000000-0005-0000-0000-0000252C0000}"/>
    <cellStyle name="20% - Accent4 3 7" xfId="2823" xr:uid="{00000000-0005-0000-0000-0000262C0000}"/>
    <cellStyle name="20% - Accent4 3 7 2" xfId="14104" xr:uid="{00000000-0005-0000-0000-0000272C0000}"/>
    <cellStyle name="20% - Accent4 3 7 2 2" xfId="25961" xr:uid="{00000000-0005-0000-0000-0000282C0000}"/>
    <cellStyle name="20% - Accent4 3 7 3" xfId="18055" xr:uid="{00000000-0005-0000-0000-0000292C0000}"/>
    <cellStyle name="20% - Accent4 3 7 3 2" xfId="29747" xr:uid="{00000000-0005-0000-0000-00002A2C0000}"/>
    <cellStyle name="20% - Accent4 3 7 4" xfId="22101" xr:uid="{00000000-0005-0000-0000-00002B2C0000}"/>
    <cellStyle name="20% - Accent4 3 8" xfId="2824" xr:uid="{00000000-0005-0000-0000-00002C2C0000}"/>
    <cellStyle name="20% - Accent4 3 8 2" xfId="14105" xr:uid="{00000000-0005-0000-0000-00002D2C0000}"/>
    <cellStyle name="20% - Accent4 3 8 2 2" xfId="25962" xr:uid="{00000000-0005-0000-0000-00002E2C0000}"/>
    <cellStyle name="20% - Accent4 3 8 3" xfId="18056" xr:uid="{00000000-0005-0000-0000-00002F2C0000}"/>
    <cellStyle name="20% - Accent4 3 8 3 2" xfId="29748" xr:uid="{00000000-0005-0000-0000-0000302C0000}"/>
    <cellStyle name="20% - Accent4 3 8 4" xfId="22102" xr:uid="{00000000-0005-0000-0000-0000312C0000}"/>
    <cellStyle name="20% - Accent4 3 9" xfId="14073" xr:uid="{00000000-0005-0000-0000-0000322C0000}"/>
    <cellStyle name="20% - Accent4 3 9 2" xfId="25930" xr:uid="{00000000-0005-0000-0000-0000332C0000}"/>
    <cellStyle name="20% - Accent4 3_Volatility" xfId="2825" xr:uid="{00000000-0005-0000-0000-0000342C0000}"/>
    <cellStyle name="20% - Accent4 4" xfId="2826" xr:uid="{00000000-0005-0000-0000-0000352C0000}"/>
    <cellStyle name="20% - Accent4 4 10" xfId="18057" xr:uid="{00000000-0005-0000-0000-0000362C0000}"/>
    <cellStyle name="20% - Accent4 4 10 2" xfId="29749" xr:uid="{00000000-0005-0000-0000-0000372C0000}"/>
    <cellStyle name="20% - Accent4 4 11" xfId="22103" xr:uid="{00000000-0005-0000-0000-0000382C0000}"/>
    <cellStyle name="20% - Accent4 4 2" xfId="2827" xr:uid="{00000000-0005-0000-0000-0000392C0000}"/>
    <cellStyle name="20% - Accent4 4 2 2" xfId="2828" xr:uid="{00000000-0005-0000-0000-00003A2C0000}"/>
    <cellStyle name="20% - Accent4 4 2 2 2" xfId="2829" xr:uid="{00000000-0005-0000-0000-00003B2C0000}"/>
    <cellStyle name="20% - Accent4 4 2 2 2 2" xfId="14109" xr:uid="{00000000-0005-0000-0000-00003C2C0000}"/>
    <cellStyle name="20% - Accent4 4 2 2 2 2 2" xfId="25966" xr:uid="{00000000-0005-0000-0000-00003D2C0000}"/>
    <cellStyle name="20% - Accent4 4 2 2 2 3" xfId="18060" xr:uid="{00000000-0005-0000-0000-00003E2C0000}"/>
    <cellStyle name="20% - Accent4 4 2 2 2 3 2" xfId="29752" xr:uid="{00000000-0005-0000-0000-00003F2C0000}"/>
    <cellStyle name="20% - Accent4 4 2 2 2 4" xfId="22106" xr:uid="{00000000-0005-0000-0000-0000402C0000}"/>
    <cellStyle name="20% - Accent4 4 2 2 3" xfId="2830" xr:uid="{00000000-0005-0000-0000-0000412C0000}"/>
    <cellStyle name="20% - Accent4 4 2 2 3 2" xfId="14110" xr:uid="{00000000-0005-0000-0000-0000422C0000}"/>
    <cellStyle name="20% - Accent4 4 2 2 3 2 2" xfId="25967" xr:uid="{00000000-0005-0000-0000-0000432C0000}"/>
    <cellStyle name="20% - Accent4 4 2 2 3 3" xfId="18061" xr:uid="{00000000-0005-0000-0000-0000442C0000}"/>
    <cellStyle name="20% - Accent4 4 2 2 3 3 2" xfId="29753" xr:uid="{00000000-0005-0000-0000-0000452C0000}"/>
    <cellStyle name="20% - Accent4 4 2 2 3 4" xfId="22107" xr:uid="{00000000-0005-0000-0000-0000462C0000}"/>
    <cellStyle name="20% - Accent4 4 2 2 4" xfId="14108" xr:uid="{00000000-0005-0000-0000-0000472C0000}"/>
    <cellStyle name="20% - Accent4 4 2 2 4 2" xfId="25965" xr:uid="{00000000-0005-0000-0000-0000482C0000}"/>
    <cellStyle name="20% - Accent4 4 2 2 5" xfId="18059" xr:uid="{00000000-0005-0000-0000-0000492C0000}"/>
    <cellStyle name="20% - Accent4 4 2 2 5 2" xfId="29751" xr:uid="{00000000-0005-0000-0000-00004A2C0000}"/>
    <cellStyle name="20% - Accent4 4 2 2 6" xfId="22105" xr:uid="{00000000-0005-0000-0000-00004B2C0000}"/>
    <cellStyle name="20% - Accent4 4 2 3" xfId="2831" xr:uid="{00000000-0005-0000-0000-00004C2C0000}"/>
    <cellStyle name="20% - Accent4 4 2 3 2" xfId="2832" xr:uid="{00000000-0005-0000-0000-00004D2C0000}"/>
    <cellStyle name="20% - Accent4 4 2 3 2 2" xfId="14112" xr:uid="{00000000-0005-0000-0000-00004E2C0000}"/>
    <cellStyle name="20% - Accent4 4 2 3 2 2 2" xfId="25969" xr:uid="{00000000-0005-0000-0000-00004F2C0000}"/>
    <cellStyle name="20% - Accent4 4 2 3 2 3" xfId="18063" xr:uid="{00000000-0005-0000-0000-0000502C0000}"/>
    <cellStyle name="20% - Accent4 4 2 3 2 3 2" xfId="29755" xr:uid="{00000000-0005-0000-0000-0000512C0000}"/>
    <cellStyle name="20% - Accent4 4 2 3 2 4" xfId="22109" xr:uid="{00000000-0005-0000-0000-0000522C0000}"/>
    <cellStyle name="20% - Accent4 4 2 3 3" xfId="2833" xr:uid="{00000000-0005-0000-0000-0000532C0000}"/>
    <cellStyle name="20% - Accent4 4 2 3 3 2" xfId="14113" xr:uid="{00000000-0005-0000-0000-0000542C0000}"/>
    <cellStyle name="20% - Accent4 4 2 3 3 2 2" xfId="25970" xr:uid="{00000000-0005-0000-0000-0000552C0000}"/>
    <cellStyle name="20% - Accent4 4 2 3 3 3" xfId="18064" xr:uid="{00000000-0005-0000-0000-0000562C0000}"/>
    <cellStyle name="20% - Accent4 4 2 3 3 3 2" xfId="29756" xr:uid="{00000000-0005-0000-0000-0000572C0000}"/>
    <cellStyle name="20% - Accent4 4 2 3 3 4" xfId="22110" xr:uid="{00000000-0005-0000-0000-0000582C0000}"/>
    <cellStyle name="20% - Accent4 4 2 3 4" xfId="14111" xr:uid="{00000000-0005-0000-0000-0000592C0000}"/>
    <cellStyle name="20% - Accent4 4 2 3 4 2" xfId="25968" xr:uid="{00000000-0005-0000-0000-00005A2C0000}"/>
    <cellStyle name="20% - Accent4 4 2 3 5" xfId="18062" xr:uid="{00000000-0005-0000-0000-00005B2C0000}"/>
    <cellStyle name="20% - Accent4 4 2 3 5 2" xfId="29754" xr:uid="{00000000-0005-0000-0000-00005C2C0000}"/>
    <cellStyle name="20% - Accent4 4 2 3 6" xfId="22108" xr:uid="{00000000-0005-0000-0000-00005D2C0000}"/>
    <cellStyle name="20% - Accent4 4 2 4" xfId="2834" xr:uid="{00000000-0005-0000-0000-00005E2C0000}"/>
    <cellStyle name="20% - Accent4 4 2 4 2" xfId="2835" xr:uid="{00000000-0005-0000-0000-00005F2C0000}"/>
    <cellStyle name="20% - Accent4 4 2 4 2 2" xfId="14115" xr:uid="{00000000-0005-0000-0000-0000602C0000}"/>
    <cellStyle name="20% - Accent4 4 2 4 2 2 2" xfId="25972" xr:uid="{00000000-0005-0000-0000-0000612C0000}"/>
    <cellStyle name="20% - Accent4 4 2 4 2 3" xfId="18066" xr:uid="{00000000-0005-0000-0000-0000622C0000}"/>
    <cellStyle name="20% - Accent4 4 2 4 2 3 2" xfId="29758" xr:uid="{00000000-0005-0000-0000-0000632C0000}"/>
    <cellStyle name="20% - Accent4 4 2 4 2 4" xfId="22112" xr:uid="{00000000-0005-0000-0000-0000642C0000}"/>
    <cellStyle name="20% - Accent4 4 2 4 3" xfId="2836" xr:uid="{00000000-0005-0000-0000-0000652C0000}"/>
    <cellStyle name="20% - Accent4 4 2 4 3 2" xfId="14116" xr:uid="{00000000-0005-0000-0000-0000662C0000}"/>
    <cellStyle name="20% - Accent4 4 2 4 3 2 2" xfId="25973" xr:uid="{00000000-0005-0000-0000-0000672C0000}"/>
    <cellStyle name="20% - Accent4 4 2 4 3 3" xfId="18067" xr:uid="{00000000-0005-0000-0000-0000682C0000}"/>
    <cellStyle name="20% - Accent4 4 2 4 3 3 2" xfId="29759" xr:uid="{00000000-0005-0000-0000-0000692C0000}"/>
    <cellStyle name="20% - Accent4 4 2 4 3 4" xfId="22113" xr:uid="{00000000-0005-0000-0000-00006A2C0000}"/>
    <cellStyle name="20% - Accent4 4 2 4 4" xfId="14114" xr:uid="{00000000-0005-0000-0000-00006B2C0000}"/>
    <cellStyle name="20% - Accent4 4 2 4 4 2" xfId="25971" xr:uid="{00000000-0005-0000-0000-00006C2C0000}"/>
    <cellStyle name="20% - Accent4 4 2 4 5" xfId="18065" xr:uid="{00000000-0005-0000-0000-00006D2C0000}"/>
    <cellStyle name="20% - Accent4 4 2 4 5 2" xfId="29757" xr:uid="{00000000-0005-0000-0000-00006E2C0000}"/>
    <cellStyle name="20% - Accent4 4 2 4 6" xfId="22111" xr:uid="{00000000-0005-0000-0000-00006F2C0000}"/>
    <cellStyle name="20% - Accent4 4 2 5" xfId="2837" xr:uid="{00000000-0005-0000-0000-0000702C0000}"/>
    <cellStyle name="20% - Accent4 4 2 5 2" xfId="14117" xr:uid="{00000000-0005-0000-0000-0000712C0000}"/>
    <cellStyle name="20% - Accent4 4 2 5 2 2" xfId="25974" xr:uid="{00000000-0005-0000-0000-0000722C0000}"/>
    <cellStyle name="20% - Accent4 4 2 5 3" xfId="18068" xr:uid="{00000000-0005-0000-0000-0000732C0000}"/>
    <cellStyle name="20% - Accent4 4 2 5 3 2" xfId="29760" xr:uid="{00000000-0005-0000-0000-0000742C0000}"/>
    <cellStyle name="20% - Accent4 4 2 5 4" xfId="22114" xr:uid="{00000000-0005-0000-0000-0000752C0000}"/>
    <cellStyle name="20% - Accent4 4 2 6" xfId="2838" xr:uid="{00000000-0005-0000-0000-0000762C0000}"/>
    <cellStyle name="20% - Accent4 4 2 6 2" xfId="14118" xr:uid="{00000000-0005-0000-0000-0000772C0000}"/>
    <cellStyle name="20% - Accent4 4 2 6 2 2" xfId="25975" xr:uid="{00000000-0005-0000-0000-0000782C0000}"/>
    <cellStyle name="20% - Accent4 4 2 6 3" xfId="18069" xr:uid="{00000000-0005-0000-0000-0000792C0000}"/>
    <cellStyle name="20% - Accent4 4 2 6 3 2" xfId="29761" xr:uid="{00000000-0005-0000-0000-00007A2C0000}"/>
    <cellStyle name="20% - Accent4 4 2 6 4" xfId="22115" xr:uid="{00000000-0005-0000-0000-00007B2C0000}"/>
    <cellStyle name="20% - Accent4 4 2 7" xfId="14107" xr:uid="{00000000-0005-0000-0000-00007C2C0000}"/>
    <cellStyle name="20% - Accent4 4 2 7 2" xfId="25964" xr:uid="{00000000-0005-0000-0000-00007D2C0000}"/>
    <cellStyle name="20% - Accent4 4 2 8" xfId="18058" xr:uid="{00000000-0005-0000-0000-00007E2C0000}"/>
    <cellStyle name="20% - Accent4 4 2 8 2" xfId="29750" xr:uid="{00000000-0005-0000-0000-00007F2C0000}"/>
    <cellStyle name="20% - Accent4 4 2 9" xfId="22104" xr:uid="{00000000-0005-0000-0000-0000802C0000}"/>
    <cellStyle name="20% - Accent4 4 2_Volatility" xfId="2839" xr:uid="{00000000-0005-0000-0000-0000812C0000}"/>
    <cellStyle name="20% - Accent4 4 3" xfId="2840" xr:uid="{00000000-0005-0000-0000-0000822C0000}"/>
    <cellStyle name="20% - Accent4 4 3 2" xfId="2841" xr:uid="{00000000-0005-0000-0000-0000832C0000}"/>
    <cellStyle name="20% - Accent4 4 3 2 2" xfId="2842" xr:uid="{00000000-0005-0000-0000-0000842C0000}"/>
    <cellStyle name="20% - Accent4 4 3 2 2 2" xfId="14121" xr:uid="{00000000-0005-0000-0000-0000852C0000}"/>
    <cellStyle name="20% - Accent4 4 3 2 2 2 2" xfId="25978" xr:uid="{00000000-0005-0000-0000-0000862C0000}"/>
    <cellStyle name="20% - Accent4 4 3 2 2 3" xfId="18072" xr:uid="{00000000-0005-0000-0000-0000872C0000}"/>
    <cellStyle name="20% - Accent4 4 3 2 2 3 2" xfId="29764" xr:uid="{00000000-0005-0000-0000-0000882C0000}"/>
    <cellStyle name="20% - Accent4 4 3 2 2 4" xfId="22118" xr:uid="{00000000-0005-0000-0000-0000892C0000}"/>
    <cellStyle name="20% - Accent4 4 3 2 3" xfId="2843" xr:uid="{00000000-0005-0000-0000-00008A2C0000}"/>
    <cellStyle name="20% - Accent4 4 3 2 3 2" xfId="14122" xr:uid="{00000000-0005-0000-0000-00008B2C0000}"/>
    <cellStyle name="20% - Accent4 4 3 2 3 2 2" xfId="25979" xr:uid="{00000000-0005-0000-0000-00008C2C0000}"/>
    <cellStyle name="20% - Accent4 4 3 2 3 3" xfId="18073" xr:uid="{00000000-0005-0000-0000-00008D2C0000}"/>
    <cellStyle name="20% - Accent4 4 3 2 3 3 2" xfId="29765" xr:uid="{00000000-0005-0000-0000-00008E2C0000}"/>
    <cellStyle name="20% - Accent4 4 3 2 3 4" xfId="22119" xr:uid="{00000000-0005-0000-0000-00008F2C0000}"/>
    <cellStyle name="20% - Accent4 4 3 2 4" xfId="14120" xr:uid="{00000000-0005-0000-0000-0000902C0000}"/>
    <cellStyle name="20% - Accent4 4 3 2 4 2" xfId="25977" xr:uid="{00000000-0005-0000-0000-0000912C0000}"/>
    <cellStyle name="20% - Accent4 4 3 2 5" xfId="18071" xr:uid="{00000000-0005-0000-0000-0000922C0000}"/>
    <cellStyle name="20% - Accent4 4 3 2 5 2" xfId="29763" xr:uid="{00000000-0005-0000-0000-0000932C0000}"/>
    <cellStyle name="20% - Accent4 4 3 2 6" xfId="22117" xr:uid="{00000000-0005-0000-0000-0000942C0000}"/>
    <cellStyle name="20% - Accent4 4 3 3" xfId="2844" xr:uid="{00000000-0005-0000-0000-0000952C0000}"/>
    <cellStyle name="20% - Accent4 4 3 3 2" xfId="2845" xr:uid="{00000000-0005-0000-0000-0000962C0000}"/>
    <cellStyle name="20% - Accent4 4 3 3 2 2" xfId="14124" xr:uid="{00000000-0005-0000-0000-0000972C0000}"/>
    <cellStyle name="20% - Accent4 4 3 3 2 2 2" xfId="25981" xr:uid="{00000000-0005-0000-0000-0000982C0000}"/>
    <cellStyle name="20% - Accent4 4 3 3 2 3" xfId="18075" xr:uid="{00000000-0005-0000-0000-0000992C0000}"/>
    <cellStyle name="20% - Accent4 4 3 3 2 3 2" xfId="29767" xr:uid="{00000000-0005-0000-0000-00009A2C0000}"/>
    <cellStyle name="20% - Accent4 4 3 3 2 4" xfId="22121" xr:uid="{00000000-0005-0000-0000-00009B2C0000}"/>
    <cellStyle name="20% - Accent4 4 3 3 3" xfId="2846" xr:uid="{00000000-0005-0000-0000-00009C2C0000}"/>
    <cellStyle name="20% - Accent4 4 3 3 3 2" xfId="14125" xr:uid="{00000000-0005-0000-0000-00009D2C0000}"/>
    <cellStyle name="20% - Accent4 4 3 3 3 2 2" xfId="25982" xr:uid="{00000000-0005-0000-0000-00009E2C0000}"/>
    <cellStyle name="20% - Accent4 4 3 3 3 3" xfId="18076" xr:uid="{00000000-0005-0000-0000-00009F2C0000}"/>
    <cellStyle name="20% - Accent4 4 3 3 3 3 2" xfId="29768" xr:uid="{00000000-0005-0000-0000-0000A02C0000}"/>
    <cellStyle name="20% - Accent4 4 3 3 3 4" xfId="22122" xr:uid="{00000000-0005-0000-0000-0000A12C0000}"/>
    <cellStyle name="20% - Accent4 4 3 3 4" xfId="14123" xr:uid="{00000000-0005-0000-0000-0000A22C0000}"/>
    <cellStyle name="20% - Accent4 4 3 3 4 2" xfId="25980" xr:uid="{00000000-0005-0000-0000-0000A32C0000}"/>
    <cellStyle name="20% - Accent4 4 3 3 5" xfId="18074" xr:uid="{00000000-0005-0000-0000-0000A42C0000}"/>
    <cellStyle name="20% - Accent4 4 3 3 5 2" xfId="29766" xr:uid="{00000000-0005-0000-0000-0000A52C0000}"/>
    <cellStyle name="20% - Accent4 4 3 3 6" xfId="22120" xr:uid="{00000000-0005-0000-0000-0000A62C0000}"/>
    <cellStyle name="20% - Accent4 4 3 4" xfId="2847" xr:uid="{00000000-0005-0000-0000-0000A72C0000}"/>
    <cellStyle name="20% - Accent4 4 3 4 2" xfId="14126" xr:uid="{00000000-0005-0000-0000-0000A82C0000}"/>
    <cellStyle name="20% - Accent4 4 3 4 2 2" xfId="25983" xr:uid="{00000000-0005-0000-0000-0000A92C0000}"/>
    <cellStyle name="20% - Accent4 4 3 4 3" xfId="18077" xr:uid="{00000000-0005-0000-0000-0000AA2C0000}"/>
    <cellStyle name="20% - Accent4 4 3 4 3 2" xfId="29769" xr:uid="{00000000-0005-0000-0000-0000AB2C0000}"/>
    <cellStyle name="20% - Accent4 4 3 4 4" xfId="22123" xr:uid="{00000000-0005-0000-0000-0000AC2C0000}"/>
    <cellStyle name="20% - Accent4 4 3 5" xfId="2848" xr:uid="{00000000-0005-0000-0000-0000AD2C0000}"/>
    <cellStyle name="20% - Accent4 4 3 5 2" xfId="14127" xr:uid="{00000000-0005-0000-0000-0000AE2C0000}"/>
    <cellStyle name="20% - Accent4 4 3 5 2 2" xfId="25984" xr:uid="{00000000-0005-0000-0000-0000AF2C0000}"/>
    <cellStyle name="20% - Accent4 4 3 5 3" xfId="18078" xr:uid="{00000000-0005-0000-0000-0000B02C0000}"/>
    <cellStyle name="20% - Accent4 4 3 5 3 2" xfId="29770" xr:uid="{00000000-0005-0000-0000-0000B12C0000}"/>
    <cellStyle name="20% - Accent4 4 3 5 4" xfId="22124" xr:uid="{00000000-0005-0000-0000-0000B22C0000}"/>
    <cellStyle name="20% - Accent4 4 3 6" xfId="14119" xr:uid="{00000000-0005-0000-0000-0000B32C0000}"/>
    <cellStyle name="20% - Accent4 4 3 6 2" xfId="25976" xr:uid="{00000000-0005-0000-0000-0000B42C0000}"/>
    <cellStyle name="20% - Accent4 4 3 7" xfId="18070" xr:uid="{00000000-0005-0000-0000-0000B52C0000}"/>
    <cellStyle name="20% - Accent4 4 3 7 2" xfId="29762" xr:uid="{00000000-0005-0000-0000-0000B62C0000}"/>
    <cellStyle name="20% - Accent4 4 3 8" xfId="22116" xr:uid="{00000000-0005-0000-0000-0000B72C0000}"/>
    <cellStyle name="20% - Accent4 4 3_Volatility" xfId="2849" xr:uid="{00000000-0005-0000-0000-0000B82C0000}"/>
    <cellStyle name="20% - Accent4 4 4" xfId="2850" xr:uid="{00000000-0005-0000-0000-0000B92C0000}"/>
    <cellStyle name="20% - Accent4 4 4 2" xfId="2851" xr:uid="{00000000-0005-0000-0000-0000BA2C0000}"/>
    <cellStyle name="20% - Accent4 4 4 2 2" xfId="14129" xr:uid="{00000000-0005-0000-0000-0000BB2C0000}"/>
    <cellStyle name="20% - Accent4 4 4 2 2 2" xfId="25986" xr:uid="{00000000-0005-0000-0000-0000BC2C0000}"/>
    <cellStyle name="20% - Accent4 4 4 2 3" xfId="18080" xr:uid="{00000000-0005-0000-0000-0000BD2C0000}"/>
    <cellStyle name="20% - Accent4 4 4 2 3 2" xfId="29772" xr:uid="{00000000-0005-0000-0000-0000BE2C0000}"/>
    <cellStyle name="20% - Accent4 4 4 2 4" xfId="22126" xr:uid="{00000000-0005-0000-0000-0000BF2C0000}"/>
    <cellStyle name="20% - Accent4 4 4 3" xfId="2852" xr:uid="{00000000-0005-0000-0000-0000C02C0000}"/>
    <cellStyle name="20% - Accent4 4 4 3 2" xfId="14130" xr:uid="{00000000-0005-0000-0000-0000C12C0000}"/>
    <cellStyle name="20% - Accent4 4 4 3 2 2" xfId="25987" xr:uid="{00000000-0005-0000-0000-0000C22C0000}"/>
    <cellStyle name="20% - Accent4 4 4 3 3" xfId="18081" xr:uid="{00000000-0005-0000-0000-0000C32C0000}"/>
    <cellStyle name="20% - Accent4 4 4 3 3 2" xfId="29773" xr:uid="{00000000-0005-0000-0000-0000C42C0000}"/>
    <cellStyle name="20% - Accent4 4 4 3 4" xfId="22127" xr:uid="{00000000-0005-0000-0000-0000C52C0000}"/>
    <cellStyle name="20% - Accent4 4 4 4" xfId="14128" xr:uid="{00000000-0005-0000-0000-0000C62C0000}"/>
    <cellStyle name="20% - Accent4 4 4 4 2" xfId="25985" xr:uid="{00000000-0005-0000-0000-0000C72C0000}"/>
    <cellStyle name="20% - Accent4 4 4 5" xfId="18079" xr:uid="{00000000-0005-0000-0000-0000C82C0000}"/>
    <cellStyle name="20% - Accent4 4 4 5 2" xfId="29771" xr:uid="{00000000-0005-0000-0000-0000C92C0000}"/>
    <cellStyle name="20% - Accent4 4 4 6" xfId="22125" xr:uid="{00000000-0005-0000-0000-0000CA2C0000}"/>
    <cellStyle name="20% - Accent4 4 5" xfId="2853" xr:uid="{00000000-0005-0000-0000-0000CB2C0000}"/>
    <cellStyle name="20% - Accent4 4 5 2" xfId="2854" xr:uid="{00000000-0005-0000-0000-0000CC2C0000}"/>
    <cellStyle name="20% - Accent4 4 5 2 2" xfId="14132" xr:uid="{00000000-0005-0000-0000-0000CD2C0000}"/>
    <cellStyle name="20% - Accent4 4 5 2 2 2" xfId="25989" xr:uid="{00000000-0005-0000-0000-0000CE2C0000}"/>
    <cellStyle name="20% - Accent4 4 5 2 3" xfId="18083" xr:uid="{00000000-0005-0000-0000-0000CF2C0000}"/>
    <cellStyle name="20% - Accent4 4 5 2 3 2" xfId="29775" xr:uid="{00000000-0005-0000-0000-0000D02C0000}"/>
    <cellStyle name="20% - Accent4 4 5 2 4" xfId="22129" xr:uid="{00000000-0005-0000-0000-0000D12C0000}"/>
    <cellStyle name="20% - Accent4 4 5 3" xfId="2855" xr:uid="{00000000-0005-0000-0000-0000D22C0000}"/>
    <cellStyle name="20% - Accent4 4 5 3 2" xfId="14133" xr:uid="{00000000-0005-0000-0000-0000D32C0000}"/>
    <cellStyle name="20% - Accent4 4 5 3 2 2" xfId="25990" xr:uid="{00000000-0005-0000-0000-0000D42C0000}"/>
    <cellStyle name="20% - Accent4 4 5 3 3" xfId="18084" xr:uid="{00000000-0005-0000-0000-0000D52C0000}"/>
    <cellStyle name="20% - Accent4 4 5 3 3 2" xfId="29776" xr:uid="{00000000-0005-0000-0000-0000D62C0000}"/>
    <cellStyle name="20% - Accent4 4 5 3 4" xfId="22130" xr:uid="{00000000-0005-0000-0000-0000D72C0000}"/>
    <cellStyle name="20% - Accent4 4 5 4" xfId="14131" xr:uid="{00000000-0005-0000-0000-0000D82C0000}"/>
    <cellStyle name="20% - Accent4 4 5 4 2" xfId="25988" xr:uid="{00000000-0005-0000-0000-0000D92C0000}"/>
    <cellStyle name="20% - Accent4 4 5 5" xfId="18082" xr:uid="{00000000-0005-0000-0000-0000DA2C0000}"/>
    <cellStyle name="20% - Accent4 4 5 5 2" xfId="29774" xr:uid="{00000000-0005-0000-0000-0000DB2C0000}"/>
    <cellStyle name="20% - Accent4 4 5 6" xfId="22128" xr:uid="{00000000-0005-0000-0000-0000DC2C0000}"/>
    <cellStyle name="20% - Accent4 4 6" xfId="2856" xr:uid="{00000000-0005-0000-0000-0000DD2C0000}"/>
    <cellStyle name="20% - Accent4 4 6 2" xfId="2857" xr:uid="{00000000-0005-0000-0000-0000DE2C0000}"/>
    <cellStyle name="20% - Accent4 4 6 2 2" xfId="14135" xr:uid="{00000000-0005-0000-0000-0000DF2C0000}"/>
    <cellStyle name="20% - Accent4 4 6 2 2 2" xfId="25992" xr:uid="{00000000-0005-0000-0000-0000E02C0000}"/>
    <cellStyle name="20% - Accent4 4 6 2 3" xfId="18086" xr:uid="{00000000-0005-0000-0000-0000E12C0000}"/>
    <cellStyle name="20% - Accent4 4 6 2 3 2" xfId="29778" xr:uid="{00000000-0005-0000-0000-0000E22C0000}"/>
    <cellStyle name="20% - Accent4 4 6 2 4" xfId="22132" xr:uid="{00000000-0005-0000-0000-0000E32C0000}"/>
    <cellStyle name="20% - Accent4 4 6 3" xfId="2858" xr:uid="{00000000-0005-0000-0000-0000E42C0000}"/>
    <cellStyle name="20% - Accent4 4 6 3 2" xfId="14136" xr:uid="{00000000-0005-0000-0000-0000E52C0000}"/>
    <cellStyle name="20% - Accent4 4 6 3 2 2" xfId="25993" xr:uid="{00000000-0005-0000-0000-0000E62C0000}"/>
    <cellStyle name="20% - Accent4 4 6 3 3" xfId="18087" xr:uid="{00000000-0005-0000-0000-0000E72C0000}"/>
    <cellStyle name="20% - Accent4 4 6 3 3 2" xfId="29779" xr:uid="{00000000-0005-0000-0000-0000E82C0000}"/>
    <cellStyle name="20% - Accent4 4 6 3 4" xfId="22133" xr:uid="{00000000-0005-0000-0000-0000E92C0000}"/>
    <cellStyle name="20% - Accent4 4 6 4" xfId="14134" xr:uid="{00000000-0005-0000-0000-0000EA2C0000}"/>
    <cellStyle name="20% - Accent4 4 6 4 2" xfId="25991" xr:uid="{00000000-0005-0000-0000-0000EB2C0000}"/>
    <cellStyle name="20% - Accent4 4 6 5" xfId="18085" xr:uid="{00000000-0005-0000-0000-0000EC2C0000}"/>
    <cellStyle name="20% - Accent4 4 6 5 2" xfId="29777" xr:uid="{00000000-0005-0000-0000-0000ED2C0000}"/>
    <cellStyle name="20% - Accent4 4 6 6" xfId="22131" xr:uid="{00000000-0005-0000-0000-0000EE2C0000}"/>
    <cellStyle name="20% - Accent4 4 7" xfId="2859" xr:uid="{00000000-0005-0000-0000-0000EF2C0000}"/>
    <cellStyle name="20% - Accent4 4 7 2" xfId="14137" xr:uid="{00000000-0005-0000-0000-0000F02C0000}"/>
    <cellStyle name="20% - Accent4 4 7 2 2" xfId="25994" xr:uid="{00000000-0005-0000-0000-0000F12C0000}"/>
    <cellStyle name="20% - Accent4 4 7 3" xfId="18088" xr:uid="{00000000-0005-0000-0000-0000F22C0000}"/>
    <cellStyle name="20% - Accent4 4 7 3 2" xfId="29780" xr:uid="{00000000-0005-0000-0000-0000F32C0000}"/>
    <cellStyle name="20% - Accent4 4 7 4" xfId="22134" xr:uid="{00000000-0005-0000-0000-0000F42C0000}"/>
    <cellStyle name="20% - Accent4 4 8" xfId="2860" xr:uid="{00000000-0005-0000-0000-0000F52C0000}"/>
    <cellStyle name="20% - Accent4 4 8 2" xfId="14138" xr:uid="{00000000-0005-0000-0000-0000F62C0000}"/>
    <cellStyle name="20% - Accent4 4 8 2 2" xfId="25995" xr:uid="{00000000-0005-0000-0000-0000F72C0000}"/>
    <cellStyle name="20% - Accent4 4 8 3" xfId="18089" xr:uid="{00000000-0005-0000-0000-0000F82C0000}"/>
    <cellStyle name="20% - Accent4 4 8 3 2" xfId="29781" xr:uid="{00000000-0005-0000-0000-0000F92C0000}"/>
    <cellStyle name="20% - Accent4 4 8 4" xfId="22135" xr:uid="{00000000-0005-0000-0000-0000FA2C0000}"/>
    <cellStyle name="20% - Accent4 4 9" xfId="14106" xr:uid="{00000000-0005-0000-0000-0000FB2C0000}"/>
    <cellStyle name="20% - Accent4 4 9 2" xfId="25963" xr:uid="{00000000-0005-0000-0000-0000FC2C0000}"/>
    <cellStyle name="20% - Accent4 4_Volatility" xfId="2861" xr:uid="{00000000-0005-0000-0000-0000FD2C0000}"/>
    <cellStyle name="20% - Accent4 5" xfId="2862" xr:uid="{00000000-0005-0000-0000-0000FE2C0000}"/>
    <cellStyle name="20% - Accent4 5 10" xfId="18090" xr:uid="{00000000-0005-0000-0000-0000FF2C0000}"/>
    <cellStyle name="20% - Accent4 5 10 2" xfId="29782" xr:uid="{00000000-0005-0000-0000-0000002D0000}"/>
    <cellStyle name="20% - Accent4 5 11" xfId="22136" xr:uid="{00000000-0005-0000-0000-0000012D0000}"/>
    <cellStyle name="20% - Accent4 5 2" xfId="2863" xr:uid="{00000000-0005-0000-0000-0000022D0000}"/>
    <cellStyle name="20% - Accent4 5 2 2" xfId="2864" xr:uid="{00000000-0005-0000-0000-0000032D0000}"/>
    <cellStyle name="20% - Accent4 5 2 2 2" xfId="2865" xr:uid="{00000000-0005-0000-0000-0000042D0000}"/>
    <cellStyle name="20% - Accent4 5 2 2 2 2" xfId="14142" xr:uid="{00000000-0005-0000-0000-0000052D0000}"/>
    <cellStyle name="20% - Accent4 5 2 2 2 2 2" xfId="25999" xr:uid="{00000000-0005-0000-0000-0000062D0000}"/>
    <cellStyle name="20% - Accent4 5 2 2 2 3" xfId="18093" xr:uid="{00000000-0005-0000-0000-0000072D0000}"/>
    <cellStyle name="20% - Accent4 5 2 2 2 3 2" xfId="29785" xr:uid="{00000000-0005-0000-0000-0000082D0000}"/>
    <cellStyle name="20% - Accent4 5 2 2 2 4" xfId="22139" xr:uid="{00000000-0005-0000-0000-0000092D0000}"/>
    <cellStyle name="20% - Accent4 5 2 2 3" xfId="2866" xr:uid="{00000000-0005-0000-0000-00000A2D0000}"/>
    <cellStyle name="20% - Accent4 5 2 2 3 2" xfId="14143" xr:uid="{00000000-0005-0000-0000-00000B2D0000}"/>
    <cellStyle name="20% - Accent4 5 2 2 3 2 2" xfId="26000" xr:uid="{00000000-0005-0000-0000-00000C2D0000}"/>
    <cellStyle name="20% - Accent4 5 2 2 3 3" xfId="18094" xr:uid="{00000000-0005-0000-0000-00000D2D0000}"/>
    <cellStyle name="20% - Accent4 5 2 2 3 3 2" xfId="29786" xr:uid="{00000000-0005-0000-0000-00000E2D0000}"/>
    <cellStyle name="20% - Accent4 5 2 2 3 4" xfId="22140" xr:uid="{00000000-0005-0000-0000-00000F2D0000}"/>
    <cellStyle name="20% - Accent4 5 2 2 4" xfId="14141" xr:uid="{00000000-0005-0000-0000-0000102D0000}"/>
    <cellStyle name="20% - Accent4 5 2 2 4 2" xfId="25998" xr:uid="{00000000-0005-0000-0000-0000112D0000}"/>
    <cellStyle name="20% - Accent4 5 2 2 5" xfId="18092" xr:uid="{00000000-0005-0000-0000-0000122D0000}"/>
    <cellStyle name="20% - Accent4 5 2 2 5 2" xfId="29784" xr:uid="{00000000-0005-0000-0000-0000132D0000}"/>
    <cellStyle name="20% - Accent4 5 2 2 6" xfId="22138" xr:uid="{00000000-0005-0000-0000-0000142D0000}"/>
    <cellStyle name="20% - Accent4 5 2 3" xfId="2867" xr:uid="{00000000-0005-0000-0000-0000152D0000}"/>
    <cellStyle name="20% - Accent4 5 2 3 2" xfId="2868" xr:uid="{00000000-0005-0000-0000-0000162D0000}"/>
    <cellStyle name="20% - Accent4 5 2 3 2 2" xfId="14145" xr:uid="{00000000-0005-0000-0000-0000172D0000}"/>
    <cellStyle name="20% - Accent4 5 2 3 2 2 2" xfId="26002" xr:uid="{00000000-0005-0000-0000-0000182D0000}"/>
    <cellStyle name="20% - Accent4 5 2 3 2 3" xfId="18096" xr:uid="{00000000-0005-0000-0000-0000192D0000}"/>
    <cellStyle name="20% - Accent4 5 2 3 2 3 2" xfId="29788" xr:uid="{00000000-0005-0000-0000-00001A2D0000}"/>
    <cellStyle name="20% - Accent4 5 2 3 2 4" xfId="22142" xr:uid="{00000000-0005-0000-0000-00001B2D0000}"/>
    <cellStyle name="20% - Accent4 5 2 3 3" xfId="2869" xr:uid="{00000000-0005-0000-0000-00001C2D0000}"/>
    <cellStyle name="20% - Accent4 5 2 3 3 2" xfId="14146" xr:uid="{00000000-0005-0000-0000-00001D2D0000}"/>
    <cellStyle name="20% - Accent4 5 2 3 3 2 2" xfId="26003" xr:uid="{00000000-0005-0000-0000-00001E2D0000}"/>
    <cellStyle name="20% - Accent4 5 2 3 3 3" xfId="18097" xr:uid="{00000000-0005-0000-0000-00001F2D0000}"/>
    <cellStyle name="20% - Accent4 5 2 3 3 3 2" xfId="29789" xr:uid="{00000000-0005-0000-0000-0000202D0000}"/>
    <cellStyle name="20% - Accent4 5 2 3 3 4" xfId="22143" xr:uid="{00000000-0005-0000-0000-0000212D0000}"/>
    <cellStyle name="20% - Accent4 5 2 3 4" xfId="14144" xr:uid="{00000000-0005-0000-0000-0000222D0000}"/>
    <cellStyle name="20% - Accent4 5 2 3 4 2" xfId="26001" xr:uid="{00000000-0005-0000-0000-0000232D0000}"/>
    <cellStyle name="20% - Accent4 5 2 3 5" xfId="18095" xr:uid="{00000000-0005-0000-0000-0000242D0000}"/>
    <cellStyle name="20% - Accent4 5 2 3 5 2" xfId="29787" xr:uid="{00000000-0005-0000-0000-0000252D0000}"/>
    <cellStyle name="20% - Accent4 5 2 3 6" xfId="22141" xr:uid="{00000000-0005-0000-0000-0000262D0000}"/>
    <cellStyle name="20% - Accent4 5 2 4" xfId="2870" xr:uid="{00000000-0005-0000-0000-0000272D0000}"/>
    <cellStyle name="20% - Accent4 5 2 4 2" xfId="2871" xr:uid="{00000000-0005-0000-0000-0000282D0000}"/>
    <cellStyle name="20% - Accent4 5 2 4 2 2" xfId="14148" xr:uid="{00000000-0005-0000-0000-0000292D0000}"/>
    <cellStyle name="20% - Accent4 5 2 4 2 2 2" xfId="26005" xr:uid="{00000000-0005-0000-0000-00002A2D0000}"/>
    <cellStyle name="20% - Accent4 5 2 4 2 3" xfId="18099" xr:uid="{00000000-0005-0000-0000-00002B2D0000}"/>
    <cellStyle name="20% - Accent4 5 2 4 2 3 2" xfId="29791" xr:uid="{00000000-0005-0000-0000-00002C2D0000}"/>
    <cellStyle name="20% - Accent4 5 2 4 2 4" xfId="22145" xr:uid="{00000000-0005-0000-0000-00002D2D0000}"/>
    <cellStyle name="20% - Accent4 5 2 4 3" xfId="2872" xr:uid="{00000000-0005-0000-0000-00002E2D0000}"/>
    <cellStyle name="20% - Accent4 5 2 4 3 2" xfId="14149" xr:uid="{00000000-0005-0000-0000-00002F2D0000}"/>
    <cellStyle name="20% - Accent4 5 2 4 3 2 2" xfId="26006" xr:uid="{00000000-0005-0000-0000-0000302D0000}"/>
    <cellStyle name="20% - Accent4 5 2 4 3 3" xfId="18100" xr:uid="{00000000-0005-0000-0000-0000312D0000}"/>
    <cellStyle name="20% - Accent4 5 2 4 3 3 2" xfId="29792" xr:uid="{00000000-0005-0000-0000-0000322D0000}"/>
    <cellStyle name="20% - Accent4 5 2 4 3 4" xfId="22146" xr:uid="{00000000-0005-0000-0000-0000332D0000}"/>
    <cellStyle name="20% - Accent4 5 2 4 4" xfId="14147" xr:uid="{00000000-0005-0000-0000-0000342D0000}"/>
    <cellStyle name="20% - Accent4 5 2 4 4 2" xfId="26004" xr:uid="{00000000-0005-0000-0000-0000352D0000}"/>
    <cellStyle name="20% - Accent4 5 2 4 5" xfId="18098" xr:uid="{00000000-0005-0000-0000-0000362D0000}"/>
    <cellStyle name="20% - Accent4 5 2 4 5 2" xfId="29790" xr:uid="{00000000-0005-0000-0000-0000372D0000}"/>
    <cellStyle name="20% - Accent4 5 2 4 6" xfId="22144" xr:uid="{00000000-0005-0000-0000-0000382D0000}"/>
    <cellStyle name="20% - Accent4 5 2 5" xfId="2873" xr:uid="{00000000-0005-0000-0000-0000392D0000}"/>
    <cellStyle name="20% - Accent4 5 2 5 2" xfId="14150" xr:uid="{00000000-0005-0000-0000-00003A2D0000}"/>
    <cellStyle name="20% - Accent4 5 2 5 2 2" xfId="26007" xr:uid="{00000000-0005-0000-0000-00003B2D0000}"/>
    <cellStyle name="20% - Accent4 5 2 5 3" xfId="18101" xr:uid="{00000000-0005-0000-0000-00003C2D0000}"/>
    <cellStyle name="20% - Accent4 5 2 5 3 2" xfId="29793" xr:uid="{00000000-0005-0000-0000-00003D2D0000}"/>
    <cellStyle name="20% - Accent4 5 2 5 4" xfId="22147" xr:uid="{00000000-0005-0000-0000-00003E2D0000}"/>
    <cellStyle name="20% - Accent4 5 2 6" xfId="2874" xr:uid="{00000000-0005-0000-0000-00003F2D0000}"/>
    <cellStyle name="20% - Accent4 5 2 6 2" xfId="14151" xr:uid="{00000000-0005-0000-0000-0000402D0000}"/>
    <cellStyle name="20% - Accent4 5 2 6 2 2" xfId="26008" xr:uid="{00000000-0005-0000-0000-0000412D0000}"/>
    <cellStyle name="20% - Accent4 5 2 6 3" xfId="18102" xr:uid="{00000000-0005-0000-0000-0000422D0000}"/>
    <cellStyle name="20% - Accent4 5 2 6 3 2" xfId="29794" xr:uid="{00000000-0005-0000-0000-0000432D0000}"/>
    <cellStyle name="20% - Accent4 5 2 6 4" xfId="22148" xr:uid="{00000000-0005-0000-0000-0000442D0000}"/>
    <cellStyle name="20% - Accent4 5 2 7" xfId="14140" xr:uid="{00000000-0005-0000-0000-0000452D0000}"/>
    <cellStyle name="20% - Accent4 5 2 7 2" xfId="25997" xr:uid="{00000000-0005-0000-0000-0000462D0000}"/>
    <cellStyle name="20% - Accent4 5 2 8" xfId="18091" xr:uid="{00000000-0005-0000-0000-0000472D0000}"/>
    <cellStyle name="20% - Accent4 5 2 8 2" xfId="29783" xr:uid="{00000000-0005-0000-0000-0000482D0000}"/>
    <cellStyle name="20% - Accent4 5 2 9" xfId="22137" xr:uid="{00000000-0005-0000-0000-0000492D0000}"/>
    <cellStyle name="20% - Accent4 5 2_Volatility" xfId="2875" xr:uid="{00000000-0005-0000-0000-00004A2D0000}"/>
    <cellStyle name="20% - Accent4 5 3" xfId="2876" xr:uid="{00000000-0005-0000-0000-00004B2D0000}"/>
    <cellStyle name="20% - Accent4 5 3 2" xfId="2877" xr:uid="{00000000-0005-0000-0000-00004C2D0000}"/>
    <cellStyle name="20% - Accent4 5 3 2 2" xfId="2878" xr:uid="{00000000-0005-0000-0000-00004D2D0000}"/>
    <cellStyle name="20% - Accent4 5 3 2 2 2" xfId="14154" xr:uid="{00000000-0005-0000-0000-00004E2D0000}"/>
    <cellStyle name="20% - Accent4 5 3 2 2 2 2" xfId="26011" xr:uid="{00000000-0005-0000-0000-00004F2D0000}"/>
    <cellStyle name="20% - Accent4 5 3 2 2 3" xfId="18105" xr:uid="{00000000-0005-0000-0000-0000502D0000}"/>
    <cellStyle name="20% - Accent4 5 3 2 2 3 2" xfId="29797" xr:uid="{00000000-0005-0000-0000-0000512D0000}"/>
    <cellStyle name="20% - Accent4 5 3 2 2 4" xfId="22151" xr:uid="{00000000-0005-0000-0000-0000522D0000}"/>
    <cellStyle name="20% - Accent4 5 3 2 3" xfId="2879" xr:uid="{00000000-0005-0000-0000-0000532D0000}"/>
    <cellStyle name="20% - Accent4 5 3 2 3 2" xfId="14155" xr:uid="{00000000-0005-0000-0000-0000542D0000}"/>
    <cellStyle name="20% - Accent4 5 3 2 3 2 2" xfId="26012" xr:uid="{00000000-0005-0000-0000-0000552D0000}"/>
    <cellStyle name="20% - Accent4 5 3 2 3 3" xfId="18106" xr:uid="{00000000-0005-0000-0000-0000562D0000}"/>
    <cellStyle name="20% - Accent4 5 3 2 3 3 2" xfId="29798" xr:uid="{00000000-0005-0000-0000-0000572D0000}"/>
    <cellStyle name="20% - Accent4 5 3 2 3 4" xfId="22152" xr:uid="{00000000-0005-0000-0000-0000582D0000}"/>
    <cellStyle name="20% - Accent4 5 3 2 4" xfId="14153" xr:uid="{00000000-0005-0000-0000-0000592D0000}"/>
    <cellStyle name="20% - Accent4 5 3 2 4 2" xfId="26010" xr:uid="{00000000-0005-0000-0000-00005A2D0000}"/>
    <cellStyle name="20% - Accent4 5 3 2 5" xfId="18104" xr:uid="{00000000-0005-0000-0000-00005B2D0000}"/>
    <cellStyle name="20% - Accent4 5 3 2 5 2" xfId="29796" xr:uid="{00000000-0005-0000-0000-00005C2D0000}"/>
    <cellStyle name="20% - Accent4 5 3 2 6" xfId="22150" xr:uid="{00000000-0005-0000-0000-00005D2D0000}"/>
    <cellStyle name="20% - Accent4 5 3 3" xfId="2880" xr:uid="{00000000-0005-0000-0000-00005E2D0000}"/>
    <cellStyle name="20% - Accent4 5 3 3 2" xfId="2881" xr:uid="{00000000-0005-0000-0000-00005F2D0000}"/>
    <cellStyle name="20% - Accent4 5 3 3 2 2" xfId="14157" xr:uid="{00000000-0005-0000-0000-0000602D0000}"/>
    <cellStyle name="20% - Accent4 5 3 3 2 2 2" xfId="26014" xr:uid="{00000000-0005-0000-0000-0000612D0000}"/>
    <cellStyle name="20% - Accent4 5 3 3 2 3" xfId="18108" xr:uid="{00000000-0005-0000-0000-0000622D0000}"/>
    <cellStyle name="20% - Accent4 5 3 3 2 3 2" xfId="29800" xr:uid="{00000000-0005-0000-0000-0000632D0000}"/>
    <cellStyle name="20% - Accent4 5 3 3 2 4" xfId="22154" xr:uid="{00000000-0005-0000-0000-0000642D0000}"/>
    <cellStyle name="20% - Accent4 5 3 3 3" xfId="2882" xr:uid="{00000000-0005-0000-0000-0000652D0000}"/>
    <cellStyle name="20% - Accent4 5 3 3 3 2" xfId="14158" xr:uid="{00000000-0005-0000-0000-0000662D0000}"/>
    <cellStyle name="20% - Accent4 5 3 3 3 2 2" xfId="26015" xr:uid="{00000000-0005-0000-0000-0000672D0000}"/>
    <cellStyle name="20% - Accent4 5 3 3 3 3" xfId="18109" xr:uid="{00000000-0005-0000-0000-0000682D0000}"/>
    <cellStyle name="20% - Accent4 5 3 3 3 3 2" xfId="29801" xr:uid="{00000000-0005-0000-0000-0000692D0000}"/>
    <cellStyle name="20% - Accent4 5 3 3 3 4" xfId="22155" xr:uid="{00000000-0005-0000-0000-00006A2D0000}"/>
    <cellStyle name="20% - Accent4 5 3 3 4" xfId="14156" xr:uid="{00000000-0005-0000-0000-00006B2D0000}"/>
    <cellStyle name="20% - Accent4 5 3 3 4 2" xfId="26013" xr:uid="{00000000-0005-0000-0000-00006C2D0000}"/>
    <cellStyle name="20% - Accent4 5 3 3 5" xfId="18107" xr:uid="{00000000-0005-0000-0000-00006D2D0000}"/>
    <cellStyle name="20% - Accent4 5 3 3 5 2" xfId="29799" xr:uid="{00000000-0005-0000-0000-00006E2D0000}"/>
    <cellStyle name="20% - Accent4 5 3 3 6" xfId="22153" xr:uid="{00000000-0005-0000-0000-00006F2D0000}"/>
    <cellStyle name="20% - Accent4 5 3 4" xfId="2883" xr:uid="{00000000-0005-0000-0000-0000702D0000}"/>
    <cellStyle name="20% - Accent4 5 3 4 2" xfId="14159" xr:uid="{00000000-0005-0000-0000-0000712D0000}"/>
    <cellStyle name="20% - Accent4 5 3 4 2 2" xfId="26016" xr:uid="{00000000-0005-0000-0000-0000722D0000}"/>
    <cellStyle name="20% - Accent4 5 3 4 3" xfId="18110" xr:uid="{00000000-0005-0000-0000-0000732D0000}"/>
    <cellStyle name="20% - Accent4 5 3 4 3 2" xfId="29802" xr:uid="{00000000-0005-0000-0000-0000742D0000}"/>
    <cellStyle name="20% - Accent4 5 3 4 4" xfId="22156" xr:uid="{00000000-0005-0000-0000-0000752D0000}"/>
    <cellStyle name="20% - Accent4 5 3 5" xfId="2884" xr:uid="{00000000-0005-0000-0000-0000762D0000}"/>
    <cellStyle name="20% - Accent4 5 3 5 2" xfId="14160" xr:uid="{00000000-0005-0000-0000-0000772D0000}"/>
    <cellStyle name="20% - Accent4 5 3 5 2 2" xfId="26017" xr:uid="{00000000-0005-0000-0000-0000782D0000}"/>
    <cellStyle name="20% - Accent4 5 3 5 3" xfId="18111" xr:uid="{00000000-0005-0000-0000-0000792D0000}"/>
    <cellStyle name="20% - Accent4 5 3 5 3 2" xfId="29803" xr:uid="{00000000-0005-0000-0000-00007A2D0000}"/>
    <cellStyle name="20% - Accent4 5 3 5 4" xfId="22157" xr:uid="{00000000-0005-0000-0000-00007B2D0000}"/>
    <cellStyle name="20% - Accent4 5 3 6" xfId="14152" xr:uid="{00000000-0005-0000-0000-00007C2D0000}"/>
    <cellStyle name="20% - Accent4 5 3 6 2" xfId="26009" xr:uid="{00000000-0005-0000-0000-00007D2D0000}"/>
    <cellStyle name="20% - Accent4 5 3 7" xfId="18103" xr:uid="{00000000-0005-0000-0000-00007E2D0000}"/>
    <cellStyle name="20% - Accent4 5 3 7 2" xfId="29795" xr:uid="{00000000-0005-0000-0000-00007F2D0000}"/>
    <cellStyle name="20% - Accent4 5 3 8" xfId="22149" xr:uid="{00000000-0005-0000-0000-0000802D0000}"/>
    <cellStyle name="20% - Accent4 5 3_Volatility" xfId="2885" xr:uid="{00000000-0005-0000-0000-0000812D0000}"/>
    <cellStyle name="20% - Accent4 5 4" xfId="2886" xr:uid="{00000000-0005-0000-0000-0000822D0000}"/>
    <cellStyle name="20% - Accent4 5 4 2" xfId="2887" xr:uid="{00000000-0005-0000-0000-0000832D0000}"/>
    <cellStyle name="20% - Accent4 5 4 2 2" xfId="14162" xr:uid="{00000000-0005-0000-0000-0000842D0000}"/>
    <cellStyle name="20% - Accent4 5 4 2 2 2" xfId="26019" xr:uid="{00000000-0005-0000-0000-0000852D0000}"/>
    <cellStyle name="20% - Accent4 5 4 2 3" xfId="18113" xr:uid="{00000000-0005-0000-0000-0000862D0000}"/>
    <cellStyle name="20% - Accent4 5 4 2 3 2" xfId="29805" xr:uid="{00000000-0005-0000-0000-0000872D0000}"/>
    <cellStyle name="20% - Accent4 5 4 2 4" xfId="22159" xr:uid="{00000000-0005-0000-0000-0000882D0000}"/>
    <cellStyle name="20% - Accent4 5 4 3" xfId="2888" xr:uid="{00000000-0005-0000-0000-0000892D0000}"/>
    <cellStyle name="20% - Accent4 5 4 3 2" xfId="14163" xr:uid="{00000000-0005-0000-0000-00008A2D0000}"/>
    <cellStyle name="20% - Accent4 5 4 3 2 2" xfId="26020" xr:uid="{00000000-0005-0000-0000-00008B2D0000}"/>
    <cellStyle name="20% - Accent4 5 4 3 3" xfId="18114" xr:uid="{00000000-0005-0000-0000-00008C2D0000}"/>
    <cellStyle name="20% - Accent4 5 4 3 3 2" xfId="29806" xr:uid="{00000000-0005-0000-0000-00008D2D0000}"/>
    <cellStyle name="20% - Accent4 5 4 3 4" xfId="22160" xr:uid="{00000000-0005-0000-0000-00008E2D0000}"/>
    <cellStyle name="20% - Accent4 5 4 4" xfId="14161" xr:uid="{00000000-0005-0000-0000-00008F2D0000}"/>
    <cellStyle name="20% - Accent4 5 4 4 2" xfId="26018" xr:uid="{00000000-0005-0000-0000-0000902D0000}"/>
    <cellStyle name="20% - Accent4 5 4 5" xfId="18112" xr:uid="{00000000-0005-0000-0000-0000912D0000}"/>
    <cellStyle name="20% - Accent4 5 4 5 2" xfId="29804" xr:uid="{00000000-0005-0000-0000-0000922D0000}"/>
    <cellStyle name="20% - Accent4 5 4 6" xfId="22158" xr:uid="{00000000-0005-0000-0000-0000932D0000}"/>
    <cellStyle name="20% - Accent4 5 5" xfId="2889" xr:uid="{00000000-0005-0000-0000-0000942D0000}"/>
    <cellStyle name="20% - Accent4 5 5 2" xfId="2890" xr:uid="{00000000-0005-0000-0000-0000952D0000}"/>
    <cellStyle name="20% - Accent4 5 5 2 2" xfId="14165" xr:uid="{00000000-0005-0000-0000-0000962D0000}"/>
    <cellStyle name="20% - Accent4 5 5 2 2 2" xfId="26022" xr:uid="{00000000-0005-0000-0000-0000972D0000}"/>
    <cellStyle name="20% - Accent4 5 5 2 3" xfId="18116" xr:uid="{00000000-0005-0000-0000-0000982D0000}"/>
    <cellStyle name="20% - Accent4 5 5 2 3 2" xfId="29808" xr:uid="{00000000-0005-0000-0000-0000992D0000}"/>
    <cellStyle name="20% - Accent4 5 5 2 4" xfId="22162" xr:uid="{00000000-0005-0000-0000-00009A2D0000}"/>
    <cellStyle name="20% - Accent4 5 5 3" xfId="2891" xr:uid="{00000000-0005-0000-0000-00009B2D0000}"/>
    <cellStyle name="20% - Accent4 5 5 3 2" xfId="14166" xr:uid="{00000000-0005-0000-0000-00009C2D0000}"/>
    <cellStyle name="20% - Accent4 5 5 3 2 2" xfId="26023" xr:uid="{00000000-0005-0000-0000-00009D2D0000}"/>
    <cellStyle name="20% - Accent4 5 5 3 3" xfId="18117" xr:uid="{00000000-0005-0000-0000-00009E2D0000}"/>
    <cellStyle name="20% - Accent4 5 5 3 3 2" xfId="29809" xr:uid="{00000000-0005-0000-0000-00009F2D0000}"/>
    <cellStyle name="20% - Accent4 5 5 3 4" xfId="22163" xr:uid="{00000000-0005-0000-0000-0000A02D0000}"/>
    <cellStyle name="20% - Accent4 5 5 4" xfId="14164" xr:uid="{00000000-0005-0000-0000-0000A12D0000}"/>
    <cellStyle name="20% - Accent4 5 5 4 2" xfId="26021" xr:uid="{00000000-0005-0000-0000-0000A22D0000}"/>
    <cellStyle name="20% - Accent4 5 5 5" xfId="18115" xr:uid="{00000000-0005-0000-0000-0000A32D0000}"/>
    <cellStyle name="20% - Accent4 5 5 5 2" xfId="29807" xr:uid="{00000000-0005-0000-0000-0000A42D0000}"/>
    <cellStyle name="20% - Accent4 5 5 6" xfId="22161" xr:uid="{00000000-0005-0000-0000-0000A52D0000}"/>
    <cellStyle name="20% - Accent4 5 6" xfId="2892" xr:uid="{00000000-0005-0000-0000-0000A62D0000}"/>
    <cellStyle name="20% - Accent4 5 6 2" xfId="2893" xr:uid="{00000000-0005-0000-0000-0000A72D0000}"/>
    <cellStyle name="20% - Accent4 5 6 2 2" xfId="14168" xr:uid="{00000000-0005-0000-0000-0000A82D0000}"/>
    <cellStyle name="20% - Accent4 5 6 2 2 2" xfId="26025" xr:uid="{00000000-0005-0000-0000-0000A92D0000}"/>
    <cellStyle name="20% - Accent4 5 6 2 3" xfId="18119" xr:uid="{00000000-0005-0000-0000-0000AA2D0000}"/>
    <cellStyle name="20% - Accent4 5 6 2 3 2" xfId="29811" xr:uid="{00000000-0005-0000-0000-0000AB2D0000}"/>
    <cellStyle name="20% - Accent4 5 6 2 4" xfId="22165" xr:uid="{00000000-0005-0000-0000-0000AC2D0000}"/>
    <cellStyle name="20% - Accent4 5 6 3" xfId="2894" xr:uid="{00000000-0005-0000-0000-0000AD2D0000}"/>
    <cellStyle name="20% - Accent4 5 6 3 2" xfId="14169" xr:uid="{00000000-0005-0000-0000-0000AE2D0000}"/>
    <cellStyle name="20% - Accent4 5 6 3 2 2" xfId="26026" xr:uid="{00000000-0005-0000-0000-0000AF2D0000}"/>
    <cellStyle name="20% - Accent4 5 6 3 3" xfId="18120" xr:uid="{00000000-0005-0000-0000-0000B02D0000}"/>
    <cellStyle name="20% - Accent4 5 6 3 3 2" xfId="29812" xr:uid="{00000000-0005-0000-0000-0000B12D0000}"/>
    <cellStyle name="20% - Accent4 5 6 3 4" xfId="22166" xr:uid="{00000000-0005-0000-0000-0000B22D0000}"/>
    <cellStyle name="20% - Accent4 5 6 4" xfId="14167" xr:uid="{00000000-0005-0000-0000-0000B32D0000}"/>
    <cellStyle name="20% - Accent4 5 6 4 2" xfId="26024" xr:uid="{00000000-0005-0000-0000-0000B42D0000}"/>
    <cellStyle name="20% - Accent4 5 6 5" xfId="18118" xr:uid="{00000000-0005-0000-0000-0000B52D0000}"/>
    <cellStyle name="20% - Accent4 5 6 5 2" xfId="29810" xr:uid="{00000000-0005-0000-0000-0000B62D0000}"/>
    <cellStyle name="20% - Accent4 5 6 6" xfId="22164" xr:uid="{00000000-0005-0000-0000-0000B72D0000}"/>
    <cellStyle name="20% - Accent4 5 7" xfId="2895" xr:uid="{00000000-0005-0000-0000-0000B82D0000}"/>
    <cellStyle name="20% - Accent4 5 7 2" xfId="14170" xr:uid="{00000000-0005-0000-0000-0000B92D0000}"/>
    <cellStyle name="20% - Accent4 5 7 2 2" xfId="26027" xr:uid="{00000000-0005-0000-0000-0000BA2D0000}"/>
    <cellStyle name="20% - Accent4 5 7 3" xfId="18121" xr:uid="{00000000-0005-0000-0000-0000BB2D0000}"/>
    <cellStyle name="20% - Accent4 5 7 3 2" xfId="29813" xr:uid="{00000000-0005-0000-0000-0000BC2D0000}"/>
    <cellStyle name="20% - Accent4 5 7 4" xfId="22167" xr:uid="{00000000-0005-0000-0000-0000BD2D0000}"/>
    <cellStyle name="20% - Accent4 5 8" xfId="2896" xr:uid="{00000000-0005-0000-0000-0000BE2D0000}"/>
    <cellStyle name="20% - Accent4 5 8 2" xfId="14171" xr:uid="{00000000-0005-0000-0000-0000BF2D0000}"/>
    <cellStyle name="20% - Accent4 5 8 2 2" xfId="26028" xr:uid="{00000000-0005-0000-0000-0000C02D0000}"/>
    <cellStyle name="20% - Accent4 5 8 3" xfId="18122" xr:uid="{00000000-0005-0000-0000-0000C12D0000}"/>
    <cellStyle name="20% - Accent4 5 8 3 2" xfId="29814" xr:uid="{00000000-0005-0000-0000-0000C22D0000}"/>
    <cellStyle name="20% - Accent4 5 8 4" xfId="22168" xr:uid="{00000000-0005-0000-0000-0000C32D0000}"/>
    <cellStyle name="20% - Accent4 5 9" xfId="14139" xr:uid="{00000000-0005-0000-0000-0000C42D0000}"/>
    <cellStyle name="20% - Accent4 5 9 2" xfId="25996" xr:uid="{00000000-0005-0000-0000-0000C52D0000}"/>
    <cellStyle name="20% - Accent4 5_Volatility" xfId="2897" xr:uid="{00000000-0005-0000-0000-0000C62D0000}"/>
    <cellStyle name="20% - Accent4 6" xfId="2898" xr:uid="{00000000-0005-0000-0000-0000C72D0000}"/>
    <cellStyle name="20% - Accent4 6 10" xfId="18123" xr:uid="{00000000-0005-0000-0000-0000C82D0000}"/>
    <cellStyle name="20% - Accent4 6 10 2" xfId="29815" xr:uid="{00000000-0005-0000-0000-0000C92D0000}"/>
    <cellStyle name="20% - Accent4 6 11" xfId="22169" xr:uid="{00000000-0005-0000-0000-0000CA2D0000}"/>
    <cellStyle name="20% - Accent4 6 2" xfId="2899" xr:uid="{00000000-0005-0000-0000-0000CB2D0000}"/>
    <cellStyle name="20% - Accent4 6 2 2" xfId="2900" xr:uid="{00000000-0005-0000-0000-0000CC2D0000}"/>
    <cellStyle name="20% - Accent4 6 2 2 2" xfId="2901" xr:uid="{00000000-0005-0000-0000-0000CD2D0000}"/>
    <cellStyle name="20% - Accent4 6 2 2 2 2" xfId="14175" xr:uid="{00000000-0005-0000-0000-0000CE2D0000}"/>
    <cellStyle name="20% - Accent4 6 2 2 2 2 2" xfId="26032" xr:uid="{00000000-0005-0000-0000-0000CF2D0000}"/>
    <cellStyle name="20% - Accent4 6 2 2 2 3" xfId="18126" xr:uid="{00000000-0005-0000-0000-0000D02D0000}"/>
    <cellStyle name="20% - Accent4 6 2 2 2 3 2" xfId="29818" xr:uid="{00000000-0005-0000-0000-0000D12D0000}"/>
    <cellStyle name="20% - Accent4 6 2 2 2 4" xfId="22172" xr:uid="{00000000-0005-0000-0000-0000D22D0000}"/>
    <cellStyle name="20% - Accent4 6 2 2 3" xfId="2902" xr:uid="{00000000-0005-0000-0000-0000D32D0000}"/>
    <cellStyle name="20% - Accent4 6 2 2 3 2" xfId="14176" xr:uid="{00000000-0005-0000-0000-0000D42D0000}"/>
    <cellStyle name="20% - Accent4 6 2 2 3 2 2" xfId="26033" xr:uid="{00000000-0005-0000-0000-0000D52D0000}"/>
    <cellStyle name="20% - Accent4 6 2 2 3 3" xfId="18127" xr:uid="{00000000-0005-0000-0000-0000D62D0000}"/>
    <cellStyle name="20% - Accent4 6 2 2 3 3 2" xfId="29819" xr:uid="{00000000-0005-0000-0000-0000D72D0000}"/>
    <cellStyle name="20% - Accent4 6 2 2 3 4" xfId="22173" xr:uid="{00000000-0005-0000-0000-0000D82D0000}"/>
    <cellStyle name="20% - Accent4 6 2 2 4" xfId="14174" xr:uid="{00000000-0005-0000-0000-0000D92D0000}"/>
    <cellStyle name="20% - Accent4 6 2 2 4 2" xfId="26031" xr:uid="{00000000-0005-0000-0000-0000DA2D0000}"/>
    <cellStyle name="20% - Accent4 6 2 2 5" xfId="18125" xr:uid="{00000000-0005-0000-0000-0000DB2D0000}"/>
    <cellStyle name="20% - Accent4 6 2 2 5 2" xfId="29817" xr:uid="{00000000-0005-0000-0000-0000DC2D0000}"/>
    <cellStyle name="20% - Accent4 6 2 2 6" xfId="22171" xr:uid="{00000000-0005-0000-0000-0000DD2D0000}"/>
    <cellStyle name="20% - Accent4 6 2 3" xfId="2903" xr:uid="{00000000-0005-0000-0000-0000DE2D0000}"/>
    <cellStyle name="20% - Accent4 6 2 3 2" xfId="2904" xr:uid="{00000000-0005-0000-0000-0000DF2D0000}"/>
    <cellStyle name="20% - Accent4 6 2 3 2 2" xfId="14178" xr:uid="{00000000-0005-0000-0000-0000E02D0000}"/>
    <cellStyle name="20% - Accent4 6 2 3 2 2 2" xfId="26035" xr:uid="{00000000-0005-0000-0000-0000E12D0000}"/>
    <cellStyle name="20% - Accent4 6 2 3 2 3" xfId="18129" xr:uid="{00000000-0005-0000-0000-0000E22D0000}"/>
    <cellStyle name="20% - Accent4 6 2 3 2 3 2" xfId="29821" xr:uid="{00000000-0005-0000-0000-0000E32D0000}"/>
    <cellStyle name="20% - Accent4 6 2 3 2 4" xfId="22175" xr:uid="{00000000-0005-0000-0000-0000E42D0000}"/>
    <cellStyle name="20% - Accent4 6 2 3 3" xfId="2905" xr:uid="{00000000-0005-0000-0000-0000E52D0000}"/>
    <cellStyle name="20% - Accent4 6 2 3 3 2" xfId="14179" xr:uid="{00000000-0005-0000-0000-0000E62D0000}"/>
    <cellStyle name="20% - Accent4 6 2 3 3 2 2" xfId="26036" xr:uid="{00000000-0005-0000-0000-0000E72D0000}"/>
    <cellStyle name="20% - Accent4 6 2 3 3 3" xfId="18130" xr:uid="{00000000-0005-0000-0000-0000E82D0000}"/>
    <cellStyle name="20% - Accent4 6 2 3 3 3 2" xfId="29822" xr:uid="{00000000-0005-0000-0000-0000E92D0000}"/>
    <cellStyle name="20% - Accent4 6 2 3 3 4" xfId="22176" xr:uid="{00000000-0005-0000-0000-0000EA2D0000}"/>
    <cellStyle name="20% - Accent4 6 2 3 4" xfId="14177" xr:uid="{00000000-0005-0000-0000-0000EB2D0000}"/>
    <cellStyle name="20% - Accent4 6 2 3 4 2" xfId="26034" xr:uid="{00000000-0005-0000-0000-0000EC2D0000}"/>
    <cellStyle name="20% - Accent4 6 2 3 5" xfId="18128" xr:uid="{00000000-0005-0000-0000-0000ED2D0000}"/>
    <cellStyle name="20% - Accent4 6 2 3 5 2" xfId="29820" xr:uid="{00000000-0005-0000-0000-0000EE2D0000}"/>
    <cellStyle name="20% - Accent4 6 2 3 6" xfId="22174" xr:uid="{00000000-0005-0000-0000-0000EF2D0000}"/>
    <cellStyle name="20% - Accent4 6 2 4" xfId="2906" xr:uid="{00000000-0005-0000-0000-0000F02D0000}"/>
    <cellStyle name="20% - Accent4 6 2 4 2" xfId="2907" xr:uid="{00000000-0005-0000-0000-0000F12D0000}"/>
    <cellStyle name="20% - Accent4 6 2 4 2 2" xfId="14181" xr:uid="{00000000-0005-0000-0000-0000F22D0000}"/>
    <cellStyle name="20% - Accent4 6 2 4 2 2 2" xfId="26038" xr:uid="{00000000-0005-0000-0000-0000F32D0000}"/>
    <cellStyle name="20% - Accent4 6 2 4 2 3" xfId="18132" xr:uid="{00000000-0005-0000-0000-0000F42D0000}"/>
    <cellStyle name="20% - Accent4 6 2 4 2 3 2" xfId="29824" xr:uid="{00000000-0005-0000-0000-0000F52D0000}"/>
    <cellStyle name="20% - Accent4 6 2 4 2 4" xfId="22178" xr:uid="{00000000-0005-0000-0000-0000F62D0000}"/>
    <cellStyle name="20% - Accent4 6 2 4 3" xfId="2908" xr:uid="{00000000-0005-0000-0000-0000F72D0000}"/>
    <cellStyle name="20% - Accent4 6 2 4 3 2" xfId="14182" xr:uid="{00000000-0005-0000-0000-0000F82D0000}"/>
    <cellStyle name="20% - Accent4 6 2 4 3 2 2" xfId="26039" xr:uid="{00000000-0005-0000-0000-0000F92D0000}"/>
    <cellStyle name="20% - Accent4 6 2 4 3 3" xfId="18133" xr:uid="{00000000-0005-0000-0000-0000FA2D0000}"/>
    <cellStyle name="20% - Accent4 6 2 4 3 3 2" xfId="29825" xr:uid="{00000000-0005-0000-0000-0000FB2D0000}"/>
    <cellStyle name="20% - Accent4 6 2 4 3 4" xfId="22179" xr:uid="{00000000-0005-0000-0000-0000FC2D0000}"/>
    <cellStyle name="20% - Accent4 6 2 4 4" xfId="14180" xr:uid="{00000000-0005-0000-0000-0000FD2D0000}"/>
    <cellStyle name="20% - Accent4 6 2 4 4 2" xfId="26037" xr:uid="{00000000-0005-0000-0000-0000FE2D0000}"/>
    <cellStyle name="20% - Accent4 6 2 4 5" xfId="18131" xr:uid="{00000000-0005-0000-0000-0000FF2D0000}"/>
    <cellStyle name="20% - Accent4 6 2 4 5 2" xfId="29823" xr:uid="{00000000-0005-0000-0000-0000002E0000}"/>
    <cellStyle name="20% - Accent4 6 2 4 6" xfId="22177" xr:uid="{00000000-0005-0000-0000-0000012E0000}"/>
    <cellStyle name="20% - Accent4 6 2 5" xfId="2909" xr:uid="{00000000-0005-0000-0000-0000022E0000}"/>
    <cellStyle name="20% - Accent4 6 2 5 2" xfId="14183" xr:uid="{00000000-0005-0000-0000-0000032E0000}"/>
    <cellStyle name="20% - Accent4 6 2 5 2 2" xfId="26040" xr:uid="{00000000-0005-0000-0000-0000042E0000}"/>
    <cellStyle name="20% - Accent4 6 2 5 3" xfId="18134" xr:uid="{00000000-0005-0000-0000-0000052E0000}"/>
    <cellStyle name="20% - Accent4 6 2 5 3 2" xfId="29826" xr:uid="{00000000-0005-0000-0000-0000062E0000}"/>
    <cellStyle name="20% - Accent4 6 2 5 4" xfId="22180" xr:uid="{00000000-0005-0000-0000-0000072E0000}"/>
    <cellStyle name="20% - Accent4 6 2 6" xfId="2910" xr:uid="{00000000-0005-0000-0000-0000082E0000}"/>
    <cellStyle name="20% - Accent4 6 2 6 2" xfId="14184" xr:uid="{00000000-0005-0000-0000-0000092E0000}"/>
    <cellStyle name="20% - Accent4 6 2 6 2 2" xfId="26041" xr:uid="{00000000-0005-0000-0000-00000A2E0000}"/>
    <cellStyle name="20% - Accent4 6 2 6 3" xfId="18135" xr:uid="{00000000-0005-0000-0000-00000B2E0000}"/>
    <cellStyle name="20% - Accent4 6 2 6 3 2" xfId="29827" xr:uid="{00000000-0005-0000-0000-00000C2E0000}"/>
    <cellStyle name="20% - Accent4 6 2 6 4" xfId="22181" xr:uid="{00000000-0005-0000-0000-00000D2E0000}"/>
    <cellStyle name="20% - Accent4 6 2 7" xfId="14173" xr:uid="{00000000-0005-0000-0000-00000E2E0000}"/>
    <cellStyle name="20% - Accent4 6 2 7 2" xfId="26030" xr:uid="{00000000-0005-0000-0000-00000F2E0000}"/>
    <cellStyle name="20% - Accent4 6 2 8" xfId="18124" xr:uid="{00000000-0005-0000-0000-0000102E0000}"/>
    <cellStyle name="20% - Accent4 6 2 8 2" xfId="29816" xr:uid="{00000000-0005-0000-0000-0000112E0000}"/>
    <cellStyle name="20% - Accent4 6 2 9" xfId="22170" xr:uid="{00000000-0005-0000-0000-0000122E0000}"/>
    <cellStyle name="20% - Accent4 6 2_Volatility" xfId="2911" xr:uid="{00000000-0005-0000-0000-0000132E0000}"/>
    <cellStyle name="20% - Accent4 6 3" xfId="2912" xr:uid="{00000000-0005-0000-0000-0000142E0000}"/>
    <cellStyle name="20% - Accent4 6 3 2" xfId="2913" xr:uid="{00000000-0005-0000-0000-0000152E0000}"/>
    <cellStyle name="20% - Accent4 6 3 2 2" xfId="2914" xr:uid="{00000000-0005-0000-0000-0000162E0000}"/>
    <cellStyle name="20% - Accent4 6 3 2 2 2" xfId="14187" xr:uid="{00000000-0005-0000-0000-0000172E0000}"/>
    <cellStyle name="20% - Accent4 6 3 2 2 2 2" xfId="26044" xr:uid="{00000000-0005-0000-0000-0000182E0000}"/>
    <cellStyle name="20% - Accent4 6 3 2 2 3" xfId="18138" xr:uid="{00000000-0005-0000-0000-0000192E0000}"/>
    <cellStyle name="20% - Accent4 6 3 2 2 3 2" xfId="29830" xr:uid="{00000000-0005-0000-0000-00001A2E0000}"/>
    <cellStyle name="20% - Accent4 6 3 2 2 4" xfId="22184" xr:uid="{00000000-0005-0000-0000-00001B2E0000}"/>
    <cellStyle name="20% - Accent4 6 3 2 3" xfId="2915" xr:uid="{00000000-0005-0000-0000-00001C2E0000}"/>
    <cellStyle name="20% - Accent4 6 3 2 3 2" xfId="14188" xr:uid="{00000000-0005-0000-0000-00001D2E0000}"/>
    <cellStyle name="20% - Accent4 6 3 2 3 2 2" xfId="26045" xr:uid="{00000000-0005-0000-0000-00001E2E0000}"/>
    <cellStyle name="20% - Accent4 6 3 2 3 3" xfId="18139" xr:uid="{00000000-0005-0000-0000-00001F2E0000}"/>
    <cellStyle name="20% - Accent4 6 3 2 3 3 2" xfId="29831" xr:uid="{00000000-0005-0000-0000-0000202E0000}"/>
    <cellStyle name="20% - Accent4 6 3 2 3 4" xfId="22185" xr:uid="{00000000-0005-0000-0000-0000212E0000}"/>
    <cellStyle name="20% - Accent4 6 3 2 4" xfId="14186" xr:uid="{00000000-0005-0000-0000-0000222E0000}"/>
    <cellStyle name="20% - Accent4 6 3 2 4 2" xfId="26043" xr:uid="{00000000-0005-0000-0000-0000232E0000}"/>
    <cellStyle name="20% - Accent4 6 3 2 5" xfId="18137" xr:uid="{00000000-0005-0000-0000-0000242E0000}"/>
    <cellStyle name="20% - Accent4 6 3 2 5 2" xfId="29829" xr:uid="{00000000-0005-0000-0000-0000252E0000}"/>
    <cellStyle name="20% - Accent4 6 3 2 6" xfId="22183" xr:uid="{00000000-0005-0000-0000-0000262E0000}"/>
    <cellStyle name="20% - Accent4 6 3 3" xfId="2916" xr:uid="{00000000-0005-0000-0000-0000272E0000}"/>
    <cellStyle name="20% - Accent4 6 3 3 2" xfId="2917" xr:uid="{00000000-0005-0000-0000-0000282E0000}"/>
    <cellStyle name="20% - Accent4 6 3 3 2 2" xfId="14190" xr:uid="{00000000-0005-0000-0000-0000292E0000}"/>
    <cellStyle name="20% - Accent4 6 3 3 2 2 2" xfId="26047" xr:uid="{00000000-0005-0000-0000-00002A2E0000}"/>
    <cellStyle name="20% - Accent4 6 3 3 2 3" xfId="18141" xr:uid="{00000000-0005-0000-0000-00002B2E0000}"/>
    <cellStyle name="20% - Accent4 6 3 3 2 3 2" xfId="29833" xr:uid="{00000000-0005-0000-0000-00002C2E0000}"/>
    <cellStyle name="20% - Accent4 6 3 3 2 4" xfId="22187" xr:uid="{00000000-0005-0000-0000-00002D2E0000}"/>
    <cellStyle name="20% - Accent4 6 3 3 3" xfId="2918" xr:uid="{00000000-0005-0000-0000-00002E2E0000}"/>
    <cellStyle name="20% - Accent4 6 3 3 3 2" xfId="14191" xr:uid="{00000000-0005-0000-0000-00002F2E0000}"/>
    <cellStyle name="20% - Accent4 6 3 3 3 2 2" xfId="26048" xr:uid="{00000000-0005-0000-0000-0000302E0000}"/>
    <cellStyle name="20% - Accent4 6 3 3 3 3" xfId="18142" xr:uid="{00000000-0005-0000-0000-0000312E0000}"/>
    <cellStyle name="20% - Accent4 6 3 3 3 3 2" xfId="29834" xr:uid="{00000000-0005-0000-0000-0000322E0000}"/>
    <cellStyle name="20% - Accent4 6 3 3 3 4" xfId="22188" xr:uid="{00000000-0005-0000-0000-0000332E0000}"/>
    <cellStyle name="20% - Accent4 6 3 3 4" xfId="14189" xr:uid="{00000000-0005-0000-0000-0000342E0000}"/>
    <cellStyle name="20% - Accent4 6 3 3 4 2" xfId="26046" xr:uid="{00000000-0005-0000-0000-0000352E0000}"/>
    <cellStyle name="20% - Accent4 6 3 3 5" xfId="18140" xr:uid="{00000000-0005-0000-0000-0000362E0000}"/>
    <cellStyle name="20% - Accent4 6 3 3 5 2" xfId="29832" xr:uid="{00000000-0005-0000-0000-0000372E0000}"/>
    <cellStyle name="20% - Accent4 6 3 3 6" xfId="22186" xr:uid="{00000000-0005-0000-0000-0000382E0000}"/>
    <cellStyle name="20% - Accent4 6 3 4" xfId="2919" xr:uid="{00000000-0005-0000-0000-0000392E0000}"/>
    <cellStyle name="20% - Accent4 6 3 4 2" xfId="14192" xr:uid="{00000000-0005-0000-0000-00003A2E0000}"/>
    <cellStyle name="20% - Accent4 6 3 4 2 2" xfId="26049" xr:uid="{00000000-0005-0000-0000-00003B2E0000}"/>
    <cellStyle name="20% - Accent4 6 3 4 3" xfId="18143" xr:uid="{00000000-0005-0000-0000-00003C2E0000}"/>
    <cellStyle name="20% - Accent4 6 3 4 3 2" xfId="29835" xr:uid="{00000000-0005-0000-0000-00003D2E0000}"/>
    <cellStyle name="20% - Accent4 6 3 4 4" xfId="22189" xr:uid="{00000000-0005-0000-0000-00003E2E0000}"/>
    <cellStyle name="20% - Accent4 6 3 5" xfId="2920" xr:uid="{00000000-0005-0000-0000-00003F2E0000}"/>
    <cellStyle name="20% - Accent4 6 3 5 2" xfId="14193" xr:uid="{00000000-0005-0000-0000-0000402E0000}"/>
    <cellStyle name="20% - Accent4 6 3 5 2 2" xfId="26050" xr:uid="{00000000-0005-0000-0000-0000412E0000}"/>
    <cellStyle name="20% - Accent4 6 3 5 3" xfId="18144" xr:uid="{00000000-0005-0000-0000-0000422E0000}"/>
    <cellStyle name="20% - Accent4 6 3 5 3 2" xfId="29836" xr:uid="{00000000-0005-0000-0000-0000432E0000}"/>
    <cellStyle name="20% - Accent4 6 3 5 4" xfId="22190" xr:uid="{00000000-0005-0000-0000-0000442E0000}"/>
    <cellStyle name="20% - Accent4 6 3 6" xfId="14185" xr:uid="{00000000-0005-0000-0000-0000452E0000}"/>
    <cellStyle name="20% - Accent4 6 3 6 2" xfId="26042" xr:uid="{00000000-0005-0000-0000-0000462E0000}"/>
    <cellStyle name="20% - Accent4 6 3 7" xfId="18136" xr:uid="{00000000-0005-0000-0000-0000472E0000}"/>
    <cellStyle name="20% - Accent4 6 3 7 2" xfId="29828" xr:uid="{00000000-0005-0000-0000-0000482E0000}"/>
    <cellStyle name="20% - Accent4 6 3 8" xfId="22182" xr:uid="{00000000-0005-0000-0000-0000492E0000}"/>
    <cellStyle name="20% - Accent4 6 3_Volatility" xfId="2921" xr:uid="{00000000-0005-0000-0000-00004A2E0000}"/>
    <cellStyle name="20% - Accent4 6 4" xfId="2922" xr:uid="{00000000-0005-0000-0000-00004B2E0000}"/>
    <cellStyle name="20% - Accent4 6 4 2" xfId="2923" xr:uid="{00000000-0005-0000-0000-00004C2E0000}"/>
    <cellStyle name="20% - Accent4 6 4 2 2" xfId="14195" xr:uid="{00000000-0005-0000-0000-00004D2E0000}"/>
    <cellStyle name="20% - Accent4 6 4 2 2 2" xfId="26052" xr:uid="{00000000-0005-0000-0000-00004E2E0000}"/>
    <cellStyle name="20% - Accent4 6 4 2 3" xfId="18146" xr:uid="{00000000-0005-0000-0000-00004F2E0000}"/>
    <cellStyle name="20% - Accent4 6 4 2 3 2" xfId="29838" xr:uid="{00000000-0005-0000-0000-0000502E0000}"/>
    <cellStyle name="20% - Accent4 6 4 2 4" xfId="22192" xr:uid="{00000000-0005-0000-0000-0000512E0000}"/>
    <cellStyle name="20% - Accent4 6 4 3" xfId="2924" xr:uid="{00000000-0005-0000-0000-0000522E0000}"/>
    <cellStyle name="20% - Accent4 6 4 3 2" xfId="14196" xr:uid="{00000000-0005-0000-0000-0000532E0000}"/>
    <cellStyle name="20% - Accent4 6 4 3 2 2" xfId="26053" xr:uid="{00000000-0005-0000-0000-0000542E0000}"/>
    <cellStyle name="20% - Accent4 6 4 3 3" xfId="18147" xr:uid="{00000000-0005-0000-0000-0000552E0000}"/>
    <cellStyle name="20% - Accent4 6 4 3 3 2" xfId="29839" xr:uid="{00000000-0005-0000-0000-0000562E0000}"/>
    <cellStyle name="20% - Accent4 6 4 3 4" xfId="22193" xr:uid="{00000000-0005-0000-0000-0000572E0000}"/>
    <cellStyle name="20% - Accent4 6 4 4" xfId="14194" xr:uid="{00000000-0005-0000-0000-0000582E0000}"/>
    <cellStyle name="20% - Accent4 6 4 4 2" xfId="26051" xr:uid="{00000000-0005-0000-0000-0000592E0000}"/>
    <cellStyle name="20% - Accent4 6 4 5" xfId="18145" xr:uid="{00000000-0005-0000-0000-00005A2E0000}"/>
    <cellStyle name="20% - Accent4 6 4 5 2" xfId="29837" xr:uid="{00000000-0005-0000-0000-00005B2E0000}"/>
    <cellStyle name="20% - Accent4 6 4 6" xfId="22191" xr:uid="{00000000-0005-0000-0000-00005C2E0000}"/>
    <cellStyle name="20% - Accent4 6 5" xfId="2925" xr:uid="{00000000-0005-0000-0000-00005D2E0000}"/>
    <cellStyle name="20% - Accent4 6 5 2" xfId="2926" xr:uid="{00000000-0005-0000-0000-00005E2E0000}"/>
    <cellStyle name="20% - Accent4 6 5 2 2" xfId="14198" xr:uid="{00000000-0005-0000-0000-00005F2E0000}"/>
    <cellStyle name="20% - Accent4 6 5 2 2 2" xfId="26055" xr:uid="{00000000-0005-0000-0000-0000602E0000}"/>
    <cellStyle name="20% - Accent4 6 5 2 3" xfId="18149" xr:uid="{00000000-0005-0000-0000-0000612E0000}"/>
    <cellStyle name="20% - Accent4 6 5 2 3 2" xfId="29841" xr:uid="{00000000-0005-0000-0000-0000622E0000}"/>
    <cellStyle name="20% - Accent4 6 5 2 4" xfId="22195" xr:uid="{00000000-0005-0000-0000-0000632E0000}"/>
    <cellStyle name="20% - Accent4 6 5 3" xfId="2927" xr:uid="{00000000-0005-0000-0000-0000642E0000}"/>
    <cellStyle name="20% - Accent4 6 5 3 2" xfId="14199" xr:uid="{00000000-0005-0000-0000-0000652E0000}"/>
    <cellStyle name="20% - Accent4 6 5 3 2 2" xfId="26056" xr:uid="{00000000-0005-0000-0000-0000662E0000}"/>
    <cellStyle name="20% - Accent4 6 5 3 3" xfId="18150" xr:uid="{00000000-0005-0000-0000-0000672E0000}"/>
    <cellStyle name="20% - Accent4 6 5 3 3 2" xfId="29842" xr:uid="{00000000-0005-0000-0000-0000682E0000}"/>
    <cellStyle name="20% - Accent4 6 5 3 4" xfId="22196" xr:uid="{00000000-0005-0000-0000-0000692E0000}"/>
    <cellStyle name="20% - Accent4 6 5 4" xfId="14197" xr:uid="{00000000-0005-0000-0000-00006A2E0000}"/>
    <cellStyle name="20% - Accent4 6 5 4 2" xfId="26054" xr:uid="{00000000-0005-0000-0000-00006B2E0000}"/>
    <cellStyle name="20% - Accent4 6 5 5" xfId="18148" xr:uid="{00000000-0005-0000-0000-00006C2E0000}"/>
    <cellStyle name="20% - Accent4 6 5 5 2" xfId="29840" xr:uid="{00000000-0005-0000-0000-00006D2E0000}"/>
    <cellStyle name="20% - Accent4 6 5 6" xfId="22194" xr:uid="{00000000-0005-0000-0000-00006E2E0000}"/>
    <cellStyle name="20% - Accent4 6 6" xfId="2928" xr:uid="{00000000-0005-0000-0000-00006F2E0000}"/>
    <cellStyle name="20% - Accent4 6 6 2" xfId="2929" xr:uid="{00000000-0005-0000-0000-0000702E0000}"/>
    <cellStyle name="20% - Accent4 6 6 2 2" xfId="14201" xr:uid="{00000000-0005-0000-0000-0000712E0000}"/>
    <cellStyle name="20% - Accent4 6 6 2 2 2" xfId="26058" xr:uid="{00000000-0005-0000-0000-0000722E0000}"/>
    <cellStyle name="20% - Accent4 6 6 2 3" xfId="18152" xr:uid="{00000000-0005-0000-0000-0000732E0000}"/>
    <cellStyle name="20% - Accent4 6 6 2 3 2" xfId="29844" xr:uid="{00000000-0005-0000-0000-0000742E0000}"/>
    <cellStyle name="20% - Accent4 6 6 2 4" xfId="22198" xr:uid="{00000000-0005-0000-0000-0000752E0000}"/>
    <cellStyle name="20% - Accent4 6 6 3" xfId="2930" xr:uid="{00000000-0005-0000-0000-0000762E0000}"/>
    <cellStyle name="20% - Accent4 6 6 3 2" xfId="14202" xr:uid="{00000000-0005-0000-0000-0000772E0000}"/>
    <cellStyle name="20% - Accent4 6 6 3 2 2" xfId="26059" xr:uid="{00000000-0005-0000-0000-0000782E0000}"/>
    <cellStyle name="20% - Accent4 6 6 3 3" xfId="18153" xr:uid="{00000000-0005-0000-0000-0000792E0000}"/>
    <cellStyle name="20% - Accent4 6 6 3 3 2" xfId="29845" xr:uid="{00000000-0005-0000-0000-00007A2E0000}"/>
    <cellStyle name="20% - Accent4 6 6 3 4" xfId="22199" xr:uid="{00000000-0005-0000-0000-00007B2E0000}"/>
    <cellStyle name="20% - Accent4 6 6 4" xfId="14200" xr:uid="{00000000-0005-0000-0000-00007C2E0000}"/>
    <cellStyle name="20% - Accent4 6 6 4 2" xfId="26057" xr:uid="{00000000-0005-0000-0000-00007D2E0000}"/>
    <cellStyle name="20% - Accent4 6 6 5" xfId="18151" xr:uid="{00000000-0005-0000-0000-00007E2E0000}"/>
    <cellStyle name="20% - Accent4 6 6 5 2" xfId="29843" xr:uid="{00000000-0005-0000-0000-00007F2E0000}"/>
    <cellStyle name="20% - Accent4 6 6 6" xfId="22197" xr:uid="{00000000-0005-0000-0000-0000802E0000}"/>
    <cellStyle name="20% - Accent4 6 7" xfId="2931" xr:uid="{00000000-0005-0000-0000-0000812E0000}"/>
    <cellStyle name="20% - Accent4 6 7 2" xfId="14203" xr:uid="{00000000-0005-0000-0000-0000822E0000}"/>
    <cellStyle name="20% - Accent4 6 7 2 2" xfId="26060" xr:uid="{00000000-0005-0000-0000-0000832E0000}"/>
    <cellStyle name="20% - Accent4 6 7 3" xfId="18154" xr:uid="{00000000-0005-0000-0000-0000842E0000}"/>
    <cellStyle name="20% - Accent4 6 7 3 2" xfId="29846" xr:uid="{00000000-0005-0000-0000-0000852E0000}"/>
    <cellStyle name="20% - Accent4 6 7 4" xfId="22200" xr:uid="{00000000-0005-0000-0000-0000862E0000}"/>
    <cellStyle name="20% - Accent4 6 8" xfId="2932" xr:uid="{00000000-0005-0000-0000-0000872E0000}"/>
    <cellStyle name="20% - Accent4 6 8 2" xfId="14204" xr:uid="{00000000-0005-0000-0000-0000882E0000}"/>
    <cellStyle name="20% - Accent4 6 8 2 2" xfId="26061" xr:uid="{00000000-0005-0000-0000-0000892E0000}"/>
    <cellStyle name="20% - Accent4 6 8 3" xfId="18155" xr:uid="{00000000-0005-0000-0000-00008A2E0000}"/>
    <cellStyle name="20% - Accent4 6 8 3 2" xfId="29847" xr:uid="{00000000-0005-0000-0000-00008B2E0000}"/>
    <cellStyle name="20% - Accent4 6 8 4" xfId="22201" xr:uid="{00000000-0005-0000-0000-00008C2E0000}"/>
    <cellStyle name="20% - Accent4 6 9" xfId="14172" xr:uid="{00000000-0005-0000-0000-00008D2E0000}"/>
    <cellStyle name="20% - Accent4 6 9 2" xfId="26029" xr:uid="{00000000-0005-0000-0000-00008E2E0000}"/>
    <cellStyle name="20% - Accent4 6_Volatility" xfId="2933" xr:uid="{00000000-0005-0000-0000-00008F2E0000}"/>
    <cellStyle name="20% - Accent4 7" xfId="2934" xr:uid="{00000000-0005-0000-0000-0000902E0000}"/>
    <cellStyle name="20% - Accent4 7 10" xfId="18156" xr:uid="{00000000-0005-0000-0000-0000912E0000}"/>
    <cellStyle name="20% - Accent4 7 10 2" xfId="29848" xr:uid="{00000000-0005-0000-0000-0000922E0000}"/>
    <cellStyle name="20% - Accent4 7 11" xfId="22202" xr:uid="{00000000-0005-0000-0000-0000932E0000}"/>
    <cellStyle name="20% - Accent4 7 2" xfId="2935" xr:uid="{00000000-0005-0000-0000-0000942E0000}"/>
    <cellStyle name="20% - Accent4 7 2 2" xfId="2936" xr:uid="{00000000-0005-0000-0000-0000952E0000}"/>
    <cellStyle name="20% - Accent4 7 2 2 2" xfId="2937" xr:uid="{00000000-0005-0000-0000-0000962E0000}"/>
    <cellStyle name="20% - Accent4 7 2 2 2 2" xfId="14208" xr:uid="{00000000-0005-0000-0000-0000972E0000}"/>
    <cellStyle name="20% - Accent4 7 2 2 2 2 2" xfId="26065" xr:uid="{00000000-0005-0000-0000-0000982E0000}"/>
    <cellStyle name="20% - Accent4 7 2 2 2 3" xfId="18159" xr:uid="{00000000-0005-0000-0000-0000992E0000}"/>
    <cellStyle name="20% - Accent4 7 2 2 2 3 2" xfId="29851" xr:uid="{00000000-0005-0000-0000-00009A2E0000}"/>
    <cellStyle name="20% - Accent4 7 2 2 2 4" xfId="22205" xr:uid="{00000000-0005-0000-0000-00009B2E0000}"/>
    <cellStyle name="20% - Accent4 7 2 2 3" xfId="2938" xr:uid="{00000000-0005-0000-0000-00009C2E0000}"/>
    <cellStyle name="20% - Accent4 7 2 2 3 2" xfId="14209" xr:uid="{00000000-0005-0000-0000-00009D2E0000}"/>
    <cellStyle name="20% - Accent4 7 2 2 3 2 2" xfId="26066" xr:uid="{00000000-0005-0000-0000-00009E2E0000}"/>
    <cellStyle name="20% - Accent4 7 2 2 3 3" xfId="18160" xr:uid="{00000000-0005-0000-0000-00009F2E0000}"/>
    <cellStyle name="20% - Accent4 7 2 2 3 3 2" xfId="29852" xr:uid="{00000000-0005-0000-0000-0000A02E0000}"/>
    <cellStyle name="20% - Accent4 7 2 2 3 4" xfId="22206" xr:uid="{00000000-0005-0000-0000-0000A12E0000}"/>
    <cellStyle name="20% - Accent4 7 2 2 4" xfId="14207" xr:uid="{00000000-0005-0000-0000-0000A22E0000}"/>
    <cellStyle name="20% - Accent4 7 2 2 4 2" xfId="26064" xr:uid="{00000000-0005-0000-0000-0000A32E0000}"/>
    <cellStyle name="20% - Accent4 7 2 2 5" xfId="18158" xr:uid="{00000000-0005-0000-0000-0000A42E0000}"/>
    <cellStyle name="20% - Accent4 7 2 2 5 2" xfId="29850" xr:uid="{00000000-0005-0000-0000-0000A52E0000}"/>
    <cellStyle name="20% - Accent4 7 2 2 6" xfId="22204" xr:uid="{00000000-0005-0000-0000-0000A62E0000}"/>
    <cellStyle name="20% - Accent4 7 2 3" xfId="2939" xr:uid="{00000000-0005-0000-0000-0000A72E0000}"/>
    <cellStyle name="20% - Accent4 7 2 3 2" xfId="2940" xr:uid="{00000000-0005-0000-0000-0000A82E0000}"/>
    <cellStyle name="20% - Accent4 7 2 3 2 2" xfId="14211" xr:uid="{00000000-0005-0000-0000-0000A92E0000}"/>
    <cellStyle name="20% - Accent4 7 2 3 2 2 2" xfId="26068" xr:uid="{00000000-0005-0000-0000-0000AA2E0000}"/>
    <cellStyle name="20% - Accent4 7 2 3 2 3" xfId="18162" xr:uid="{00000000-0005-0000-0000-0000AB2E0000}"/>
    <cellStyle name="20% - Accent4 7 2 3 2 3 2" xfId="29854" xr:uid="{00000000-0005-0000-0000-0000AC2E0000}"/>
    <cellStyle name="20% - Accent4 7 2 3 2 4" xfId="22208" xr:uid="{00000000-0005-0000-0000-0000AD2E0000}"/>
    <cellStyle name="20% - Accent4 7 2 3 3" xfId="2941" xr:uid="{00000000-0005-0000-0000-0000AE2E0000}"/>
    <cellStyle name="20% - Accent4 7 2 3 3 2" xfId="14212" xr:uid="{00000000-0005-0000-0000-0000AF2E0000}"/>
    <cellStyle name="20% - Accent4 7 2 3 3 2 2" xfId="26069" xr:uid="{00000000-0005-0000-0000-0000B02E0000}"/>
    <cellStyle name="20% - Accent4 7 2 3 3 3" xfId="18163" xr:uid="{00000000-0005-0000-0000-0000B12E0000}"/>
    <cellStyle name="20% - Accent4 7 2 3 3 3 2" xfId="29855" xr:uid="{00000000-0005-0000-0000-0000B22E0000}"/>
    <cellStyle name="20% - Accent4 7 2 3 3 4" xfId="22209" xr:uid="{00000000-0005-0000-0000-0000B32E0000}"/>
    <cellStyle name="20% - Accent4 7 2 3 4" xfId="14210" xr:uid="{00000000-0005-0000-0000-0000B42E0000}"/>
    <cellStyle name="20% - Accent4 7 2 3 4 2" xfId="26067" xr:uid="{00000000-0005-0000-0000-0000B52E0000}"/>
    <cellStyle name="20% - Accent4 7 2 3 5" xfId="18161" xr:uid="{00000000-0005-0000-0000-0000B62E0000}"/>
    <cellStyle name="20% - Accent4 7 2 3 5 2" xfId="29853" xr:uid="{00000000-0005-0000-0000-0000B72E0000}"/>
    <cellStyle name="20% - Accent4 7 2 3 6" xfId="22207" xr:uid="{00000000-0005-0000-0000-0000B82E0000}"/>
    <cellStyle name="20% - Accent4 7 2 4" xfId="2942" xr:uid="{00000000-0005-0000-0000-0000B92E0000}"/>
    <cellStyle name="20% - Accent4 7 2 4 2" xfId="2943" xr:uid="{00000000-0005-0000-0000-0000BA2E0000}"/>
    <cellStyle name="20% - Accent4 7 2 4 2 2" xfId="14214" xr:uid="{00000000-0005-0000-0000-0000BB2E0000}"/>
    <cellStyle name="20% - Accent4 7 2 4 2 2 2" xfId="26071" xr:uid="{00000000-0005-0000-0000-0000BC2E0000}"/>
    <cellStyle name="20% - Accent4 7 2 4 2 3" xfId="18165" xr:uid="{00000000-0005-0000-0000-0000BD2E0000}"/>
    <cellStyle name="20% - Accent4 7 2 4 2 3 2" xfId="29857" xr:uid="{00000000-0005-0000-0000-0000BE2E0000}"/>
    <cellStyle name="20% - Accent4 7 2 4 2 4" xfId="22211" xr:uid="{00000000-0005-0000-0000-0000BF2E0000}"/>
    <cellStyle name="20% - Accent4 7 2 4 3" xfId="2944" xr:uid="{00000000-0005-0000-0000-0000C02E0000}"/>
    <cellStyle name="20% - Accent4 7 2 4 3 2" xfId="14215" xr:uid="{00000000-0005-0000-0000-0000C12E0000}"/>
    <cellStyle name="20% - Accent4 7 2 4 3 2 2" xfId="26072" xr:uid="{00000000-0005-0000-0000-0000C22E0000}"/>
    <cellStyle name="20% - Accent4 7 2 4 3 3" xfId="18166" xr:uid="{00000000-0005-0000-0000-0000C32E0000}"/>
    <cellStyle name="20% - Accent4 7 2 4 3 3 2" xfId="29858" xr:uid="{00000000-0005-0000-0000-0000C42E0000}"/>
    <cellStyle name="20% - Accent4 7 2 4 3 4" xfId="22212" xr:uid="{00000000-0005-0000-0000-0000C52E0000}"/>
    <cellStyle name="20% - Accent4 7 2 4 4" xfId="14213" xr:uid="{00000000-0005-0000-0000-0000C62E0000}"/>
    <cellStyle name="20% - Accent4 7 2 4 4 2" xfId="26070" xr:uid="{00000000-0005-0000-0000-0000C72E0000}"/>
    <cellStyle name="20% - Accent4 7 2 4 5" xfId="18164" xr:uid="{00000000-0005-0000-0000-0000C82E0000}"/>
    <cellStyle name="20% - Accent4 7 2 4 5 2" xfId="29856" xr:uid="{00000000-0005-0000-0000-0000C92E0000}"/>
    <cellStyle name="20% - Accent4 7 2 4 6" xfId="22210" xr:uid="{00000000-0005-0000-0000-0000CA2E0000}"/>
    <cellStyle name="20% - Accent4 7 2 5" xfId="2945" xr:uid="{00000000-0005-0000-0000-0000CB2E0000}"/>
    <cellStyle name="20% - Accent4 7 2 5 2" xfId="14216" xr:uid="{00000000-0005-0000-0000-0000CC2E0000}"/>
    <cellStyle name="20% - Accent4 7 2 5 2 2" xfId="26073" xr:uid="{00000000-0005-0000-0000-0000CD2E0000}"/>
    <cellStyle name="20% - Accent4 7 2 5 3" xfId="18167" xr:uid="{00000000-0005-0000-0000-0000CE2E0000}"/>
    <cellStyle name="20% - Accent4 7 2 5 3 2" xfId="29859" xr:uid="{00000000-0005-0000-0000-0000CF2E0000}"/>
    <cellStyle name="20% - Accent4 7 2 5 4" xfId="22213" xr:uid="{00000000-0005-0000-0000-0000D02E0000}"/>
    <cellStyle name="20% - Accent4 7 2 6" xfId="2946" xr:uid="{00000000-0005-0000-0000-0000D12E0000}"/>
    <cellStyle name="20% - Accent4 7 2 6 2" xfId="14217" xr:uid="{00000000-0005-0000-0000-0000D22E0000}"/>
    <cellStyle name="20% - Accent4 7 2 6 2 2" xfId="26074" xr:uid="{00000000-0005-0000-0000-0000D32E0000}"/>
    <cellStyle name="20% - Accent4 7 2 6 3" xfId="18168" xr:uid="{00000000-0005-0000-0000-0000D42E0000}"/>
    <cellStyle name="20% - Accent4 7 2 6 3 2" xfId="29860" xr:uid="{00000000-0005-0000-0000-0000D52E0000}"/>
    <cellStyle name="20% - Accent4 7 2 6 4" xfId="22214" xr:uid="{00000000-0005-0000-0000-0000D62E0000}"/>
    <cellStyle name="20% - Accent4 7 2 7" xfId="14206" xr:uid="{00000000-0005-0000-0000-0000D72E0000}"/>
    <cellStyle name="20% - Accent4 7 2 7 2" xfId="26063" xr:uid="{00000000-0005-0000-0000-0000D82E0000}"/>
    <cellStyle name="20% - Accent4 7 2 8" xfId="18157" xr:uid="{00000000-0005-0000-0000-0000D92E0000}"/>
    <cellStyle name="20% - Accent4 7 2 8 2" xfId="29849" xr:uid="{00000000-0005-0000-0000-0000DA2E0000}"/>
    <cellStyle name="20% - Accent4 7 2 9" xfId="22203" xr:uid="{00000000-0005-0000-0000-0000DB2E0000}"/>
    <cellStyle name="20% - Accent4 7 2_Volatility" xfId="2947" xr:uid="{00000000-0005-0000-0000-0000DC2E0000}"/>
    <cellStyle name="20% - Accent4 7 3" xfId="2948" xr:uid="{00000000-0005-0000-0000-0000DD2E0000}"/>
    <cellStyle name="20% - Accent4 7 3 2" xfId="2949" xr:uid="{00000000-0005-0000-0000-0000DE2E0000}"/>
    <cellStyle name="20% - Accent4 7 3 2 2" xfId="2950" xr:uid="{00000000-0005-0000-0000-0000DF2E0000}"/>
    <cellStyle name="20% - Accent4 7 3 2 2 2" xfId="14220" xr:uid="{00000000-0005-0000-0000-0000E02E0000}"/>
    <cellStyle name="20% - Accent4 7 3 2 2 2 2" xfId="26077" xr:uid="{00000000-0005-0000-0000-0000E12E0000}"/>
    <cellStyle name="20% - Accent4 7 3 2 2 3" xfId="18171" xr:uid="{00000000-0005-0000-0000-0000E22E0000}"/>
    <cellStyle name="20% - Accent4 7 3 2 2 3 2" xfId="29863" xr:uid="{00000000-0005-0000-0000-0000E32E0000}"/>
    <cellStyle name="20% - Accent4 7 3 2 2 4" xfId="22217" xr:uid="{00000000-0005-0000-0000-0000E42E0000}"/>
    <cellStyle name="20% - Accent4 7 3 2 3" xfId="2951" xr:uid="{00000000-0005-0000-0000-0000E52E0000}"/>
    <cellStyle name="20% - Accent4 7 3 2 3 2" xfId="14221" xr:uid="{00000000-0005-0000-0000-0000E62E0000}"/>
    <cellStyle name="20% - Accent4 7 3 2 3 2 2" xfId="26078" xr:uid="{00000000-0005-0000-0000-0000E72E0000}"/>
    <cellStyle name="20% - Accent4 7 3 2 3 3" xfId="18172" xr:uid="{00000000-0005-0000-0000-0000E82E0000}"/>
    <cellStyle name="20% - Accent4 7 3 2 3 3 2" xfId="29864" xr:uid="{00000000-0005-0000-0000-0000E92E0000}"/>
    <cellStyle name="20% - Accent4 7 3 2 3 4" xfId="22218" xr:uid="{00000000-0005-0000-0000-0000EA2E0000}"/>
    <cellStyle name="20% - Accent4 7 3 2 4" xfId="14219" xr:uid="{00000000-0005-0000-0000-0000EB2E0000}"/>
    <cellStyle name="20% - Accent4 7 3 2 4 2" xfId="26076" xr:uid="{00000000-0005-0000-0000-0000EC2E0000}"/>
    <cellStyle name="20% - Accent4 7 3 2 5" xfId="18170" xr:uid="{00000000-0005-0000-0000-0000ED2E0000}"/>
    <cellStyle name="20% - Accent4 7 3 2 5 2" xfId="29862" xr:uid="{00000000-0005-0000-0000-0000EE2E0000}"/>
    <cellStyle name="20% - Accent4 7 3 2 6" xfId="22216" xr:uid="{00000000-0005-0000-0000-0000EF2E0000}"/>
    <cellStyle name="20% - Accent4 7 3 3" xfId="2952" xr:uid="{00000000-0005-0000-0000-0000F02E0000}"/>
    <cellStyle name="20% - Accent4 7 3 3 2" xfId="2953" xr:uid="{00000000-0005-0000-0000-0000F12E0000}"/>
    <cellStyle name="20% - Accent4 7 3 3 2 2" xfId="14223" xr:uid="{00000000-0005-0000-0000-0000F22E0000}"/>
    <cellStyle name="20% - Accent4 7 3 3 2 2 2" xfId="26080" xr:uid="{00000000-0005-0000-0000-0000F32E0000}"/>
    <cellStyle name="20% - Accent4 7 3 3 2 3" xfId="18174" xr:uid="{00000000-0005-0000-0000-0000F42E0000}"/>
    <cellStyle name="20% - Accent4 7 3 3 2 3 2" xfId="29866" xr:uid="{00000000-0005-0000-0000-0000F52E0000}"/>
    <cellStyle name="20% - Accent4 7 3 3 2 4" xfId="22220" xr:uid="{00000000-0005-0000-0000-0000F62E0000}"/>
    <cellStyle name="20% - Accent4 7 3 3 3" xfId="2954" xr:uid="{00000000-0005-0000-0000-0000F72E0000}"/>
    <cellStyle name="20% - Accent4 7 3 3 3 2" xfId="14224" xr:uid="{00000000-0005-0000-0000-0000F82E0000}"/>
    <cellStyle name="20% - Accent4 7 3 3 3 2 2" xfId="26081" xr:uid="{00000000-0005-0000-0000-0000F92E0000}"/>
    <cellStyle name="20% - Accent4 7 3 3 3 3" xfId="18175" xr:uid="{00000000-0005-0000-0000-0000FA2E0000}"/>
    <cellStyle name="20% - Accent4 7 3 3 3 3 2" xfId="29867" xr:uid="{00000000-0005-0000-0000-0000FB2E0000}"/>
    <cellStyle name="20% - Accent4 7 3 3 3 4" xfId="22221" xr:uid="{00000000-0005-0000-0000-0000FC2E0000}"/>
    <cellStyle name="20% - Accent4 7 3 3 4" xfId="14222" xr:uid="{00000000-0005-0000-0000-0000FD2E0000}"/>
    <cellStyle name="20% - Accent4 7 3 3 4 2" xfId="26079" xr:uid="{00000000-0005-0000-0000-0000FE2E0000}"/>
    <cellStyle name="20% - Accent4 7 3 3 5" xfId="18173" xr:uid="{00000000-0005-0000-0000-0000FF2E0000}"/>
    <cellStyle name="20% - Accent4 7 3 3 5 2" xfId="29865" xr:uid="{00000000-0005-0000-0000-0000002F0000}"/>
    <cellStyle name="20% - Accent4 7 3 3 6" xfId="22219" xr:uid="{00000000-0005-0000-0000-0000012F0000}"/>
    <cellStyle name="20% - Accent4 7 3 4" xfId="2955" xr:uid="{00000000-0005-0000-0000-0000022F0000}"/>
    <cellStyle name="20% - Accent4 7 3 4 2" xfId="14225" xr:uid="{00000000-0005-0000-0000-0000032F0000}"/>
    <cellStyle name="20% - Accent4 7 3 4 2 2" xfId="26082" xr:uid="{00000000-0005-0000-0000-0000042F0000}"/>
    <cellStyle name="20% - Accent4 7 3 4 3" xfId="18176" xr:uid="{00000000-0005-0000-0000-0000052F0000}"/>
    <cellStyle name="20% - Accent4 7 3 4 3 2" xfId="29868" xr:uid="{00000000-0005-0000-0000-0000062F0000}"/>
    <cellStyle name="20% - Accent4 7 3 4 4" xfId="22222" xr:uid="{00000000-0005-0000-0000-0000072F0000}"/>
    <cellStyle name="20% - Accent4 7 3 5" xfId="2956" xr:uid="{00000000-0005-0000-0000-0000082F0000}"/>
    <cellStyle name="20% - Accent4 7 3 5 2" xfId="14226" xr:uid="{00000000-0005-0000-0000-0000092F0000}"/>
    <cellStyle name="20% - Accent4 7 3 5 2 2" xfId="26083" xr:uid="{00000000-0005-0000-0000-00000A2F0000}"/>
    <cellStyle name="20% - Accent4 7 3 5 3" xfId="18177" xr:uid="{00000000-0005-0000-0000-00000B2F0000}"/>
    <cellStyle name="20% - Accent4 7 3 5 3 2" xfId="29869" xr:uid="{00000000-0005-0000-0000-00000C2F0000}"/>
    <cellStyle name="20% - Accent4 7 3 5 4" xfId="22223" xr:uid="{00000000-0005-0000-0000-00000D2F0000}"/>
    <cellStyle name="20% - Accent4 7 3 6" xfId="14218" xr:uid="{00000000-0005-0000-0000-00000E2F0000}"/>
    <cellStyle name="20% - Accent4 7 3 6 2" xfId="26075" xr:uid="{00000000-0005-0000-0000-00000F2F0000}"/>
    <cellStyle name="20% - Accent4 7 3 7" xfId="18169" xr:uid="{00000000-0005-0000-0000-0000102F0000}"/>
    <cellStyle name="20% - Accent4 7 3 7 2" xfId="29861" xr:uid="{00000000-0005-0000-0000-0000112F0000}"/>
    <cellStyle name="20% - Accent4 7 3 8" xfId="22215" xr:uid="{00000000-0005-0000-0000-0000122F0000}"/>
    <cellStyle name="20% - Accent4 7 3_Volatility" xfId="2957" xr:uid="{00000000-0005-0000-0000-0000132F0000}"/>
    <cellStyle name="20% - Accent4 7 4" xfId="2958" xr:uid="{00000000-0005-0000-0000-0000142F0000}"/>
    <cellStyle name="20% - Accent4 7 4 2" xfId="2959" xr:uid="{00000000-0005-0000-0000-0000152F0000}"/>
    <cellStyle name="20% - Accent4 7 4 2 2" xfId="14228" xr:uid="{00000000-0005-0000-0000-0000162F0000}"/>
    <cellStyle name="20% - Accent4 7 4 2 2 2" xfId="26085" xr:uid="{00000000-0005-0000-0000-0000172F0000}"/>
    <cellStyle name="20% - Accent4 7 4 2 3" xfId="18179" xr:uid="{00000000-0005-0000-0000-0000182F0000}"/>
    <cellStyle name="20% - Accent4 7 4 2 3 2" xfId="29871" xr:uid="{00000000-0005-0000-0000-0000192F0000}"/>
    <cellStyle name="20% - Accent4 7 4 2 4" xfId="22225" xr:uid="{00000000-0005-0000-0000-00001A2F0000}"/>
    <cellStyle name="20% - Accent4 7 4 3" xfId="2960" xr:uid="{00000000-0005-0000-0000-00001B2F0000}"/>
    <cellStyle name="20% - Accent4 7 4 3 2" xfId="14229" xr:uid="{00000000-0005-0000-0000-00001C2F0000}"/>
    <cellStyle name="20% - Accent4 7 4 3 2 2" xfId="26086" xr:uid="{00000000-0005-0000-0000-00001D2F0000}"/>
    <cellStyle name="20% - Accent4 7 4 3 3" xfId="18180" xr:uid="{00000000-0005-0000-0000-00001E2F0000}"/>
    <cellStyle name="20% - Accent4 7 4 3 3 2" xfId="29872" xr:uid="{00000000-0005-0000-0000-00001F2F0000}"/>
    <cellStyle name="20% - Accent4 7 4 3 4" xfId="22226" xr:uid="{00000000-0005-0000-0000-0000202F0000}"/>
    <cellStyle name="20% - Accent4 7 4 4" xfId="14227" xr:uid="{00000000-0005-0000-0000-0000212F0000}"/>
    <cellStyle name="20% - Accent4 7 4 4 2" xfId="26084" xr:uid="{00000000-0005-0000-0000-0000222F0000}"/>
    <cellStyle name="20% - Accent4 7 4 5" xfId="18178" xr:uid="{00000000-0005-0000-0000-0000232F0000}"/>
    <cellStyle name="20% - Accent4 7 4 5 2" xfId="29870" xr:uid="{00000000-0005-0000-0000-0000242F0000}"/>
    <cellStyle name="20% - Accent4 7 4 6" xfId="22224" xr:uid="{00000000-0005-0000-0000-0000252F0000}"/>
    <cellStyle name="20% - Accent4 7 5" xfId="2961" xr:uid="{00000000-0005-0000-0000-0000262F0000}"/>
    <cellStyle name="20% - Accent4 7 5 2" xfId="2962" xr:uid="{00000000-0005-0000-0000-0000272F0000}"/>
    <cellStyle name="20% - Accent4 7 5 2 2" xfId="14231" xr:uid="{00000000-0005-0000-0000-0000282F0000}"/>
    <cellStyle name="20% - Accent4 7 5 2 2 2" xfId="26088" xr:uid="{00000000-0005-0000-0000-0000292F0000}"/>
    <cellStyle name="20% - Accent4 7 5 2 3" xfId="18182" xr:uid="{00000000-0005-0000-0000-00002A2F0000}"/>
    <cellStyle name="20% - Accent4 7 5 2 3 2" xfId="29874" xr:uid="{00000000-0005-0000-0000-00002B2F0000}"/>
    <cellStyle name="20% - Accent4 7 5 2 4" xfId="22228" xr:uid="{00000000-0005-0000-0000-00002C2F0000}"/>
    <cellStyle name="20% - Accent4 7 5 3" xfId="2963" xr:uid="{00000000-0005-0000-0000-00002D2F0000}"/>
    <cellStyle name="20% - Accent4 7 5 3 2" xfId="14232" xr:uid="{00000000-0005-0000-0000-00002E2F0000}"/>
    <cellStyle name="20% - Accent4 7 5 3 2 2" xfId="26089" xr:uid="{00000000-0005-0000-0000-00002F2F0000}"/>
    <cellStyle name="20% - Accent4 7 5 3 3" xfId="18183" xr:uid="{00000000-0005-0000-0000-0000302F0000}"/>
    <cellStyle name="20% - Accent4 7 5 3 3 2" xfId="29875" xr:uid="{00000000-0005-0000-0000-0000312F0000}"/>
    <cellStyle name="20% - Accent4 7 5 3 4" xfId="22229" xr:uid="{00000000-0005-0000-0000-0000322F0000}"/>
    <cellStyle name="20% - Accent4 7 5 4" xfId="14230" xr:uid="{00000000-0005-0000-0000-0000332F0000}"/>
    <cellStyle name="20% - Accent4 7 5 4 2" xfId="26087" xr:uid="{00000000-0005-0000-0000-0000342F0000}"/>
    <cellStyle name="20% - Accent4 7 5 5" xfId="18181" xr:uid="{00000000-0005-0000-0000-0000352F0000}"/>
    <cellStyle name="20% - Accent4 7 5 5 2" xfId="29873" xr:uid="{00000000-0005-0000-0000-0000362F0000}"/>
    <cellStyle name="20% - Accent4 7 5 6" xfId="22227" xr:uid="{00000000-0005-0000-0000-0000372F0000}"/>
    <cellStyle name="20% - Accent4 7 6" xfId="2964" xr:uid="{00000000-0005-0000-0000-0000382F0000}"/>
    <cellStyle name="20% - Accent4 7 6 2" xfId="2965" xr:uid="{00000000-0005-0000-0000-0000392F0000}"/>
    <cellStyle name="20% - Accent4 7 6 2 2" xfId="14234" xr:uid="{00000000-0005-0000-0000-00003A2F0000}"/>
    <cellStyle name="20% - Accent4 7 6 2 2 2" xfId="26091" xr:uid="{00000000-0005-0000-0000-00003B2F0000}"/>
    <cellStyle name="20% - Accent4 7 6 2 3" xfId="18185" xr:uid="{00000000-0005-0000-0000-00003C2F0000}"/>
    <cellStyle name="20% - Accent4 7 6 2 3 2" xfId="29877" xr:uid="{00000000-0005-0000-0000-00003D2F0000}"/>
    <cellStyle name="20% - Accent4 7 6 2 4" xfId="22231" xr:uid="{00000000-0005-0000-0000-00003E2F0000}"/>
    <cellStyle name="20% - Accent4 7 6 3" xfId="2966" xr:uid="{00000000-0005-0000-0000-00003F2F0000}"/>
    <cellStyle name="20% - Accent4 7 6 3 2" xfId="14235" xr:uid="{00000000-0005-0000-0000-0000402F0000}"/>
    <cellStyle name="20% - Accent4 7 6 3 2 2" xfId="26092" xr:uid="{00000000-0005-0000-0000-0000412F0000}"/>
    <cellStyle name="20% - Accent4 7 6 3 3" xfId="18186" xr:uid="{00000000-0005-0000-0000-0000422F0000}"/>
    <cellStyle name="20% - Accent4 7 6 3 3 2" xfId="29878" xr:uid="{00000000-0005-0000-0000-0000432F0000}"/>
    <cellStyle name="20% - Accent4 7 6 3 4" xfId="22232" xr:uid="{00000000-0005-0000-0000-0000442F0000}"/>
    <cellStyle name="20% - Accent4 7 6 4" xfId="14233" xr:uid="{00000000-0005-0000-0000-0000452F0000}"/>
    <cellStyle name="20% - Accent4 7 6 4 2" xfId="26090" xr:uid="{00000000-0005-0000-0000-0000462F0000}"/>
    <cellStyle name="20% - Accent4 7 6 5" xfId="18184" xr:uid="{00000000-0005-0000-0000-0000472F0000}"/>
    <cellStyle name="20% - Accent4 7 6 5 2" xfId="29876" xr:uid="{00000000-0005-0000-0000-0000482F0000}"/>
    <cellStyle name="20% - Accent4 7 6 6" xfId="22230" xr:uid="{00000000-0005-0000-0000-0000492F0000}"/>
    <cellStyle name="20% - Accent4 7 7" xfId="2967" xr:uid="{00000000-0005-0000-0000-00004A2F0000}"/>
    <cellStyle name="20% - Accent4 7 7 2" xfId="14236" xr:uid="{00000000-0005-0000-0000-00004B2F0000}"/>
    <cellStyle name="20% - Accent4 7 7 2 2" xfId="26093" xr:uid="{00000000-0005-0000-0000-00004C2F0000}"/>
    <cellStyle name="20% - Accent4 7 7 3" xfId="18187" xr:uid="{00000000-0005-0000-0000-00004D2F0000}"/>
    <cellStyle name="20% - Accent4 7 7 3 2" xfId="29879" xr:uid="{00000000-0005-0000-0000-00004E2F0000}"/>
    <cellStyle name="20% - Accent4 7 7 4" xfId="22233" xr:uid="{00000000-0005-0000-0000-00004F2F0000}"/>
    <cellStyle name="20% - Accent4 7 8" xfId="2968" xr:uid="{00000000-0005-0000-0000-0000502F0000}"/>
    <cellStyle name="20% - Accent4 7 8 2" xfId="14237" xr:uid="{00000000-0005-0000-0000-0000512F0000}"/>
    <cellStyle name="20% - Accent4 7 8 2 2" xfId="26094" xr:uid="{00000000-0005-0000-0000-0000522F0000}"/>
    <cellStyle name="20% - Accent4 7 8 3" xfId="18188" xr:uid="{00000000-0005-0000-0000-0000532F0000}"/>
    <cellStyle name="20% - Accent4 7 8 3 2" xfId="29880" xr:uid="{00000000-0005-0000-0000-0000542F0000}"/>
    <cellStyle name="20% - Accent4 7 8 4" xfId="22234" xr:uid="{00000000-0005-0000-0000-0000552F0000}"/>
    <cellStyle name="20% - Accent4 7 9" xfId="14205" xr:uid="{00000000-0005-0000-0000-0000562F0000}"/>
    <cellStyle name="20% - Accent4 7 9 2" xfId="26062" xr:uid="{00000000-0005-0000-0000-0000572F0000}"/>
    <cellStyle name="20% - Accent4 7_Volatility" xfId="2969" xr:uid="{00000000-0005-0000-0000-0000582F0000}"/>
    <cellStyle name="20% - Accent4 8" xfId="2970" xr:uid="{00000000-0005-0000-0000-0000592F0000}"/>
    <cellStyle name="20% - Accent4 8 10" xfId="18189" xr:uid="{00000000-0005-0000-0000-00005A2F0000}"/>
    <cellStyle name="20% - Accent4 8 10 2" xfId="29881" xr:uid="{00000000-0005-0000-0000-00005B2F0000}"/>
    <cellStyle name="20% - Accent4 8 11" xfId="22235" xr:uid="{00000000-0005-0000-0000-00005C2F0000}"/>
    <cellStyle name="20% - Accent4 8 2" xfId="2971" xr:uid="{00000000-0005-0000-0000-00005D2F0000}"/>
    <cellStyle name="20% - Accent4 8 2 2" xfId="2972" xr:uid="{00000000-0005-0000-0000-00005E2F0000}"/>
    <cellStyle name="20% - Accent4 8 2 2 2" xfId="2973" xr:uid="{00000000-0005-0000-0000-00005F2F0000}"/>
    <cellStyle name="20% - Accent4 8 2 2 2 2" xfId="14241" xr:uid="{00000000-0005-0000-0000-0000602F0000}"/>
    <cellStyle name="20% - Accent4 8 2 2 2 2 2" xfId="26098" xr:uid="{00000000-0005-0000-0000-0000612F0000}"/>
    <cellStyle name="20% - Accent4 8 2 2 2 3" xfId="18192" xr:uid="{00000000-0005-0000-0000-0000622F0000}"/>
    <cellStyle name="20% - Accent4 8 2 2 2 3 2" xfId="29884" xr:uid="{00000000-0005-0000-0000-0000632F0000}"/>
    <cellStyle name="20% - Accent4 8 2 2 2 4" xfId="22238" xr:uid="{00000000-0005-0000-0000-0000642F0000}"/>
    <cellStyle name="20% - Accent4 8 2 2 3" xfId="2974" xr:uid="{00000000-0005-0000-0000-0000652F0000}"/>
    <cellStyle name="20% - Accent4 8 2 2 3 2" xfId="14242" xr:uid="{00000000-0005-0000-0000-0000662F0000}"/>
    <cellStyle name="20% - Accent4 8 2 2 3 2 2" xfId="26099" xr:uid="{00000000-0005-0000-0000-0000672F0000}"/>
    <cellStyle name="20% - Accent4 8 2 2 3 3" xfId="18193" xr:uid="{00000000-0005-0000-0000-0000682F0000}"/>
    <cellStyle name="20% - Accent4 8 2 2 3 3 2" xfId="29885" xr:uid="{00000000-0005-0000-0000-0000692F0000}"/>
    <cellStyle name="20% - Accent4 8 2 2 3 4" xfId="22239" xr:uid="{00000000-0005-0000-0000-00006A2F0000}"/>
    <cellStyle name="20% - Accent4 8 2 2 4" xfId="14240" xr:uid="{00000000-0005-0000-0000-00006B2F0000}"/>
    <cellStyle name="20% - Accent4 8 2 2 4 2" xfId="26097" xr:uid="{00000000-0005-0000-0000-00006C2F0000}"/>
    <cellStyle name="20% - Accent4 8 2 2 5" xfId="18191" xr:uid="{00000000-0005-0000-0000-00006D2F0000}"/>
    <cellStyle name="20% - Accent4 8 2 2 5 2" xfId="29883" xr:uid="{00000000-0005-0000-0000-00006E2F0000}"/>
    <cellStyle name="20% - Accent4 8 2 2 6" xfId="22237" xr:uid="{00000000-0005-0000-0000-00006F2F0000}"/>
    <cellStyle name="20% - Accent4 8 2 3" xfId="2975" xr:uid="{00000000-0005-0000-0000-0000702F0000}"/>
    <cellStyle name="20% - Accent4 8 2 3 2" xfId="2976" xr:uid="{00000000-0005-0000-0000-0000712F0000}"/>
    <cellStyle name="20% - Accent4 8 2 3 2 2" xfId="14244" xr:uid="{00000000-0005-0000-0000-0000722F0000}"/>
    <cellStyle name="20% - Accent4 8 2 3 2 2 2" xfId="26101" xr:uid="{00000000-0005-0000-0000-0000732F0000}"/>
    <cellStyle name="20% - Accent4 8 2 3 2 3" xfId="18195" xr:uid="{00000000-0005-0000-0000-0000742F0000}"/>
    <cellStyle name="20% - Accent4 8 2 3 2 3 2" xfId="29887" xr:uid="{00000000-0005-0000-0000-0000752F0000}"/>
    <cellStyle name="20% - Accent4 8 2 3 2 4" xfId="22241" xr:uid="{00000000-0005-0000-0000-0000762F0000}"/>
    <cellStyle name="20% - Accent4 8 2 3 3" xfId="2977" xr:uid="{00000000-0005-0000-0000-0000772F0000}"/>
    <cellStyle name="20% - Accent4 8 2 3 3 2" xfId="14245" xr:uid="{00000000-0005-0000-0000-0000782F0000}"/>
    <cellStyle name="20% - Accent4 8 2 3 3 2 2" xfId="26102" xr:uid="{00000000-0005-0000-0000-0000792F0000}"/>
    <cellStyle name="20% - Accent4 8 2 3 3 3" xfId="18196" xr:uid="{00000000-0005-0000-0000-00007A2F0000}"/>
    <cellStyle name="20% - Accent4 8 2 3 3 3 2" xfId="29888" xr:uid="{00000000-0005-0000-0000-00007B2F0000}"/>
    <cellStyle name="20% - Accent4 8 2 3 3 4" xfId="22242" xr:uid="{00000000-0005-0000-0000-00007C2F0000}"/>
    <cellStyle name="20% - Accent4 8 2 3 4" xfId="14243" xr:uid="{00000000-0005-0000-0000-00007D2F0000}"/>
    <cellStyle name="20% - Accent4 8 2 3 4 2" xfId="26100" xr:uid="{00000000-0005-0000-0000-00007E2F0000}"/>
    <cellStyle name="20% - Accent4 8 2 3 5" xfId="18194" xr:uid="{00000000-0005-0000-0000-00007F2F0000}"/>
    <cellStyle name="20% - Accent4 8 2 3 5 2" xfId="29886" xr:uid="{00000000-0005-0000-0000-0000802F0000}"/>
    <cellStyle name="20% - Accent4 8 2 3 6" xfId="22240" xr:uid="{00000000-0005-0000-0000-0000812F0000}"/>
    <cellStyle name="20% - Accent4 8 2 4" xfId="2978" xr:uid="{00000000-0005-0000-0000-0000822F0000}"/>
    <cellStyle name="20% - Accent4 8 2 4 2" xfId="2979" xr:uid="{00000000-0005-0000-0000-0000832F0000}"/>
    <cellStyle name="20% - Accent4 8 2 4 2 2" xfId="14247" xr:uid="{00000000-0005-0000-0000-0000842F0000}"/>
    <cellStyle name="20% - Accent4 8 2 4 2 2 2" xfId="26104" xr:uid="{00000000-0005-0000-0000-0000852F0000}"/>
    <cellStyle name="20% - Accent4 8 2 4 2 3" xfId="18198" xr:uid="{00000000-0005-0000-0000-0000862F0000}"/>
    <cellStyle name="20% - Accent4 8 2 4 2 3 2" xfId="29890" xr:uid="{00000000-0005-0000-0000-0000872F0000}"/>
    <cellStyle name="20% - Accent4 8 2 4 2 4" xfId="22244" xr:uid="{00000000-0005-0000-0000-0000882F0000}"/>
    <cellStyle name="20% - Accent4 8 2 4 3" xfId="2980" xr:uid="{00000000-0005-0000-0000-0000892F0000}"/>
    <cellStyle name="20% - Accent4 8 2 4 3 2" xfId="14248" xr:uid="{00000000-0005-0000-0000-00008A2F0000}"/>
    <cellStyle name="20% - Accent4 8 2 4 3 2 2" xfId="26105" xr:uid="{00000000-0005-0000-0000-00008B2F0000}"/>
    <cellStyle name="20% - Accent4 8 2 4 3 3" xfId="18199" xr:uid="{00000000-0005-0000-0000-00008C2F0000}"/>
    <cellStyle name="20% - Accent4 8 2 4 3 3 2" xfId="29891" xr:uid="{00000000-0005-0000-0000-00008D2F0000}"/>
    <cellStyle name="20% - Accent4 8 2 4 3 4" xfId="22245" xr:uid="{00000000-0005-0000-0000-00008E2F0000}"/>
    <cellStyle name="20% - Accent4 8 2 4 4" xfId="14246" xr:uid="{00000000-0005-0000-0000-00008F2F0000}"/>
    <cellStyle name="20% - Accent4 8 2 4 4 2" xfId="26103" xr:uid="{00000000-0005-0000-0000-0000902F0000}"/>
    <cellStyle name="20% - Accent4 8 2 4 5" xfId="18197" xr:uid="{00000000-0005-0000-0000-0000912F0000}"/>
    <cellStyle name="20% - Accent4 8 2 4 5 2" xfId="29889" xr:uid="{00000000-0005-0000-0000-0000922F0000}"/>
    <cellStyle name="20% - Accent4 8 2 4 6" xfId="22243" xr:uid="{00000000-0005-0000-0000-0000932F0000}"/>
    <cellStyle name="20% - Accent4 8 2 5" xfId="2981" xr:uid="{00000000-0005-0000-0000-0000942F0000}"/>
    <cellStyle name="20% - Accent4 8 2 5 2" xfId="14249" xr:uid="{00000000-0005-0000-0000-0000952F0000}"/>
    <cellStyle name="20% - Accent4 8 2 5 2 2" xfId="26106" xr:uid="{00000000-0005-0000-0000-0000962F0000}"/>
    <cellStyle name="20% - Accent4 8 2 5 3" xfId="18200" xr:uid="{00000000-0005-0000-0000-0000972F0000}"/>
    <cellStyle name="20% - Accent4 8 2 5 3 2" xfId="29892" xr:uid="{00000000-0005-0000-0000-0000982F0000}"/>
    <cellStyle name="20% - Accent4 8 2 5 4" xfId="22246" xr:uid="{00000000-0005-0000-0000-0000992F0000}"/>
    <cellStyle name="20% - Accent4 8 2 6" xfId="2982" xr:uid="{00000000-0005-0000-0000-00009A2F0000}"/>
    <cellStyle name="20% - Accent4 8 2 6 2" xfId="14250" xr:uid="{00000000-0005-0000-0000-00009B2F0000}"/>
    <cellStyle name="20% - Accent4 8 2 6 2 2" xfId="26107" xr:uid="{00000000-0005-0000-0000-00009C2F0000}"/>
    <cellStyle name="20% - Accent4 8 2 6 3" xfId="18201" xr:uid="{00000000-0005-0000-0000-00009D2F0000}"/>
    <cellStyle name="20% - Accent4 8 2 6 3 2" xfId="29893" xr:uid="{00000000-0005-0000-0000-00009E2F0000}"/>
    <cellStyle name="20% - Accent4 8 2 6 4" xfId="22247" xr:uid="{00000000-0005-0000-0000-00009F2F0000}"/>
    <cellStyle name="20% - Accent4 8 2 7" xfId="14239" xr:uid="{00000000-0005-0000-0000-0000A02F0000}"/>
    <cellStyle name="20% - Accent4 8 2 7 2" xfId="26096" xr:uid="{00000000-0005-0000-0000-0000A12F0000}"/>
    <cellStyle name="20% - Accent4 8 2 8" xfId="18190" xr:uid="{00000000-0005-0000-0000-0000A22F0000}"/>
    <cellStyle name="20% - Accent4 8 2 8 2" xfId="29882" xr:uid="{00000000-0005-0000-0000-0000A32F0000}"/>
    <cellStyle name="20% - Accent4 8 2 9" xfId="22236" xr:uid="{00000000-0005-0000-0000-0000A42F0000}"/>
    <cellStyle name="20% - Accent4 8 2_Volatility" xfId="2983" xr:uid="{00000000-0005-0000-0000-0000A52F0000}"/>
    <cellStyle name="20% - Accent4 8 3" xfId="2984" xr:uid="{00000000-0005-0000-0000-0000A62F0000}"/>
    <cellStyle name="20% - Accent4 8 3 2" xfId="2985" xr:uid="{00000000-0005-0000-0000-0000A72F0000}"/>
    <cellStyle name="20% - Accent4 8 3 2 2" xfId="2986" xr:uid="{00000000-0005-0000-0000-0000A82F0000}"/>
    <cellStyle name="20% - Accent4 8 3 2 2 2" xfId="14253" xr:uid="{00000000-0005-0000-0000-0000A92F0000}"/>
    <cellStyle name="20% - Accent4 8 3 2 2 2 2" xfId="26110" xr:uid="{00000000-0005-0000-0000-0000AA2F0000}"/>
    <cellStyle name="20% - Accent4 8 3 2 2 3" xfId="18204" xr:uid="{00000000-0005-0000-0000-0000AB2F0000}"/>
    <cellStyle name="20% - Accent4 8 3 2 2 3 2" xfId="29896" xr:uid="{00000000-0005-0000-0000-0000AC2F0000}"/>
    <cellStyle name="20% - Accent4 8 3 2 2 4" xfId="22250" xr:uid="{00000000-0005-0000-0000-0000AD2F0000}"/>
    <cellStyle name="20% - Accent4 8 3 2 3" xfId="2987" xr:uid="{00000000-0005-0000-0000-0000AE2F0000}"/>
    <cellStyle name="20% - Accent4 8 3 2 3 2" xfId="14254" xr:uid="{00000000-0005-0000-0000-0000AF2F0000}"/>
    <cellStyle name="20% - Accent4 8 3 2 3 2 2" xfId="26111" xr:uid="{00000000-0005-0000-0000-0000B02F0000}"/>
    <cellStyle name="20% - Accent4 8 3 2 3 3" xfId="18205" xr:uid="{00000000-0005-0000-0000-0000B12F0000}"/>
    <cellStyle name="20% - Accent4 8 3 2 3 3 2" xfId="29897" xr:uid="{00000000-0005-0000-0000-0000B22F0000}"/>
    <cellStyle name="20% - Accent4 8 3 2 3 4" xfId="22251" xr:uid="{00000000-0005-0000-0000-0000B32F0000}"/>
    <cellStyle name="20% - Accent4 8 3 2 4" xfId="14252" xr:uid="{00000000-0005-0000-0000-0000B42F0000}"/>
    <cellStyle name="20% - Accent4 8 3 2 4 2" xfId="26109" xr:uid="{00000000-0005-0000-0000-0000B52F0000}"/>
    <cellStyle name="20% - Accent4 8 3 2 5" xfId="18203" xr:uid="{00000000-0005-0000-0000-0000B62F0000}"/>
    <cellStyle name="20% - Accent4 8 3 2 5 2" xfId="29895" xr:uid="{00000000-0005-0000-0000-0000B72F0000}"/>
    <cellStyle name="20% - Accent4 8 3 2 6" xfId="22249" xr:uid="{00000000-0005-0000-0000-0000B82F0000}"/>
    <cellStyle name="20% - Accent4 8 3 3" xfId="2988" xr:uid="{00000000-0005-0000-0000-0000B92F0000}"/>
    <cellStyle name="20% - Accent4 8 3 3 2" xfId="2989" xr:uid="{00000000-0005-0000-0000-0000BA2F0000}"/>
    <cellStyle name="20% - Accent4 8 3 3 2 2" xfId="14256" xr:uid="{00000000-0005-0000-0000-0000BB2F0000}"/>
    <cellStyle name="20% - Accent4 8 3 3 2 2 2" xfId="26113" xr:uid="{00000000-0005-0000-0000-0000BC2F0000}"/>
    <cellStyle name="20% - Accent4 8 3 3 2 3" xfId="18207" xr:uid="{00000000-0005-0000-0000-0000BD2F0000}"/>
    <cellStyle name="20% - Accent4 8 3 3 2 3 2" xfId="29899" xr:uid="{00000000-0005-0000-0000-0000BE2F0000}"/>
    <cellStyle name="20% - Accent4 8 3 3 2 4" xfId="22253" xr:uid="{00000000-0005-0000-0000-0000BF2F0000}"/>
    <cellStyle name="20% - Accent4 8 3 3 3" xfId="2990" xr:uid="{00000000-0005-0000-0000-0000C02F0000}"/>
    <cellStyle name="20% - Accent4 8 3 3 3 2" xfId="14257" xr:uid="{00000000-0005-0000-0000-0000C12F0000}"/>
    <cellStyle name="20% - Accent4 8 3 3 3 2 2" xfId="26114" xr:uid="{00000000-0005-0000-0000-0000C22F0000}"/>
    <cellStyle name="20% - Accent4 8 3 3 3 3" xfId="18208" xr:uid="{00000000-0005-0000-0000-0000C32F0000}"/>
    <cellStyle name="20% - Accent4 8 3 3 3 3 2" xfId="29900" xr:uid="{00000000-0005-0000-0000-0000C42F0000}"/>
    <cellStyle name="20% - Accent4 8 3 3 3 4" xfId="22254" xr:uid="{00000000-0005-0000-0000-0000C52F0000}"/>
    <cellStyle name="20% - Accent4 8 3 3 4" xfId="14255" xr:uid="{00000000-0005-0000-0000-0000C62F0000}"/>
    <cellStyle name="20% - Accent4 8 3 3 4 2" xfId="26112" xr:uid="{00000000-0005-0000-0000-0000C72F0000}"/>
    <cellStyle name="20% - Accent4 8 3 3 5" xfId="18206" xr:uid="{00000000-0005-0000-0000-0000C82F0000}"/>
    <cellStyle name="20% - Accent4 8 3 3 5 2" xfId="29898" xr:uid="{00000000-0005-0000-0000-0000C92F0000}"/>
    <cellStyle name="20% - Accent4 8 3 3 6" xfId="22252" xr:uid="{00000000-0005-0000-0000-0000CA2F0000}"/>
    <cellStyle name="20% - Accent4 8 3 4" xfId="2991" xr:uid="{00000000-0005-0000-0000-0000CB2F0000}"/>
    <cellStyle name="20% - Accent4 8 3 4 2" xfId="14258" xr:uid="{00000000-0005-0000-0000-0000CC2F0000}"/>
    <cellStyle name="20% - Accent4 8 3 4 2 2" xfId="26115" xr:uid="{00000000-0005-0000-0000-0000CD2F0000}"/>
    <cellStyle name="20% - Accent4 8 3 4 3" xfId="18209" xr:uid="{00000000-0005-0000-0000-0000CE2F0000}"/>
    <cellStyle name="20% - Accent4 8 3 4 3 2" xfId="29901" xr:uid="{00000000-0005-0000-0000-0000CF2F0000}"/>
    <cellStyle name="20% - Accent4 8 3 4 4" xfId="22255" xr:uid="{00000000-0005-0000-0000-0000D02F0000}"/>
    <cellStyle name="20% - Accent4 8 3 5" xfId="2992" xr:uid="{00000000-0005-0000-0000-0000D12F0000}"/>
    <cellStyle name="20% - Accent4 8 3 5 2" xfId="14259" xr:uid="{00000000-0005-0000-0000-0000D22F0000}"/>
    <cellStyle name="20% - Accent4 8 3 5 2 2" xfId="26116" xr:uid="{00000000-0005-0000-0000-0000D32F0000}"/>
    <cellStyle name="20% - Accent4 8 3 5 3" xfId="18210" xr:uid="{00000000-0005-0000-0000-0000D42F0000}"/>
    <cellStyle name="20% - Accent4 8 3 5 3 2" xfId="29902" xr:uid="{00000000-0005-0000-0000-0000D52F0000}"/>
    <cellStyle name="20% - Accent4 8 3 5 4" xfId="22256" xr:uid="{00000000-0005-0000-0000-0000D62F0000}"/>
    <cellStyle name="20% - Accent4 8 3 6" xfId="14251" xr:uid="{00000000-0005-0000-0000-0000D72F0000}"/>
    <cellStyle name="20% - Accent4 8 3 6 2" xfId="26108" xr:uid="{00000000-0005-0000-0000-0000D82F0000}"/>
    <cellStyle name="20% - Accent4 8 3 7" xfId="18202" xr:uid="{00000000-0005-0000-0000-0000D92F0000}"/>
    <cellStyle name="20% - Accent4 8 3 7 2" xfId="29894" xr:uid="{00000000-0005-0000-0000-0000DA2F0000}"/>
    <cellStyle name="20% - Accent4 8 3 8" xfId="22248" xr:uid="{00000000-0005-0000-0000-0000DB2F0000}"/>
    <cellStyle name="20% - Accent4 8 3_Volatility" xfId="2993" xr:uid="{00000000-0005-0000-0000-0000DC2F0000}"/>
    <cellStyle name="20% - Accent4 8 4" xfId="2994" xr:uid="{00000000-0005-0000-0000-0000DD2F0000}"/>
    <cellStyle name="20% - Accent4 8 4 2" xfId="2995" xr:uid="{00000000-0005-0000-0000-0000DE2F0000}"/>
    <cellStyle name="20% - Accent4 8 4 2 2" xfId="14261" xr:uid="{00000000-0005-0000-0000-0000DF2F0000}"/>
    <cellStyle name="20% - Accent4 8 4 2 2 2" xfId="26118" xr:uid="{00000000-0005-0000-0000-0000E02F0000}"/>
    <cellStyle name="20% - Accent4 8 4 2 3" xfId="18212" xr:uid="{00000000-0005-0000-0000-0000E12F0000}"/>
    <cellStyle name="20% - Accent4 8 4 2 3 2" xfId="29904" xr:uid="{00000000-0005-0000-0000-0000E22F0000}"/>
    <cellStyle name="20% - Accent4 8 4 2 4" xfId="22258" xr:uid="{00000000-0005-0000-0000-0000E32F0000}"/>
    <cellStyle name="20% - Accent4 8 4 3" xfId="2996" xr:uid="{00000000-0005-0000-0000-0000E42F0000}"/>
    <cellStyle name="20% - Accent4 8 4 3 2" xfId="14262" xr:uid="{00000000-0005-0000-0000-0000E52F0000}"/>
    <cellStyle name="20% - Accent4 8 4 3 2 2" xfId="26119" xr:uid="{00000000-0005-0000-0000-0000E62F0000}"/>
    <cellStyle name="20% - Accent4 8 4 3 3" xfId="18213" xr:uid="{00000000-0005-0000-0000-0000E72F0000}"/>
    <cellStyle name="20% - Accent4 8 4 3 3 2" xfId="29905" xr:uid="{00000000-0005-0000-0000-0000E82F0000}"/>
    <cellStyle name="20% - Accent4 8 4 3 4" xfId="22259" xr:uid="{00000000-0005-0000-0000-0000E92F0000}"/>
    <cellStyle name="20% - Accent4 8 4 4" xfId="14260" xr:uid="{00000000-0005-0000-0000-0000EA2F0000}"/>
    <cellStyle name="20% - Accent4 8 4 4 2" xfId="26117" xr:uid="{00000000-0005-0000-0000-0000EB2F0000}"/>
    <cellStyle name="20% - Accent4 8 4 5" xfId="18211" xr:uid="{00000000-0005-0000-0000-0000EC2F0000}"/>
    <cellStyle name="20% - Accent4 8 4 5 2" xfId="29903" xr:uid="{00000000-0005-0000-0000-0000ED2F0000}"/>
    <cellStyle name="20% - Accent4 8 4 6" xfId="22257" xr:uid="{00000000-0005-0000-0000-0000EE2F0000}"/>
    <cellStyle name="20% - Accent4 8 5" xfId="2997" xr:uid="{00000000-0005-0000-0000-0000EF2F0000}"/>
    <cellStyle name="20% - Accent4 8 5 2" xfId="2998" xr:uid="{00000000-0005-0000-0000-0000F02F0000}"/>
    <cellStyle name="20% - Accent4 8 5 2 2" xfId="14264" xr:uid="{00000000-0005-0000-0000-0000F12F0000}"/>
    <cellStyle name="20% - Accent4 8 5 2 2 2" xfId="26121" xr:uid="{00000000-0005-0000-0000-0000F22F0000}"/>
    <cellStyle name="20% - Accent4 8 5 2 3" xfId="18215" xr:uid="{00000000-0005-0000-0000-0000F32F0000}"/>
    <cellStyle name="20% - Accent4 8 5 2 3 2" xfId="29907" xr:uid="{00000000-0005-0000-0000-0000F42F0000}"/>
    <cellStyle name="20% - Accent4 8 5 2 4" xfId="22261" xr:uid="{00000000-0005-0000-0000-0000F52F0000}"/>
    <cellStyle name="20% - Accent4 8 5 3" xfId="2999" xr:uid="{00000000-0005-0000-0000-0000F62F0000}"/>
    <cellStyle name="20% - Accent4 8 5 3 2" xfId="14265" xr:uid="{00000000-0005-0000-0000-0000F72F0000}"/>
    <cellStyle name="20% - Accent4 8 5 3 2 2" xfId="26122" xr:uid="{00000000-0005-0000-0000-0000F82F0000}"/>
    <cellStyle name="20% - Accent4 8 5 3 3" xfId="18216" xr:uid="{00000000-0005-0000-0000-0000F92F0000}"/>
    <cellStyle name="20% - Accent4 8 5 3 3 2" xfId="29908" xr:uid="{00000000-0005-0000-0000-0000FA2F0000}"/>
    <cellStyle name="20% - Accent4 8 5 3 4" xfId="22262" xr:uid="{00000000-0005-0000-0000-0000FB2F0000}"/>
    <cellStyle name="20% - Accent4 8 5 4" xfId="14263" xr:uid="{00000000-0005-0000-0000-0000FC2F0000}"/>
    <cellStyle name="20% - Accent4 8 5 4 2" xfId="26120" xr:uid="{00000000-0005-0000-0000-0000FD2F0000}"/>
    <cellStyle name="20% - Accent4 8 5 5" xfId="18214" xr:uid="{00000000-0005-0000-0000-0000FE2F0000}"/>
    <cellStyle name="20% - Accent4 8 5 5 2" xfId="29906" xr:uid="{00000000-0005-0000-0000-0000FF2F0000}"/>
    <cellStyle name="20% - Accent4 8 5 6" xfId="22260" xr:uid="{00000000-0005-0000-0000-000000300000}"/>
    <cellStyle name="20% - Accent4 8 6" xfId="3000" xr:uid="{00000000-0005-0000-0000-000001300000}"/>
    <cellStyle name="20% - Accent4 8 6 2" xfId="3001" xr:uid="{00000000-0005-0000-0000-000002300000}"/>
    <cellStyle name="20% - Accent4 8 6 2 2" xfId="14267" xr:uid="{00000000-0005-0000-0000-000003300000}"/>
    <cellStyle name="20% - Accent4 8 6 2 2 2" xfId="26124" xr:uid="{00000000-0005-0000-0000-000004300000}"/>
    <cellStyle name="20% - Accent4 8 6 2 3" xfId="18218" xr:uid="{00000000-0005-0000-0000-000005300000}"/>
    <cellStyle name="20% - Accent4 8 6 2 3 2" xfId="29910" xr:uid="{00000000-0005-0000-0000-000006300000}"/>
    <cellStyle name="20% - Accent4 8 6 2 4" xfId="22264" xr:uid="{00000000-0005-0000-0000-000007300000}"/>
    <cellStyle name="20% - Accent4 8 6 3" xfId="3002" xr:uid="{00000000-0005-0000-0000-000008300000}"/>
    <cellStyle name="20% - Accent4 8 6 3 2" xfId="14268" xr:uid="{00000000-0005-0000-0000-000009300000}"/>
    <cellStyle name="20% - Accent4 8 6 3 2 2" xfId="26125" xr:uid="{00000000-0005-0000-0000-00000A300000}"/>
    <cellStyle name="20% - Accent4 8 6 3 3" xfId="18219" xr:uid="{00000000-0005-0000-0000-00000B300000}"/>
    <cellStyle name="20% - Accent4 8 6 3 3 2" xfId="29911" xr:uid="{00000000-0005-0000-0000-00000C300000}"/>
    <cellStyle name="20% - Accent4 8 6 3 4" xfId="22265" xr:uid="{00000000-0005-0000-0000-00000D300000}"/>
    <cellStyle name="20% - Accent4 8 6 4" xfId="14266" xr:uid="{00000000-0005-0000-0000-00000E300000}"/>
    <cellStyle name="20% - Accent4 8 6 4 2" xfId="26123" xr:uid="{00000000-0005-0000-0000-00000F300000}"/>
    <cellStyle name="20% - Accent4 8 6 5" xfId="18217" xr:uid="{00000000-0005-0000-0000-000010300000}"/>
    <cellStyle name="20% - Accent4 8 6 5 2" xfId="29909" xr:uid="{00000000-0005-0000-0000-000011300000}"/>
    <cellStyle name="20% - Accent4 8 6 6" xfId="22263" xr:uid="{00000000-0005-0000-0000-000012300000}"/>
    <cellStyle name="20% - Accent4 8 7" xfId="3003" xr:uid="{00000000-0005-0000-0000-000013300000}"/>
    <cellStyle name="20% - Accent4 8 7 2" xfId="14269" xr:uid="{00000000-0005-0000-0000-000014300000}"/>
    <cellStyle name="20% - Accent4 8 7 2 2" xfId="26126" xr:uid="{00000000-0005-0000-0000-000015300000}"/>
    <cellStyle name="20% - Accent4 8 7 3" xfId="18220" xr:uid="{00000000-0005-0000-0000-000016300000}"/>
    <cellStyle name="20% - Accent4 8 7 3 2" xfId="29912" xr:uid="{00000000-0005-0000-0000-000017300000}"/>
    <cellStyle name="20% - Accent4 8 7 4" xfId="22266" xr:uid="{00000000-0005-0000-0000-000018300000}"/>
    <cellStyle name="20% - Accent4 8 8" xfId="3004" xr:uid="{00000000-0005-0000-0000-000019300000}"/>
    <cellStyle name="20% - Accent4 8 8 2" xfId="14270" xr:uid="{00000000-0005-0000-0000-00001A300000}"/>
    <cellStyle name="20% - Accent4 8 8 2 2" xfId="26127" xr:uid="{00000000-0005-0000-0000-00001B300000}"/>
    <cellStyle name="20% - Accent4 8 8 3" xfId="18221" xr:uid="{00000000-0005-0000-0000-00001C300000}"/>
    <cellStyle name="20% - Accent4 8 8 3 2" xfId="29913" xr:uid="{00000000-0005-0000-0000-00001D300000}"/>
    <cellStyle name="20% - Accent4 8 8 4" xfId="22267" xr:uid="{00000000-0005-0000-0000-00001E300000}"/>
    <cellStyle name="20% - Accent4 8 9" xfId="14238" xr:uid="{00000000-0005-0000-0000-00001F300000}"/>
    <cellStyle name="20% - Accent4 8 9 2" xfId="26095" xr:uid="{00000000-0005-0000-0000-000020300000}"/>
    <cellStyle name="20% - Accent4 8_Volatility" xfId="3005" xr:uid="{00000000-0005-0000-0000-000021300000}"/>
    <cellStyle name="20% - Accent4 9" xfId="3006" xr:uid="{00000000-0005-0000-0000-000022300000}"/>
    <cellStyle name="20% - Accent4 9 10" xfId="18222" xr:uid="{00000000-0005-0000-0000-000023300000}"/>
    <cellStyle name="20% - Accent4 9 10 2" xfId="29914" xr:uid="{00000000-0005-0000-0000-000024300000}"/>
    <cellStyle name="20% - Accent4 9 11" xfId="22268" xr:uid="{00000000-0005-0000-0000-000025300000}"/>
    <cellStyle name="20% - Accent4 9 2" xfId="3007" xr:uid="{00000000-0005-0000-0000-000026300000}"/>
    <cellStyle name="20% - Accent4 9 2 2" xfId="3008" xr:uid="{00000000-0005-0000-0000-000027300000}"/>
    <cellStyle name="20% - Accent4 9 2 2 2" xfId="3009" xr:uid="{00000000-0005-0000-0000-000028300000}"/>
    <cellStyle name="20% - Accent4 9 2 2 2 2" xfId="14274" xr:uid="{00000000-0005-0000-0000-000029300000}"/>
    <cellStyle name="20% - Accent4 9 2 2 2 2 2" xfId="26131" xr:uid="{00000000-0005-0000-0000-00002A300000}"/>
    <cellStyle name="20% - Accent4 9 2 2 2 3" xfId="18225" xr:uid="{00000000-0005-0000-0000-00002B300000}"/>
    <cellStyle name="20% - Accent4 9 2 2 2 3 2" xfId="29917" xr:uid="{00000000-0005-0000-0000-00002C300000}"/>
    <cellStyle name="20% - Accent4 9 2 2 2 4" xfId="22271" xr:uid="{00000000-0005-0000-0000-00002D300000}"/>
    <cellStyle name="20% - Accent4 9 2 2 3" xfId="3010" xr:uid="{00000000-0005-0000-0000-00002E300000}"/>
    <cellStyle name="20% - Accent4 9 2 2 3 2" xfId="14275" xr:uid="{00000000-0005-0000-0000-00002F300000}"/>
    <cellStyle name="20% - Accent4 9 2 2 3 2 2" xfId="26132" xr:uid="{00000000-0005-0000-0000-000030300000}"/>
    <cellStyle name="20% - Accent4 9 2 2 3 3" xfId="18226" xr:uid="{00000000-0005-0000-0000-000031300000}"/>
    <cellStyle name="20% - Accent4 9 2 2 3 3 2" xfId="29918" xr:uid="{00000000-0005-0000-0000-000032300000}"/>
    <cellStyle name="20% - Accent4 9 2 2 3 4" xfId="22272" xr:uid="{00000000-0005-0000-0000-000033300000}"/>
    <cellStyle name="20% - Accent4 9 2 2 4" xfId="14273" xr:uid="{00000000-0005-0000-0000-000034300000}"/>
    <cellStyle name="20% - Accent4 9 2 2 4 2" xfId="26130" xr:uid="{00000000-0005-0000-0000-000035300000}"/>
    <cellStyle name="20% - Accent4 9 2 2 5" xfId="18224" xr:uid="{00000000-0005-0000-0000-000036300000}"/>
    <cellStyle name="20% - Accent4 9 2 2 5 2" xfId="29916" xr:uid="{00000000-0005-0000-0000-000037300000}"/>
    <cellStyle name="20% - Accent4 9 2 2 6" xfId="22270" xr:uid="{00000000-0005-0000-0000-000038300000}"/>
    <cellStyle name="20% - Accent4 9 2 3" xfId="3011" xr:uid="{00000000-0005-0000-0000-000039300000}"/>
    <cellStyle name="20% - Accent4 9 2 3 2" xfId="3012" xr:uid="{00000000-0005-0000-0000-00003A300000}"/>
    <cellStyle name="20% - Accent4 9 2 3 2 2" xfId="14277" xr:uid="{00000000-0005-0000-0000-00003B300000}"/>
    <cellStyle name="20% - Accent4 9 2 3 2 2 2" xfId="26134" xr:uid="{00000000-0005-0000-0000-00003C300000}"/>
    <cellStyle name="20% - Accent4 9 2 3 2 3" xfId="18228" xr:uid="{00000000-0005-0000-0000-00003D300000}"/>
    <cellStyle name="20% - Accent4 9 2 3 2 3 2" xfId="29920" xr:uid="{00000000-0005-0000-0000-00003E300000}"/>
    <cellStyle name="20% - Accent4 9 2 3 2 4" xfId="22274" xr:uid="{00000000-0005-0000-0000-00003F300000}"/>
    <cellStyle name="20% - Accent4 9 2 3 3" xfId="3013" xr:uid="{00000000-0005-0000-0000-000040300000}"/>
    <cellStyle name="20% - Accent4 9 2 3 3 2" xfId="14278" xr:uid="{00000000-0005-0000-0000-000041300000}"/>
    <cellStyle name="20% - Accent4 9 2 3 3 2 2" xfId="26135" xr:uid="{00000000-0005-0000-0000-000042300000}"/>
    <cellStyle name="20% - Accent4 9 2 3 3 3" xfId="18229" xr:uid="{00000000-0005-0000-0000-000043300000}"/>
    <cellStyle name="20% - Accent4 9 2 3 3 3 2" xfId="29921" xr:uid="{00000000-0005-0000-0000-000044300000}"/>
    <cellStyle name="20% - Accent4 9 2 3 3 4" xfId="22275" xr:uid="{00000000-0005-0000-0000-000045300000}"/>
    <cellStyle name="20% - Accent4 9 2 3 4" xfId="14276" xr:uid="{00000000-0005-0000-0000-000046300000}"/>
    <cellStyle name="20% - Accent4 9 2 3 4 2" xfId="26133" xr:uid="{00000000-0005-0000-0000-000047300000}"/>
    <cellStyle name="20% - Accent4 9 2 3 5" xfId="18227" xr:uid="{00000000-0005-0000-0000-000048300000}"/>
    <cellStyle name="20% - Accent4 9 2 3 5 2" xfId="29919" xr:uid="{00000000-0005-0000-0000-000049300000}"/>
    <cellStyle name="20% - Accent4 9 2 3 6" xfId="22273" xr:uid="{00000000-0005-0000-0000-00004A300000}"/>
    <cellStyle name="20% - Accent4 9 2 4" xfId="3014" xr:uid="{00000000-0005-0000-0000-00004B300000}"/>
    <cellStyle name="20% - Accent4 9 2 4 2" xfId="3015" xr:uid="{00000000-0005-0000-0000-00004C300000}"/>
    <cellStyle name="20% - Accent4 9 2 4 2 2" xfId="14280" xr:uid="{00000000-0005-0000-0000-00004D300000}"/>
    <cellStyle name="20% - Accent4 9 2 4 2 2 2" xfId="26137" xr:uid="{00000000-0005-0000-0000-00004E300000}"/>
    <cellStyle name="20% - Accent4 9 2 4 2 3" xfId="18231" xr:uid="{00000000-0005-0000-0000-00004F300000}"/>
    <cellStyle name="20% - Accent4 9 2 4 2 3 2" xfId="29923" xr:uid="{00000000-0005-0000-0000-000050300000}"/>
    <cellStyle name="20% - Accent4 9 2 4 2 4" xfId="22277" xr:uid="{00000000-0005-0000-0000-000051300000}"/>
    <cellStyle name="20% - Accent4 9 2 4 3" xfId="3016" xr:uid="{00000000-0005-0000-0000-000052300000}"/>
    <cellStyle name="20% - Accent4 9 2 4 3 2" xfId="14281" xr:uid="{00000000-0005-0000-0000-000053300000}"/>
    <cellStyle name="20% - Accent4 9 2 4 3 2 2" xfId="26138" xr:uid="{00000000-0005-0000-0000-000054300000}"/>
    <cellStyle name="20% - Accent4 9 2 4 3 3" xfId="18232" xr:uid="{00000000-0005-0000-0000-000055300000}"/>
    <cellStyle name="20% - Accent4 9 2 4 3 3 2" xfId="29924" xr:uid="{00000000-0005-0000-0000-000056300000}"/>
    <cellStyle name="20% - Accent4 9 2 4 3 4" xfId="22278" xr:uid="{00000000-0005-0000-0000-000057300000}"/>
    <cellStyle name="20% - Accent4 9 2 4 4" xfId="14279" xr:uid="{00000000-0005-0000-0000-000058300000}"/>
    <cellStyle name="20% - Accent4 9 2 4 4 2" xfId="26136" xr:uid="{00000000-0005-0000-0000-000059300000}"/>
    <cellStyle name="20% - Accent4 9 2 4 5" xfId="18230" xr:uid="{00000000-0005-0000-0000-00005A300000}"/>
    <cellStyle name="20% - Accent4 9 2 4 5 2" xfId="29922" xr:uid="{00000000-0005-0000-0000-00005B300000}"/>
    <cellStyle name="20% - Accent4 9 2 4 6" xfId="22276" xr:uid="{00000000-0005-0000-0000-00005C300000}"/>
    <cellStyle name="20% - Accent4 9 2 5" xfId="3017" xr:uid="{00000000-0005-0000-0000-00005D300000}"/>
    <cellStyle name="20% - Accent4 9 2 5 2" xfId="14282" xr:uid="{00000000-0005-0000-0000-00005E300000}"/>
    <cellStyle name="20% - Accent4 9 2 5 2 2" xfId="26139" xr:uid="{00000000-0005-0000-0000-00005F300000}"/>
    <cellStyle name="20% - Accent4 9 2 5 3" xfId="18233" xr:uid="{00000000-0005-0000-0000-000060300000}"/>
    <cellStyle name="20% - Accent4 9 2 5 3 2" xfId="29925" xr:uid="{00000000-0005-0000-0000-000061300000}"/>
    <cellStyle name="20% - Accent4 9 2 5 4" xfId="22279" xr:uid="{00000000-0005-0000-0000-000062300000}"/>
    <cellStyle name="20% - Accent4 9 2 6" xfId="3018" xr:uid="{00000000-0005-0000-0000-000063300000}"/>
    <cellStyle name="20% - Accent4 9 2 6 2" xfId="14283" xr:uid="{00000000-0005-0000-0000-000064300000}"/>
    <cellStyle name="20% - Accent4 9 2 6 2 2" xfId="26140" xr:uid="{00000000-0005-0000-0000-000065300000}"/>
    <cellStyle name="20% - Accent4 9 2 6 3" xfId="18234" xr:uid="{00000000-0005-0000-0000-000066300000}"/>
    <cellStyle name="20% - Accent4 9 2 6 3 2" xfId="29926" xr:uid="{00000000-0005-0000-0000-000067300000}"/>
    <cellStyle name="20% - Accent4 9 2 6 4" xfId="22280" xr:uid="{00000000-0005-0000-0000-000068300000}"/>
    <cellStyle name="20% - Accent4 9 2 7" xfId="14272" xr:uid="{00000000-0005-0000-0000-000069300000}"/>
    <cellStyle name="20% - Accent4 9 2 7 2" xfId="26129" xr:uid="{00000000-0005-0000-0000-00006A300000}"/>
    <cellStyle name="20% - Accent4 9 2 8" xfId="18223" xr:uid="{00000000-0005-0000-0000-00006B300000}"/>
    <cellStyle name="20% - Accent4 9 2 8 2" xfId="29915" xr:uid="{00000000-0005-0000-0000-00006C300000}"/>
    <cellStyle name="20% - Accent4 9 2 9" xfId="22269" xr:uid="{00000000-0005-0000-0000-00006D300000}"/>
    <cellStyle name="20% - Accent4 9 2_Volatility" xfId="3019" xr:uid="{00000000-0005-0000-0000-00006E300000}"/>
    <cellStyle name="20% - Accent4 9 3" xfId="3020" xr:uid="{00000000-0005-0000-0000-00006F300000}"/>
    <cellStyle name="20% - Accent4 9 3 2" xfId="3021" xr:uid="{00000000-0005-0000-0000-000070300000}"/>
    <cellStyle name="20% - Accent4 9 3 2 2" xfId="3022" xr:uid="{00000000-0005-0000-0000-000071300000}"/>
    <cellStyle name="20% - Accent4 9 3 2 2 2" xfId="14286" xr:uid="{00000000-0005-0000-0000-000072300000}"/>
    <cellStyle name="20% - Accent4 9 3 2 2 2 2" xfId="26143" xr:uid="{00000000-0005-0000-0000-000073300000}"/>
    <cellStyle name="20% - Accent4 9 3 2 2 3" xfId="18237" xr:uid="{00000000-0005-0000-0000-000074300000}"/>
    <cellStyle name="20% - Accent4 9 3 2 2 3 2" xfId="29929" xr:uid="{00000000-0005-0000-0000-000075300000}"/>
    <cellStyle name="20% - Accent4 9 3 2 2 4" xfId="22283" xr:uid="{00000000-0005-0000-0000-000076300000}"/>
    <cellStyle name="20% - Accent4 9 3 2 3" xfId="3023" xr:uid="{00000000-0005-0000-0000-000077300000}"/>
    <cellStyle name="20% - Accent4 9 3 2 3 2" xfId="14287" xr:uid="{00000000-0005-0000-0000-000078300000}"/>
    <cellStyle name="20% - Accent4 9 3 2 3 2 2" xfId="26144" xr:uid="{00000000-0005-0000-0000-000079300000}"/>
    <cellStyle name="20% - Accent4 9 3 2 3 3" xfId="18238" xr:uid="{00000000-0005-0000-0000-00007A300000}"/>
    <cellStyle name="20% - Accent4 9 3 2 3 3 2" xfId="29930" xr:uid="{00000000-0005-0000-0000-00007B300000}"/>
    <cellStyle name="20% - Accent4 9 3 2 3 4" xfId="22284" xr:uid="{00000000-0005-0000-0000-00007C300000}"/>
    <cellStyle name="20% - Accent4 9 3 2 4" xfId="14285" xr:uid="{00000000-0005-0000-0000-00007D300000}"/>
    <cellStyle name="20% - Accent4 9 3 2 4 2" xfId="26142" xr:uid="{00000000-0005-0000-0000-00007E300000}"/>
    <cellStyle name="20% - Accent4 9 3 2 5" xfId="18236" xr:uid="{00000000-0005-0000-0000-00007F300000}"/>
    <cellStyle name="20% - Accent4 9 3 2 5 2" xfId="29928" xr:uid="{00000000-0005-0000-0000-000080300000}"/>
    <cellStyle name="20% - Accent4 9 3 2 6" xfId="22282" xr:uid="{00000000-0005-0000-0000-000081300000}"/>
    <cellStyle name="20% - Accent4 9 3 3" xfId="3024" xr:uid="{00000000-0005-0000-0000-000082300000}"/>
    <cellStyle name="20% - Accent4 9 3 3 2" xfId="3025" xr:uid="{00000000-0005-0000-0000-000083300000}"/>
    <cellStyle name="20% - Accent4 9 3 3 2 2" xfId="14289" xr:uid="{00000000-0005-0000-0000-000084300000}"/>
    <cellStyle name="20% - Accent4 9 3 3 2 2 2" xfId="26146" xr:uid="{00000000-0005-0000-0000-000085300000}"/>
    <cellStyle name="20% - Accent4 9 3 3 2 3" xfId="18240" xr:uid="{00000000-0005-0000-0000-000086300000}"/>
    <cellStyle name="20% - Accent4 9 3 3 2 3 2" xfId="29932" xr:uid="{00000000-0005-0000-0000-000087300000}"/>
    <cellStyle name="20% - Accent4 9 3 3 2 4" xfId="22286" xr:uid="{00000000-0005-0000-0000-000088300000}"/>
    <cellStyle name="20% - Accent4 9 3 3 3" xfId="3026" xr:uid="{00000000-0005-0000-0000-000089300000}"/>
    <cellStyle name="20% - Accent4 9 3 3 3 2" xfId="14290" xr:uid="{00000000-0005-0000-0000-00008A300000}"/>
    <cellStyle name="20% - Accent4 9 3 3 3 2 2" xfId="26147" xr:uid="{00000000-0005-0000-0000-00008B300000}"/>
    <cellStyle name="20% - Accent4 9 3 3 3 3" xfId="18241" xr:uid="{00000000-0005-0000-0000-00008C300000}"/>
    <cellStyle name="20% - Accent4 9 3 3 3 3 2" xfId="29933" xr:uid="{00000000-0005-0000-0000-00008D300000}"/>
    <cellStyle name="20% - Accent4 9 3 3 3 4" xfId="22287" xr:uid="{00000000-0005-0000-0000-00008E300000}"/>
    <cellStyle name="20% - Accent4 9 3 3 4" xfId="14288" xr:uid="{00000000-0005-0000-0000-00008F300000}"/>
    <cellStyle name="20% - Accent4 9 3 3 4 2" xfId="26145" xr:uid="{00000000-0005-0000-0000-000090300000}"/>
    <cellStyle name="20% - Accent4 9 3 3 5" xfId="18239" xr:uid="{00000000-0005-0000-0000-000091300000}"/>
    <cellStyle name="20% - Accent4 9 3 3 5 2" xfId="29931" xr:uid="{00000000-0005-0000-0000-000092300000}"/>
    <cellStyle name="20% - Accent4 9 3 3 6" xfId="22285" xr:uid="{00000000-0005-0000-0000-000093300000}"/>
    <cellStyle name="20% - Accent4 9 3 4" xfId="3027" xr:uid="{00000000-0005-0000-0000-000094300000}"/>
    <cellStyle name="20% - Accent4 9 3 4 2" xfId="14291" xr:uid="{00000000-0005-0000-0000-000095300000}"/>
    <cellStyle name="20% - Accent4 9 3 4 2 2" xfId="26148" xr:uid="{00000000-0005-0000-0000-000096300000}"/>
    <cellStyle name="20% - Accent4 9 3 4 3" xfId="18242" xr:uid="{00000000-0005-0000-0000-000097300000}"/>
    <cellStyle name="20% - Accent4 9 3 4 3 2" xfId="29934" xr:uid="{00000000-0005-0000-0000-000098300000}"/>
    <cellStyle name="20% - Accent4 9 3 4 4" xfId="22288" xr:uid="{00000000-0005-0000-0000-000099300000}"/>
    <cellStyle name="20% - Accent4 9 3 5" xfId="3028" xr:uid="{00000000-0005-0000-0000-00009A300000}"/>
    <cellStyle name="20% - Accent4 9 3 5 2" xfId="14292" xr:uid="{00000000-0005-0000-0000-00009B300000}"/>
    <cellStyle name="20% - Accent4 9 3 5 2 2" xfId="26149" xr:uid="{00000000-0005-0000-0000-00009C300000}"/>
    <cellStyle name="20% - Accent4 9 3 5 3" xfId="18243" xr:uid="{00000000-0005-0000-0000-00009D300000}"/>
    <cellStyle name="20% - Accent4 9 3 5 3 2" xfId="29935" xr:uid="{00000000-0005-0000-0000-00009E300000}"/>
    <cellStyle name="20% - Accent4 9 3 5 4" xfId="22289" xr:uid="{00000000-0005-0000-0000-00009F300000}"/>
    <cellStyle name="20% - Accent4 9 3 6" xfId="14284" xr:uid="{00000000-0005-0000-0000-0000A0300000}"/>
    <cellStyle name="20% - Accent4 9 3 6 2" xfId="26141" xr:uid="{00000000-0005-0000-0000-0000A1300000}"/>
    <cellStyle name="20% - Accent4 9 3 7" xfId="18235" xr:uid="{00000000-0005-0000-0000-0000A2300000}"/>
    <cellStyle name="20% - Accent4 9 3 7 2" xfId="29927" xr:uid="{00000000-0005-0000-0000-0000A3300000}"/>
    <cellStyle name="20% - Accent4 9 3 8" xfId="22281" xr:uid="{00000000-0005-0000-0000-0000A4300000}"/>
    <cellStyle name="20% - Accent4 9 3_Volatility" xfId="3029" xr:uid="{00000000-0005-0000-0000-0000A5300000}"/>
    <cellStyle name="20% - Accent4 9 4" xfId="3030" xr:uid="{00000000-0005-0000-0000-0000A6300000}"/>
    <cellStyle name="20% - Accent4 9 4 2" xfId="3031" xr:uid="{00000000-0005-0000-0000-0000A7300000}"/>
    <cellStyle name="20% - Accent4 9 4 2 2" xfId="14294" xr:uid="{00000000-0005-0000-0000-0000A8300000}"/>
    <cellStyle name="20% - Accent4 9 4 2 2 2" xfId="26151" xr:uid="{00000000-0005-0000-0000-0000A9300000}"/>
    <cellStyle name="20% - Accent4 9 4 2 3" xfId="18245" xr:uid="{00000000-0005-0000-0000-0000AA300000}"/>
    <cellStyle name="20% - Accent4 9 4 2 3 2" xfId="29937" xr:uid="{00000000-0005-0000-0000-0000AB300000}"/>
    <cellStyle name="20% - Accent4 9 4 2 4" xfId="22291" xr:uid="{00000000-0005-0000-0000-0000AC300000}"/>
    <cellStyle name="20% - Accent4 9 4 3" xfId="3032" xr:uid="{00000000-0005-0000-0000-0000AD300000}"/>
    <cellStyle name="20% - Accent4 9 4 3 2" xfId="14295" xr:uid="{00000000-0005-0000-0000-0000AE300000}"/>
    <cellStyle name="20% - Accent4 9 4 3 2 2" xfId="26152" xr:uid="{00000000-0005-0000-0000-0000AF300000}"/>
    <cellStyle name="20% - Accent4 9 4 3 3" xfId="18246" xr:uid="{00000000-0005-0000-0000-0000B0300000}"/>
    <cellStyle name="20% - Accent4 9 4 3 3 2" xfId="29938" xr:uid="{00000000-0005-0000-0000-0000B1300000}"/>
    <cellStyle name="20% - Accent4 9 4 3 4" xfId="22292" xr:uid="{00000000-0005-0000-0000-0000B2300000}"/>
    <cellStyle name="20% - Accent4 9 4 4" xfId="14293" xr:uid="{00000000-0005-0000-0000-0000B3300000}"/>
    <cellStyle name="20% - Accent4 9 4 4 2" xfId="26150" xr:uid="{00000000-0005-0000-0000-0000B4300000}"/>
    <cellStyle name="20% - Accent4 9 4 5" xfId="18244" xr:uid="{00000000-0005-0000-0000-0000B5300000}"/>
    <cellStyle name="20% - Accent4 9 4 5 2" xfId="29936" xr:uid="{00000000-0005-0000-0000-0000B6300000}"/>
    <cellStyle name="20% - Accent4 9 4 6" xfId="22290" xr:uid="{00000000-0005-0000-0000-0000B7300000}"/>
    <cellStyle name="20% - Accent4 9 5" xfId="3033" xr:uid="{00000000-0005-0000-0000-0000B8300000}"/>
    <cellStyle name="20% - Accent4 9 5 2" xfId="3034" xr:uid="{00000000-0005-0000-0000-0000B9300000}"/>
    <cellStyle name="20% - Accent4 9 5 2 2" xfId="14297" xr:uid="{00000000-0005-0000-0000-0000BA300000}"/>
    <cellStyle name="20% - Accent4 9 5 2 2 2" xfId="26154" xr:uid="{00000000-0005-0000-0000-0000BB300000}"/>
    <cellStyle name="20% - Accent4 9 5 2 3" xfId="18248" xr:uid="{00000000-0005-0000-0000-0000BC300000}"/>
    <cellStyle name="20% - Accent4 9 5 2 3 2" xfId="29940" xr:uid="{00000000-0005-0000-0000-0000BD300000}"/>
    <cellStyle name="20% - Accent4 9 5 2 4" xfId="22294" xr:uid="{00000000-0005-0000-0000-0000BE300000}"/>
    <cellStyle name="20% - Accent4 9 5 3" xfId="3035" xr:uid="{00000000-0005-0000-0000-0000BF300000}"/>
    <cellStyle name="20% - Accent4 9 5 3 2" xfId="14298" xr:uid="{00000000-0005-0000-0000-0000C0300000}"/>
    <cellStyle name="20% - Accent4 9 5 3 2 2" xfId="26155" xr:uid="{00000000-0005-0000-0000-0000C1300000}"/>
    <cellStyle name="20% - Accent4 9 5 3 3" xfId="18249" xr:uid="{00000000-0005-0000-0000-0000C2300000}"/>
    <cellStyle name="20% - Accent4 9 5 3 3 2" xfId="29941" xr:uid="{00000000-0005-0000-0000-0000C3300000}"/>
    <cellStyle name="20% - Accent4 9 5 3 4" xfId="22295" xr:uid="{00000000-0005-0000-0000-0000C4300000}"/>
    <cellStyle name="20% - Accent4 9 5 4" xfId="14296" xr:uid="{00000000-0005-0000-0000-0000C5300000}"/>
    <cellStyle name="20% - Accent4 9 5 4 2" xfId="26153" xr:uid="{00000000-0005-0000-0000-0000C6300000}"/>
    <cellStyle name="20% - Accent4 9 5 5" xfId="18247" xr:uid="{00000000-0005-0000-0000-0000C7300000}"/>
    <cellStyle name="20% - Accent4 9 5 5 2" xfId="29939" xr:uid="{00000000-0005-0000-0000-0000C8300000}"/>
    <cellStyle name="20% - Accent4 9 5 6" xfId="22293" xr:uid="{00000000-0005-0000-0000-0000C9300000}"/>
    <cellStyle name="20% - Accent4 9 6" xfId="3036" xr:uid="{00000000-0005-0000-0000-0000CA300000}"/>
    <cellStyle name="20% - Accent4 9 6 2" xfId="3037" xr:uid="{00000000-0005-0000-0000-0000CB300000}"/>
    <cellStyle name="20% - Accent4 9 6 2 2" xfId="14300" xr:uid="{00000000-0005-0000-0000-0000CC300000}"/>
    <cellStyle name="20% - Accent4 9 6 2 2 2" xfId="26157" xr:uid="{00000000-0005-0000-0000-0000CD300000}"/>
    <cellStyle name="20% - Accent4 9 6 2 3" xfId="18251" xr:uid="{00000000-0005-0000-0000-0000CE300000}"/>
    <cellStyle name="20% - Accent4 9 6 2 3 2" xfId="29943" xr:uid="{00000000-0005-0000-0000-0000CF300000}"/>
    <cellStyle name="20% - Accent4 9 6 2 4" xfId="22297" xr:uid="{00000000-0005-0000-0000-0000D0300000}"/>
    <cellStyle name="20% - Accent4 9 6 3" xfId="3038" xr:uid="{00000000-0005-0000-0000-0000D1300000}"/>
    <cellStyle name="20% - Accent4 9 6 3 2" xfId="14301" xr:uid="{00000000-0005-0000-0000-0000D2300000}"/>
    <cellStyle name="20% - Accent4 9 6 3 2 2" xfId="26158" xr:uid="{00000000-0005-0000-0000-0000D3300000}"/>
    <cellStyle name="20% - Accent4 9 6 3 3" xfId="18252" xr:uid="{00000000-0005-0000-0000-0000D4300000}"/>
    <cellStyle name="20% - Accent4 9 6 3 3 2" xfId="29944" xr:uid="{00000000-0005-0000-0000-0000D5300000}"/>
    <cellStyle name="20% - Accent4 9 6 3 4" xfId="22298" xr:uid="{00000000-0005-0000-0000-0000D6300000}"/>
    <cellStyle name="20% - Accent4 9 6 4" xfId="14299" xr:uid="{00000000-0005-0000-0000-0000D7300000}"/>
    <cellStyle name="20% - Accent4 9 6 4 2" xfId="26156" xr:uid="{00000000-0005-0000-0000-0000D8300000}"/>
    <cellStyle name="20% - Accent4 9 6 5" xfId="18250" xr:uid="{00000000-0005-0000-0000-0000D9300000}"/>
    <cellStyle name="20% - Accent4 9 6 5 2" xfId="29942" xr:uid="{00000000-0005-0000-0000-0000DA300000}"/>
    <cellStyle name="20% - Accent4 9 6 6" xfId="22296" xr:uid="{00000000-0005-0000-0000-0000DB300000}"/>
    <cellStyle name="20% - Accent4 9 7" xfId="3039" xr:uid="{00000000-0005-0000-0000-0000DC300000}"/>
    <cellStyle name="20% - Accent4 9 7 2" xfId="14302" xr:uid="{00000000-0005-0000-0000-0000DD300000}"/>
    <cellStyle name="20% - Accent4 9 7 2 2" xfId="26159" xr:uid="{00000000-0005-0000-0000-0000DE300000}"/>
    <cellStyle name="20% - Accent4 9 7 3" xfId="18253" xr:uid="{00000000-0005-0000-0000-0000DF300000}"/>
    <cellStyle name="20% - Accent4 9 7 3 2" xfId="29945" xr:uid="{00000000-0005-0000-0000-0000E0300000}"/>
    <cellStyle name="20% - Accent4 9 7 4" xfId="22299" xr:uid="{00000000-0005-0000-0000-0000E1300000}"/>
    <cellStyle name="20% - Accent4 9 8" xfId="3040" xr:uid="{00000000-0005-0000-0000-0000E2300000}"/>
    <cellStyle name="20% - Accent4 9 8 2" xfId="14303" xr:uid="{00000000-0005-0000-0000-0000E3300000}"/>
    <cellStyle name="20% - Accent4 9 8 2 2" xfId="26160" xr:uid="{00000000-0005-0000-0000-0000E4300000}"/>
    <cellStyle name="20% - Accent4 9 8 3" xfId="18254" xr:uid="{00000000-0005-0000-0000-0000E5300000}"/>
    <cellStyle name="20% - Accent4 9 8 3 2" xfId="29946" xr:uid="{00000000-0005-0000-0000-0000E6300000}"/>
    <cellStyle name="20% - Accent4 9 8 4" xfId="22300" xr:uid="{00000000-0005-0000-0000-0000E7300000}"/>
    <cellStyle name="20% - Accent4 9 9" xfId="14271" xr:uid="{00000000-0005-0000-0000-0000E8300000}"/>
    <cellStyle name="20% - Accent4 9 9 2" xfId="26128" xr:uid="{00000000-0005-0000-0000-0000E9300000}"/>
    <cellStyle name="20% - Accent4 9_Volatility" xfId="3041" xr:uid="{00000000-0005-0000-0000-0000EA300000}"/>
    <cellStyle name="20% - Accent5 10" xfId="3042" xr:uid="{00000000-0005-0000-0000-0000EB300000}"/>
    <cellStyle name="20% - Accent5 10 10" xfId="18255" xr:uid="{00000000-0005-0000-0000-0000EC300000}"/>
    <cellStyle name="20% - Accent5 10 10 2" xfId="29947" xr:uid="{00000000-0005-0000-0000-0000ED300000}"/>
    <cellStyle name="20% - Accent5 10 11" xfId="22301" xr:uid="{00000000-0005-0000-0000-0000EE300000}"/>
    <cellStyle name="20% - Accent5 10 2" xfId="3043" xr:uid="{00000000-0005-0000-0000-0000EF300000}"/>
    <cellStyle name="20% - Accent5 10 2 2" xfId="3044" xr:uid="{00000000-0005-0000-0000-0000F0300000}"/>
    <cellStyle name="20% - Accent5 10 2 2 2" xfId="3045" xr:uid="{00000000-0005-0000-0000-0000F1300000}"/>
    <cellStyle name="20% - Accent5 10 2 2 2 2" xfId="14307" xr:uid="{00000000-0005-0000-0000-0000F2300000}"/>
    <cellStyle name="20% - Accent5 10 2 2 2 2 2" xfId="26164" xr:uid="{00000000-0005-0000-0000-0000F3300000}"/>
    <cellStyle name="20% - Accent5 10 2 2 2 3" xfId="18258" xr:uid="{00000000-0005-0000-0000-0000F4300000}"/>
    <cellStyle name="20% - Accent5 10 2 2 2 3 2" xfId="29950" xr:uid="{00000000-0005-0000-0000-0000F5300000}"/>
    <cellStyle name="20% - Accent5 10 2 2 2 4" xfId="22304" xr:uid="{00000000-0005-0000-0000-0000F6300000}"/>
    <cellStyle name="20% - Accent5 10 2 2 3" xfId="3046" xr:uid="{00000000-0005-0000-0000-0000F7300000}"/>
    <cellStyle name="20% - Accent5 10 2 2 3 2" xfId="14308" xr:uid="{00000000-0005-0000-0000-0000F8300000}"/>
    <cellStyle name="20% - Accent5 10 2 2 3 2 2" xfId="26165" xr:uid="{00000000-0005-0000-0000-0000F9300000}"/>
    <cellStyle name="20% - Accent5 10 2 2 3 3" xfId="18259" xr:uid="{00000000-0005-0000-0000-0000FA300000}"/>
    <cellStyle name="20% - Accent5 10 2 2 3 3 2" xfId="29951" xr:uid="{00000000-0005-0000-0000-0000FB300000}"/>
    <cellStyle name="20% - Accent5 10 2 2 3 4" xfId="22305" xr:uid="{00000000-0005-0000-0000-0000FC300000}"/>
    <cellStyle name="20% - Accent5 10 2 2 4" xfId="14306" xr:uid="{00000000-0005-0000-0000-0000FD300000}"/>
    <cellStyle name="20% - Accent5 10 2 2 4 2" xfId="26163" xr:uid="{00000000-0005-0000-0000-0000FE300000}"/>
    <cellStyle name="20% - Accent5 10 2 2 5" xfId="18257" xr:uid="{00000000-0005-0000-0000-0000FF300000}"/>
    <cellStyle name="20% - Accent5 10 2 2 5 2" xfId="29949" xr:uid="{00000000-0005-0000-0000-000000310000}"/>
    <cellStyle name="20% - Accent5 10 2 2 6" xfId="22303" xr:uid="{00000000-0005-0000-0000-000001310000}"/>
    <cellStyle name="20% - Accent5 10 2 3" xfId="3047" xr:uid="{00000000-0005-0000-0000-000002310000}"/>
    <cellStyle name="20% - Accent5 10 2 3 2" xfId="3048" xr:uid="{00000000-0005-0000-0000-000003310000}"/>
    <cellStyle name="20% - Accent5 10 2 3 2 2" xfId="14310" xr:uid="{00000000-0005-0000-0000-000004310000}"/>
    <cellStyle name="20% - Accent5 10 2 3 2 2 2" xfId="26167" xr:uid="{00000000-0005-0000-0000-000005310000}"/>
    <cellStyle name="20% - Accent5 10 2 3 2 3" xfId="18261" xr:uid="{00000000-0005-0000-0000-000006310000}"/>
    <cellStyle name="20% - Accent5 10 2 3 2 3 2" xfId="29953" xr:uid="{00000000-0005-0000-0000-000007310000}"/>
    <cellStyle name="20% - Accent5 10 2 3 2 4" xfId="22307" xr:uid="{00000000-0005-0000-0000-000008310000}"/>
    <cellStyle name="20% - Accent5 10 2 3 3" xfId="3049" xr:uid="{00000000-0005-0000-0000-000009310000}"/>
    <cellStyle name="20% - Accent5 10 2 3 3 2" xfId="14311" xr:uid="{00000000-0005-0000-0000-00000A310000}"/>
    <cellStyle name="20% - Accent5 10 2 3 3 2 2" xfId="26168" xr:uid="{00000000-0005-0000-0000-00000B310000}"/>
    <cellStyle name="20% - Accent5 10 2 3 3 3" xfId="18262" xr:uid="{00000000-0005-0000-0000-00000C310000}"/>
    <cellStyle name="20% - Accent5 10 2 3 3 3 2" xfId="29954" xr:uid="{00000000-0005-0000-0000-00000D310000}"/>
    <cellStyle name="20% - Accent5 10 2 3 3 4" xfId="22308" xr:uid="{00000000-0005-0000-0000-00000E310000}"/>
    <cellStyle name="20% - Accent5 10 2 3 4" xfId="14309" xr:uid="{00000000-0005-0000-0000-00000F310000}"/>
    <cellStyle name="20% - Accent5 10 2 3 4 2" xfId="26166" xr:uid="{00000000-0005-0000-0000-000010310000}"/>
    <cellStyle name="20% - Accent5 10 2 3 5" xfId="18260" xr:uid="{00000000-0005-0000-0000-000011310000}"/>
    <cellStyle name="20% - Accent5 10 2 3 5 2" xfId="29952" xr:uid="{00000000-0005-0000-0000-000012310000}"/>
    <cellStyle name="20% - Accent5 10 2 3 6" xfId="22306" xr:uid="{00000000-0005-0000-0000-000013310000}"/>
    <cellStyle name="20% - Accent5 10 2 4" xfId="3050" xr:uid="{00000000-0005-0000-0000-000014310000}"/>
    <cellStyle name="20% - Accent5 10 2 4 2" xfId="3051" xr:uid="{00000000-0005-0000-0000-000015310000}"/>
    <cellStyle name="20% - Accent5 10 2 4 2 2" xfId="14313" xr:uid="{00000000-0005-0000-0000-000016310000}"/>
    <cellStyle name="20% - Accent5 10 2 4 2 2 2" xfId="26170" xr:uid="{00000000-0005-0000-0000-000017310000}"/>
    <cellStyle name="20% - Accent5 10 2 4 2 3" xfId="18264" xr:uid="{00000000-0005-0000-0000-000018310000}"/>
    <cellStyle name="20% - Accent5 10 2 4 2 3 2" xfId="29956" xr:uid="{00000000-0005-0000-0000-000019310000}"/>
    <cellStyle name="20% - Accent5 10 2 4 2 4" xfId="22310" xr:uid="{00000000-0005-0000-0000-00001A310000}"/>
    <cellStyle name="20% - Accent5 10 2 4 3" xfId="3052" xr:uid="{00000000-0005-0000-0000-00001B310000}"/>
    <cellStyle name="20% - Accent5 10 2 4 3 2" xfId="14314" xr:uid="{00000000-0005-0000-0000-00001C310000}"/>
    <cellStyle name="20% - Accent5 10 2 4 3 2 2" xfId="26171" xr:uid="{00000000-0005-0000-0000-00001D310000}"/>
    <cellStyle name="20% - Accent5 10 2 4 3 3" xfId="18265" xr:uid="{00000000-0005-0000-0000-00001E310000}"/>
    <cellStyle name="20% - Accent5 10 2 4 3 3 2" xfId="29957" xr:uid="{00000000-0005-0000-0000-00001F310000}"/>
    <cellStyle name="20% - Accent5 10 2 4 3 4" xfId="22311" xr:uid="{00000000-0005-0000-0000-000020310000}"/>
    <cellStyle name="20% - Accent5 10 2 4 4" xfId="14312" xr:uid="{00000000-0005-0000-0000-000021310000}"/>
    <cellStyle name="20% - Accent5 10 2 4 4 2" xfId="26169" xr:uid="{00000000-0005-0000-0000-000022310000}"/>
    <cellStyle name="20% - Accent5 10 2 4 5" xfId="18263" xr:uid="{00000000-0005-0000-0000-000023310000}"/>
    <cellStyle name="20% - Accent5 10 2 4 5 2" xfId="29955" xr:uid="{00000000-0005-0000-0000-000024310000}"/>
    <cellStyle name="20% - Accent5 10 2 4 6" xfId="22309" xr:uid="{00000000-0005-0000-0000-000025310000}"/>
    <cellStyle name="20% - Accent5 10 2 5" xfId="3053" xr:uid="{00000000-0005-0000-0000-000026310000}"/>
    <cellStyle name="20% - Accent5 10 2 5 2" xfId="14315" xr:uid="{00000000-0005-0000-0000-000027310000}"/>
    <cellStyle name="20% - Accent5 10 2 5 2 2" xfId="26172" xr:uid="{00000000-0005-0000-0000-000028310000}"/>
    <cellStyle name="20% - Accent5 10 2 5 3" xfId="18266" xr:uid="{00000000-0005-0000-0000-000029310000}"/>
    <cellStyle name="20% - Accent5 10 2 5 3 2" xfId="29958" xr:uid="{00000000-0005-0000-0000-00002A310000}"/>
    <cellStyle name="20% - Accent5 10 2 5 4" xfId="22312" xr:uid="{00000000-0005-0000-0000-00002B310000}"/>
    <cellStyle name="20% - Accent5 10 2 6" xfId="3054" xr:uid="{00000000-0005-0000-0000-00002C310000}"/>
    <cellStyle name="20% - Accent5 10 2 6 2" xfId="14316" xr:uid="{00000000-0005-0000-0000-00002D310000}"/>
    <cellStyle name="20% - Accent5 10 2 6 2 2" xfId="26173" xr:uid="{00000000-0005-0000-0000-00002E310000}"/>
    <cellStyle name="20% - Accent5 10 2 6 3" xfId="18267" xr:uid="{00000000-0005-0000-0000-00002F310000}"/>
    <cellStyle name="20% - Accent5 10 2 6 3 2" xfId="29959" xr:uid="{00000000-0005-0000-0000-000030310000}"/>
    <cellStyle name="20% - Accent5 10 2 6 4" xfId="22313" xr:uid="{00000000-0005-0000-0000-000031310000}"/>
    <cellStyle name="20% - Accent5 10 2 7" xfId="14305" xr:uid="{00000000-0005-0000-0000-000032310000}"/>
    <cellStyle name="20% - Accent5 10 2 7 2" xfId="26162" xr:uid="{00000000-0005-0000-0000-000033310000}"/>
    <cellStyle name="20% - Accent5 10 2 8" xfId="18256" xr:uid="{00000000-0005-0000-0000-000034310000}"/>
    <cellStyle name="20% - Accent5 10 2 8 2" xfId="29948" xr:uid="{00000000-0005-0000-0000-000035310000}"/>
    <cellStyle name="20% - Accent5 10 2 9" xfId="22302" xr:uid="{00000000-0005-0000-0000-000036310000}"/>
    <cellStyle name="20% - Accent5 10 2_Volatility" xfId="3055" xr:uid="{00000000-0005-0000-0000-000037310000}"/>
    <cellStyle name="20% - Accent5 10 3" xfId="3056" xr:uid="{00000000-0005-0000-0000-000038310000}"/>
    <cellStyle name="20% - Accent5 10 3 2" xfId="3057" xr:uid="{00000000-0005-0000-0000-000039310000}"/>
    <cellStyle name="20% - Accent5 10 3 2 2" xfId="3058" xr:uid="{00000000-0005-0000-0000-00003A310000}"/>
    <cellStyle name="20% - Accent5 10 3 2 2 2" xfId="14319" xr:uid="{00000000-0005-0000-0000-00003B310000}"/>
    <cellStyle name="20% - Accent5 10 3 2 2 2 2" xfId="26176" xr:uid="{00000000-0005-0000-0000-00003C310000}"/>
    <cellStyle name="20% - Accent5 10 3 2 2 3" xfId="18270" xr:uid="{00000000-0005-0000-0000-00003D310000}"/>
    <cellStyle name="20% - Accent5 10 3 2 2 3 2" xfId="29962" xr:uid="{00000000-0005-0000-0000-00003E310000}"/>
    <cellStyle name="20% - Accent5 10 3 2 2 4" xfId="22316" xr:uid="{00000000-0005-0000-0000-00003F310000}"/>
    <cellStyle name="20% - Accent5 10 3 2 3" xfId="3059" xr:uid="{00000000-0005-0000-0000-000040310000}"/>
    <cellStyle name="20% - Accent5 10 3 2 3 2" xfId="14320" xr:uid="{00000000-0005-0000-0000-000041310000}"/>
    <cellStyle name="20% - Accent5 10 3 2 3 2 2" xfId="26177" xr:uid="{00000000-0005-0000-0000-000042310000}"/>
    <cellStyle name="20% - Accent5 10 3 2 3 3" xfId="18271" xr:uid="{00000000-0005-0000-0000-000043310000}"/>
    <cellStyle name="20% - Accent5 10 3 2 3 3 2" xfId="29963" xr:uid="{00000000-0005-0000-0000-000044310000}"/>
    <cellStyle name="20% - Accent5 10 3 2 3 4" xfId="22317" xr:uid="{00000000-0005-0000-0000-000045310000}"/>
    <cellStyle name="20% - Accent5 10 3 2 4" xfId="14318" xr:uid="{00000000-0005-0000-0000-000046310000}"/>
    <cellStyle name="20% - Accent5 10 3 2 4 2" xfId="26175" xr:uid="{00000000-0005-0000-0000-000047310000}"/>
    <cellStyle name="20% - Accent5 10 3 2 5" xfId="18269" xr:uid="{00000000-0005-0000-0000-000048310000}"/>
    <cellStyle name="20% - Accent5 10 3 2 5 2" xfId="29961" xr:uid="{00000000-0005-0000-0000-000049310000}"/>
    <cellStyle name="20% - Accent5 10 3 2 6" xfId="22315" xr:uid="{00000000-0005-0000-0000-00004A310000}"/>
    <cellStyle name="20% - Accent5 10 3 3" xfId="3060" xr:uid="{00000000-0005-0000-0000-00004B310000}"/>
    <cellStyle name="20% - Accent5 10 3 3 2" xfId="3061" xr:uid="{00000000-0005-0000-0000-00004C310000}"/>
    <cellStyle name="20% - Accent5 10 3 3 2 2" xfId="14322" xr:uid="{00000000-0005-0000-0000-00004D310000}"/>
    <cellStyle name="20% - Accent5 10 3 3 2 2 2" xfId="26179" xr:uid="{00000000-0005-0000-0000-00004E310000}"/>
    <cellStyle name="20% - Accent5 10 3 3 2 3" xfId="18273" xr:uid="{00000000-0005-0000-0000-00004F310000}"/>
    <cellStyle name="20% - Accent5 10 3 3 2 3 2" xfId="29965" xr:uid="{00000000-0005-0000-0000-000050310000}"/>
    <cellStyle name="20% - Accent5 10 3 3 2 4" xfId="22319" xr:uid="{00000000-0005-0000-0000-000051310000}"/>
    <cellStyle name="20% - Accent5 10 3 3 3" xfId="3062" xr:uid="{00000000-0005-0000-0000-000052310000}"/>
    <cellStyle name="20% - Accent5 10 3 3 3 2" xfId="14323" xr:uid="{00000000-0005-0000-0000-000053310000}"/>
    <cellStyle name="20% - Accent5 10 3 3 3 2 2" xfId="26180" xr:uid="{00000000-0005-0000-0000-000054310000}"/>
    <cellStyle name="20% - Accent5 10 3 3 3 3" xfId="18274" xr:uid="{00000000-0005-0000-0000-000055310000}"/>
    <cellStyle name="20% - Accent5 10 3 3 3 3 2" xfId="29966" xr:uid="{00000000-0005-0000-0000-000056310000}"/>
    <cellStyle name="20% - Accent5 10 3 3 3 4" xfId="22320" xr:uid="{00000000-0005-0000-0000-000057310000}"/>
    <cellStyle name="20% - Accent5 10 3 3 4" xfId="14321" xr:uid="{00000000-0005-0000-0000-000058310000}"/>
    <cellStyle name="20% - Accent5 10 3 3 4 2" xfId="26178" xr:uid="{00000000-0005-0000-0000-000059310000}"/>
    <cellStyle name="20% - Accent5 10 3 3 5" xfId="18272" xr:uid="{00000000-0005-0000-0000-00005A310000}"/>
    <cellStyle name="20% - Accent5 10 3 3 5 2" xfId="29964" xr:uid="{00000000-0005-0000-0000-00005B310000}"/>
    <cellStyle name="20% - Accent5 10 3 3 6" xfId="22318" xr:uid="{00000000-0005-0000-0000-00005C310000}"/>
    <cellStyle name="20% - Accent5 10 3 4" xfId="3063" xr:uid="{00000000-0005-0000-0000-00005D310000}"/>
    <cellStyle name="20% - Accent5 10 3 4 2" xfId="14324" xr:uid="{00000000-0005-0000-0000-00005E310000}"/>
    <cellStyle name="20% - Accent5 10 3 4 2 2" xfId="26181" xr:uid="{00000000-0005-0000-0000-00005F310000}"/>
    <cellStyle name="20% - Accent5 10 3 4 3" xfId="18275" xr:uid="{00000000-0005-0000-0000-000060310000}"/>
    <cellStyle name="20% - Accent5 10 3 4 3 2" xfId="29967" xr:uid="{00000000-0005-0000-0000-000061310000}"/>
    <cellStyle name="20% - Accent5 10 3 4 4" xfId="22321" xr:uid="{00000000-0005-0000-0000-000062310000}"/>
    <cellStyle name="20% - Accent5 10 3 5" xfId="3064" xr:uid="{00000000-0005-0000-0000-000063310000}"/>
    <cellStyle name="20% - Accent5 10 3 5 2" xfId="14325" xr:uid="{00000000-0005-0000-0000-000064310000}"/>
    <cellStyle name="20% - Accent5 10 3 5 2 2" xfId="26182" xr:uid="{00000000-0005-0000-0000-000065310000}"/>
    <cellStyle name="20% - Accent5 10 3 5 3" xfId="18276" xr:uid="{00000000-0005-0000-0000-000066310000}"/>
    <cellStyle name="20% - Accent5 10 3 5 3 2" xfId="29968" xr:uid="{00000000-0005-0000-0000-000067310000}"/>
    <cellStyle name="20% - Accent5 10 3 5 4" xfId="22322" xr:uid="{00000000-0005-0000-0000-000068310000}"/>
    <cellStyle name="20% - Accent5 10 3 6" xfId="14317" xr:uid="{00000000-0005-0000-0000-000069310000}"/>
    <cellStyle name="20% - Accent5 10 3 6 2" xfId="26174" xr:uid="{00000000-0005-0000-0000-00006A310000}"/>
    <cellStyle name="20% - Accent5 10 3 7" xfId="18268" xr:uid="{00000000-0005-0000-0000-00006B310000}"/>
    <cellStyle name="20% - Accent5 10 3 7 2" xfId="29960" xr:uid="{00000000-0005-0000-0000-00006C310000}"/>
    <cellStyle name="20% - Accent5 10 3 8" xfId="22314" xr:uid="{00000000-0005-0000-0000-00006D310000}"/>
    <cellStyle name="20% - Accent5 10 3_Volatility" xfId="3065" xr:uid="{00000000-0005-0000-0000-00006E310000}"/>
    <cellStyle name="20% - Accent5 10 4" xfId="3066" xr:uid="{00000000-0005-0000-0000-00006F310000}"/>
    <cellStyle name="20% - Accent5 10 4 2" xfId="3067" xr:uid="{00000000-0005-0000-0000-000070310000}"/>
    <cellStyle name="20% - Accent5 10 4 2 2" xfId="14327" xr:uid="{00000000-0005-0000-0000-000071310000}"/>
    <cellStyle name="20% - Accent5 10 4 2 2 2" xfId="26184" xr:uid="{00000000-0005-0000-0000-000072310000}"/>
    <cellStyle name="20% - Accent5 10 4 2 3" xfId="18278" xr:uid="{00000000-0005-0000-0000-000073310000}"/>
    <cellStyle name="20% - Accent5 10 4 2 3 2" xfId="29970" xr:uid="{00000000-0005-0000-0000-000074310000}"/>
    <cellStyle name="20% - Accent5 10 4 2 4" xfId="22324" xr:uid="{00000000-0005-0000-0000-000075310000}"/>
    <cellStyle name="20% - Accent5 10 4 3" xfId="3068" xr:uid="{00000000-0005-0000-0000-000076310000}"/>
    <cellStyle name="20% - Accent5 10 4 3 2" xfId="14328" xr:uid="{00000000-0005-0000-0000-000077310000}"/>
    <cellStyle name="20% - Accent5 10 4 3 2 2" xfId="26185" xr:uid="{00000000-0005-0000-0000-000078310000}"/>
    <cellStyle name="20% - Accent5 10 4 3 3" xfId="18279" xr:uid="{00000000-0005-0000-0000-000079310000}"/>
    <cellStyle name="20% - Accent5 10 4 3 3 2" xfId="29971" xr:uid="{00000000-0005-0000-0000-00007A310000}"/>
    <cellStyle name="20% - Accent5 10 4 3 4" xfId="22325" xr:uid="{00000000-0005-0000-0000-00007B310000}"/>
    <cellStyle name="20% - Accent5 10 4 4" xfId="14326" xr:uid="{00000000-0005-0000-0000-00007C310000}"/>
    <cellStyle name="20% - Accent5 10 4 4 2" xfId="26183" xr:uid="{00000000-0005-0000-0000-00007D310000}"/>
    <cellStyle name="20% - Accent5 10 4 5" xfId="18277" xr:uid="{00000000-0005-0000-0000-00007E310000}"/>
    <cellStyle name="20% - Accent5 10 4 5 2" xfId="29969" xr:uid="{00000000-0005-0000-0000-00007F310000}"/>
    <cellStyle name="20% - Accent5 10 4 6" xfId="22323" xr:uid="{00000000-0005-0000-0000-000080310000}"/>
    <cellStyle name="20% - Accent5 10 5" xfId="3069" xr:uid="{00000000-0005-0000-0000-000081310000}"/>
    <cellStyle name="20% - Accent5 10 5 2" xfId="3070" xr:uid="{00000000-0005-0000-0000-000082310000}"/>
    <cellStyle name="20% - Accent5 10 5 2 2" xfId="14330" xr:uid="{00000000-0005-0000-0000-000083310000}"/>
    <cellStyle name="20% - Accent5 10 5 2 2 2" xfId="26187" xr:uid="{00000000-0005-0000-0000-000084310000}"/>
    <cellStyle name="20% - Accent5 10 5 2 3" xfId="18281" xr:uid="{00000000-0005-0000-0000-000085310000}"/>
    <cellStyle name="20% - Accent5 10 5 2 3 2" xfId="29973" xr:uid="{00000000-0005-0000-0000-000086310000}"/>
    <cellStyle name="20% - Accent5 10 5 2 4" xfId="22327" xr:uid="{00000000-0005-0000-0000-000087310000}"/>
    <cellStyle name="20% - Accent5 10 5 3" xfId="3071" xr:uid="{00000000-0005-0000-0000-000088310000}"/>
    <cellStyle name="20% - Accent5 10 5 3 2" xfId="14331" xr:uid="{00000000-0005-0000-0000-000089310000}"/>
    <cellStyle name="20% - Accent5 10 5 3 2 2" xfId="26188" xr:uid="{00000000-0005-0000-0000-00008A310000}"/>
    <cellStyle name="20% - Accent5 10 5 3 3" xfId="18282" xr:uid="{00000000-0005-0000-0000-00008B310000}"/>
    <cellStyle name="20% - Accent5 10 5 3 3 2" xfId="29974" xr:uid="{00000000-0005-0000-0000-00008C310000}"/>
    <cellStyle name="20% - Accent5 10 5 3 4" xfId="22328" xr:uid="{00000000-0005-0000-0000-00008D310000}"/>
    <cellStyle name="20% - Accent5 10 5 4" xfId="14329" xr:uid="{00000000-0005-0000-0000-00008E310000}"/>
    <cellStyle name="20% - Accent5 10 5 4 2" xfId="26186" xr:uid="{00000000-0005-0000-0000-00008F310000}"/>
    <cellStyle name="20% - Accent5 10 5 5" xfId="18280" xr:uid="{00000000-0005-0000-0000-000090310000}"/>
    <cellStyle name="20% - Accent5 10 5 5 2" xfId="29972" xr:uid="{00000000-0005-0000-0000-000091310000}"/>
    <cellStyle name="20% - Accent5 10 5 6" xfId="22326" xr:uid="{00000000-0005-0000-0000-000092310000}"/>
    <cellStyle name="20% - Accent5 10 6" xfId="3072" xr:uid="{00000000-0005-0000-0000-000093310000}"/>
    <cellStyle name="20% - Accent5 10 6 2" xfId="3073" xr:uid="{00000000-0005-0000-0000-000094310000}"/>
    <cellStyle name="20% - Accent5 10 6 2 2" xfId="14333" xr:uid="{00000000-0005-0000-0000-000095310000}"/>
    <cellStyle name="20% - Accent5 10 6 2 2 2" xfId="26190" xr:uid="{00000000-0005-0000-0000-000096310000}"/>
    <cellStyle name="20% - Accent5 10 6 2 3" xfId="18284" xr:uid="{00000000-0005-0000-0000-000097310000}"/>
    <cellStyle name="20% - Accent5 10 6 2 3 2" xfId="29976" xr:uid="{00000000-0005-0000-0000-000098310000}"/>
    <cellStyle name="20% - Accent5 10 6 2 4" xfId="22330" xr:uid="{00000000-0005-0000-0000-000099310000}"/>
    <cellStyle name="20% - Accent5 10 6 3" xfId="3074" xr:uid="{00000000-0005-0000-0000-00009A310000}"/>
    <cellStyle name="20% - Accent5 10 6 3 2" xfId="14334" xr:uid="{00000000-0005-0000-0000-00009B310000}"/>
    <cellStyle name="20% - Accent5 10 6 3 2 2" xfId="26191" xr:uid="{00000000-0005-0000-0000-00009C310000}"/>
    <cellStyle name="20% - Accent5 10 6 3 3" xfId="18285" xr:uid="{00000000-0005-0000-0000-00009D310000}"/>
    <cellStyle name="20% - Accent5 10 6 3 3 2" xfId="29977" xr:uid="{00000000-0005-0000-0000-00009E310000}"/>
    <cellStyle name="20% - Accent5 10 6 3 4" xfId="22331" xr:uid="{00000000-0005-0000-0000-00009F310000}"/>
    <cellStyle name="20% - Accent5 10 6 4" xfId="14332" xr:uid="{00000000-0005-0000-0000-0000A0310000}"/>
    <cellStyle name="20% - Accent5 10 6 4 2" xfId="26189" xr:uid="{00000000-0005-0000-0000-0000A1310000}"/>
    <cellStyle name="20% - Accent5 10 6 5" xfId="18283" xr:uid="{00000000-0005-0000-0000-0000A2310000}"/>
    <cellStyle name="20% - Accent5 10 6 5 2" xfId="29975" xr:uid="{00000000-0005-0000-0000-0000A3310000}"/>
    <cellStyle name="20% - Accent5 10 6 6" xfId="22329" xr:uid="{00000000-0005-0000-0000-0000A4310000}"/>
    <cellStyle name="20% - Accent5 10 7" xfId="3075" xr:uid="{00000000-0005-0000-0000-0000A5310000}"/>
    <cellStyle name="20% - Accent5 10 7 2" xfId="14335" xr:uid="{00000000-0005-0000-0000-0000A6310000}"/>
    <cellStyle name="20% - Accent5 10 7 2 2" xfId="26192" xr:uid="{00000000-0005-0000-0000-0000A7310000}"/>
    <cellStyle name="20% - Accent5 10 7 3" xfId="18286" xr:uid="{00000000-0005-0000-0000-0000A8310000}"/>
    <cellStyle name="20% - Accent5 10 7 3 2" xfId="29978" xr:uid="{00000000-0005-0000-0000-0000A9310000}"/>
    <cellStyle name="20% - Accent5 10 7 4" xfId="22332" xr:uid="{00000000-0005-0000-0000-0000AA310000}"/>
    <cellStyle name="20% - Accent5 10 8" xfId="3076" xr:uid="{00000000-0005-0000-0000-0000AB310000}"/>
    <cellStyle name="20% - Accent5 10 8 2" xfId="14336" xr:uid="{00000000-0005-0000-0000-0000AC310000}"/>
    <cellStyle name="20% - Accent5 10 8 2 2" xfId="26193" xr:uid="{00000000-0005-0000-0000-0000AD310000}"/>
    <cellStyle name="20% - Accent5 10 8 3" xfId="18287" xr:uid="{00000000-0005-0000-0000-0000AE310000}"/>
    <cellStyle name="20% - Accent5 10 8 3 2" xfId="29979" xr:uid="{00000000-0005-0000-0000-0000AF310000}"/>
    <cellStyle name="20% - Accent5 10 8 4" xfId="22333" xr:uid="{00000000-0005-0000-0000-0000B0310000}"/>
    <cellStyle name="20% - Accent5 10 9" xfId="14304" xr:uid="{00000000-0005-0000-0000-0000B1310000}"/>
    <cellStyle name="20% - Accent5 10 9 2" xfId="26161" xr:uid="{00000000-0005-0000-0000-0000B2310000}"/>
    <cellStyle name="20% - Accent5 10_Volatility" xfId="3077" xr:uid="{00000000-0005-0000-0000-0000B3310000}"/>
    <cellStyle name="20% - Accent5 11" xfId="3078" xr:uid="{00000000-0005-0000-0000-0000B4310000}"/>
    <cellStyle name="20% - Accent5 11 10" xfId="18288" xr:uid="{00000000-0005-0000-0000-0000B5310000}"/>
    <cellStyle name="20% - Accent5 11 10 2" xfId="29980" xr:uid="{00000000-0005-0000-0000-0000B6310000}"/>
    <cellStyle name="20% - Accent5 11 11" xfId="22334" xr:uid="{00000000-0005-0000-0000-0000B7310000}"/>
    <cellStyle name="20% - Accent5 11 2" xfId="3079" xr:uid="{00000000-0005-0000-0000-0000B8310000}"/>
    <cellStyle name="20% - Accent5 11 2 2" xfId="3080" xr:uid="{00000000-0005-0000-0000-0000B9310000}"/>
    <cellStyle name="20% - Accent5 11 2 2 2" xfId="3081" xr:uid="{00000000-0005-0000-0000-0000BA310000}"/>
    <cellStyle name="20% - Accent5 11 2 2 2 2" xfId="14340" xr:uid="{00000000-0005-0000-0000-0000BB310000}"/>
    <cellStyle name="20% - Accent5 11 2 2 2 2 2" xfId="26197" xr:uid="{00000000-0005-0000-0000-0000BC310000}"/>
    <cellStyle name="20% - Accent5 11 2 2 2 3" xfId="18291" xr:uid="{00000000-0005-0000-0000-0000BD310000}"/>
    <cellStyle name="20% - Accent5 11 2 2 2 3 2" xfId="29983" xr:uid="{00000000-0005-0000-0000-0000BE310000}"/>
    <cellStyle name="20% - Accent5 11 2 2 2 4" xfId="22337" xr:uid="{00000000-0005-0000-0000-0000BF310000}"/>
    <cellStyle name="20% - Accent5 11 2 2 3" xfId="3082" xr:uid="{00000000-0005-0000-0000-0000C0310000}"/>
    <cellStyle name="20% - Accent5 11 2 2 3 2" xfId="14341" xr:uid="{00000000-0005-0000-0000-0000C1310000}"/>
    <cellStyle name="20% - Accent5 11 2 2 3 2 2" xfId="26198" xr:uid="{00000000-0005-0000-0000-0000C2310000}"/>
    <cellStyle name="20% - Accent5 11 2 2 3 3" xfId="18292" xr:uid="{00000000-0005-0000-0000-0000C3310000}"/>
    <cellStyle name="20% - Accent5 11 2 2 3 3 2" xfId="29984" xr:uid="{00000000-0005-0000-0000-0000C4310000}"/>
    <cellStyle name="20% - Accent5 11 2 2 3 4" xfId="22338" xr:uid="{00000000-0005-0000-0000-0000C5310000}"/>
    <cellStyle name="20% - Accent5 11 2 2 4" xfId="14339" xr:uid="{00000000-0005-0000-0000-0000C6310000}"/>
    <cellStyle name="20% - Accent5 11 2 2 4 2" xfId="26196" xr:uid="{00000000-0005-0000-0000-0000C7310000}"/>
    <cellStyle name="20% - Accent5 11 2 2 5" xfId="18290" xr:uid="{00000000-0005-0000-0000-0000C8310000}"/>
    <cellStyle name="20% - Accent5 11 2 2 5 2" xfId="29982" xr:uid="{00000000-0005-0000-0000-0000C9310000}"/>
    <cellStyle name="20% - Accent5 11 2 2 6" xfId="22336" xr:uid="{00000000-0005-0000-0000-0000CA310000}"/>
    <cellStyle name="20% - Accent5 11 2 3" xfId="3083" xr:uid="{00000000-0005-0000-0000-0000CB310000}"/>
    <cellStyle name="20% - Accent5 11 2 3 2" xfId="3084" xr:uid="{00000000-0005-0000-0000-0000CC310000}"/>
    <cellStyle name="20% - Accent5 11 2 3 2 2" xfId="14343" xr:uid="{00000000-0005-0000-0000-0000CD310000}"/>
    <cellStyle name="20% - Accent5 11 2 3 2 2 2" xfId="26200" xr:uid="{00000000-0005-0000-0000-0000CE310000}"/>
    <cellStyle name="20% - Accent5 11 2 3 2 3" xfId="18294" xr:uid="{00000000-0005-0000-0000-0000CF310000}"/>
    <cellStyle name="20% - Accent5 11 2 3 2 3 2" xfId="29986" xr:uid="{00000000-0005-0000-0000-0000D0310000}"/>
    <cellStyle name="20% - Accent5 11 2 3 2 4" xfId="22340" xr:uid="{00000000-0005-0000-0000-0000D1310000}"/>
    <cellStyle name="20% - Accent5 11 2 3 3" xfId="3085" xr:uid="{00000000-0005-0000-0000-0000D2310000}"/>
    <cellStyle name="20% - Accent5 11 2 3 3 2" xfId="14344" xr:uid="{00000000-0005-0000-0000-0000D3310000}"/>
    <cellStyle name="20% - Accent5 11 2 3 3 2 2" xfId="26201" xr:uid="{00000000-0005-0000-0000-0000D4310000}"/>
    <cellStyle name="20% - Accent5 11 2 3 3 3" xfId="18295" xr:uid="{00000000-0005-0000-0000-0000D5310000}"/>
    <cellStyle name="20% - Accent5 11 2 3 3 3 2" xfId="29987" xr:uid="{00000000-0005-0000-0000-0000D6310000}"/>
    <cellStyle name="20% - Accent5 11 2 3 3 4" xfId="22341" xr:uid="{00000000-0005-0000-0000-0000D7310000}"/>
    <cellStyle name="20% - Accent5 11 2 3 4" xfId="14342" xr:uid="{00000000-0005-0000-0000-0000D8310000}"/>
    <cellStyle name="20% - Accent5 11 2 3 4 2" xfId="26199" xr:uid="{00000000-0005-0000-0000-0000D9310000}"/>
    <cellStyle name="20% - Accent5 11 2 3 5" xfId="18293" xr:uid="{00000000-0005-0000-0000-0000DA310000}"/>
    <cellStyle name="20% - Accent5 11 2 3 5 2" xfId="29985" xr:uid="{00000000-0005-0000-0000-0000DB310000}"/>
    <cellStyle name="20% - Accent5 11 2 3 6" xfId="22339" xr:uid="{00000000-0005-0000-0000-0000DC310000}"/>
    <cellStyle name="20% - Accent5 11 2 4" xfId="3086" xr:uid="{00000000-0005-0000-0000-0000DD310000}"/>
    <cellStyle name="20% - Accent5 11 2 4 2" xfId="3087" xr:uid="{00000000-0005-0000-0000-0000DE310000}"/>
    <cellStyle name="20% - Accent5 11 2 4 2 2" xfId="14346" xr:uid="{00000000-0005-0000-0000-0000DF310000}"/>
    <cellStyle name="20% - Accent5 11 2 4 2 2 2" xfId="26203" xr:uid="{00000000-0005-0000-0000-0000E0310000}"/>
    <cellStyle name="20% - Accent5 11 2 4 2 3" xfId="18297" xr:uid="{00000000-0005-0000-0000-0000E1310000}"/>
    <cellStyle name="20% - Accent5 11 2 4 2 3 2" xfId="29989" xr:uid="{00000000-0005-0000-0000-0000E2310000}"/>
    <cellStyle name="20% - Accent5 11 2 4 2 4" xfId="22343" xr:uid="{00000000-0005-0000-0000-0000E3310000}"/>
    <cellStyle name="20% - Accent5 11 2 4 3" xfId="3088" xr:uid="{00000000-0005-0000-0000-0000E4310000}"/>
    <cellStyle name="20% - Accent5 11 2 4 3 2" xfId="14347" xr:uid="{00000000-0005-0000-0000-0000E5310000}"/>
    <cellStyle name="20% - Accent5 11 2 4 3 2 2" xfId="26204" xr:uid="{00000000-0005-0000-0000-0000E6310000}"/>
    <cellStyle name="20% - Accent5 11 2 4 3 3" xfId="18298" xr:uid="{00000000-0005-0000-0000-0000E7310000}"/>
    <cellStyle name="20% - Accent5 11 2 4 3 3 2" xfId="29990" xr:uid="{00000000-0005-0000-0000-0000E8310000}"/>
    <cellStyle name="20% - Accent5 11 2 4 3 4" xfId="22344" xr:uid="{00000000-0005-0000-0000-0000E9310000}"/>
    <cellStyle name="20% - Accent5 11 2 4 4" xfId="14345" xr:uid="{00000000-0005-0000-0000-0000EA310000}"/>
    <cellStyle name="20% - Accent5 11 2 4 4 2" xfId="26202" xr:uid="{00000000-0005-0000-0000-0000EB310000}"/>
    <cellStyle name="20% - Accent5 11 2 4 5" xfId="18296" xr:uid="{00000000-0005-0000-0000-0000EC310000}"/>
    <cellStyle name="20% - Accent5 11 2 4 5 2" xfId="29988" xr:uid="{00000000-0005-0000-0000-0000ED310000}"/>
    <cellStyle name="20% - Accent5 11 2 4 6" xfId="22342" xr:uid="{00000000-0005-0000-0000-0000EE310000}"/>
    <cellStyle name="20% - Accent5 11 2 5" xfId="3089" xr:uid="{00000000-0005-0000-0000-0000EF310000}"/>
    <cellStyle name="20% - Accent5 11 2 5 2" xfId="14348" xr:uid="{00000000-0005-0000-0000-0000F0310000}"/>
    <cellStyle name="20% - Accent5 11 2 5 2 2" xfId="26205" xr:uid="{00000000-0005-0000-0000-0000F1310000}"/>
    <cellStyle name="20% - Accent5 11 2 5 3" xfId="18299" xr:uid="{00000000-0005-0000-0000-0000F2310000}"/>
    <cellStyle name="20% - Accent5 11 2 5 3 2" xfId="29991" xr:uid="{00000000-0005-0000-0000-0000F3310000}"/>
    <cellStyle name="20% - Accent5 11 2 5 4" xfId="22345" xr:uid="{00000000-0005-0000-0000-0000F4310000}"/>
    <cellStyle name="20% - Accent5 11 2 6" xfId="3090" xr:uid="{00000000-0005-0000-0000-0000F5310000}"/>
    <cellStyle name="20% - Accent5 11 2 6 2" xfId="14349" xr:uid="{00000000-0005-0000-0000-0000F6310000}"/>
    <cellStyle name="20% - Accent5 11 2 6 2 2" xfId="26206" xr:uid="{00000000-0005-0000-0000-0000F7310000}"/>
    <cellStyle name="20% - Accent5 11 2 6 3" xfId="18300" xr:uid="{00000000-0005-0000-0000-0000F8310000}"/>
    <cellStyle name="20% - Accent5 11 2 6 3 2" xfId="29992" xr:uid="{00000000-0005-0000-0000-0000F9310000}"/>
    <cellStyle name="20% - Accent5 11 2 6 4" xfId="22346" xr:uid="{00000000-0005-0000-0000-0000FA310000}"/>
    <cellStyle name="20% - Accent5 11 2 7" xfId="14338" xr:uid="{00000000-0005-0000-0000-0000FB310000}"/>
    <cellStyle name="20% - Accent5 11 2 7 2" xfId="26195" xr:uid="{00000000-0005-0000-0000-0000FC310000}"/>
    <cellStyle name="20% - Accent5 11 2 8" xfId="18289" xr:uid="{00000000-0005-0000-0000-0000FD310000}"/>
    <cellStyle name="20% - Accent5 11 2 8 2" xfId="29981" xr:uid="{00000000-0005-0000-0000-0000FE310000}"/>
    <cellStyle name="20% - Accent5 11 2 9" xfId="22335" xr:uid="{00000000-0005-0000-0000-0000FF310000}"/>
    <cellStyle name="20% - Accent5 11 2_Volatility" xfId="3091" xr:uid="{00000000-0005-0000-0000-000000320000}"/>
    <cellStyle name="20% - Accent5 11 3" xfId="3092" xr:uid="{00000000-0005-0000-0000-000001320000}"/>
    <cellStyle name="20% - Accent5 11 3 2" xfId="3093" xr:uid="{00000000-0005-0000-0000-000002320000}"/>
    <cellStyle name="20% - Accent5 11 3 2 2" xfId="3094" xr:uid="{00000000-0005-0000-0000-000003320000}"/>
    <cellStyle name="20% - Accent5 11 3 2 2 2" xfId="14352" xr:uid="{00000000-0005-0000-0000-000004320000}"/>
    <cellStyle name="20% - Accent5 11 3 2 2 2 2" xfId="26209" xr:uid="{00000000-0005-0000-0000-000005320000}"/>
    <cellStyle name="20% - Accent5 11 3 2 2 3" xfId="18303" xr:uid="{00000000-0005-0000-0000-000006320000}"/>
    <cellStyle name="20% - Accent5 11 3 2 2 3 2" xfId="29995" xr:uid="{00000000-0005-0000-0000-000007320000}"/>
    <cellStyle name="20% - Accent5 11 3 2 2 4" xfId="22349" xr:uid="{00000000-0005-0000-0000-000008320000}"/>
    <cellStyle name="20% - Accent5 11 3 2 3" xfId="3095" xr:uid="{00000000-0005-0000-0000-000009320000}"/>
    <cellStyle name="20% - Accent5 11 3 2 3 2" xfId="14353" xr:uid="{00000000-0005-0000-0000-00000A320000}"/>
    <cellStyle name="20% - Accent5 11 3 2 3 2 2" xfId="26210" xr:uid="{00000000-0005-0000-0000-00000B320000}"/>
    <cellStyle name="20% - Accent5 11 3 2 3 3" xfId="18304" xr:uid="{00000000-0005-0000-0000-00000C320000}"/>
    <cellStyle name="20% - Accent5 11 3 2 3 3 2" xfId="29996" xr:uid="{00000000-0005-0000-0000-00000D320000}"/>
    <cellStyle name="20% - Accent5 11 3 2 3 4" xfId="22350" xr:uid="{00000000-0005-0000-0000-00000E320000}"/>
    <cellStyle name="20% - Accent5 11 3 2 4" xfId="14351" xr:uid="{00000000-0005-0000-0000-00000F320000}"/>
    <cellStyle name="20% - Accent5 11 3 2 4 2" xfId="26208" xr:uid="{00000000-0005-0000-0000-000010320000}"/>
    <cellStyle name="20% - Accent5 11 3 2 5" xfId="18302" xr:uid="{00000000-0005-0000-0000-000011320000}"/>
    <cellStyle name="20% - Accent5 11 3 2 5 2" xfId="29994" xr:uid="{00000000-0005-0000-0000-000012320000}"/>
    <cellStyle name="20% - Accent5 11 3 2 6" xfId="22348" xr:uid="{00000000-0005-0000-0000-000013320000}"/>
    <cellStyle name="20% - Accent5 11 3 3" xfId="3096" xr:uid="{00000000-0005-0000-0000-000014320000}"/>
    <cellStyle name="20% - Accent5 11 3 3 2" xfId="3097" xr:uid="{00000000-0005-0000-0000-000015320000}"/>
    <cellStyle name="20% - Accent5 11 3 3 2 2" xfId="14355" xr:uid="{00000000-0005-0000-0000-000016320000}"/>
    <cellStyle name="20% - Accent5 11 3 3 2 2 2" xfId="26212" xr:uid="{00000000-0005-0000-0000-000017320000}"/>
    <cellStyle name="20% - Accent5 11 3 3 2 3" xfId="18306" xr:uid="{00000000-0005-0000-0000-000018320000}"/>
    <cellStyle name="20% - Accent5 11 3 3 2 3 2" xfId="29998" xr:uid="{00000000-0005-0000-0000-000019320000}"/>
    <cellStyle name="20% - Accent5 11 3 3 2 4" xfId="22352" xr:uid="{00000000-0005-0000-0000-00001A320000}"/>
    <cellStyle name="20% - Accent5 11 3 3 3" xfId="3098" xr:uid="{00000000-0005-0000-0000-00001B320000}"/>
    <cellStyle name="20% - Accent5 11 3 3 3 2" xfId="14356" xr:uid="{00000000-0005-0000-0000-00001C320000}"/>
    <cellStyle name="20% - Accent5 11 3 3 3 2 2" xfId="26213" xr:uid="{00000000-0005-0000-0000-00001D320000}"/>
    <cellStyle name="20% - Accent5 11 3 3 3 3" xfId="18307" xr:uid="{00000000-0005-0000-0000-00001E320000}"/>
    <cellStyle name="20% - Accent5 11 3 3 3 3 2" xfId="29999" xr:uid="{00000000-0005-0000-0000-00001F320000}"/>
    <cellStyle name="20% - Accent5 11 3 3 3 4" xfId="22353" xr:uid="{00000000-0005-0000-0000-000020320000}"/>
    <cellStyle name="20% - Accent5 11 3 3 4" xfId="14354" xr:uid="{00000000-0005-0000-0000-000021320000}"/>
    <cellStyle name="20% - Accent5 11 3 3 4 2" xfId="26211" xr:uid="{00000000-0005-0000-0000-000022320000}"/>
    <cellStyle name="20% - Accent5 11 3 3 5" xfId="18305" xr:uid="{00000000-0005-0000-0000-000023320000}"/>
    <cellStyle name="20% - Accent5 11 3 3 5 2" xfId="29997" xr:uid="{00000000-0005-0000-0000-000024320000}"/>
    <cellStyle name="20% - Accent5 11 3 3 6" xfId="22351" xr:uid="{00000000-0005-0000-0000-000025320000}"/>
    <cellStyle name="20% - Accent5 11 3 4" xfId="3099" xr:uid="{00000000-0005-0000-0000-000026320000}"/>
    <cellStyle name="20% - Accent5 11 3 4 2" xfId="14357" xr:uid="{00000000-0005-0000-0000-000027320000}"/>
    <cellStyle name="20% - Accent5 11 3 4 2 2" xfId="26214" xr:uid="{00000000-0005-0000-0000-000028320000}"/>
    <cellStyle name="20% - Accent5 11 3 4 3" xfId="18308" xr:uid="{00000000-0005-0000-0000-000029320000}"/>
    <cellStyle name="20% - Accent5 11 3 4 3 2" xfId="30000" xr:uid="{00000000-0005-0000-0000-00002A320000}"/>
    <cellStyle name="20% - Accent5 11 3 4 4" xfId="22354" xr:uid="{00000000-0005-0000-0000-00002B320000}"/>
    <cellStyle name="20% - Accent5 11 3 5" xfId="3100" xr:uid="{00000000-0005-0000-0000-00002C320000}"/>
    <cellStyle name="20% - Accent5 11 3 5 2" xfId="14358" xr:uid="{00000000-0005-0000-0000-00002D320000}"/>
    <cellStyle name="20% - Accent5 11 3 5 2 2" xfId="26215" xr:uid="{00000000-0005-0000-0000-00002E320000}"/>
    <cellStyle name="20% - Accent5 11 3 5 3" xfId="18309" xr:uid="{00000000-0005-0000-0000-00002F320000}"/>
    <cellStyle name="20% - Accent5 11 3 5 3 2" xfId="30001" xr:uid="{00000000-0005-0000-0000-000030320000}"/>
    <cellStyle name="20% - Accent5 11 3 5 4" xfId="22355" xr:uid="{00000000-0005-0000-0000-000031320000}"/>
    <cellStyle name="20% - Accent5 11 3 6" xfId="14350" xr:uid="{00000000-0005-0000-0000-000032320000}"/>
    <cellStyle name="20% - Accent5 11 3 6 2" xfId="26207" xr:uid="{00000000-0005-0000-0000-000033320000}"/>
    <cellStyle name="20% - Accent5 11 3 7" xfId="18301" xr:uid="{00000000-0005-0000-0000-000034320000}"/>
    <cellStyle name="20% - Accent5 11 3 7 2" xfId="29993" xr:uid="{00000000-0005-0000-0000-000035320000}"/>
    <cellStyle name="20% - Accent5 11 3 8" xfId="22347" xr:uid="{00000000-0005-0000-0000-000036320000}"/>
    <cellStyle name="20% - Accent5 11 3_Volatility" xfId="3101" xr:uid="{00000000-0005-0000-0000-000037320000}"/>
    <cellStyle name="20% - Accent5 11 4" xfId="3102" xr:uid="{00000000-0005-0000-0000-000038320000}"/>
    <cellStyle name="20% - Accent5 11 4 2" xfId="3103" xr:uid="{00000000-0005-0000-0000-000039320000}"/>
    <cellStyle name="20% - Accent5 11 4 2 2" xfId="14360" xr:uid="{00000000-0005-0000-0000-00003A320000}"/>
    <cellStyle name="20% - Accent5 11 4 2 2 2" xfId="26217" xr:uid="{00000000-0005-0000-0000-00003B320000}"/>
    <cellStyle name="20% - Accent5 11 4 2 3" xfId="18311" xr:uid="{00000000-0005-0000-0000-00003C320000}"/>
    <cellStyle name="20% - Accent5 11 4 2 3 2" xfId="30003" xr:uid="{00000000-0005-0000-0000-00003D320000}"/>
    <cellStyle name="20% - Accent5 11 4 2 4" xfId="22357" xr:uid="{00000000-0005-0000-0000-00003E320000}"/>
    <cellStyle name="20% - Accent5 11 4 3" xfId="3104" xr:uid="{00000000-0005-0000-0000-00003F320000}"/>
    <cellStyle name="20% - Accent5 11 4 3 2" xfId="14361" xr:uid="{00000000-0005-0000-0000-000040320000}"/>
    <cellStyle name="20% - Accent5 11 4 3 2 2" xfId="26218" xr:uid="{00000000-0005-0000-0000-000041320000}"/>
    <cellStyle name="20% - Accent5 11 4 3 3" xfId="18312" xr:uid="{00000000-0005-0000-0000-000042320000}"/>
    <cellStyle name="20% - Accent5 11 4 3 3 2" xfId="30004" xr:uid="{00000000-0005-0000-0000-000043320000}"/>
    <cellStyle name="20% - Accent5 11 4 3 4" xfId="22358" xr:uid="{00000000-0005-0000-0000-000044320000}"/>
    <cellStyle name="20% - Accent5 11 4 4" xfId="14359" xr:uid="{00000000-0005-0000-0000-000045320000}"/>
    <cellStyle name="20% - Accent5 11 4 4 2" xfId="26216" xr:uid="{00000000-0005-0000-0000-000046320000}"/>
    <cellStyle name="20% - Accent5 11 4 5" xfId="18310" xr:uid="{00000000-0005-0000-0000-000047320000}"/>
    <cellStyle name="20% - Accent5 11 4 5 2" xfId="30002" xr:uid="{00000000-0005-0000-0000-000048320000}"/>
    <cellStyle name="20% - Accent5 11 4 6" xfId="22356" xr:uid="{00000000-0005-0000-0000-000049320000}"/>
    <cellStyle name="20% - Accent5 11 5" xfId="3105" xr:uid="{00000000-0005-0000-0000-00004A320000}"/>
    <cellStyle name="20% - Accent5 11 5 2" xfId="3106" xr:uid="{00000000-0005-0000-0000-00004B320000}"/>
    <cellStyle name="20% - Accent5 11 5 2 2" xfId="14363" xr:uid="{00000000-0005-0000-0000-00004C320000}"/>
    <cellStyle name="20% - Accent5 11 5 2 2 2" xfId="26220" xr:uid="{00000000-0005-0000-0000-00004D320000}"/>
    <cellStyle name="20% - Accent5 11 5 2 3" xfId="18314" xr:uid="{00000000-0005-0000-0000-00004E320000}"/>
    <cellStyle name="20% - Accent5 11 5 2 3 2" xfId="30006" xr:uid="{00000000-0005-0000-0000-00004F320000}"/>
    <cellStyle name="20% - Accent5 11 5 2 4" xfId="22360" xr:uid="{00000000-0005-0000-0000-000050320000}"/>
    <cellStyle name="20% - Accent5 11 5 3" xfId="3107" xr:uid="{00000000-0005-0000-0000-000051320000}"/>
    <cellStyle name="20% - Accent5 11 5 3 2" xfId="14364" xr:uid="{00000000-0005-0000-0000-000052320000}"/>
    <cellStyle name="20% - Accent5 11 5 3 2 2" xfId="26221" xr:uid="{00000000-0005-0000-0000-000053320000}"/>
    <cellStyle name="20% - Accent5 11 5 3 3" xfId="18315" xr:uid="{00000000-0005-0000-0000-000054320000}"/>
    <cellStyle name="20% - Accent5 11 5 3 3 2" xfId="30007" xr:uid="{00000000-0005-0000-0000-000055320000}"/>
    <cellStyle name="20% - Accent5 11 5 3 4" xfId="22361" xr:uid="{00000000-0005-0000-0000-000056320000}"/>
    <cellStyle name="20% - Accent5 11 5 4" xfId="14362" xr:uid="{00000000-0005-0000-0000-000057320000}"/>
    <cellStyle name="20% - Accent5 11 5 4 2" xfId="26219" xr:uid="{00000000-0005-0000-0000-000058320000}"/>
    <cellStyle name="20% - Accent5 11 5 5" xfId="18313" xr:uid="{00000000-0005-0000-0000-000059320000}"/>
    <cellStyle name="20% - Accent5 11 5 5 2" xfId="30005" xr:uid="{00000000-0005-0000-0000-00005A320000}"/>
    <cellStyle name="20% - Accent5 11 5 6" xfId="22359" xr:uid="{00000000-0005-0000-0000-00005B320000}"/>
    <cellStyle name="20% - Accent5 11 6" xfId="3108" xr:uid="{00000000-0005-0000-0000-00005C320000}"/>
    <cellStyle name="20% - Accent5 11 6 2" xfId="3109" xr:uid="{00000000-0005-0000-0000-00005D320000}"/>
    <cellStyle name="20% - Accent5 11 6 2 2" xfId="14366" xr:uid="{00000000-0005-0000-0000-00005E320000}"/>
    <cellStyle name="20% - Accent5 11 6 2 2 2" xfId="26223" xr:uid="{00000000-0005-0000-0000-00005F320000}"/>
    <cellStyle name="20% - Accent5 11 6 2 3" xfId="18317" xr:uid="{00000000-0005-0000-0000-000060320000}"/>
    <cellStyle name="20% - Accent5 11 6 2 3 2" xfId="30009" xr:uid="{00000000-0005-0000-0000-000061320000}"/>
    <cellStyle name="20% - Accent5 11 6 2 4" xfId="22363" xr:uid="{00000000-0005-0000-0000-000062320000}"/>
    <cellStyle name="20% - Accent5 11 6 3" xfId="3110" xr:uid="{00000000-0005-0000-0000-000063320000}"/>
    <cellStyle name="20% - Accent5 11 6 3 2" xfId="14367" xr:uid="{00000000-0005-0000-0000-000064320000}"/>
    <cellStyle name="20% - Accent5 11 6 3 2 2" xfId="26224" xr:uid="{00000000-0005-0000-0000-000065320000}"/>
    <cellStyle name="20% - Accent5 11 6 3 3" xfId="18318" xr:uid="{00000000-0005-0000-0000-000066320000}"/>
    <cellStyle name="20% - Accent5 11 6 3 3 2" xfId="30010" xr:uid="{00000000-0005-0000-0000-000067320000}"/>
    <cellStyle name="20% - Accent5 11 6 3 4" xfId="22364" xr:uid="{00000000-0005-0000-0000-000068320000}"/>
    <cellStyle name="20% - Accent5 11 6 4" xfId="14365" xr:uid="{00000000-0005-0000-0000-000069320000}"/>
    <cellStyle name="20% - Accent5 11 6 4 2" xfId="26222" xr:uid="{00000000-0005-0000-0000-00006A320000}"/>
    <cellStyle name="20% - Accent5 11 6 5" xfId="18316" xr:uid="{00000000-0005-0000-0000-00006B320000}"/>
    <cellStyle name="20% - Accent5 11 6 5 2" xfId="30008" xr:uid="{00000000-0005-0000-0000-00006C320000}"/>
    <cellStyle name="20% - Accent5 11 6 6" xfId="22362" xr:uid="{00000000-0005-0000-0000-00006D320000}"/>
    <cellStyle name="20% - Accent5 11 7" xfId="3111" xr:uid="{00000000-0005-0000-0000-00006E320000}"/>
    <cellStyle name="20% - Accent5 11 7 2" xfId="14368" xr:uid="{00000000-0005-0000-0000-00006F320000}"/>
    <cellStyle name="20% - Accent5 11 7 2 2" xfId="26225" xr:uid="{00000000-0005-0000-0000-000070320000}"/>
    <cellStyle name="20% - Accent5 11 7 3" xfId="18319" xr:uid="{00000000-0005-0000-0000-000071320000}"/>
    <cellStyle name="20% - Accent5 11 7 3 2" xfId="30011" xr:uid="{00000000-0005-0000-0000-000072320000}"/>
    <cellStyle name="20% - Accent5 11 7 4" xfId="22365" xr:uid="{00000000-0005-0000-0000-000073320000}"/>
    <cellStyle name="20% - Accent5 11 8" xfId="3112" xr:uid="{00000000-0005-0000-0000-000074320000}"/>
    <cellStyle name="20% - Accent5 11 8 2" xfId="14369" xr:uid="{00000000-0005-0000-0000-000075320000}"/>
    <cellStyle name="20% - Accent5 11 8 2 2" xfId="26226" xr:uid="{00000000-0005-0000-0000-000076320000}"/>
    <cellStyle name="20% - Accent5 11 8 3" xfId="18320" xr:uid="{00000000-0005-0000-0000-000077320000}"/>
    <cellStyle name="20% - Accent5 11 8 3 2" xfId="30012" xr:uid="{00000000-0005-0000-0000-000078320000}"/>
    <cellStyle name="20% - Accent5 11 8 4" xfId="22366" xr:uid="{00000000-0005-0000-0000-000079320000}"/>
    <cellStyle name="20% - Accent5 11 9" xfId="14337" xr:uid="{00000000-0005-0000-0000-00007A320000}"/>
    <cellStyle name="20% - Accent5 11 9 2" xfId="26194" xr:uid="{00000000-0005-0000-0000-00007B320000}"/>
    <cellStyle name="20% - Accent5 11_Volatility" xfId="3113" xr:uid="{00000000-0005-0000-0000-00007C320000}"/>
    <cellStyle name="20% - Accent5 12" xfId="3114" xr:uid="{00000000-0005-0000-0000-00007D320000}"/>
    <cellStyle name="20% - Accent5 12 10" xfId="18321" xr:uid="{00000000-0005-0000-0000-00007E320000}"/>
    <cellStyle name="20% - Accent5 12 10 2" xfId="30013" xr:uid="{00000000-0005-0000-0000-00007F320000}"/>
    <cellStyle name="20% - Accent5 12 11" xfId="22367" xr:uid="{00000000-0005-0000-0000-000080320000}"/>
    <cellStyle name="20% - Accent5 12 2" xfId="3115" xr:uid="{00000000-0005-0000-0000-000081320000}"/>
    <cellStyle name="20% - Accent5 12 2 2" xfId="3116" xr:uid="{00000000-0005-0000-0000-000082320000}"/>
    <cellStyle name="20% - Accent5 12 2 2 2" xfId="3117" xr:uid="{00000000-0005-0000-0000-000083320000}"/>
    <cellStyle name="20% - Accent5 12 2 2 2 2" xfId="14373" xr:uid="{00000000-0005-0000-0000-000084320000}"/>
    <cellStyle name="20% - Accent5 12 2 2 2 2 2" xfId="26230" xr:uid="{00000000-0005-0000-0000-000085320000}"/>
    <cellStyle name="20% - Accent5 12 2 2 2 3" xfId="18324" xr:uid="{00000000-0005-0000-0000-000086320000}"/>
    <cellStyle name="20% - Accent5 12 2 2 2 3 2" xfId="30016" xr:uid="{00000000-0005-0000-0000-000087320000}"/>
    <cellStyle name="20% - Accent5 12 2 2 2 4" xfId="22370" xr:uid="{00000000-0005-0000-0000-000088320000}"/>
    <cellStyle name="20% - Accent5 12 2 2 3" xfId="3118" xr:uid="{00000000-0005-0000-0000-000089320000}"/>
    <cellStyle name="20% - Accent5 12 2 2 3 2" xfId="14374" xr:uid="{00000000-0005-0000-0000-00008A320000}"/>
    <cellStyle name="20% - Accent5 12 2 2 3 2 2" xfId="26231" xr:uid="{00000000-0005-0000-0000-00008B320000}"/>
    <cellStyle name="20% - Accent5 12 2 2 3 3" xfId="18325" xr:uid="{00000000-0005-0000-0000-00008C320000}"/>
    <cellStyle name="20% - Accent5 12 2 2 3 3 2" xfId="30017" xr:uid="{00000000-0005-0000-0000-00008D320000}"/>
    <cellStyle name="20% - Accent5 12 2 2 3 4" xfId="22371" xr:uid="{00000000-0005-0000-0000-00008E320000}"/>
    <cellStyle name="20% - Accent5 12 2 2 4" xfId="14372" xr:uid="{00000000-0005-0000-0000-00008F320000}"/>
    <cellStyle name="20% - Accent5 12 2 2 4 2" xfId="26229" xr:uid="{00000000-0005-0000-0000-000090320000}"/>
    <cellStyle name="20% - Accent5 12 2 2 5" xfId="18323" xr:uid="{00000000-0005-0000-0000-000091320000}"/>
    <cellStyle name="20% - Accent5 12 2 2 5 2" xfId="30015" xr:uid="{00000000-0005-0000-0000-000092320000}"/>
    <cellStyle name="20% - Accent5 12 2 2 6" xfId="22369" xr:uid="{00000000-0005-0000-0000-000093320000}"/>
    <cellStyle name="20% - Accent5 12 2 3" xfId="3119" xr:uid="{00000000-0005-0000-0000-000094320000}"/>
    <cellStyle name="20% - Accent5 12 2 3 2" xfId="3120" xr:uid="{00000000-0005-0000-0000-000095320000}"/>
    <cellStyle name="20% - Accent5 12 2 3 2 2" xfId="14376" xr:uid="{00000000-0005-0000-0000-000096320000}"/>
    <cellStyle name="20% - Accent5 12 2 3 2 2 2" xfId="26233" xr:uid="{00000000-0005-0000-0000-000097320000}"/>
    <cellStyle name="20% - Accent5 12 2 3 2 3" xfId="18327" xr:uid="{00000000-0005-0000-0000-000098320000}"/>
    <cellStyle name="20% - Accent5 12 2 3 2 3 2" xfId="30019" xr:uid="{00000000-0005-0000-0000-000099320000}"/>
    <cellStyle name="20% - Accent5 12 2 3 2 4" xfId="22373" xr:uid="{00000000-0005-0000-0000-00009A320000}"/>
    <cellStyle name="20% - Accent5 12 2 3 3" xfId="3121" xr:uid="{00000000-0005-0000-0000-00009B320000}"/>
    <cellStyle name="20% - Accent5 12 2 3 3 2" xfId="14377" xr:uid="{00000000-0005-0000-0000-00009C320000}"/>
    <cellStyle name="20% - Accent5 12 2 3 3 2 2" xfId="26234" xr:uid="{00000000-0005-0000-0000-00009D320000}"/>
    <cellStyle name="20% - Accent5 12 2 3 3 3" xfId="18328" xr:uid="{00000000-0005-0000-0000-00009E320000}"/>
    <cellStyle name="20% - Accent5 12 2 3 3 3 2" xfId="30020" xr:uid="{00000000-0005-0000-0000-00009F320000}"/>
    <cellStyle name="20% - Accent5 12 2 3 3 4" xfId="22374" xr:uid="{00000000-0005-0000-0000-0000A0320000}"/>
    <cellStyle name="20% - Accent5 12 2 3 4" xfId="14375" xr:uid="{00000000-0005-0000-0000-0000A1320000}"/>
    <cellStyle name="20% - Accent5 12 2 3 4 2" xfId="26232" xr:uid="{00000000-0005-0000-0000-0000A2320000}"/>
    <cellStyle name="20% - Accent5 12 2 3 5" xfId="18326" xr:uid="{00000000-0005-0000-0000-0000A3320000}"/>
    <cellStyle name="20% - Accent5 12 2 3 5 2" xfId="30018" xr:uid="{00000000-0005-0000-0000-0000A4320000}"/>
    <cellStyle name="20% - Accent5 12 2 3 6" xfId="22372" xr:uid="{00000000-0005-0000-0000-0000A5320000}"/>
    <cellStyle name="20% - Accent5 12 2 4" xfId="3122" xr:uid="{00000000-0005-0000-0000-0000A6320000}"/>
    <cellStyle name="20% - Accent5 12 2 4 2" xfId="3123" xr:uid="{00000000-0005-0000-0000-0000A7320000}"/>
    <cellStyle name="20% - Accent5 12 2 4 2 2" xfId="14379" xr:uid="{00000000-0005-0000-0000-0000A8320000}"/>
    <cellStyle name="20% - Accent5 12 2 4 2 2 2" xfId="26236" xr:uid="{00000000-0005-0000-0000-0000A9320000}"/>
    <cellStyle name="20% - Accent5 12 2 4 2 3" xfId="18330" xr:uid="{00000000-0005-0000-0000-0000AA320000}"/>
    <cellStyle name="20% - Accent5 12 2 4 2 3 2" xfId="30022" xr:uid="{00000000-0005-0000-0000-0000AB320000}"/>
    <cellStyle name="20% - Accent5 12 2 4 2 4" xfId="22376" xr:uid="{00000000-0005-0000-0000-0000AC320000}"/>
    <cellStyle name="20% - Accent5 12 2 4 3" xfId="3124" xr:uid="{00000000-0005-0000-0000-0000AD320000}"/>
    <cellStyle name="20% - Accent5 12 2 4 3 2" xfId="14380" xr:uid="{00000000-0005-0000-0000-0000AE320000}"/>
    <cellStyle name="20% - Accent5 12 2 4 3 2 2" xfId="26237" xr:uid="{00000000-0005-0000-0000-0000AF320000}"/>
    <cellStyle name="20% - Accent5 12 2 4 3 3" xfId="18331" xr:uid="{00000000-0005-0000-0000-0000B0320000}"/>
    <cellStyle name="20% - Accent5 12 2 4 3 3 2" xfId="30023" xr:uid="{00000000-0005-0000-0000-0000B1320000}"/>
    <cellStyle name="20% - Accent5 12 2 4 3 4" xfId="22377" xr:uid="{00000000-0005-0000-0000-0000B2320000}"/>
    <cellStyle name="20% - Accent5 12 2 4 4" xfId="14378" xr:uid="{00000000-0005-0000-0000-0000B3320000}"/>
    <cellStyle name="20% - Accent5 12 2 4 4 2" xfId="26235" xr:uid="{00000000-0005-0000-0000-0000B4320000}"/>
    <cellStyle name="20% - Accent5 12 2 4 5" xfId="18329" xr:uid="{00000000-0005-0000-0000-0000B5320000}"/>
    <cellStyle name="20% - Accent5 12 2 4 5 2" xfId="30021" xr:uid="{00000000-0005-0000-0000-0000B6320000}"/>
    <cellStyle name="20% - Accent5 12 2 4 6" xfId="22375" xr:uid="{00000000-0005-0000-0000-0000B7320000}"/>
    <cellStyle name="20% - Accent5 12 2 5" xfId="3125" xr:uid="{00000000-0005-0000-0000-0000B8320000}"/>
    <cellStyle name="20% - Accent5 12 2 5 2" xfId="14381" xr:uid="{00000000-0005-0000-0000-0000B9320000}"/>
    <cellStyle name="20% - Accent5 12 2 5 2 2" xfId="26238" xr:uid="{00000000-0005-0000-0000-0000BA320000}"/>
    <cellStyle name="20% - Accent5 12 2 5 3" xfId="18332" xr:uid="{00000000-0005-0000-0000-0000BB320000}"/>
    <cellStyle name="20% - Accent5 12 2 5 3 2" xfId="30024" xr:uid="{00000000-0005-0000-0000-0000BC320000}"/>
    <cellStyle name="20% - Accent5 12 2 5 4" xfId="22378" xr:uid="{00000000-0005-0000-0000-0000BD320000}"/>
    <cellStyle name="20% - Accent5 12 2 6" xfId="3126" xr:uid="{00000000-0005-0000-0000-0000BE320000}"/>
    <cellStyle name="20% - Accent5 12 2 6 2" xfId="14382" xr:uid="{00000000-0005-0000-0000-0000BF320000}"/>
    <cellStyle name="20% - Accent5 12 2 6 2 2" xfId="26239" xr:uid="{00000000-0005-0000-0000-0000C0320000}"/>
    <cellStyle name="20% - Accent5 12 2 6 3" xfId="18333" xr:uid="{00000000-0005-0000-0000-0000C1320000}"/>
    <cellStyle name="20% - Accent5 12 2 6 3 2" xfId="30025" xr:uid="{00000000-0005-0000-0000-0000C2320000}"/>
    <cellStyle name="20% - Accent5 12 2 6 4" xfId="22379" xr:uid="{00000000-0005-0000-0000-0000C3320000}"/>
    <cellStyle name="20% - Accent5 12 2 7" xfId="14371" xr:uid="{00000000-0005-0000-0000-0000C4320000}"/>
    <cellStyle name="20% - Accent5 12 2 7 2" xfId="26228" xr:uid="{00000000-0005-0000-0000-0000C5320000}"/>
    <cellStyle name="20% - Accent5 12 2 8" xfId="18322" xr:uid="{00000000-0005-0000-0000-0000C6320000}"/>
    <cellStyle name="20% - Accent5 12 2 8 2" xfId="30014" xr:uid="{00000000-0005-0000-0000-0000C7320000}"/>
    <cellStyle name="20% - Accent5 12 2 9" xfId="22368" xr:uid="{00000000-0005-0000-0000-0000C8320000}"/>
    <cellStyle name="20% - Accent5 12 2_Volatility" xfId="3127" xr:uid="{00000000-0005-0000-0000-0000C9320000}"/>
    <cellStyle name="20% - Accent5 12 3" xfId="3128" xr:uid="{00000000-0005-0000-0000-0000CA320000}"/>
    <cellStyle name="20% - Accent5 12 3 2" xfId="3129" xr:uid="{00000000-0005-0000-0000-0000CB320000}"/>
    <cellStyle name="20% - Accent5 12 3 2 2" xfId="3130" xr:uid="{00000000-0005-0000-0000-0000CC320000}"/>
    <cellStyle name="20% - Accent5 12 3 2 2 2" xfId="14385" xr:uid="{00000000-0005-0000-0000-0000CD320000}"/>
    <cellStyle name="20% - Accent5 12 3 2 2 2 2" xfId="26242" xr:uid="{00000000-0005-0000-0000-0000CE320000}"/>
    <cellStyle name="20% - Accent5 12 3 2 2 3" xfId="18336" xr:uid="{00000000-0005-0000-0000-0000CF320000}"/>
    <cellStyle name="20% - Accent5 12 3 2 2 3 2" xfId="30028" xr:uid="{00000000-0005-0000-0000-0000D0320000}"/>
    <cellStyle name="20% - Accent5 12 3 2 2 4" xfId="22382" xr:uid="{00000000-0005-0000-0000-0000D1320000}"/>
    <cellStyle name="20% - Accent5 12 3 2 3" xfId="3131" xr:uid="{00000000-0005-0000-0000-0000D2320000}"/>
    <cellStyle name="20% - Accent5 12 3 2 3 2" xfId="14386" xr:uid="{00000000-0005-0000-0000-0000D3320000}"/>
    <cellStyle name="20% - Accent5 12 3 2 3 2 2" xfId="26243" xr:uid="{00000000-0005-0000-0000-0000D4320000}"/>
    <cellStyle name="20% - Accent5 12 3 2 3 3" xfId="18337" xr:uid="{00000000-0005-0000-0000-0000D5320000}"/>
    <cellStyle name="20% - Accent5 12 3 2 3 3 2" xfId="30029" xr:uid="{00000000-0005-0000-0000-0000D6320000}"/>
    <cellStyle name="20% - Accent5 12 3 2 3 4" xfId="22383" xr:uid="{00000000-0005-0000-0000-0000D7320000}"/>
    <cellStyle name="20% - Accent5 12 3 2 4" xfId="14384" xr:uid="{00000000-0005-0000-0000-0000D8320000}"/>
    <cellStyle name="20% - Accent5 12 3 2 4 2" xfId="26241" xr:uid="{00000000-0005-0000-0000-0000D9320000}"/>
    <cellStyle name="20% - Accent5 12 3 2 5" xfId="18335" xr:uid="{00000000-0005-0000-0000-0000DA320000}"/>
    <cellStyle name="20% - Accent5 12 3 2 5 2" xfId="30027" xr:uid="{00000000-0005-0000-0000-0000DB320000}"/>
    <cellStyle name="20% - Accent5 12 3 2 6" xfId="22381" xr:uid="{00000000-0005-0000-0000-0000DC320000}"/>
    <cellStyle name="20% - Accent5 12 3 3" xfId="3132" xr:uid="{00000000-0005-0000-0000-0000DD320000}"/>
    <cellStyle name="20% - Accent5 12 3 3 2" xfId="3133" xr:uid="{00000000-0005-0000-0000-0000DE320000}"/>
    <cellStyle name="20% - Accent5 12 3 3 2 2" xfId="14388" xr:uid="{00000000-0005-0000-0000-0000DF320000}"/>
    <cellStyle name="20% - Accent5 12 3 3 2 2 2" xfId="26245" xr:uid="{00000000-0005-0000-0000-0000E0320000}"/>
    <cellStyle name="20% - Accent5 12 3 3 2 3" xfId="18339" xr:uid="{00000000-0005-0000-0000-0000E1320000}"/>
    <cellStyle name="20% - Accent5 12 3 3 2 3 2" xfId="30031" xr:uid="{00000000-0005-0000-0000-0000E2320000}"/>
    <cellStyle name="20% - Accent5 12 3 3 2 4" xfId="22385" xr:uid="{00000000-0005-0000-0000-0000E3320000}"/>
    <cellStyle name="20% - Accent5 12 3 3 3" xfId="3134" xr:uid="{00000000-0005-0000-0000-0000E4320000}"/>
    <cellStyle name="20% - Accent5 12 3 3 3 2" xfId="14389" xr:uid="{00000000-0005-0000-0000-0000E5320000}"/>
    <cellStyle name="20% - Accent5 12 3 3 3 2 2" xfId="26246" xr:uid="{00000000-0005-0000-0000-0000E6320000}"/>
    <cellStyle name="20% - Accent5 12 3 3 3 3" xfId="18340" xr:uid="{00000000-0005-0000-0000-0000E7320000}"/>
    <cellStyle name="20% - Accent5 12 3 3 3 3 2" xfId="30032" xr:uid="{00000000-0005-0000-0000-0000E8320000}"/>
    <cellStyle name="20% - Accent5 12 3 3 3 4" xfId="22386" xr:uid="{00000000-0005-0000-0000-0000E9320000}"/>
    <cellStyle name="20% - Accent5 12 3 3 4" xfId="14387" xr:uid="{00000000-0005-0000-0000-0000EA320000}"/>
    <cellStyle name="20% - Accent5 12 3 3 4 2" xfId="26244" xr:uid="{00000000-0005-0000-0000-0000EB320000}"/>
    <cellStyle name="20% - Accent5 12 3 3 5" xfId="18338" xr:uid="{00000000-0005-0000-0000-0000EC320000}"/>
    <cellStyle name="20% - Accent5 12 3 3 5 2" xfId="30030" xr:uid="{00000000-0005-0000-0000-0000ED320000}"/>
    <cellStyle name="20% - Accent5 12 3 3 6" xfId="22384" xr:uid="{00000000-0005-0000-0000-0000EE320000}"/>
    <cellStyle name="20% - Accent5 12 3 4" xfId="3135" xr:uid="{00000000-0005-0000-0000-0000EF320000}"/>
    <cellStyle name="20% - Accent5 12 3 4 2" xfId="14390" xr:uid="{00000000-0005-0000-0000-0000F0320000}"/>
    <cellStyle name="20% - Accent5 12 3 4 2 2" xfId="26247" xr:uid="{00000000-0005-0000-0000-0000F1320000}"/>
    <cellStyle name="20% - Accent5 12 3 4 3" xfId="18341" xr:uid="{00000000-0005-0000-0000-0000F2320000}"/>
    <cellStyle name="20% - Accent5 12 3 4 3 2" xfId="30033" xr:uid="{00000000-0005-0000-0000-0000F3320000}"/>
    <cellStyle name="20% - Accent5 12 3 4 4" xfId="22387" xr:uid="{00000000-0005-0000-0000-0000F4320000}"/>
    <cellStyle name="20% - Accent5 12 3 5" xfId="3136" xr:uid="{00000000-0005-0000-0000-0000F5320000}"/>
    <cellStyle name="20% - Accent5 12 3 5 2" xfId="14391" xr:uid="{00000000-0005-0000-0000-0000F6320000}"/>
    <cellStyle name="20% - Accent5 12 3 5 2 2" xfId="26248" xr:uid="{00000000-0005-0000-0000-0000F7320000}"/>
    <cellStyle name="20% - Accent5 12 3 5 3" xfId="18342" xr:uid="{00000000-0005-0000-0000-0000F8320000}"/>
    <cellStyle name="20% - Accent5 12 3 5 3 2" xfId="30034" xr:uid="{00000000-0005-0000-0000-0000F9320000}"/>
    <cellStyle name="20% - Accent5 12 3 5 4" xfId="22388" xr:uid="{00000000-0005-0000-0000-0000FA320000}"/>
    <cellStyle name="20% - Accent5 12 3 6" xfId="14383" xr:uid="{00000000-0005-0000-0000-0000FB320000}"/>
    <cellStyle name="20% - Accent5 12 3 6 2" xfId="26240" xr:uid="{00000000-0005-0000-0000-0000FC320000}"/>
    <cellStyle name="20% - Accent5 12 3 7" xfId="18334" xr:uid="{00000000-0005-0000-0000-0000FD320000}"/>
    <cellStyle name="20% - Accent5 12 3 7 2" xfId="30026" xr:uid="{00000000-0005-0000-0000-0000FE320000}"/>
    <cellStyle name="20% - Accent5 12 3 8" xfId="22380" xr:uid="{00000000-0005-0000-0000-0000FF320000}"/>
    <cellStyle name="20% - Accent5 12 3_Volatility" xfId="3137" xr:uid="{00000000-0005-0000-0000-000000330000}"/>
    <cellStyle name="20% - Accent5 12 4" xfId="3138" xr:uid="{00000000-0005-0000-0000-000001330000}"/>
    <cellStyle name="20% - Accent5 12 4 2" xfId="3139" xr:uid="{00000000-0005-0000-0000-000002330000}"/>
    <cellStyle name="20% - Accent5 12 4 2 2" xfId="14393" xr:uid="{00000000-0005-0000-0000-000003330000}"/>
    <cellStyle name="20% - Accent5 12 4 2 2 2" xfId="26250" xr:uid="{00000000-0005-0000-0000-000004330000}"/>
    <cellStyle name="20% - Accent5 12 4 2 3" xfId="18344" xr:uid="{00000000-0005-0000-0000-000005330000}"/>
    <cellStyle name="20% - Accent5 12 4 2 3 2" xfId="30036" xr:uid="{00000000-0005-0000-0000-000006330000}"/>
    <cellStyle name="20% - Accent5 12 4 2 4" xfId="22390" xr:uid="{00000000-0005-0000-0000-000007330000}"/>
    <cellStyle name="20% - Accent5 12 4 3" xfId="3140" xr:uid="{00000000-0005-0000-0000-000008330000}"/>
    <cellStyle name="20% - Accent5 12 4 3 2" xfId="14394" xr:uid="{00000000-0005-0000-0000-000009330000}"/>
    <cellStyle name="20% - Accent5 12 4 3 2 2" xfId="26251" xr:uid="{00000000-0005-0000-0000-00000A330000}"/>
    <cellStyle name="20% - Accent5 12 4 3 3" xfId="18345" xr:uid="{00000000-0005-0000-0000-00000B330000}"/>
    <cellStyle name="20% - Accent5 12 4 3 3 2" xfId="30037" xr:uid="{00000000-0005-0000-0000-00000C330000}"/>
    <cellStyle name="20% - Accent5 12 4 3 4" xfId="22391" xr:uid="{00000000-0005-0000-0000-00000D330000}"/>
    <cellStyle name="20% - Accent5 12 4 4" xfId="14392" xr:uid="{00000000-0005-0000-0000-00000E330000}"/>
    <cellStyle name="20% - Accent5 12 4 4 2" xfId="26249" xr:uid="{00000000-0005-0000-0000-00000F330000}"/>
    <cellStyle name="20% - Accent5 12 4 5" xfId="18343" xr:uid="{00000000-0005-0000-0000-000010330000}"/>
    <cellStyle name="20% - Accent5 12 4 5 2" xfId="30035" xr:uid="{00000000-0005-0000-0000-000011330000}"/>
    <cellStyle name="20% - Accent5 12 4 6" xfId="22389" xr:uid="{00000000-0005-0000-0000-000012330000}"/>
    <cellStyle name="20% - Accent5 12 5" xfId="3141" xr:uid="{00000000-0005-0000-0000-000013330000}"/>
    <cellStyle name="20% - Accent5 12 5 2" xfId="3142" xr:uid="{00000000-0005-0000-0000-000014330000}"/>
    <cellStyle name="20% - Accent5 12 5 2 2" xfId="14396" xr:uid="{00000000-0005-0000-0000-000015330000}"/>
    <cellStyle name="20% - Accent5 12 5 2 2 2" xfId="26253" xr:uid="{00000000-0005-0000-0000-000016330000}"/>
    <cellStyle name="20% - Accent5 12 5 2 3" xfId="18347" xr:uid="{00000000-0005-0000-0000-000017330000}"/>
    <cellStyle name="20% - Accent5 12 5 2 3 2" xfId="30039" xr:uid="{00000000-0005-0000-0000-000018330000}"/>
    <cellStyle name="20% - Accent5 12 5 2 4" xfId="22393" xr:uid="{00000000-0005-0000-0000-000019330000}"/>
    <cellStyle name="20% - Accent5 12 5 3" xfId="3143" xr:uid="{00000000-0005-0000-0000-00001A330000}"/>
    <cellStyle name="20% - Accent5 12 5 3 2" xfId="14397" xr:uid="{00000000-0005-0000-0000-00001B330000}"/>
    <cellStyle name="20% - Accent5 12 5 3 2 2" xfId="26254" xr:uid="{00000000-0005-0000-0000-00001C330000}"/>
    <cellStyle name="20% - Accent5 12 5 3 3" xfId="18348" xr:uid="{00000000-0005-0000-0000-00001D330000}"/>
    <cellStyle name="20% - Accent5 12 5 3 3 2" xfId="30040" xr:uid="{00000000-0005-0000-0000-00001E330000}"/>
    <cellStyle name="20% - Accent5 12 5 3 4" xfId="22394" xr:uid="{00000000-0005-0000-0000-00001F330000}"/>
    <cellStyle name="20% - Accent5 12 5 4" xfId="14395" xr:uid="{00000000-0005-0000-0000-000020330000}"/>
    <cellStyle name="20% - Accent5 12 5 4 2" xfId="26252" xr:uid="{00000000-0005-0000-0000-000021330000}"/>
    <cellStyle name="20% - Accent5 12 5 5" xfId="18346" xr:uid="{00000000-0005-0000-0000-000022330000}"/>
    <cellStyle name="20% - Accent5 12 5 5 2" xfId="30038" xr:uid="{00000000-0005-0000-0000-000023330000}"/>
    <cellStyle name="20% - Accent5 12 5 6" xfId="22392" xr:uid="{00000000-0005-0000-0000-000024330000}"/>
    <cellStyle name="20% - Accent5 12 6" xfId="3144" xr:uid="{00000000-0005-0000-0000-000025330000}"/>
    <cellStyle name="20% - Accent5 12 6 2" xfId="3145" xr:uid="{00000000-0005-0000-0000-000026330000}"/>
    <cellStyle name="20% - Accent5 12 6 2 2" xfId="14399" xr:uid="{00000000-0005-0000-0000-000027330000}"/>
    <cellStyle name="20% - Accent5 12 6 2 2 2" xfId="26256" xr:uid="{00000000-0005-0000-0000-000028330000}"/>
    <cellStyle name="20% - Accent5 12 6 2 3" xfId="18350" xr:uid="{00000000-0005-0000-0000-000029330000}"/>
    <cellStyle name="20% - Accent5 12 6 2 3 2" xfId="30042" xr:uid="{00000000-0005-0000-0000-00002A330000}"/>
    <cellStyle name="20% - Accent5 12 6 2 4" xfId="22396" xr:uid="{00000000-0005-0000-0000-00002B330000}"/>
    <cellStyle name="20% - Accent5 12 6 3" xfId="3146" xr:uid="{00000000-0005-0000-0000-00002C330000}"/>
    <cellStyle name="20% - Accent5 12 6 3 2" xfId="14400" xr:uid="{00000000-0005-0000-0000-00002D330000}"/>
    <cellStyle name="20% - Accent5 12 6 3 2 2" xfId="26257" xr:uid="{00000000-0005-0000-0000-00002E330000}"/>
    <cellStyle name="20% - Accent5 12 6 3 3" xfId="18351" xr:uid="{00000000-0005-0000-0000-00002F330000}"/>
    <cellStyle name="20% - Accent5 12 6 3 3 2" xfId="30043" xr:uid="{00000000-0005-0000-0000-000030330000}"/>
    <cellStyle name="20% - Accent5 12 6 3 4" xfId="22397" xr:uid="{00000000-0005-0000-0000-000031330000}"/>
    <cellStyle name="20% - Accent5 12 6 4" xfId="14398" xr:uid="{00000000-0005-0000-0000-000032330000}"/>
    <cellStyle name="20% - Accent5 12 6 4 2" xfId="26255" xr:uid="{00000000-0005-0000-0000-000033330000}"/>
    <cellStyle name="20% - Accent5 12 6 5" xfId="18349" xr:uid="{00000000-0005-0000-0000-000034330000}"/>
    <cellStyle name="20% - Accent5 12 6 5 2" xfId="30041" xr:uid="{00000000-0005-0000-0000-000035330000}"/>
    <cellStyle name="20% - Accent5 12 6 6" xfId="22395" xr:uid="{00000000-0005-0000-0000-000036330000}"/>
    <cellStyle name="20% - Accent5 12 7" xfId="3147" xr:uid="{00000000-0005-0000-0000-000037330000}"/>
    <cellStyle name="20% - Accent5 12 7 2" xfId="14401" xr:uid="{00000000-0005-0000-0000-000038330000}"/>
    <cellStyle name="20% - Accent5 12 7 2 2" xfId="26258" xr:uid="{00000000-0005-0000-0000-000039330000}"/>
    <cellStyle name="20% - Accent5 12 7 3" xfId="18352" xr:uid="{00000000-0005-0000-0000-00003A330000}"/>
    <cellStyle name="20% - Accent5 12 7 3 2" xfId="30044" xr:uid="{00000000-0005-0000-0000-00003B330000}"/>
    <cellStyle name="20% - Accent5 12 7 4" xfId="22398" xr:uid="{00000000-0005-0000-0000-00003C330000}"/>
    <cellStyle name="20% - Accent5 12 8" xfId="3148" xr:uid="{00000000-0005-0000-0000-00003D330000}"/>
    <cellStyle name="20% - Accent5 12 8 2" xfId="14402" xr:uid="{00000000-0005-0000-0000-00003E330000}"/>
    <cellStyle name="20% - Accent5 12 8 2 2" xfId="26259" xr:uid="{00000000-0005-0000-0000-00003F330000}"/>
    <cellStyle name="20% - Accent5 12 8 3" xfId="18353" xr:uid="{00000000-0005-0000-0000-000040330000}"/>
    <cellStyle name="20% - Accent5 12 8 3 2" xfId="30045" xr:uid="{00000000-0005-0000-0000-000041330000}"/>
    <cellStyle name="20% - Accent5 12 8 4" xfId="22399" xr:uid="{00000000-0005-0000-0000-000042330000}"/>
    <cellStyle name="20% - Accent5 12 9" xfId="14370" xr:uid="{00000000-0005-0000-0000-000043330000}"/>
    <cellStyle name="20% - Accent5 12 9 2" xfId="26227" xr:uid="{00000000-0005-0000-0000-000044330000}"/>
    <cellStyle name="20% - Accent5 12_Volatility" xfId="3149" xr:uid="{00000000-0005-0000-0000-000045330000}"/>
    <cellStyle name="20% - Accent5 13" xfId="3150" xr:uid="{00000000-0005-0000-0000-000046330000}"/>
    <cellStyle name="20% - Accent5 13 10" xfId="18354" xr:uid="{00000000-0005-0000-0000-000047330000}"/>
    <cellStyle name="20% - Accent5 13 10 2" xfId="30046" xr:uid="{00000000-0005-0000-0000-000048330000}"/>
    <cellStyle name="20% - Accent5 13 11" xfId="22400" xr:uid="{00000000-0005-0000-0000-000049330000}"/>
    <cellStyle name="20% - Accent5 13 2" xfId="3151" xr:uid="{00000000-0005-0000-0000-00004A330000}"/>
    <cellStyle name="20% - Accent5 13 2 2" xfId="3152" xr:uid="{00000000-0005-0000-0000-00004B330000}"/>
    <cellStyle name="20% - Accent5 13 2 2 2" xfId="3153" xr:uid="{00000000-0005-0000-0000-00004C330000}"/>
    <cellStyle name="20% - Accent5 13 2 2 2 2" xfId="14406" xr:uid="{00000000-0005-0000-0000-00004D330000}"/>
    <cellStyle name="20% - Accent5 13 2 2 2 2 2" xfId="26263" xr:uid="{00000000-0005-0000-0000-00004E330000}"/>
    <cellStyle name="20% - Accent5 13 2 2 2 3" xfId="18357" xr:uid="{00000000-0005-0000-0000-00004F330000}"/>
    <cellStyle name="20% - Accent5 13 2 2 2 3 2" xfId="30049" xr:uid="{00000000-0005-0000-0000-000050330000}"/>
    <cellStyle name="20% - Accent5 13 2 2 2 4" xfId="22403" xr:uid="{00000000-0005-0000-0000-000051330000}"/>
    <cellStyle name="20% - Accent5 13 2 2 3" xfId="3154" xr:uid="{00000000-0005-0000-0000-000052330000}"/>
    <cellStyle name="20% - Accent5 13 2 2 3 2" xfId="14407" xr:uid="{00000000-0005-0000-0000-000053330000}"/>
    <cellStyle name="20% - Accent5 13 2 2 3 2 2" xfId="26264" xr:uid="{00000000-0005-0000-0000-000054330000}"/>
    <cellStyle name="20% - Accent5 13 2 2 3 3" xfId="18358" xr:uid="{00000000-0005-0000-0000-000055330000}"/>
    <cellStyle name="20% - Accent5 13 2 2 3 3 2" xfId="30050" xr:uid="{00000000-0005-0000-0000-000056330000}"/>
    <cellStyle name="20% - Accent5 13 2 2 3 4" xfId="22404" xr:uid="{00000000-0005-0000-0000-000057330000}"/>
    <cellStyle name="20% - Accent5 13 2 2 4" xfId="14405" xr:uid="{00000000-0005-0000-0000-000058330000}"/>
    <cellStyle name="20% - Accent5 13 2 2 4 2" xfId="26262" xr:uid="{00000000-0005-0000-0000-000059330000}"/>
    <cellStyle name="20% - Accent5 13 2 2 5" xfId="18356" xr:uid="{00000000-0005-0000-0000-00005A330000}"/>
    <cellStyle name="20% - Accent5 13 2 2 5 2" xfId="30048" xr:uid="{00000000-0005-0000-0000-00005B330000}"/>
    <cellStyle name="20% - Accent5 13 2 2 6" xfId="22402" xr:uid="{00000000-0005-0000-0000-00005C330000}"/>
    <cellStyle name="20% - Accent5 13 2 3" xfId="3155" xr:uid="{00000000-0005-0000-0000-00005D330000}"/>
    <cellStyle name="20% - Accent5 13 2 3 2" xfId="3156" xr:uid="{00000000-0005-0000-0000-00005E330000}"/>
    <cellStyle name="20% - Accent5 13 2 3 2 2" xfId="14409" xr:uid="{00000000-0005-0000-0000-00005F330000}"/>
    <cellStyle name="20% - Accent5 13 2 3 2 2 2" xfId="26266" xr:uid="{00000000-0005-0000-0000-000060330000}"/>
    <cellStyle name="20% - Accent5 13 2 3 2 3" xfId="18360" xr:uid="{00000000-0005-0000-0000-000061330000}"/>
    <cellStyle name="20% - Accent5 13 2 3 2 3 2" xfId="30052" xr:uid="{00000000-0005-0000-0000-000062330000}"/>
    <cellStyle name="20% - Accent5 13 2 3 2 4" xfId="22406" xr:uid="{00000000-0005-0000-0000-000063330000}"/>
    <cellStyle name="20% - Accent5 13 2 3 3" xfId="3157" xr:uid="{00000000-0005-0000-0000-000064330000}"/>
    <cellStyle name="20% - Accent5 13 2 3 3 2" xfId="14410" xr:uid="{00000000-0005-0000-0000-000065330000}"/>
    <cellStyle name="20% - Accent5 13 2 3 3 2 2" xfId="26267" xr:uid="{00000000-0005-0000-0000-000066330000}"/>
    <cellStyle name="20% - Accent5 13 2 3 3 3" xfId="18361" xr:uid="{00000000-0005-0000-0000-000067330000}"/>
    <cellStyle name="20% - Accent5 13 2 3 3 3 2" xfId="30053" xr:uid="{00000000-0005-0000-0000-000068330000}"/>
    <cellStyle name="20% - Accent5 13 2 3 3 4" xfId="22407" xr:uid="{00000000-0005-0000-0000-000069330000}"/>
    <cellStyle name="20% - Accent5 13 2 3 4" xfId="14408" xr:uid="{00000000-0005-0000-0000-00006A330000}"/>
    <cellStyle name="20% - Accent5 13 2 3 4 2" xfId="26265" xr:uid="{00000000-0005-0000-0000-00006B330000}"/>
    <cellStyle name="20% - Accent5 13 2 3 5" xfId="18359" xr:uid="{00000000-0005-0000-0000-00006C330000}"/>
    <cellStyle name="20% - Accent5 13 2 3 5 2" xfId="30051" xr:uid="{00000000-0005-0000-0000-00006D330000}"/>
    <cellStyle name="20% - Accent5 13 2 3 6" xfId="22405" xr:uid="{00000000-0005-0000-0000-00006E330000}"/>
    <cellStyle name="20% - Accent5 13 2 4" xfId="3158" xr:uid="{00000000-0005-0000-0000-00006F330000}"/>
    <cellStyle name="20% - Accent5 13 2 4 2" xfId="3159" xr:uid="{00000000-0005-0000-0000-000070330000}"/>
    <cellStyle name="20% - Accent5 13 2 4 2 2" xfId="14412" xr:uid="{00000000-0005-0000-0000-000071330000}"/>
    <cellStyle name="20% - Accent5 13 2 4 2 2 2" xfId="26269" xr:uid="{00000000-0005-0000-0000-000072330000}"/>
    <cellStyle name="20% - Accent5 13 2 4 2 3" xfId="18363" xr:uid="{00000000-0005-0000-0000-000073330000}"/>
    <cellStyle name="20% - Accent5 13 2 4 2 3 2" xfId="30055" xr:uid="{00000000-0005-0000-0000-000074330000}"/>
    <cellStyle name="20% - Accent5 13 2 4 2 4" xfId="22409" xr:uid="{00000000-0005-0000-0000-000075330000}"/>
    <cellStyle name="20% - Accent5 13 2 4 3" xfId="3160" xr:uid="{00000000-0005-0000-0000-000076330000}"/>
    <cellStyle name="20% - Accent5 13 2 4 3 2" xfId="14413" xr:uid="{00000000-0005-0000-0000-000077330000}"/>
    <cellStyle name="20% - Accent5 13 2 4 3 2 2" xfId="26270" xr:uid="{00000000-0005-0000-0000-000078330000}"/>
    <cellStyle name="20% - Accent5 13 2 4 3 3" xfId="18364" xr:uid="{00000000-0005-0000-0000-000079330000}"/>
    <cellStyle name="20% - Accent5 13 2 4 3 3 2" xfId="30056" xr:uid="{00000000-0005-0000-0000-00007A330000}"/>
    <cellStyle name="20% - Accent5 13 2 4 3 4" xfId="22410" xr:uid="{00000000-0005-0000-0000-00007B330000}"/>
    <cellStyle name="20% - Accent5 13 2 4 4" xfId="14411" xr:uid="{00000000-0005-0000-0000-00007C330000}"/>
    <cellStyle name="20% - Accent5 13 2 4 4 2" xfId="26268" xr:uid="{00000000-0005-0000-0000-00007D330000}"/>
    <cellStyle name="20% - Accent5 13 2 4 5" xfId="18362" xr:uid="{00000000-0005-0000-0000-00007E330000}"/>
    <cellStyle name="20% - Accent5 13 2 4 5 2" xfId="30054" xr:uid="{00000000-0005-0000-0000-00007F330000}"/>
    <cellStyle name="20% - Accent5 13 2 4 6" xfId="22408" xr:uid="{00000000-0005-0000-0000-000080330000}"/>
    <cellStyle name="20% - Accent5 13 2 5" xfId="3161" xr:uid="{00000000-0005-0000-0000-000081330000}"/>
    <cellStyle name="20% - Accent5 13 2 5 2" xfId="14414" xr:uid="{00000000-0005-0000-0000-000082330000}"/>
    <cellStyle name="20% - Accent5 13 2 5 2 2" xfId="26271" xr:uid="{00000000-0005-0000-0000-000083330000}"/>
    <cellStyle name="20% - Accent5 13 2 5 3" xfId="18365" xr:uid="{00000000-0005-0000-0000-000084330000}"/>
    <cellStyle name="20% - Accent5 13 2 5 3 2" xfId="30057" xr:uid="{00000000-0005-0000-0000-000085330000}"/>
    <cellStyle name="20% - Accent5 13 2 5 4" xfId="22411" xr:uid="{00000000-0005-0000-0000-000086330000}"/>
    <cellStyle name="20% - Accent5 13 2 6" xfId="3162" xr:uid="{00000000-0005-0000-0000-000087330000}"/>
    <cellStyle name="20% - Accent5 13 2 6 2" xfId="14415" xr:uid="{00000000-0005-0000-0000-000088330000}"/>
    <cellStyle name="20% - Accent5 13 2 6 2 2" xfId="26272" xr:uid="{00000000-0005-0000-0000-000089330000}"/>
    <cellStyle name="20% - Accent5 13 2 6 3" xfId="18366" xr:uid="{00000000-0005-0000-0000-00008A330000}"/>
    <cellStyle name="20% - Accent5 13 2 6 3 2" xfId="30058" xr:uid="{00000000-0005-0000-0000-00008B330000}"/>
    <cellStyle name="20% - Accent5 13 2 6 4" xfId="22412" xr:uid="{00000000-0005-0000-0000-00008C330000}"/>
    <cellStyle name="20% - Accent5 13 2 7" xfId="14404" xr:uid="{00000000-0005-0000-0000-00008D330000}"/>
    <cellStyle name="20% - Accent5 13 2 7 2" xfId="26261" xr:uid="{00000000-0005-0000-0000-00008E330000}"/>
    <cellStyle name="20% - Accent5 13 2 8" xfId="18355" xr:uid="{00000000-0005-0000-0000-00008F330000}"/>
    <cellStyle name="20% - Accent5 13 2 8 2" xfId="30047" xr:uid="{00000000-0005-0000-0000-000090330000}"/>
    <cellStyle name="20% - Accent5 13 2 9" xfId="22401" xr:uid="{00000000-0005-0000-0000-000091330000}"/>
    <cellStyle name="20% - Accent5 13 2_Volatility" xfId="3163" xr:uid="{00000000-0005-0000-0000-000092330000}"/>
    <cellStyle name="20% - Accent5 13 3" xfId="3164" xr:uid="{00000000-0005-0000-0000-000093330000}"/>
    <cellStyle name="20% - Accent5 13 3 2" xfId="3165" xr:uid="{00000000-0005-0000-0000-000094330000}"/>
    <cellStyle name="20% - Accent5 13 3 2 2" xfId="3166" xr:uid="{00000000-0005-0000-0000-000095330000}"/>
    <cellStyle name="20% - Accent5 13 3 2 2 2" xfId="14418" xr:uid="{00000000-0005-0000-0000-000096330000}"/>
    <cellStyle name="20% - Accent5 13 3 2 2 2 2" xfId="26275" xr:uid="{00000000-0005-0000-0000-000097330000}"/>
    <cellStyle name="20% - Accent5 13 3 2 2 3" xfId="18369" xr:uid="{00000000-0005-0000-0000-000098330000}"/>
    <cellStyle name="20% - Accent5 13 3 2 2 3 2" xfId="30061" xr:uid="{00000000-0005-0000-0000-000099330000}"/>
    <cellStyle name="20% - Accent5 13 3 2 2 4" xfId="22415" xr:uid="{00000000-0005-0000-0000-00009A330000}"/>
    <cellStyle name="20% - Accent5 13 3 2 3" xfId="3167" xr:uid="{00000000-0005-0000-0000-00009B330000}"/>
    <cellStyle name="20% - Accent5 13 3 2 3 2" xfId="14419" xr:uid="{00000000-0005-0000-0000-00009C330000}"/>
    <cellStyle name="20% - Accent5 13 3 2 3 2 2" xfId="26276" xr:uid="{00000000-0005-0000-0000-00009D330000}"/>
    <cellStyle name="20% - Accent5 13 3 2 3 3" xfId="18370" xr:uid="{00000000-0005-0000-0000-00009E330000}"/>
    <cellStyle name="20% - Accent5 13 3 2 3 3 2" xfId="30062" xr:uid="{00000000-0005-0000-0000-00009F330000}"/>
    <cellStyle name="20% - Accent5 13 3 2 3 4" xfId="22416" xr:uid="{00000000-0005-0000-0000-0000A0330000}"/>
    <cellStyle name="20% - Accent5 13 3 2 4" xfId="14417" xr:uid="{00000000-0005-0000-0000-0000A1330000}"/>
    <cellStyle name="20% - Accent5 13 3 2 4 2" xfId="26274" xr:uid="{00000000-0005-0000-0000-0000A2330000}"/>
    <cellStyle name="20% - Accent5 13 3 2 5" xfId="18368" xr:uid="{00000000-0005-0000-0000-0000A3330000}"/>
    <cellStyle name="20% - Accent5 13 3 2 5 2" xfId="30060" xr:uid="{00000000-0005-0000-0000-0000A4330000}"/>
    <cellStyle name="20% - Accent5 13 3 2 6" xfId="22414" xr:uid="{00000000-0005-0000-0000-0000A5330000}"/>
    <cellStyle name="20% - Accent5 13 3 3" xfId="3168" xr:uid="{00000000-0005-0000-0000-0000A6330000}"/>
    <cellStyle name="20% - Accent5 13 3 3 2" xfId="3169" xr:uid="{00000000-0005-0000-0000-0000A7330000}"/>
    <cellStyle name="20% - Accent5 13 3 3 2 2" xfId="14421" xr:uid="{00000000-0005-0000-0000-0000A8330000}"/>
    <cellStyle name="20% - Accent5 13 3 3 2 2 2" xfId="26278" xr:uid="{00000000-0005-0000-0000-0000A9330000}"/>
    <cellStyle name="20% - Accent5 13 3 3 2 3" xfId="18372" xr:uid="{00000000-0005-0000-0000-0000AA330000}"/>
    <cellStyle name="20% - Accent5 13 3 3 2 3 2" xfId="30064" xr:uid="{00000000-0005-0000-0000-0000AB330000}"/>
    <cellStyle name="20% - Accent5 13 3 3 2 4" xfId="22418" xr:uid="{00000000-0005-0000-0000-0000AC330000}"/>
    <cellStyle name="20% - Accent5 13 3 3 3" xfId="3170" xr:uid="{00000000-0005-0000-0000-0000AD330000}"/>
    <cellStyle name="20% - Accent5 13 3 3 3 2" xfId="14422" xr:uid="{00000000-0005-0000-0000-0000AE330000}"/>
    <cellStyle name="20% - Accent5 13 3 3 3 2 2" xfId="26279" xr:uid="{00000000-0005-0000-0000-0000AF330000}"/>
    <cellStyle name="20% - Accent5 13 3 3 3 3" xfId="18373" xr:uid="{00000000-0005-0000-0000-0000B0330000}"/>
    <cellStyle name="20% - Accent5 13 3 3 3 3 2" xfId="30065" xr:uid="{00000000-0005-0000-0000-0000B1330000}"/>
    <cellStyle name="20% - Accent5 13 3 3 3 4" xfId="22419" xr:uid="{00000000-0005-0000-0000-0000B2330000}"/>
    <cellStyle name="20% - Accent5 13 3 3 4" xfId="14420" xr:uid="{00000000-0005-0000-0000-0000B3330000}"/>
    <cellStyle name="20% - Accent5 13 3 3 4 2" xfId="26277" xr:uid="{00000000-0005-0000-0000-0000B4330000}"/>
    <cellStyle name="20% - Accent5 13 3 3 5" xfId="18371" xr:uid="{00000000-0005-0000-0000-0000B5330000}"/>
    <cellStyle name="20% - Accent5 13 3 3 5 2" xfId="30063" xr:uid="{00000000-0005-0000-0000-0000B6330000}"/>
    <cellStyle name="20% - Accent5 13 3 3 6" xfId="22417" xr:uid="{00000000-0005-0000-0000-0000B7330000}"/>
    <cellStyle name="20% - Accent5 13 3 4" xfId="3171" xr:uid="{00000000-0005-0000-0000-0000B8330000}"/>
    <cellStyle name="20% - Accent5 13 3 4 2" xfId="14423" xr:uid="{00000000-0005-0000-0000-0000B9330000}"/>
    <cellStyle name="20% - Accent5 13 3 4 2 2" xfId="26280" xr:uid="{00000000-0005-0000-0000-0000BA330000}"/>
    <cellStyle name="20% - Accent5 13 3 4 3" xfId="18374" xr:uid="{00000000-0005-0000-0000-0000BB330000}"/>
    <cellStyle name="20% - Accent5 13 3 4 3 2" xfId="30066" xr:uid="{00000000-0005-0000-0000-0000BC330000}"/>
    <cellStyle name="20% - Accent5 13 3 4 4" xfId="22420" xr:uid="{00000000-0005-0000-0000-0000BD330000}"/>
    <cellStyle name="20% - Accent5 13 3 5" xfId="3172" xr:uid="{00000000-0005-0000-0000-0000BE330000}"/>
    <cellStyle name="20% - Accent5 13 3 5 2" xfId="14424" xr:uid="{00000000-0005-0000-0000-0000BF330000}"/>
    <cellStyle name="20% - Accent5 13 3 5 2 2" xfId="26281" xr:uid="{00000000-0005-0000-0000-0000C0330000}"/>
    <cellStyle name="20% - Accent5 13 3 5 3" xfId="18375" xr:uid="{00000000-0005-0000-0000-0000C1330000}"/>
    <cellStyle name="20% - Accent5 13 3 5 3 2" xfId="30067" xr:uid="{00000000-0005-0000-0000-0000C2330000}"/>
    <cellStyle name="20% - Accent5 13 3 5 4" xfId="22421" xr:uid="{00000000-0005-0000-0000-0000C3330000}"/>
    <cellStyle name="20% - Accent5 13 3 6" xfId="14416" xr:uid="{00000000-0005-0000-0000-0000C4330000}"/>
    <cellStyle name="20% - Accent5 13 3 6 2" xfId="26273" xr:uid="{00000000-0005-0000-0000-0000C5330000}"/>
    <cellStyle name="20% - Accent5 13 3 7" xfId="18367" xr:uid="{00000000-0005-0000-0000-0000C6330000}"/>
    <cellStyle name="20% - Accent5 13 3 7 2" xfId="30059" xr:uid="{00000000-0005-0000-0000-0000C7330000}"/>
    <cellStyle name="20% - Accent5 13 3 8" xfId="22413" xr:uid="{00000000-0005-0000-0000-0000C8330000}"/>
    <cellStyle name="20% - Accent5 13 3_Volatility" xfId="3173" xr:uid="{00000000-0005-0000-0000-0000C9330000}"/>
    <cellStyle name="20% - Accent5 13 4" xfId="3174" xr:uid="{00000000-0005-0000-0000-0000CA330000}"/>
    <cellStyle name="20% - Accent5 13 4 2" xfId="3175" xr:uid="{00000000-0005-0000-0000-0000CB330000}"/>
    <cellStyle name="20% - Accent5 13 4 2 2" xfId="14426" xr:uid="{00000000-0005-0000-0000-0000CC330000}"/>
    <cellStyle name="20% - Accent5 13 4 2 2 2" xfId="26283" xr:uid="{00000000-0005-0000-0000-0000CD330000}"/>
    <cellStyle name="20% - Accent5 13 4 2 3" xfId="18377" xr:uid="{00000000-0005-0000-0000-0000CE330000}"/>
    <cellStyle name="20% - Accent5 13 4 2 3 2" xfId="30069" xr:uid="{00000000-0005-0000-0000-0000CF330000}"/>
    <cellStyle name="20% - Accent5 13 4 2 4" xfId="22423" xr:uid="{00000000-0005-0000-0000-0000D0330000}"/>
    <cellStyle name="20% - Accent5 13 4 3" xfId="3176" xr:uid="{00000000-0005-0000-0000-0000D1330000}"/>
    <cellStyle name="20% - Accent5 13 4 3 2" xfId="14427" xr:uid="{00000000-0005-0000-0000-0000D2330000}"/>
    <cellStyle name="20% - Accent5 13 4 3 2 2" xfId="26284" xr:uid="{00000000-0005-0000-0000-0000D3330000}"/>
    <cellStyle name="20% - Accent5 13 4 3 3" xfId="18378" xr:uid="{00000000-0005-0000-0000-0000D4330000}"/>
    <cellStyle name="20% - Accent5 13 4 3 3 2" xfId="30070" xr:uid="{00000000-0005-0000-0000-0000D5330000}"/>
    <cellStyle name="20% - Accent5 13 4 3 4" xfId="22424" xr:uid="{00000000-0005-0000-0000-0000D6330000}"/>
    <cellStyle name="20% - Accent5 13 4 4" xfId="14425" xr:uid="{00000000-0005-0000-0000-0000D7330000}"/>
    <cellStyle name="20% - Accent5 13 4 4 2" xfId="26282" xr:uid="{00000000-0005-0000-0000-0000D8330000}"/>
    <cellStyle name="20% - Accent5 13 4 5" xfId="18376" xr:uid="{00000000-0005-0000-0000-0000D9330000}"/>
    <cellStyle name="20% - Accent5 13 4 5 2" xfId="30068" xr:uid="{00000000-0005-0000-0000-0000DA330000}"/>
    <cellStyle name="20% - Accent5 13 4 6" xfId="22422" xr:uid="{00000000-0005-0000-0000-0000DB330000}"/>
    <cellStyle name="20% - Accent5 13 5" xfId="3177" xr:uid="{00000000-0005-0000-0000-0000DC330000}"/>
    <cellStyle name="20% - Accent5 13 5 2" xfId="3178" xr:uid="{00000000-0005-0000-0000-0000DD330000}"/>
    <cellStyle name="20% - Accent5 13 5 2 2" xfId="14429" xr:uid="{00000000-0005-0000-0000-0000DE330000}"/>
    <cellStyle name="20% - Accent5 13 5 2 2 2" xfId="26286" xr:uid="{00000000-0005-0000-0000-0000DF330000}"/>
    <cellStyle name="20% - Accent5 13 5 2 3" xfId="18380" xr:uid="{00000000-0005-0000-0000-0000E0330000}"/>
    <cellStyle name="20% - Accent5 13 5 2 3 2" xfId="30072" xr:uid="{00000000-0005-0000-0000-0000E1330000}"/>
    <cellStyle name="20% - Accent5 13 5 2 4" xfId="22426" xr:uid="{00000000-0005-0000-0000-0000E2330000}"/>
    <cellStyle name="20% - Accent5 13 5 3" xfId="3179" xr:uid="{00000000-0005-0000-0000-0000E3330000}"/>
    <cellStyle name="20% - Accent5 13 5 3 2" xfId="14430" xr:uid="{00000000-0005-0000-0000-0000E4330000}"/>
    <cellStyle name="20% - Accent5 13 5 3 2 2" xfId="26287" xr:uid="{00000000-0005-0000-0000-0000E5330000}"/>
    <cellStyle name="20% - Accent5 13 5 3 3" xfId="18381" xr:uid="{00000000-0005-0000-0000-0000E6330000}"/>
    <cellStyle name="20% - Accent5 13 5 3 3 2" xfId="30073" xr:uid="{00000000-0005-0000-0000-0000E7330000}"/>
    <cellStyle name="20% - Accent5 13 5 3 4" xfId="22427" xr:uid="{00000000-0005-0000-0000-0000E8330000}"/>
    <cellStyle name="20% - Accent5 13 5 4" xfId="14428" xr:uid="{00000000-0005-0000-0000-0000E9330000}"/>
    <cellStyle name="20% - Accent5 13 5 4 2" xfId="26285" xr:uid="{00000000-0005-0000-0000-0000EA330000}"/>
    <cellStyle name="20% - Accent5 13 5 5" xfId="18379" xr:uid="{00000000-0005-0000-0000-0000EB330000}"/>
    <cellStyle name="20% - Accent5 13 5 5 2" xfId="30071" xr:uid="{00000000-0005-0000-0000-0000EC330000}"/>
    <cellStyle name="20% - Accent5 13 5 6" xfId="22425" xr:uid="{00000000-0005-0000-0000-0000ED330000}"/>
    <cellStyle name="20% - Accent5 13 6" xfId="3180" xr:uid="{00000000-0005-0000-0000-0000EE330000}"/>
    <cellStyle name="20% - Accent5 13 6 2" xfId="3181" xr:uid="{00000000-0005-0000-0000-0000EF330000}"/>
    <cellStyle name="20% - Accent5 13 6 2 2" xfId="14432" xr:uid="{00000000-0005-0000-0000-0000F0330000}"/>
    <cellStyle name="20% - Accent5 13 6 2 2 2" xfId="26289" xr:uid="{00000000-0005-0000-0000-0000F1330000}"/>
    <cellStyle name="20% - Accent5 13 6 2 3" xfId="18383" xr:uid="{00000000-0005-0000-0000-0000F2330000}"/>
    <cellStyle name="20% - Accent5 13 6 2 3 2" xfId="30075" xr:uid="{00000000-0005-0000-0000-0000F3330000}"/>
    <cellStyle name="20% - Accent5 13 6 2 4" xfId="22429" xr:uid="{00000000-0005-0000-0000-0000F4330000}"/>
    <cellStyle name="20% - Accent5 13 6 3" xfId="3182" xr:uid="{00000000-0005-0000-0000-0000F5330000}"/>
    <cellStyle name="20% - Accent5 13 6 3 2" xfId="14433" xr:uid="{00000000-0005-0000-0000-0000F6330000}"/>
    <cellStyle name="20% - Accent5 13 6 3 2 2" xfId="26290" xr:uid="{00000000-0005-0000-0000-0000F7330000}"/>
    <cellStyle name="20% - Accent5 13 6 3 3" xfId="18384" xr:uid="{00000000-0005-0000-0000-0000F8330000}"/>
    <cellStyle name="20% - Accent5 13 6 3 3 2" xfId="30076" xr:uid="{00000000-0005-0000-0000-0000F9330000}"/>
    <cellStyle name="20% - Accent5 13 6 3 4" xfId="22430" xr:uid="{00000000-0005-0000-0000-0000FA330000}"/>
    <cellStyle name="20% - Accent5 13 6 4" xfId="14431" xr:uid="{00000000-0005-0000-0000-0000FB330000}"/>
    <cellStyle name="20% - Accent5 13 6 4 2" xfId="26288" xr:uid="{00000000-0005-0000-0000-0000FC330000}"/>
    <cellStyle name="20% - Accent5 13 6 5" xfId="18382" xr:uid="{00000000-0005-0000-0000-0000FD330000}"/>
    <cellStyle name="20% - Accent5 13 6 5 2" xfId="30074" xr:uid="{00000000-0005-0000-0000-0000FE330000}"/>
    <cellStyle name="20% - Accent5 13 6 6" xfId="22428" xr:uid="{00000000-0005-0000-0000-0000FF330000}"/>
    <cellStyle name="20% - Accent5 13 7" xfId="3183" xr:uid="{00000000-0005-0000-0000-000000340000}"/>
    <cellStyle name="20% - Accent5 13 7 2" xfId="14434" xr:uid="{00000000-0005-0000-0000-000001340000}"/>
    <cellStyle name="20% - Accent5 13 7 2 2" xfId="26291" xr:uid="{00000000-0005-0000-0000-000002340000}"/>
    <cellStyle name="20% - Accent5 13 7 3" xfId="18385" xr:uid="{00000000-0005-0000-0000-000003340000}"/>
    <cellStyle name="20% - Accent5 13 7 3 2" xfId="30077" xr:uid="{00000000-0005-0000-0000-000004340000}"/>
    <cellStyle name="20% - Accent5 13 7 4" xfId="22431" xr:uid="{00000000-0005-0000-0000-000005340000}"/>
    <cellStyle name="20% - Accent5 13 8" xfId="3184" xr:uid="{00000000-0005-0000-0000-000006340000}"/>
    <cellStyle name="20% - Accent5 13 8 2" xfId="14435" xr:uid="{00000000-0005-0000-0000-000007340000}"/>
    <cellStyle name="20% - Accent5 13 8 2 2" xfId="26292" xr:uid="{00000000-0005-0000-0000-000008340000}"/>
    <cellStyle name="20% - Accent5 13 8 3" xfId="18386" xr:uid="{00000000-0005-0000-0000-000009340000}"/>
    <cellStyle name="20% - Accent5 13 8 3 2" xfId="30078" xr:uid="{00000000-0005-0000-0000-00000A340000}"/>
    <cellStyle name="20% - Accent5 13 8 4" xfId="22432" xr:uid="{00000000-0005-0000-0000-00000B340000}"/>
    <cellStyle name="20% - Accent5 13 9" xfId="14403" xr:uid="{00000000-0005-0000-0000-00000C340000}"/>
    <cellStyle name="20% - Accent5 13 9 2" xfId="26260" xr:uid="{00000000-0005-0000-0000-00000D340000}"/>
    <cellStyle name="20% - Accent5 13_Volatility" xfId="3185" xr:uid="{00000000-0005-0000-0000-00000E340000}"/>
    <cellStyle name="20% - Accent5 14" xfId="3186" xr:uid="{00000000-0005-0000-0000-00000F340000}"/>
    <cellStyle name="20% - Accent5 14 10" xfId="18387" xr:uid="{00000000-0005-0000-0000-000010340000}"/>
    <cellStyle name="20% - Accent5 14 10 2" xfId="30079" xr:uid="{00000000-0005-0000-0000-000011340000}"/>
    <cellStyle name="20% - Accent5 14 11" xfId="22433" xr:uid="{00000000-0005-0000-0000-000012340000}"/>
    <cellStyle name="20% - Accent5 14 2" xfId="3187" xr:uid="{00000000-0005-0000-0000-000013340000}"/>
    <cellStyle name="20% - Accent5 14 2 2" xfId="3188" xr:uid="{00000000-0005-0000-0000-000014340000}"/>
    <cellStyle name="20% - Accent5 14 2 2 2" xfId="3189" xr:uid="{00000000-0005-0000-0000-000015340000}"/>
    <cellStyle name="20% - Accent5 14 2 2 2 2" xfId="14439" xr:uid="{00000000-0005-0000-0000-000016340000}"/>
    <cellStyle name="20% - Accent5 14 2 2 2 2 2" xfId="26296" xr:uid="{00000000-0005-0000-0000-000017340000}"/>
    <cellStyle name="20% - Accent5 14 2 2 2 3" xfId="18390" xr:uid="{00000000-0005-0000-0000-000018340000}"/>
    <cellStyle name="20% - Accent5 14 2 2 2 3 2" xfId="30082" xr:uid="{00000000-0005-0000-0000-000019340000}"/>
    <cellStyle name="20% - Accent5 14 2 2 2 4" xfId="22436" xr:uid="{00000000-0005-0000-0000-00001A340000}"/>
    <cellStyle name="20% - Accent5 14 2 2 3" xfId="3190" xr:uid="{00000000-0005-0000-0000-00001B340000}"/>
    <cellStyle name="20% - Accent5 14 2 2 3 2" xfId="14440" xr:uid="{00000000-0005-0000-0000-00001C340000}"/>
    <cellStyle name="20% - Accent5 14 2 2 3 2 2" xfId="26297" xr:uid="{00000000-0005-0000-0000-00001D340000}"/>
    <cellStyle name="20% - Accent5 14 2 2 3 3" xfId="18391" xr:uid="{00000000-0005-0000-0000-00001E340000}"/>
    <cellStyle name="20% - Accent5 14 2 2 3 3 2" xfId="30083" xr:uid="{00000000-0005-0000-0000-00001F340000}"/>
    <cellStyle name="20% - Accent5 14 2 2 3 4" xfId="22437" xr:uid="{00000000-0005-0000-0000-000020340000}"/>
    <cellStyle name="20% - Accent5 14 2 2 4" xfId="14438" xr:uid="{00000000-0005-0000-0000-000021340000}"/>
    <cellStyle name="20% - Accent5 14 2 2 4 2" xfId="26295" xr:uid="{00000000-0005-0000-0000-000022340000}"/>
    <cellStyle name="20% - Accent5 14 2 2 5" xfId="18389" xr:uid="{00000000-0005-0000-0000-000023340000}"/>
    <cellStyle name="20% - Accent5 14 2 2 5 2" xfId="30081" xr:uid="{00000000-0005-0000-0000-000024340000}"/>
    <cellStyle name="20% - Accent5 14 2 2 6" xfId="22435" xr:uid="{00000000-0005-0000-0000-000025340000}"/>
    <cellStyle name="20% - Accent5 14 2 3" xfId="3191" xr:uid="{00000000-0005-0000-0000-000026340000}"/>
    <cellStyle name="20% - Accent5 14 2 3 2" xfId="3192" xr:uid="{00000000-0005-0000-0000-000027340000}"/>
    <cellStyle name="20% - Accent5 14 2 3 2 2" xfId="14442" xr:uid="{00000000-0005-0000-0000-000028340000}"/>
    <cellStyle name="20% - Accent5 14 2 3 2 2 2" xfId="26299" xr:uid="{00000000-0005-0000-0000-000029340000}"/>
    <cellStyle name="20% - Accent5 14 2 3 2 3" xfId="18393" xr:uid="{00000000-0005-0000-0000-00002A340000}"/>
    <cellStyle name="20% - Accent5 14 2 3 2 3 2" xfId="30085" xr:uid="{00000000-0005-0000-0000-00002B340000}"/>
    <cellStyle name="20% - Accent5 14 2 3 2 4" xfId="22439" xr:uid="{00000000-0005-0000-0000-00002C340000}"/>
    <cellStyle name="20% - Accent5 14 2 3 3" xfId="3193" xr:uid="{00000000-0005-0000-0000-00002D340000}"/>
    <cellStyle name="20% - Accent5 14 2 3 3 2" xfId="14443" xr:uid="{00000000-0005-0000-0000-00002E340000}"/>
    <cellStyle name="20% - Accent5 14 2 3 3 2 2" xfId="26300" xr:uid="{00000000-0005-0000-0000-00002F340000}"/>
    <cellStyle name="20% - Accent5 14 2 3 3 3" xfId="18394" xr:uid="{00000000-0005-0000-0000-000030340000}"/>
    <cellStyle name="20% - Accent5 14 2 3 3 3 2" xfId="30086" xr:uid="{00000000-0005-0000-0000-000031340000}"/>
    <cellStyle name="20% - Accent5 14 2 3 3 4" xfId="22440" xr:uid="{00000000-0005-0000-0000-000032340000}"/>
    <cellStyle name="20% - Accent5 14 2 3 4" xfId="14441" xr:uid="{00000000-0005-0000-0000-000033340000}"/>
    <cellStyle name="20% - Accent5 14 2 3 4 2" xfId="26298" xr:uid="{00000000-0005-0000-0000-000034340000}"/>
    <cellStyle name="20% - Accent5 14 2 3 5" xfId="18392" xr:uid="{00000000-0005-0000-0000-000035340000}"/>
    <cellStyle name="20% - Accent5 14 2 3 5 2" xfId="30084" xr:uid="{00000000-0005-0000-0000-000036340000}"/>
    <cellStyle name="20% - Accent5 14 2 3 6" xfId="22438" xr:uid="{00000000-0005-0000-0000-000037340000}"/>
    <cellStyle name="20% - Accent5 14 2 4" xfId="3194" xr:uid="{00000000-0005-0000-0000-000038340000}"/>
    <cellStyle name="20% - Accent5 14 2 4 2" xfId="3195" xr:uid="{00000000-0005-0000-0000-000039340000}"/>
    <cellStyle name="20% - Accent5 14 2 4 2 2" xfId="14445" xr:uid="{00000000-0005-0000-0000-00003A340000}"/>
    <cellStyle name="20% - Accent5 14 2 4 2 2 2" xfId="26302" xr:uid="{00000000-0005-0000-0000-00003B340000}"/>
    <cellStyle name="20% - Accent5 14 2 4 2 3" xfId="18396" xr:uid="{00000000-0005-0000-0000-00003C340000}"/>
    <cellStyle name="20% - Accent5 14 2 4 2 3 2" xfId="30088" xr:uid="{00000000-0005-0000-0000-00003D340000}"/>
    <cellStyle name="20% - Accent5 14 2 4 2 4" xfId="22442" xr:uid="{00000000-0005-0000-0000-00003E340000}"/>
    <cellStyle name="20% - Accent5 14 2 4 3" xfId="3196" xr:uid="{00000000-0005-0000-0000-00003F340000}"/>
    <cellStyle name="20% - Accent5 14 2 4 3 2" xfId="14446" xr:uid="{00000000-0005-0000-0000-000040340000}"/>
    <cellStyle name="20% - Accent5 14 2 4 3 2 2" xfId="26303" xr:uid="{00000000-0005-0000-0000-000041340000}"/>
    <cellStyle name="20% - Accent5 14 2 4 3 3" xfId="18397" xr:uid="{00000000-0005-0000-0000-000042340000}"/>
    <cellStyle name="20% - Accent5 14 2 4 3 3 2" xfId="30089" xr:uid="{00000000-0005-0000-0000-000043340000}"/>
    <cellStyle name="20% - Accent5 14 2 4 3 4" xfId="22443" xr:uid="{00000000-0005-0000-0000-000044340000}"/>
    <cellStyle name="20% - Accent5 14 2 4 4" xfId="14444" xr:uid="{00000000-0005-0000-0000-000045340000}"/>
    <cellStyle name="20% - Accent5 14 2 4 4 2" xfId="26301" xr:uid="{00000000-0005-0000-0000-000046340000}"/>
    <cellStyle name="20% - Accent5 14 2 4 5" xfId="18395" xr:uid="{00000000-0005-0000-0000-000047340000}"/>
    <cellStyle name="20% - Accent5 14 2 4 5 2" xfId="30087" xr:uid="{00000000-0005-0000-0000-000048340000}"/>
    <cellStyle name="20% - Accent5 14 2 4 6" xfId="22441" xr:uid="{00000000-0005-0000-0000-000049340000}"/>
    <cellStyle name="20% - Accent5 14 2 5" xfId="3197" xr:uid="{00000000-0005-0000-0000-00004A340000}"/>
    <cellStyle name="20% - Accent5 14 2 5 2" xfId="14447" xr:uid="{00000000-0005-0000-0000-00004B340000}"/>
    <cellStyle name="20% - Accent5 14 2 5 2 2" xfId="26304" xr:uid="{00000000-0005-0000-0000-00004C340000}"/>
    <cellStyle name="20% - Accent5 14 2 5 3" xfId="18398" xr:uid="{00000000-0005-0000-0000-00004D340000}"/>
    <cellStyle name="20% - Accent5 14 2 5 3 2" xfId="30090" xr:uid="{00000000-0005-0000-0000-00004E340000}"/>
    <cellStyle name="20% - Accent5 14 2 5 4" xfId="22444" xr:uid="{00000000-0005-0000-0000-00004F340000}"/>
    <cellStyle name="20% - Accent5 14 2 6" xfId="3198" xr:uid="{00000000-0005-0000-0000-000050340000}"/>
    <cellStyle name="20% - Accent5 14 2 6 2" xfId="14448" xr:uid="{00000000-0005-0000-0000-000051340000}"/>
    <cellStyle name="20% - Accent5 14 2 6 2 2" xfId="26305" xr:uid="{00000000-0005-0000-0000-000052340000}"/>
    <cellStyle name="20% - Accent5 14 2 6 3" xfId="18399" xr:uid="{00000000-0005-0000-0000-000053340000}"/>
    <cellStyle name="20% - Accent5 14 2 6 3 2" xfId="30091" xr:uid="{00000000-0005-0000-0000-000054340000}"/>
    <cellStyle name="20% - Accent5 14 2 6 4" xfId="22445" xr:uid="{00000000-0005-0000-0000-000055340000}"/>
    <cellStyle name="20% - Accent5 14 2 7" xfId="14437" xr:uid="{00000000-0005-0000-0000-000056340000}"/>
    <cellStyle name="20% - Accent5 14 2 7 2" xfId="26294" xr:uid="{00000000-0005-0000-0000-000057340000}"/>
    <cellStyle name="20% - Accent5 14 2 8" xfId="18388" xr:uid="{00000000-0005-0000-0000-000058340000}"/>
    <cellStyle name="20% - Accent5 14 2 8 2" xfId="30080" xr:uid="{00000000-0005-0000-0000-000059340000}"/>
    <cellStyle name="20% - Accent5 14 2 9" xfId="22434" xr:uid="{00000000-0005-0000-0000-00005A340000}"/>
    <cellStyle name="20% - Accent5 14 2_Volatility" xfId="3199" xr:uid="{00000000-0005-0000-0000-00005B340000}"/>
    <cellStyle name="20% - Accent5 14 3" xfId="3200" xr:uid="{00000000-0005-0000-0000-00005C340000}"/>
    <cellStyle name="20% - Accent5 14 3 2" xfId="3201" xr:uid="{00000000-0005-0000-0000-00005D340000}"/>
    <cellStyle name="20% - Accent5 14 3 2 2" xfId="3202" xr:uid="{00000000-0005-0000-0000-00005E340000}"/>
    <cellStyle name="20% - Accent5 14 3 2 2 2" xfId="14451" xr:uid="{00000000-0005-0000-0000-00005F340000}"/>
    <cellStyle name="20% - Accent5 14 3 2 2 2 2" xfId="26308" xr:uid="{00000000-0005-0000-0000-000060340000}"/>
    <cellStyle name="20% - Accent5 14 3 2 2 3" xfId="18402" xr:uid="{00000000-0005-0000-0000-000061340000}"/>
    <cellStyle name="20% - Accent5 14 3 2 2 3 2" xfId="30094" xr:uid="{00000000-0005-0000-0000-000062340000}"/>
    <cellStyle name="20% - Accent5 14 3 2 2 4" xfId="22448" xr:uid="{00000000-0005-0000-0000-000063340000}"/>
    <cellStyle name="20% - Accent5 14 3 2 3" xfId="3203" xr:uid="{00000000-0005-0000-0000-000064340000}"/>
    <cellStyle name="20% - Accent5 14 3 2 3 2" xfId="14452" xr:uid="{00000000-0005-0000-0000-000065340000}"/>
    <cellStyle name="20% - Accent5 14 3 2 3 2 2" xfId="26309" xr:uid="{00000000-0005-0000-0000-000066340000}"/>
    <cellStyle name="20% - Accent5 14 3 2 3 3" xfId="18403" xr:uid="{00000000-0005-0000-0000-000067340000}"/>
    <cellStyle name="20% - Accent5 14 3 2 3 3 2" xfId="30095" xr:uid="{00000000-0005-0000-0000-000068340000}"/>
    <cellStyle name="20% - Accent5 14 3 2 3 4" xfId="22449" xr:uid="{00000000-0005-0000-0000-000069340000}"/>
    <cellStyle name="20% - Accent5 14 3 2 4" xfId="14450" xr:uid="{00000000-0005-0000-0000-00006A340000}"/>
    <cellStyle name="20% - Accent5 14 3 2 4 2" xfId="26307" xr:uid="{00000000-0005-0000-0000-00006B340000}"/>
    <cellStyle name="20% - Accent5 14 3 2 5" xfId="18401" xr:uid="{00000000-0005-0000-0000-00006C340000}"/>
    <cellStyle name="20% - Accent5 14 3 2 5 2" xfId="30093" xr:uid="{00000000-0005-0000-0000-00006D340000}"/>
    <cellStyle name="20% - Accent5 14 3 2 6" xfId="22447" xr:uid="{00000000-0005-0000-0000-00006E340000}"/>
    <cellStyle name="20% - Accent5 14 3 3" xfId="3204" xr:uid="{00000000-0005-0000-0000-00006F340000}"/>
    <cellStyle name="20% - Accent5 14 3 3 2" xfId="3205" xr:uid="{00000000-0005-0000-0000-000070340000}"/>
    <cellStyle name="20% - Accent5 14 3 3 2 2" xfId="14454" xr:uid="{00000000-0005-0000-0000-000071340000}"/>
    <cellStyle name="20% - Accent5 14 3 3 2 2 2" xfId="26311" xr:uid="{00000000-0005-0000-0000-000072340000}"/>
    <cellStyle name="20% - Accent5 14 3 3 2 3" xfId="18405" xr:uid="{00000000-0005-0000-0000-000073340000}"/>
    <cellStyle name="20% - Accent5 14 3 3 2 3 2" xfId="30097" xr:uid="{00000000-0005-0000-0000-000074340000}"/>
    <cellStyle name="20% - Accent5 14 3 3 2 4" xfId="22451" xr:uid="{00000000-0005-0000-0000-000075340000}"/>
    <cellStyle name="20% - Accent5 14 3 3 3" xfId="3206" xr:uid="{00000000-0005-0000-0000-000076340000}"/>
    <cellStyle name="20% - Accent5 14 3 3 3 2" xfId="14455" xr:uid="{00000000-0005-0000-0000-000077340000}"/>
    <cellStyle name="20% - Accent5 14 3 3 3 2 2" xfId="26312" xr:uid="{00000000-0005-0000-0000-000078340000}"/>
    <cellStyle name="20% - Accent5 14 3 3 3 3" xfId="18406" xr:uid="{00000000-0005-0000-0000-000079340000}"/>
    <cellStyle name="20% - Accent5 14 3 3 3 3 2" xfId="30098" xr:uid="{00000000-0005-0000-0000-00007A340000}"/>
    <cellStyle name="20% - Accent5 14 3 3 3 4" xfId="22452" xr:uid="{00000000-0005-0000-0000-00007B340000}"/>
    <cellStyle name="20% - Accent5 14 3 3 4" xfId="14453" xr:uid="{00000000-0005-0000-0000-00007C340000}"/>
    <cellStyle name="20% - Accent5 14 3 3 4 2" xfId="26310" xr:uid="{00000000-0005-0000-0000-00007D340000}"/>
    <cellStyle name="20% - Accent5 14 3 3 5" xfId="18404" xr:uid="{00000000-0005-0000-0000-00007E340000}"/>
    <cellStyle name="20% - Accent5 14 3 3 5 2" xfId="30096" xr:uid="{00000000-0005-0000-0000-00007F340000}"/>
    <cellStyle name="20% - Accent5 14 3 3 6" xfId="22450" xr:uid="{00000000-0005-0000-0000-000080340000}"/>
    <cellStyle name="20% - Accent5 14 3 4" xfId="3207" xr:uid="{00000000-0005-0000-0000-000081340000}"/>
    <cellStyle name="20% - Accent5 14 3 4 2" xfId="14456" xr:uid="{00000000-0005-0000-0000-000082340000}"/>
    <cellStyle name="20% - Accent5 14 3 4 2 2" xfId="26313" xr:uid="{00000000-0005-0000-0000-000083340000}"/>
    <cellStyle name="20% - Accent5 14 3 4 3" xfId="18407" xr:uid="{00000000-0005-0000-0000-000084340000}"/>
    <cellStyle name="20% - Accent5 14 3 4 3 2" xfId="30099" xr:uid="{00000000-0005-0000-0000-000085340000}"/>
    <cellStyle name="20% - Accent5 14 3 4 4" xfId="22453" xr:uid="{00000000-0005-0000-0000-000086340000}"/>
    <cellStyle name="20% - Accent5 14 3 5" xfId="3208" xr:uid="{00000000-0005-0000-0000-000087340000}"/>
    <cellStyle name="20% - Accent5 14 3 5 2" xfId="14457" xr:uid="{00000000-0005-0000-0000-000088340000}"/>
    <cellStyle name="20% - Accent5 14 3 5 2 2" xfId="26314" xr:uid="{00000000-0005-0000-0000-000089340000}"/>
    <cellStyle name="20% - Accent5 14 3 5 3" xfId="18408" xr:uid="{00000000-0005-0000-0000-00008A340000}"/>
    <cellStyle name="20% - Accent5 14 3 5 3 2" xfId="30100" xr:uid="{00000000-0005-0000-0000-00008B340000}"/>
    <cellStyle name="20% - Accent5 14 3 5 4" xfId="22454" xr:uid="{00000000-0005-0000-0000-00008C340000}"/>
    <cellStyle name="20% - Accent5 14 3 6" xfId="14449" xr:uid="{00000000-0005-0000-0000-00008D340000}"/>
    <cellStyle name="20% - Accent5 14 3 6 2" xfId="26306" xr:uid="{00000000-0005-0000-0000-00008E340000}"/>
    <cellStyle name="20% - Accent5 14 3 7" xfId="18400" xr:uid="{00000000-0005-0000-0000-00008F340000}"/>
    <cellStyle name="20% - Accent5 14 3 7 2" xfId="30092" xr:uid="{00000000-0005-0000-0000-000090340000}"/>
    <cellStyle name="20% - Accent5 14 3 8" xfId="22446" xr:uid="{00000000-0005-0000-0000-000091340000}"/>
    <cellStyle name="20% - Accent5 14 3_Volatility" xfId="3209" xr:uid="{00000000-0005-0000-0000-000092340000}"/>
    <cellStyle name="20% - Accent5 14 4" xfId="3210" xr:uid="{00000000-0005-0000-0000-000093340000}"/>
    <cellStyle name="20% - Accent5 14 4 2" xfId="3211" xr:uid="{00000000-0005-0000-0000-000094340000}"/>
    <cellStyle name="20% - Accent5 14 4 2 2" xfId="14459" xr:uid="{00000000-0005-0000-0000-000095340000}"/>
    <cellStyle name="20% - Accent5 14 4 2 2 2" xfId="26316" xr:uid="{00000000-0005-0000-0000-000096340000}"/>
    <cellStyle name="20% - Accent5 14 4 2 3" xfId="18410" xr:uid="{00000000-0005-0000-0000-000097340000}"/>
    <cellStyle name="20% - Accent5 14 4 2 3 2" xfId="30102" xr:uid="{00000000-0005-0000-0000-000098340000}"/>
    <cellStyle name="20% - Accent5 14 4 2 4" xfId="22456" xr:uid="{00000000-0005-0000-0000-000099340000}"/>
    <cellStyle name="20% - Accent5 14 4 3" xfId="3212" xr:uid="{00000000-0005-0000-0000-00009A340000}"/>
    <cellStyle name="20% - Accent5 14 4 3 2" xfId="14460" xr:uid="{00000000-0005-0000-0000-00009B340000}"/>
    <cellStyle name="20% - Accent5 14 4 3 2 2" xfId="26317" xr:uid="{00000000-0005-0000-0000-00009C340000}"/>
    <cellStyle name="20% - Accent5 14 4 3 3" xfId="18411" xr:uid="{00000000-0005-0000-0000-00009D340000}"/>
    <cellStyle name="20% - Accent5 14 4 3 3 2" xfId="30103" xr:uid="{00000000-0005-0000-0000-00009E340000}"/>
    <cellStyle name="20% - Accent5 14 4 3 4" xfId="22457" xr:uid="{00000000-0005-0000-0000-00009F340000}"/>
    <cellStyle name="20% - Accent5 14 4 4" xfId="14458" xr:uid="{00000000-0005-0000-0000-0000A0340000}"/>
    <cellStyle name="20% - Accent5 14 4 4 2" xfId="26315" xr:uid="{00000000-0005-0000-0000-0000A1340000}"/>
    <cellStyle name="20% - Accent5 14 4 5" xfId="18409" xr:uid="{00000000-0005-0000-0000-0000A2340000}"/>
    <cellStyle name="20% - Accent5 14 4 5 2" xfId="30101" xr:uid="{00000000-0005-0000-0000-0000A3340000}"/>
    <cellStyle name="20% - Accent5 14 4 6" xfId="22455" xr:uid="{00000000-0005-0000-0000-0000A4340000}"/>
    <cellStyle name="20% - Accent5 14 5" xfId="3213" xr:uid="{00000000-0005-0000-0000-0000A5340000}"/>
    <cellStyle name="20% - Accent5 14 5 2" xfId="3214" xr:uid="{00000000-0005-0000-0000-0000A6340000}"/>
    <cellStyle name="20% - Accent5 14 5 2 2" xfId="14462" xr:uid="{00000000-0005-0000-0000-0000A7340000}"/>
    <cellStyle name="20% - Accent5 14 5 2 2 2" xfId="26319" xr:uid="{00000000-0005-0000-0000-0000A8340000}"/>
    <cellStyle name="20% - Accent5 14 5 2 3" xfId="18413" xr:uid="{00000000-0005-0000-0000-0000A9340000}"/>
    <cellStyle name="20% - Accent5 14 5 2 3 2" xfId="30105" xr:uid="{00000000-0005-0000-0000-0000AA340000}"/>
    <cellStyle name="20% - Accent5 14 5 2 4" xfId="22459" xr:uid="{00000000-0005-0000-0000-0000AB340000}"/>
    <cellStyle name="20% - Accent5 14 5 3" xfId="3215" xr:uid="{00000000-0005-0000-0000-0000AC340000}"/>
    <cellStyle name="20% - Accent5 14 5 3 2" xfId="14463" xr:uid="{00000000-0005-0000-0000-0000AD340000}"/>
    <cellStyle name="20% - Accent5 14 5 3 2 2" xfId="26320" xr:uid="{00000000-0005-0000-0000-0000AE340000}"/>
    <cellStyle name="20% - Accent5 14 5 3 3" xfId="18414" xr:uid="{00000000-0005-0000-0000-0000AF340000}"/>
    <cellStyle name="20% - Accent5 14 5 3 3 2" xfId="30106" xr:uid="{00000000-0005-0000-0000-0000B0340000}"/>
    <cellStyle name="20% - Accent5 14 5 3 4" xfId="22460" xr:uid="{00000000-0005-0000-0000-0000B1340000}"/>
    <cellStyle name="20% - Accent5 14 5 4" xfId="14461" xr:uid="{00000000-0005-0000-0000-0000B2340000}"/>
    <cellStyle name="20% - Accent5 14 5 4 2" xfId="26318" xr:uid="{00000000-0005-0000-0000-0000B3340000}"/>
    <cellStyle name="20% - Accent5 14 5 5" xfId="18412" xr:uid="{00000000-0005-0000-0000-0000B4340000}"/>
    <cellStyle name="20% - Accent5 14 5 5 2" xfId="30104" xr:uid="{00000000-0005-0000-0000-0000B5340000}"/>
    <cellStyle name="20% - Accent5 14 5 6" xfId="22458" xr:uid="{00000000-0005-0000-0000-0000B6340000}"/>
    <cellStyle name="20% - Accent5 14 6" xfId="3216" xr:uid="{00000000-0005-0000-0000-0000B7340000}"/>
    <cellStyle name="20% - Accent5 14 6 2" xfId="3217" xr:uid="{00000000-0005-0000-0000-0000B8340000}"/>
    <cellStyle name="20% - Accent5 14 6 2 2" xfId="14465" xr:uid="{00000000-0005-0000-0000-0000B9340000}"/>
    <cellStyle name="20% - Accent5 14 6 2 2 2" xfId="26322" xr:uid="{00000000-0005-0000-0000-0000BA340000}"/>
    <cellStyle name="20% - Accent5 14 6 2 3" xfId="18416" xr:uid="{00000000-0005-0000-0000-0000BB340000}"/>
    <cellStyle name="20% - Accent5 14 6 2 3 2" xfId="30108" xr:uid="{00000000-0005-0000-0000-0000BC340000}"/>
    <cellStyle name="20% - Accent5 14 6 2 4" xfId="22462" xr:uid="{00000000-0005-0000-0000-0000BD340000}"/>
    <cellStyle name="20% - Accent5 14 6 3" xfId="3218" xr:uid="{00000000-0005-0000-0000-0000BE340000}"/>
    <cellStyle name="20% - Accent5 14 6 3 2" xfId="14466" xr:uid="{00000000-0005-0000-0000-0000BF340000}"/>
    <cellStyle name="20% - Accent5 14 6 3 2 2" xfId="26323" xr:uid="{00000000-0005-0000-0000-0000C0340000}"/>
    <cellStyle name="20% - Accent5 14 6 3 3" xfId="18417" xr:uid="{00000000-0005-0000-0000-0000C1340000}"/>
    <cellStyle name="20% - Accent5 14 6 3 3 2" xfId="30109" xr:uid="{00000000-0005-0000-0000-0000C2340000}"/>
    <cellStyle name="20% - Accent5 14 6 3 4" xfId="22463" xr:uid="{00000000-0005-0000-0000-0000C3340000}"/>
    <cellStyle name="20% - Accent5 14 6 4" xfId="14464" xr:uid="{00000000-0005-0000-0000-0000C4340000}"/>
    <cellStyle name="20% - Accent5 14 6 4 2" xfId="26321" xr:uid="{00000000-0005-0000-0000-0000C5340000}"/>
    <cellStyle name="20% - Accent5 14 6 5" xfId="18415" xr:uid="{00000000-0005-0000-0000-0000C6340000}"/>
    <cellStyle name="20% - Accent5 14 6 5 2" xfId="30107" xr:uid="{00000000-0005-0000-0000-0000C7340000}"/>
    <cellStyle name="20% - Accent5 14 6 6" xfId="22461" xr:uid="{00000000-0005-0000-0000-0000C8340000}"/>
    <cellStyle name="20% - Accent5 14 7" xfId="3219" xr:uid="{00000000-0005-0000-0000-0000C9340000}"/>
    <cellStyle name="20% - Accent5 14 7 2" xfId="14467" xr:uid="{00000000-0005-0000-0000-0000CA340000}"/>
    <cellStyle name="20% - Accent5 14 7 2 2" xfId="26324" xr:uid="{00000000-0005-0000-0000-0000CB340000}"/>
    <cellStyle name="20% - Accent5 14 7 3" xfId="18418" xr:uid="{00000000-0005-0000-0000-0000CC340000}"/>
    <cellStyle name="20% - Accent5 14 7 3 2" xfId="30110" xr:uid="{00000000-0005-0000-0000-0000CD340000}"/>
    <cellStyle name="20% - Accent5 14 7 4" xfId="22464" xr:uid="{00000000-0005-0000-0000-0000CE340000}"/>
    <cellStyle name="20% - Accent5 14 8" xfId="3220" xr:uid="{00000000-0005-0000-0000-0000CF340000}"/>
    <cellStyle name="20% - Accent5 14 8 2" xfId="14468" xr:uid="{00000000-0005-0000-0000-0000D0340000}"/>
    <cellStyle name="20% - Accent5 14 8 2 2" xfId="26325" xr:uid="{00000000-0005-0000-0000-0000D1340000}"/>
    <cellStyle name="20% - Accent5 14 8 3" xfId="18419" xr:uid="{00000000-0005-0000-0000-0000D2340000}"/>
    <cellStyle name="20% - Accent5 14 8 3 2" xfId="30111" xr:uid="{00000000-0005-0000-0000-0000D3340000}"/>
    <cellStyle name="20% - Accent5 14 8 4" xfId="22465" xr:uid="{00000000-0005-0000-0000-0000D4340000}"/>
    <cellStyle name="20% - Accent5 14 9" xfId="14436" xr:uid="{00000000-0005-0000-0000-0000D5340000}"/>
    <cellStyle name="20% - Accent5 14 9 2" xfId="26293" xr:uid="{00000000-0005-0000-0000-0000D6340000}"/>
    <cellStyle name="20% - Accent5 14_Volatility" xfId="3221" xr:uid="{00000000-0005-0000-0000-0000D7340000}"/>
    <cellStyle name="20% - Accent5 15" xfId="3222" xr:uid="{00000000-0005-0000-0000-0000D8340000}"/>
    <cellStyle name="20% - Accent5 15 10" xfId="18420" xr:uid="{00000000-0005-0000-0000-0000D9340000}"/>
    <cellStyle name="20% - Accent5 15 10 2" xfId="30112" xr:uid="{00000000-0005-0000-0000-0000DA340000}"/>
    <cellStyle name="20% - Accent5 15 11" xfId="22466" xr:uid="{00000000-0005-0000-0000-0000DB340000}"/>
    <cellStyle name="20% - Accent5 15 2" xfId="3223" xr:uid="{00000000-0005-0000-0000-0000DC340000}"/>
    <cellStyle name="20% - Accent5 15 2 2" xfId="3224" xr:uid="{00000000-0005-0000-0000-0000DD340000}"/>
    <cellStyle name="20% - Accent5 15 2 2 2" xfId="3225" xr:uid="{00000000-0005-0000-0000-0000DE340000}"/>
    <cellStyle name="20% - Accent5 15 2 2 2 2" xfId="14472" xr:uid="{00000000-0005-0000-0000-0000DF340000}"/>
    <cellStyle name="20% - Accent5 15 2 2 2 2 2" xfId="26329" xr:uid="{00000000-0005-0000-0000-0000E0340000}"/>
    <cellStyle name="20% - Accent5 15 2 2 2 3" xfId="18423" xr:uid="{00000000-0005-0000-0000-0000E1340000}"/>
    <cellStyle name="20% - Accent5 15 2 2 2 3 2" xfId="30115" xr:uid="{00000000-0005-0000-0000-0000E2340000}"/>
    <cellStyle name="20% - Accent5 15 2 2 2 4" xfId="22469" xr:uid="{00000000-0005-0000-0000-0000E3340000}"/>
    <cellStyle name="20% - Accent5 15 2 2 3" xfId="3226" xr:uid="{00000000-0005-0000-0000-0000E4340000}"/>
    <cellStyle name="20% - Accent5 15 2 2 3 2" xfId="14473" xr:uid="{00000000-0005-0000-0000-0000E5340000}"/>
    <cellStyle name="20% - Accent5 15 2 2 3 2 2" xfId="26330" xr:uid="{00000000-0005-0000-0000-0000E6340000}"/>
    <cellStyle name="20% - Accent5 15 2 2 3 3" xfId="18424" xr:uid="{00000000-0005-0000-0000-0000E7340000}"/>
    <cellStyle name="20% - Accent5 15 2 2 3 3 2" xfId="30116" xr:uid="{00000000-0005-0000-0000-0000E8340000}"/>
    <cellStyle name="20% - Accent5 15 2 2 3 4" xfId="22470" xr:uid="{00000000-0005-0000-0000-0000E9340000}"/>
    <cellStyle name="20% - Accent5 15 2 2 4" xfId="14471" xr:uid="{00000000-0005-0000-0000-0000EA340000}"/>
    <cellStyle name="20% - Accent5 15 2 2 4 2" xfId="26328" xr:uid="{00000000-0005-0000-0000-0000EB340000}"/>
    <cellStyle name="20% - Accent5 15 2 2 5" xfId="18422" xr:uid="{00000000-0005-0000-0000-0000EC340000}"/>
    <cellStyle name="20% - Accent5 15 2 2 5 2" xfId="30114" xr:uid="{00000000-0005-0000-0000-0000ED340000}"/>
    <cellStyle name="20% - Accent5 15 2 2 6" xfId="22468" xr:uid="{00000000-0005-0000-0000-0000EE340000}"/>
    <cellStyle name="20% - Accent5 15 2 3" xfId="3227" xr:uid="{00000000-0005-0000-0000-0000EF340000}"/>
    <cellStyle name="20% - Accent5 15 2 3 2" xfId="3228" xr:uid="{00000000-0005-0000-0000-0000F0340000}"/>
    <cellStyle name="20% - Accent5 15 2 3 2 2" xfId="14475" xr:uid="{00000000-0005-0000-0000-0000F1340000}"/>
    <cellStyle name="20% - Accent5 15 2 3 2 2 2" xfId="26332" xr:uid="{00000000-0005-0000-0000-0000F2340000}"/>
    <cellStyle name="20% - Accent5 15 2 3 2 3" xfId="18426" xr:uid="{00000000-0005-0000-0000-0000F3340000}"/>
    <cellStyle name="20% - Accent5 15 2 3 2 3 2" xfId="30118" xr:uid="{00000000-0005-0000-0000-0000F4340000}"/>
    <cellStyle name="20% - Accent5 15 2 3 2 4" xfId="22472" xr:uid="{00000000-0005-0000-0000-0000F5340000}"/>
    <cellStyle name="20% - Accent5 15 2 3 3" xfId="3229" xr:uid="{00000000-0005-0000-0000-0000F6340000}"/>
    <cellStyle name="20% - Accent5 15 2 3 3 2" xfId="14476" xr:uid="{00000000-0005-0000-0000-0000F7340000}"/>
    <cellStyle name="20% - Accent5 15 2 3 3 2 2" xfId="26333" xr:uid="{00000000-0005-0000-0000-0000F8340000}"/>
    <cellStyle name="20% - Accent5 15 2 3 3 3" xfId="18427" xr:uid="{00000000-0005-0000-0000-0000F9340000}"/>
    <cellStyle name="20% - Accent5 15 2 3 3 3 2" xfId="30119" xr:uid="{00000000-0005-0000-0000-0000FA340000}"/>
    <cellStyle name="20% - Accent5 15 2 3 3 4" xfId="22473" xr:uid="{00000000-0005-0000-0000-0000FB340000}"/>
    <cellStyle name="20% - Accent5 15 2 3 4" xfId="14474" xr:uid="{00000000-0005-0000-0000-0000FC340000}"/>
    <cellStyle name="20% - Accent5 15 2 3 4 2" xfId="26331" xr:uid="{00000000-0005-0000-0000-0000FD340000}"/>
    <cellStyle name="20% - Accent5 15 2 3 5" xfId="18425" xr:uid="{00000000-0005-0000-0000-0000FE340000}"/>
    <cellStyle name="20% - Accent5 15 2 3 5 2" xfId="30117" xr:uid="{00000000-0005-0000-0000-0000FF340000}"/>
    <cellStyle name="20% - Accent5 15 2 3 6" xfId="22471" xr:uid="{00000000-0005-0000-0000-000000350000}"/>
    <cellStyle name="20% - Accent5 15 2 4" xfId="3230" xr:uid="{00000000-0005-0000-0000-000001350000}"/>
    <cellStyle name="20% - Accent5 15 2 4 2" xfId="3231" xr:uid="{00000000-0005-0000-0000-000002350000}"/>
    <cellStyle name="20% - Accent5 15 2 4 2 2" xfId="14478" xr:uid="{00000000-0005-0000-0000-000003350000}"/>
    <cellStyle name="20% - Accent5 15 2 4 2 2 2" xfId="26335" xr:uid="{00000000-0005-0000-0000-000004350000}"/>
    <cellStyle name="20% - Accent5 15 2 4 2 3" xfId="18429" xr:uid="{00000000-0005-0000-0000-000005350000}"/>
    <cellStyle name="20% - Accent5 15 2 4 2 3 2" xfId="30121" xr:uid="{00000000-0005-0000-0000-000006350000}"/>
    <cellStyle name="20% - Accent5 15 2 4 2 4" xfId="22475" xr:uid="{00000000-0005-0000-0000-000007350000}"/>
    <cellStyle name="20% - Accent5 15 2 4 3" xfId="3232" xr:uid="{00000000-0005-0000-0000-000008350000}"/>
    <cellStyle name="20% - Accent5 15 2 4 3 2" xfId="14479" xr:uid="{00000000-0005-0000-0000-000009350000}"/>
    <cellStyle name="20% - Accent5 15 2 4 3 2 2" xfId="26336" xr:uid="{00000000-0005-0000-0000-00000A350000}"/>
    <cellStyle name="20% - Accent5 15 2 4 3 3" xfId="18430" xr:uid="{00000000-0005-0000-0000-00000B350000}"/>
    <cellStyle name="20% - Accent5 15 2 4 3 3 2" xfId="30122" xr:uid="{00000000-0005-0000-0000-00000C350000}"/>
    <cellStyle name="20% - Accent5 15 2 4 3 4" xfId="22476" xr:uid="{00000000-0005-0000-0000-00000D350000}"/>
    <cellStyle name="20% - Accent5 15 2 4 4" xfId="14477" xr:uid="{00000000-0005-0000-0000-00000E350000}"/>
    <cellStyle name="20% - Accent5 15 2 4 4 2" xfId="26334" xr:uid="{00000000-0005-0000-0000-00000F350000}"/>
    <cellStyle name="20% - Accent5 15 2 4 5" xfId="18428" xr:uid="{00000000-0005-0000-0000-000010350000}"/>
    <cellStyle name="20% - Accent5 15 2 4 5 2" xfId="30120" xr:uid="{00000000-0005-0000-0000-000011350000}"/>
    <cellStyle name="20% - Accent5 15 2 4 6" xfId="22474" xr:uid="{00000000-0005-0000-0000-000012350000}"/>
    <cellStyle name="20% - Accent5 15 2 5" xfId="3233" xr:uid="{00000000-0005-0000-0000-000013350000}"/>
    <cellStyle name="20% - Accent5 15 2 5 2" xfId="14480" xr:uid="{00000000-0005-0000-0000-000014350000}"/>
    <cellStyle name="20% - Accent5 15 2 5 2 2" xfId="26337" xr:uid="{00000000-0005-0000-0000-000015350000}"/>
    <cellStyle name="20% - Accent5 15 2 5 3" xfId="18431" xr:uid="{00000000-0005-0000-0000-000016350000}"/>
    <cellStyle name="20% - Accent5 15 2 5 3 2" xfId="30123" xr:uid="{00000000-0005-0000-0000-000017350000}"/>
    <cellStyle name="20% - Accent5 15 2 5 4" xfId="22477" xr:uid="{00000000-0005-0000-0000-000018350000}"/>
    <cellStyle name="20% - Accent5 15 2 6" xfId="3234" xr:uid="{00000000-0005-0000-0000-000019350000}"/>
    <cellStyle name="20% - Accent5 15 2 6 2" xfId="14481" xr:uid="{00000000-0005-0000-0000-00001A350000}"/>
    <cellStyle name="20% - Accent5 15 2 6 2 2" xfId="26338" xr:uid="{00000000-0005-0000-0000-00001B350000}"/>
    <cellStyle name="20% - Accent5 15 2 6 3" xfId="18432" xr:uid="{00000000-0005-0000-0000-00001C350000}"/>
    <cellStyle name="20% - Accent5 15 2 6 3 2" xfId="30124" xr:uid="{00000000-0005-0000-0000-00001D350000}"/>
    <cellStyle name="20% - Accent5 15 2 6 4" xfId="22478" xr:uid="{00000000-0005-0000-0000-00001E350000}"/>
    <cellStyle name="20% - Accent5 15 2 7" xfId="14470" xr:uid="{00000000-0005-0000-0000-00001F350000}"/>
    <cellStyle name="20% - Accent5 15 2 7 2" xfId="26327" xr:uid="{00000000-0005-0000-0000-000020350000}"/>
    <cellStyle name="20% - Accent5 15 2 8" xfId="18421" xr:uid="{00000000-0005-0000-0000-000021350000}"/>
    <cellStyle name="20% - Accent5 15 2 8 2" xfId="30113" xr:uid="{00000000-0005-0000-0000-000022350000}"/>
    <cellStyle name="20% - Accent5 15 2 9" xfId="22467" xr:uid="{00000000-0005-0000-0000-000023350000}"/>
    <cellStyle name="20% - Accent5 15 2_Volatility" xfId="3235" xr:uid="{00000000-0005-0000-0000-000024350000}"/>
    <cellStyle name="20% - Accent5 15 3" xfId="3236" xr:uid="{00000000-0005-0000-0000-000025350000}"/>
    <cellStyle name="20% - Accent5 15 3 2" xfId="3237" xr:uid="{00000000-0005-0000-0000-000026350000}"/>
    <cellStyle name="20% - Accent5 15 3 2 2" xfId="3238" xr:uid="{00000000-0005-0000-0000-000027350000}"/>
    <cellStyle name="20% - Accent5 15 3 2 2 2" xfId="14484" xr:uid="{00000000-0005-0000-0000-000028350000}"/>
    <cellStyle name="20% - Accent5 15 3 2 2 2 2" xfId="26341" xr:uid="{00000000-0005-0000-0000-000029350000}"/>
    <cellStyle name="20% - Accent5 15 3 2 2 3" xfId="18435" xr:uid="{00000000-0005-0000-0000-00002A350000}"/>
    <cellStyle name="20% - Accent5 15 3 2 2 3 2" xfId="30127" xr:uid="{00000000-0005-0000-0000-00002B350000}"/>
    <cellStyle name="20% - Accent5 15 3 2 2 4" xfId="22481" xr:uid="{00000000-0005-0000-0000-00002C350000}"/>
    <cellStyle name="20% - Accent5 15 3 2 3" xfId="3239" xr:uid="{00000000-0005-0000-0000-00002D350000}"/>
    <cellStyle name="20% - Accent5 15 3 2 3 2" xfId="14485" xr:uid="{00000000-0005-0000-0000-00002E350000}"/>
    <cellStyle name="20% - Accent5 15 3 2 3 2 2" xfId="26342" xr:uid="{00000000-0005-0000-0000-00002F350000}"/>
    <cellStyle name="20% - Accent5 15 3 2 3 3" xfId="18436" xr:uid="{00000000-0005-0000-0000-000030350000}"/>
    <cellStyle name="20% - Accent5 15 3 2 3 3 2" xfId="30128" xr:uid="{00000000-0005-0000-0000-000031350000}"/>
    <cellStyle name="20% - Accent5 15 3 2 3 4" xfId="22482" xr:uid="{00000000-0005-0000-0000-000032350000}"/>
    <cellStyle name="20% - Accent5 15 3 2 4" xfId="14483" xr:uid="{00000000-0005-0000-0000-000033350000}"/>
    <cellStyle name="20% - Accent5 15 3 2 4 2" xfId="26340" xr:uid="{00000000-0005-0000-0000-000034350000}"/>
    <cellStyle name="20% - Accent5 15 3 2 5" xfId="18434" xr:uid="{00000000-0005-0000-0000-000035350000}"/>
    <cellStyle name="20% - Accent5 15 3 2 5 2" xfId="30126" xr:uid="{00000000-0005-0000-0000-000036350000}"/>
    <cellStyle name="20% - Accent5 15 3 2 6" xfId="22480" xr:uid="{00000000-0005-0000-0000-000037350000}"/>
    <cellStyle name="20% - Accent5 15 3 3" xfId="3240" xr:uid="{00000000-0005-0000-0000-000038350000}"/>
    <cellStyle name="20% - Accent5 15 3 3 2" xfId="3241" xr:uid="{00000000-0005-0000-0000-000039350000}"/>
    <cellStyle name="20% - Accent5 15 3 3 2 2" xfId="14487" xr:uid="{00000000-0005-0000-0000-00003A350000}"/>
    <cellStyle name="20% - Accent5 15 3 3 2 2 2" xfId="26344" xr:uid="{00000000-0005-0000-0000-00003B350000}"/>
    <cellStyle name="20% - Accent5 15 3 3 2 3" xfId="18438" xr:uid="{00000000-0005-0000-0000-00003C350000}"/>
    <cellStyle name="20% - Accent5 15 3 3 2 3 2" xfId="30130" xr:uid="{00000000-0005-0000-0000-00003D350000}"/>
    <cellStyle name="20% - Accent5 15 3 3 2 4" xfId="22484" xr:uid="{00000000-0005-0000-0000-00003E350000}"/>
    <cellStyle name="20% - Accent5 15 3 3 3" xfId="3242" xr:uid="{00000000-0005-0000-0000-00003F350000}"/>
    <cellStyle name="20% - Accent5 15 3 3 3 2" xfId="14488" xr:uid="{00000000-0005-0000-0000-000040350000}"/>
    <cellStyle name="20% - Accent5 15 3 3 3 2 2" xfId="26345" xr:uid="{00000000-0005-0000-0000-000041350000}"/>
    <cellStyle name="20% - Accent5 15 3 3 3 3" xfId="18439" xr:uid="{00000000-0005-0000-0000-000042350000}"/>
    <cellStyle name="20% - Accent5 15 3 3 3 3 2" xfId="30131" xr:uid="{00000000-0005-0000-0000-000043350000}"/>
    <cellStyle name="20% - Accent5 15 3 3 3 4" xfId="22485" xr:uid="{00000000-0005-0000-0000-000044350000}"/>
    <cellStyle name="20% - Accent5 15 3 3 4" xfId="14486" xr:uid="{00000000-0005-0000-0000-000045350000}"/>
    <cellStyle name="20% - Accent5 15 3 3 4 2" xfId="26343" xr:uid="{00000000-0005-0000-0000-000046350000}"/>
    <cellStyle name="20% - Accent5 15 3 3 5" xfId="18437" xr:uid="{00000000-0005-0000-0000-000047350000}"/>
    <cellStyle name="20% - Accent5 15 3 3 5 2" xfId="30129" xr:uid="{00000000-0005-0000-0000-000048350000}"/>
    <cellStyle name="20% - Accent5 15 3 3 6" xfId="22483" xr:uid="{00000000-0005-0000-0000-000049350000}"/>
    <cellStyle name="20% - Accent5 15 3 4" xfId="3243" xr:uid="{00000000-0005-0000-0000-00004A350000}"/>
    <cellStyle name="20% - Accent5 15 3 4 2" xfId="14489" xr:uid="{00000000-0005-0000-0000-00004B350000}"/>
    <cellStyle name="20% - Accent5 15 3 4 2 2" xfId="26346" xr:uid="{00000000-0005-0000-0000-00004C350000}"/>
    <cellStyle name="20% - Accent5 15 3 4 3" xfId="18440" xr:uid="{00000000-0005-0000-0000-00004D350000}"/>
    <cellStyle name="20% - Accent5 15 3 4 3 2" xfId="30132" xr:uid="{00000000-0005-0000-0000-00004E350000}"/>
    <cellStyle name="20% - Accent5 15 3 4 4" xfId="22486" xr:uid="{00000000-0005-0000-0000-00004F350000}"/>
    <cellStyle name="20% - Accent5 15 3 5" xfId="3244" xr:uid="{00000000-0005-0000-0000-000050350000}"/>
    <cellStyle name="20% - Accent5 15 3 5 2" xfId="14490" xr:uid="{00000000-0005-0000-0000-000051350000}"/>
    <cellStyle name="20% - Accent5 15 3 5 2 2" xfId="26347" xr:uid="{00000000-0005-0000-0000-000052350000}"/>
    <cellStyle name="20% - Accent5 15 3 5 3" xfId="18441" xr:uid="{00000000-0005-0000-0000-000053350000}"/>
    <cellStyle name="20% - Accent5 15 3 5 3 2" xfId="30133" xr:uid="{00000000-0005-0000-0000-000054350000}"/>
    <cellStyle name="20% - Accent5 15 3 5 4" xfId="22487" xr:uid="{00000000-0005-0000-0000-000055350000}"/>
    <cellStyle name="20% - Accent5 15 3 6" xfId="14482" xr:uid="{00000000-0005-0000-0000-000056350000}"/>
    <cellStyle name="20% - Accent5 15 3 6 2" xfId="26339" xr:uid="{00000000-0005-0000-0000-000057350000}"/>
    <cellStyle name="20% - Accent5 15 3 7" xfId="18433" xr:uid="{00000000-0005-0000-0000-000058350000}"/>
    <cellStyle name="20% - Accent5 15 3 7 2" xfId="30125" xr:uid="{00000000-0005-0000-0000-000059350000}"/>
    <cellStyle name="20% - Accent5 15 3 8" xfId="22479" xr:uid="{00000000-0005-0000-0000-00005A350000}"/>
    <cellStyle name="20% - Accent5 15 3_Volatility" xfId="3245" xr:uid="{00000000-0005-0000-0000-00005B350000}"/>
    <cellStyle name="20% - Accent5 15 4" xfId="3246" xr:uid="{00000000-0005-0000-0000-00005C350000}"/>
    <cellStyle name="20% - Accent5 15 4 2" xfId="3247" xr:uid="{00000000-0005-0000-0000-00005D350000}"/>
    <cellStyle name="20% - Accent5 15 4 2 2" xfId="14492" xr:uid="{00000000-0005-0000-0000-00005E350000}"/>
    <cellStyle name="20% - Accent5 15 4 2 2 2" xfId="26349" xr:uid="{00000000-0005-0000-0000-00005F350000}"/>
    <cellStyle name="20% - Accent5 15 4 2 3" xfId="18443" xr:uid="{00000000-0005-0000-0000-000060350000}"/>
    <cellStyle name="20% - Accent5 15 4 2 3 2" xfId="30135" xr:uid="{00000000-0005-0000-0000-000061350000}"/>
    <cellStyle name="20% - Accent5 15 4 2 4" xfId="22489" xr:uid="{00000000-0005-0000-0000-000062350000}"/>
    <cellStyle name="20% - Accent5 15 4 3" xfId="3248" xr:uid="{00000000-0005-0000-0000-000063350000}"/>
    <cellStyle name="20% - Accent5 15 4 3 2" xfId="14493" xr:uid="{00000000-0005-0000-0000-000064350000}"/>
    <cellStyle name="20% - Accent5 15 4 3 2 2" xfId="26350" xr:uid="{00000000-0005-0000-0000-000065350000}"/>
    <cellStyle name="20% - Accent5 15 4 3 3" xfId="18444" xr:uid="{00000000-0005-0000-0000-000066350000}"/>
    <cellStyle name="20% - Accent5 15 4 3 3 2" xfId="30136" xr:uid="{00000000-0005-0000-0000-000067350000}"/>
    <cellStyle name="20% - Accent5 15 4 3 4" xfId="22490" xr:uid="{00000000-0005-0000-0000-000068350000}"/>
    <cellStyle name="20% - Accent5 15 4 4" xfId="14491" xr:uid="{00000000-0005-0000-0000-000069350000}"/>
    <cellStyle name="20% - Accent5 15 4 4 2" xfId="26348" xr:uid="{00000000-0005-0000-0000-00006A350000}"/>
    <cellStyle name="20% - Accent5 15 4 5" xfId="18442" xr:uid="{00000000-0005-0000-0000-00006B350000}"/>
    <cellStyle name="20% - Accent5 15 4 5 2" xfId="30134" xr:uid="{00000000-0005-0000-0000-00006C350000}"/>
    <cellStyle name="20% - Accent5 15 4 6" xfId="22488" xr:uid="{00000000-0005-0000-0000-00006D350000}"/>
    <cellStyle name="20% - Accent5 15 5" xfId="3249" xr:uid="{00000000-0005-0000-0000-00006E350000}"/>
    <cellStyle name="20% - Accent5 15 5 2" xfId="3250" xr:uid="{00000000-0005-0000-0000-00006F350000}"/>
    <cellStyle name="20% - Accent5 15 5 2 2" xfId="14495" xr:uid="{00000000-0005-0000-0000-000070350000}"/>
    <cellStyle name="20% - Accent5 15 5 2 2 2" xfId="26352" xr:uid="{00000000-0005-0000-0000-000071350000}"/>
    <cellStyle name="20% - Accent5 15 5 2 3" xfId="18446" xr:uid="{00000000-0005-0000-0000-000072350000}"/>
    <cellStyle name="20% - Accent5 15 5 2 3 2" xfId="30138" xr:uid="{00000000-0005-0000-0000-000073350000}"/>
    <cellStyle name="20% - Accent5 15 5 2 4" xfId="22492" xr:uid="{00000000-0005-0000-0000-000074350000}"/>
    <cellStyle name="20% - Accent5 15 5 3" xfId="3251" xr:uid="{00000000-0005-0000-0000-000075350000}"/>
    <cellStyle name="20% - Accent5 15 5 3 2" xfId="14496" xr:uid="{00000000-0005-0000-0000-000076350000}"/>
    <cellStyle name="20% - Accent5 15 5 3 2 2" xfId="26353" xr:uid="{00000000-0005-0000-0000-000077350000}"/>
    <cellStyle name="20% - Accent5 15 5 3 3" xfId="18447" xr:uid="{00000000-0005-0000-0000-000078350000}"/>
    <cellStyle name="20% - Accent5 15 5 3 3 2" xfId="30139" xr:uid="{00000000-0005-0000-0000-000079350000}"/>
    <cellStyle name="20% - Accent5 15 5 3 4" xfId="22493" xr:uid="{00000000-0005-0000-0000-00007A350000}"/>
    <cellStyle name="20% - Accent5 15 5 4" xfId="14494" xr:uid="{00000000-0005-0000-0000-00007B350000}"/>
    <cellStyle name="20% - Accent5 15 5 4 2" xfId="26351" xr:uid="{00000000-0005-0000-0000-00007C350000}"/>
    <cellStyle name="20% - Accent5 15 5 5" xfId="18445" xr:uid="{00000000-0005-0000-0000-00007D350000}"/>
    <cellStyle name="20% - Accent5 15 5 5 2" xfId="30137" xr:uid="{00000000-0005-0000-0000-00007E350000}"/>
    <cellStyle name="20% - Accent5 15 5 6" xfId="22491" xr:uid="{00000000-0005-0000-0000-00007F350000}"/>
    <cellStyle name="20% - Accent5 15 6" xfId="3252" xr:uid="{00000000-0005-0000-0000-000080350000}"/>
    <cellStyle name="20% - Accent5 15 6 2" xfId="3253" xr:uid="{00000000-0005-0000-0000-000081350000}"/>
    <cellStyle name="20% - Accent5 15 6 2 2" xfId="14498" xr:uid="{00000000-0005-0000-0000-000082350000}"/>
    <cellStyle name="20% - Accent5 15 6 2 2 2" xfId="26355" xr:uid="{00000000-0005-0000-0000-000083350000}"/>
    <cellStyle name="20% - Accent5 15 6 2 3" xfId="18449" xr:uid="{00000000-0005-0000-0000-000084350000}"/>
    <cellStyle name="20% - Accent5 15 6 2 3 2" xfId="30141" xr:uid="{00000000-0005-0000-0000-000085350000}"/>
    <cellStyle name="20% - Accent5 15 6 2 4" xfId="22495" xr:uid="{00000000-0005-0000-0000-000086350000}"/>
    <cellStyle name="20% - Accent5 15 6 3" xfId="3254" xr:uid="{00000000-0005-0000-0000-000087350000}"/>
    <cellStyle name="20% - Accent5 15 6 3 2" xfId="14499" xr:uid="{00000000-0005-0000-0000-000088350000}"/>
    <cellStyle name="20% - Accent5 15 6 3 2 2" xfId="26356" xr:uid="{00000000-0005-0000-0000-000089350000}"/>
    <cellStyle name="20% - Accent5 15 6 3 3" xfId="18450" xr:uid="{00000000-0005-0000-0000-00008A350000}"/>
    <cellStyle name="20% - Accent5 15 6 3 3 2" xfId="30142" xr:uid="{00000000-0005-0000-0000-00008B350000}"/>
    <cellStyle name="20% - Accent5 15 6 3 4" xfId="22496" xr:uid="{00000000-0005-0000-0000-00008C350000}"/>
    <cellStyle name="20% - Accent5 15 6 4" xfId="14497" xr:uid="{00000000-0005-0000-0000-00008D350000}"/>
    <cellStyle name="20% - Accent5 15 6 4 2" xfId="26354" xr:uid="{00000000-0005-0000-0000-00008E350000}"/>
    <cellStyle name="20% - Accent5 15 6 5" xfId="18448" xr:uid="{00000000-0005-0000-0000-00008F350000}"/>
    <cellStyle name="20% - Accent5 15 6 5 2" xfId="30140" xr:uid="{00000000-0005-0000-0000-000090350000}"/>
    <cellStyle name="20% - Accent5 15 6 6" xfId="22494" xr:uid="{00000000-0005-0000-0000-000091350000}"/>
    <cellStyle name="20% - Accent5 15 7" xfId="3255" xr:uid="{00000000-0005-0000-0000-000092350000}"/>
    <cellStyle name="20% - Accent5 15 7 2" xfId="14500" xr:uid="{00000000-0005-0000-0000-000093350000}"/>
    <cellStyle name="20% - Accent5 15 7 2 2" xfId="26357" xr:uid="{00000000-0005-0000-0000-000094350000}"/>
    <cellStyle name="20% - Accent5 15 7 3" xfId="18451" xr:uid="{00000000-0005-0000-0000-000095350000}"/>
    <cellStyle name="20% - Accent5 15 7 3 2" xfId="30143" xr:uid="{00000000-0005-0000-0000-000096350000}"/>
    <cellStyle name="20% - Accent5 15 7 4" xfId="22497" xr:uid="{00000000-0005-0000-0000-000097350000}"/>
    <cellStyle name="20% - Accent5 15 8" xfId="3256" xr:uid="{00000000-0005-0000-0000-000098350000}"/>
    <cellStyle name="20% - Accent5 15 8 2" xfId="14501" xr:uid="{00000000-0005-0000-0000-000099350000}"/>
    <cellStyle name="20% - Accent5 15 8 2 2" xfId="26358" xr:uid="{00000000-0005-0000-0000-00009A350000}"/>
    <cellStyle name="20% - Accent5 15 8 3" xfId="18452" xr:uid="{00000000-0005-0000-0000-00009B350000}"/>
    <cellStyle name="20% - Accent5 15 8 3 2" xfId="30144" xr:uid="{00000000-0005-0000-0000-00009C350000}"/>
    <cellStyle name="20% - Accent5 15 8 4" xfId="22498" xr:uid="{00000000-0005-0000-0000-00009D350000}"/>
    <cellStyle name="20% - Accent5 15 9" xfId="14469" xr:uid="{00000000-0005-0000-0000-00009E350000}"/>
    <cellStyle name="20% - Accent5 15 9 2" xfId="26326" xr:uid="{00000000-0005-0000-0000-00009F350000}"/>
    <cellStyle name="20% - Accent5 15_Volatility" xfId="3257" xr:uid="{00000000-0005-0000-0000-0000A0350000}"/>
    <cellStyle name="20% - Accent5 16" xfId="3258" xr:uid="{00000000-0005-0000-0000-0000A1350000}"/>
    <cellStyle name="20% - Accent5 16 2" xfId="14502" xr:uid="{00000000-0005-0000-0000-0000A2350000}"/>
    <cellStyle name="20% - Accent5 16 2 2" xfId="26359" xr:uid="{00000000-0005-0000-0000-0000A3350000}"/>
    <cellStyle name="20% - Accent5 16 3" xfId="18453" xr:uid="{00000000-0005-0000-0000-0000A4350000}"/>
    <cellStyle name="20% - Accent5 16 3 2" xfId="30145" xr:uid="{00000000-0005-0000-0000-0000A5350000}"/>
    <cellStyle name="20% - Accent5 16 4" xfId="22499" xr:uid="{00000000-0005-0000-0000-0000A6350000}"/>
    <cellStyle name="20% - Accent5 17" xfId="3259" xr:uid="{00000000-0005-0000-0000-0000A7350000}"/>
    <cellStyle name="20% - Accent5 17 2" xfId="14503" xr:uid="{00000000-0005-0000-0000-0000A8350000}"/>
    <cellStyle name="20% - Accent5 17 2 2" xfId="26360" xr:uid="{00000000-0005-0000-0000-0000A9350000}"/>
    <cellStyle name="20% - Accent5 17 3" xfId="18454" xr:uid="{00000000-0005-0000-0000-0000AA350000}"/>
    <cellStyle name="20% - Accent5 17 3 2" xfId="30146" xr:uid="{00000000-0005-0000-0000-0000AB350000}"/>
    <cellStyle name="20% - Accent5 17 4" xfId="22500" xr:uid="{00000000-0005-0000-0000-0000AC350000}"/>
    <cellStyle name="20% - Accent5 18" xfId="3260" xr:uid="{00000000-0005-0000-0000-0000AD350000}"/>
    <cellStyle name="20% - Accent5 18 2" xfId="14504" xr:uid="{00000000-0005-0000-0000-0000AE350000}"/>
    <cellStyle name="20% - Accent5 18 2 2" xfId="26361" xr:uid="{00000000-0005-0000-0000-0000AF350000}"/>
    <cellStyle name="20% - Accent5 18 3" xfId="18455" xr:uid="{00000000-0005-0000-0000-0000B0350000}"/>
    <cellStyle name="20% - Accent5 18 3 2" xfId="30147" xr:uid="{00000000-0005-0000-0000-0000B1350000}"/>
    <cellStyle name="20% - Accent5 18 4" xfId="22501" xr:uid="{00000000-0005-0000-0000-0000B2350000}"/>
    <cellStyle name="20% - Accent5 19" xfId="3261" xr:uid="{00000000-0005-0000-0000-0000B3350000}"/>
    <cellStyle name="20% - Accent5 19 2" xfId="14505" xr:uid="{00000000-0005-0000-0000-0000B4350000}"/>
    <cellStyle name="20% - Accent5 19 2 2" xfId="26362" xr:uid="{00000000-0005-0000-0000-0000B5350000}"/>
    <cellStyle name="20% - Accent5 19 3" xfId="18456" xr:uid="{00000000-0005-0000-0000-0000B6350000}"/>
    <cellStyle name="20% - Accent5 19 3 2" xfId="30148" xr:uid="{00000000-0005-0000-0000-0000B7350000}"/>
    <cellStyle name="20% - Accent5 19 4" xfId="22502" xr:uid="{00000000-0005-0000-0000-0000B8350000}"/>
    <cellStyle name="20% - Accent5 2" xfId="3262" xr:uid="{00000000-0005-0000-0000-0000B9350000}"/>
    <cellStyle name="20% - Accent5 2 10" xfId="18457" xr:uid="{00000000-0005-0000-0000-0000BA350000}"/>
    <cellStyle name="20% - Accent5 2 10 2" xfId="30149" xr:uid="{00000000-0005-0000-0000-0000BB350000}"/>
    <cellStyle name="20% - Accent5 2 11" xfId="22503" xr:uid="{00000000-0005-0000-0000-0000BC350000}"/>
    <cellStyle name="20% - Accent5 2 2" xfId="3263" xr:uid="{00000000-0005-0000-0000-0000BD350000}"/>
    <cellStyle name="20% - Accent5 2 2 2" xfId="3264" xr:uid="{00000000-0005-0000-0000-0000BE350000}"/>
    <cellStyle name="20% - Accent5 2 2 2 2" xfId="3265" xr:uid="{00000000-0005-0000-0000-0000BF350000}"/>
    <cellStyle name="20% - Accent5 2 2 2 2 2" xfId="14509" xr:uid="{00000000-0005-0000-0000-0000C0350000}"/>
    <cellStyle name="20% - Accent5 2 2 2 2 2 2" xfId="26366" xr:uid="{00000000-0005-0000-0000-0000C1350000}"/>
    <cellStyle name="20% - Accent5 2 2 2 2 3" xfId="18460" xr:uid="{00000000-0005-0000-0000-0000C2350000}"/>
    <cellStyle name="20% - Accent5 2 2 2 2 3 2" xfId="30152" xr:uid="{00000000-0005-0000-0000-0000C3350000}"/>
    <cellStyle name="20% - Accent5 2 2 2 2 4" xfId="22506" xr:uid="{00000000-0005-0000-0000-0000C4350000}"/>
    <cellStyle name="20% - Accent5 2 2 2 3" xfId="3266" xr:uid="{00000000-0005-0000-0000-0000C5350000}"/>
    <cellStyle name="20% - Accent5 2 2 2 3 2" xfId="14510" xr:uid="{00000000-0005-0000-0000-0000C6350000}"/>
    <cellStyle name="20% - Accent5 2 2 2 3 2 2" xfId="26367" xr:uid="{00000000-0005-0000-0000-0000C7350000}"/>
    <cellStyle name="20% - Accent5 2 2 2 3 3" xfId="18461" xr:uid="{00000000-0005-0000-0000-0000C8350000}"/>
    <cellStyle name="20% - Accent5 2 2 2 3 3 2" xfId="30153" xr:uid="{00000000-0005-0000-0000-0000C9350000}"/>
    <cellStyle name="20% - Accent5 2 2 2 3 4" xfId="22507" xr:uid="{00000000-0005-0000-0000-0000CA350000}"/>
    <cellStyle name="20% - Accent5 2 2 2 4" xfId="14508" xr:uid="{00000000-0005-0000-0000-0000CB350000}"/>
    <cellStyle name="20% - Accent5 2 2 2 4 2" xfId="26365" xr:uid="{00000000-0005-0000-0000-0000CC350000}"/>
    <cellStyle name="20% - Accent5 2 2 2 5" xfId="18459" xr:uid="{00000000-0005-0000-0000-0000CD350000}"/>
    <cellStyle name="20% - Accent5 2 2 2 5 2" xfId="30151" xr:uid="{00000000-0005-0000-0000-0000CE350000}"/>
    <cellStyle name="20% - Accent5 2 2 2 6" xfId="22505" xr:uid="{00000000-0005-0000-0000-0000CF350000}"/>
    <cellStyle name="20% - Accent5 2 2 3" xfId="3267" xr:uid="{00000000-0005-0000-0000-0000D0350000}"/>
    <cellStyle name="20% - Accent5 2 2 3 2" xfId="3268" xr:uid="{00000000-0005-0000-0000-0000D1350000}"/>
    <cellStyle name="20% - Accent5 2 2 3 2 2" xfId="14512" xr:uid="{00000000-0005-0000-0000-0000D2350000}"/>
    <cellStyle name="20% - Accent5 2 2 3 2 2 2" xfId="26369" xr:uid="{00000000-0005-0000-0000-0000D3350000}"/>
    <cellStyle name="20% - Accent5 2 2 3 2 3" xfId="18463" xr:uid="{00000000-0005-0000-0000-0000D4350000}"/>
    <cellStyle name="20% - Accent5 2 2 3 2 3 2" xfId="30155" xr:uid="{00000000-0005-0000-0000-0000D5350000}"/>
    <cellStyle name="20% - Accent5 2 2 3 2 4" xfId="22509" xr:uid="{00000000-0005-0000-0000-0000D6350000}"/>
    <cellStyle name="20% - Accent5 2 2 3 3" xfId="3269" xr:uid="{00000000-0005-0000-0000-0000D7350000}"/>
    <cellStyle name="20% - Accent5 2 2 3 3 2" xfId="14513" xr:uid="{00000000-0005-0000-0000-0000D8350000}"/>
    <cellStyle name="20% - Accent5 2 2 3 3 2 2" xfId="26370" xr:uid="{00000000-0005-0000-0000-0000D9350000}"/>
    <cellStyle name="20% - Accent5 2 2 3 3 3" xfId="18464" xr:uid="{00000000-0005-0000-0000-0000DA350000}"/>
    <cellStyle name="20% - Accent5 2 2 3 3 3 2" xfId="30156" xr:uid="{00000000-0005-0000-0000-0000DB350000}"/>
    <cellStyle name="20% - Accent5 2 2 3 3 4" xfId="22510" xr:uid="{00000000-0005-0000-0000-0000DC350000}"/>
    <cellStyle name="20% - Accent5 2 2 3 4" xfId="14511" xr:uid="{00000000-0005-0000-0000-0000DD350000}"/>
    <cellStyle name="20% - Accent5 2 2 3 4 2" xfId="26368" xr:uid="{00000000-0005-0000-0000-0000DE350000}"/>
    <cellStyle name="20% - Accent5 2 2 3 5" xfId="18462" xr:uid="{00000000-0005-0000-0000-0000DF350000}"/>
    <cellStyle name="20% - Accent5 2 2 3 5 2" xfId="30154" xr:uid="{00000000-0005-0000-0000-0000E0350000}"/>
    <cellStyle name="20% - Accent5 2 2 3 6" xfId="22508" xr:uid="{00000000-0005-0000-0000-0000E1350000}"/>
    <cellStyle name="20% - Accent5 2 2 4" xfId="3270" xr:uid="{00000000-0005-0000-0000-0000E2350000}"/>
    <cellStyle name="20% - Accent5 2 2 4 2" xfId="3271" xr:uid="{00000000-0005-0000-0000-0000E3350000}"/>
    <cellStyle name="20% - Accent5 2 2 4 2 2" xfId="14515" xr:uid="{00000000-0005-0000-0000-0000E4350000}"/>
    <cellStyle name="20% - Accent5 2 2 4 2 2 2" xfId="26372" xr:uid="{00000000-0005-0000-0000-0000E5350000}"/>
    <cellStyle name="20% - Accent5 2 2 4 2 3" xfId="18466" xr:uid="{00000000-0005-0000-0000-0000E6350000}"/>
    <cellStyle name="20% - Accent5 2 2 4 2 3 2" xfId="30158" xr:uid="{00000000-0005-0000-0000-0000E7350000}"/>
    <cellStyle name="20% - Accent5 2 2 4 2 4" xfId="22512" xr:uid="{00000000-0005-0000-0000-0000E8350000}"/>
    <cellStyle name="20% - Accent5 2 2 4 3" xfId="3272" xr:uid="{00000000-0005-0000-0000-0000E9350000}"/>
    <cellStyle name="20% - Accent5 2 2 4 3 2" xfId="14516" xr:uid="{00000000-0005-0000-0000-0000EA350000}"/>
    <cellStyle name="20% - Accent5 2 2 4 3 2 2" xfId="26373" xr:uid="{00000000-0005-0000-0000-0000EB350000}"/>
    <cellStyle name="20% - Accent5 2 2 4 3 3" xfId="18467" xr:uid="{00000000-0005-0000-0000-0000EC350000}"/>
    <cellStyle name="20% - Accent5 2 2 4 3 3 2" xfId="30159" xr:uid="{00000000-0005-0000-0000-0000ED350000}"/>
    <cellStyle name="20% - Accent5 2 2 4 3 4" xfId="22513" xr:uid="{00000000-0005-0000-0000-0000EE350000}"/>
    <cellStyle name="20% - Accent5 2 2 4 4" xfId="14514" xr:uid="{00000000-0005-0000-0000-0000EF350000}"/>
    <cellStyle name="20% - Accent5 2 2 4 4 2" xfId="26371" xr:uid="{00000000-0005-0000-0000-0000F0350000}"/>
    <cellStyle name="20% - Accent5 2 2 4 5" xfId="18465" xr:uid="{00000000-0005-0000-0000-0000F1350000}"/>
    <cellStyle name="20% - Accent5 2 2 4 5 2" xfId="30157" xr:uid="{00000000-0005-0000-0000-0000F2350000}"/>
    <cellStyle name="20% - Accent5 2 2 4 6" xfId="22511" xr:uid="{00000000-0005-0000-0000-0000F3350000}"/>
    <cellStyle name="20% - Accent5 2 2 5" xfId="3273" xr:uid="{00000000-0005-0000-0000-0000F4350000}"/>
    <cellStyle name="20% - Accent5 2 2 5 2" xfId="14517" xr:uid="{00000000-0005-0000-0000-0000F5350000}"/>
    <cellStyle name="20% - Accent5 2 2 5 2 2" xfId="26374" xr:uid="{00000000-0005-0000-0000-0000F6350000}"/>
    <cellStyle name="20% - Accent5 2 2 5 3" xfId="18468" xr:uid="{00000000-0005-0000-0000-0000F7350000}"/>
    <cellStyle name="20% - Accent5 2 2 5 3 2" xfId="30160" xr:uid="{00000000-0005-0000-0000-0000F8350000}"/>
    <cellStyle name="20% - Accent5 2 2 5 4" xfId="22514" xr:uid="{00000000-0005-0000-0000-0000F9350000}"/>
    <cellStyle name="20% - Accent5 2 2 6" xfId="3274" xr:uid="{00000000-0005-0000-0000-0000FA350000}"/>
    <cellStyle name="20% - Accent5 2 2 6 2" xfId="14518" xr:uid="{00000000-0005-0000-0000-0000FB350000}"/>
    <cellStyle name="20% - Accent5 2 2 6 2 2" xfId="26375" xr:uid="{00000000-0005-0000-0000-0000FC350000}"/>
    <cellStyle name="20% - Accent5 2 2 6 3" xfId="18469" xr:uid="{00000000-0005-0000-0000-0000FD350000}"/>
    <cellStyle name="20% - Accent5 2 2 6 3 2" xfId="30161" xr:uid="{00000000-0005-0000-0000-0000FE350000}"/>
    <cellStyle name="20% - Accent5 2 2 6 4" xfId="22515" xr:uid="{00000000-0005-0000-0000-0000FF350000}"/>
    <cellStyle name="20% - Accent5 2 2 7" xfId="14507" xr:uid="{00000000-0005-0000-0000-000000360000}"/>
    <cellStyle name="20% - Accent5 2 2 7 2" xfId="26364" xr:uid="{00000000-0005-0000-0000-000001360000}"/>
    <cellStyle name="20% - Accent5 2 2 8" xfId="18458" xr:uid="{00000000-0005-0000-0000-000002360000}"/>
    <cellStyle name="20% - Accent5 2 2 8 2" xfId="30150" xr:uid="{00000000-0005-0000-0000-000003360000}"/>
    <cellStyle name="20% - Accent5 2 2 9" xfId="22504" xr:uid="{00000000-0005-0000-0000-000004360000}"/>
    <cellStyle name="20% - Accent5 2 2_Volatility" xfId="3275" xr:uid="{00000000-0005-0000-0000-000005360000}"/>
    <cellStyle name="20% - Accent5 2 3" xfId="3276" xr:uid="{00000000-0005-0000-0000-000006360000}"/>
    <cellStyle name="20% - Accent5 2 3 2" xfId="3277" xr:uid="{00000000-0005-0000-0000-000007360000}"/>
    <cellStyle name="20% - Accent5 2 3 2 2" xfId="3278" xr:uid="{00000000-0005-0000-0000-000008360000}"/>
    <cellStyle name="20% - Accent5 2 3 2 2 2" xfId="14521" xr:uid="{00000000-0005-0000-0000-000009360000}"/>
    <cellStyle name="20% - Accent5 2 3 2 2 2 2" xfId="26378" xr:uid="{00000000-0005-0000-0000-00000A360000}"/>
    <cellStyle name="20% - Accent5 2 3 2 2 3" xfId="18472" xr:uid="{00000000-0005-0000-0000-00000B360000}"/>
    <cellStyle name="20% - Accent5 2 3 2 2 3 2" xfId="30164" xr:uid="{00000000-0005-0000-0000-00000C360000}"/>
    <cellStyle name="20% - Accent5 2 3 2 2 4" xfId="22518" xr:uid="{00000000-0005-0000-0000-00000D360000}"/>
    <cellStyle name="20% - Accent5 2 3 2 3" xfId="3279" xr:uid="{00000000-0005-0000-0000-00000E360000}"/>
    <cellStyle name="20% - Accent5 2 3 2 3 2" xfId="14522" xr:uid="{00000000-0005-0000-0000-00000F360000}"/>
    <cellStyle name="20% - Accent5 2 3 2 3 2 2" xfId="26379" xr:uid="{00000000-0005-0000-0000-000010360000}"/>
    <cellStyle name="20% - Accent5 2 3 2 3 3" xfId="18473" xr:uid="{00000000-0005-0000-0000-000011360000}"/>
    <cellStyle name="20% - Accent5 2 3 2 3 3 2" xfId="30165" xr:uid="{00000000-0005-0000-0000-000012360000}"/>
    <cellStyle name="20% - Accent5 2 3 2 3 4" xfId="22519" xr:uid="{00000000-0005-0000-0000-000013360000}"/>
    <cellStyle name="20% - Accent5 2 3 2 4" xfId="14520" xr:uid="{00000000-0005-0000-0000-000014360000}"/>
    <cellStyle name="20% - Accent5 2 3 2 4 2" xfId="26377" xr:uid="{00000000-0005-0000-0000-000015360000}"/>
    <cellStyle name="20% - Accent5 2 3 2 5" xfId="18471" xr:uid="{00000000-0005-0000-0000-000016360000}"/>
    <cellStyle name="20% - Accent5 2 3 2 5 2" xfId="30163" xr:uid="{00000000-0005-0000-0000-000017360000}"/>
    <cellStyle name="20% - Accent5 2 3 2 6" xfId="22517" xr:uid="{00000000-0005-0000-0000-000018360000}"/>
    <cellStyle name="20% - Accent5 2 3 3" xfId="3280" xr:uid="{00000000-0005-0000-0000-000019360000}"/>
    <cellStyle name="20% - Accent5 2 3 3 2" xfId="3281" xr:uid="{00000000-0005-0000-0000-00001A360000}"/>
    <cellStyle name="20% - Accent5 2 3 3 2 2" xfId="14524" xr:uid="{00000000-0005-0000-0000-00001B360000}"/>
    <cellStyle name="20% - Accent5 2 3 3 2 2 2" xfId="26381" xr:uid="{00000000-0005-0000-0000-00001C360000}"/>
    <cellStyle name="20% - Accent5 2 3 3 2 3" xfId="18475" xr:uid="{00000000-0005-0000-0000-00001D360000}"/>
    <cellStyle name="20% - Accent5 2 3 3 2 3 2" xfId="30167" xr:uid="{00000000-0005-0000-0000-00001E360000}"/>
    <cellStyle name="20% - Accent5 2 3 3 2 4" xfId="22521" xr:uid="{00000000-0005-0000-0000-00001F360000}"/>
    <cellStyle name="20% - Accent5 2 3 3 3" xfId="3282" xr:uid="{00000000-0005-0000-0000-000020360000}"/>
    <cellStyle name="20% - Accent5 2 3 3 3 2" xfId="14525" xr:uid="{00000000-0005-0000-0000-000021360000}"/>
    <cellStyle name="20% - Accent5 2 3 3 3 2 2" xfId="26382" xr:uid="{00000000-0005-0000-0000-000022360000}"/>
    <cellStyle name="20% - Accent5 2 3 3 3 3" xfId="18476" xr:uid="{00000000-0005-0000-0000-000023360000}"/>
    <cellStyle name="20% - Accent5 2 3 3 3 3 2" xfId="30168" xr:uid="{00000000-0005-0000-0000-000024360000}"/>
    <cellStyle name="20% - Accent5 2 3 3 3 4" xfId="22522" xr:uid="{00000000-0005-0000-0000-000025360000}"/>
    <cellStyle name="20% - Accent5 2 3 3 4" xfId="14523" xr:uid="{00000000-0005-0000-0000-000026360000}"/>
    <cellStyle name="20% - Accent5 2 3 3 4 2" xfId="26380" xr:uid="{00000000-0005-0000-0000-000027360000}"/>
    <cellStyle name="20% - Accent5 2 3 3 5" xfId="18474" xr:uid="{00000000-0005-0000-0000-000028360000}"/>
    <cellStyle name="20% - Accent5 2 3 3 5 2" xfId="30166" xr:uid="{00000000-0005-0000-0000-000029360000}"/>
    <cellStyle name="20% - Accent5 2 3 3 6" xfId="22520" xr:uid="{00000000-0005-0000-0000-00002A360000}"/>
    <cellStyle name="20% - Accent5 2 3 4" xfId="3283" xr:uid="{00000000-0005-0000-0000-00002B360000}"/>
    <cellStyle name="20% - Accent5 2 3 4 2" xfId="14526" xr:uid="{00000000-0005-0000-0000-00002C360000}"/>
    <cellStyle name="20% - Accent5 2 3 4 2 2" xfId="26383" xr:uid="{00000000-0005-0000-0000-00002D360000}"/>
    <cellStyle name="20% - Accent5 2 3 4 3" xfId="18477" xr:uid="{00000000-0005-0000-0000-00002E360000}"/>
    <cellStyle name="20% - Accent5 2 3 4 3 2" xfId="30169" xr:uid="{00000000-0005-0000-0000-00002F360000}"/>
    <cellStyle name="20% - Accent5 2 3 4 4" xfId="22523" xr:uid="{00000000-0005-0000-0000-000030360000}"/>
    <cellStyle name="20% - Accent5 2 3 5" xfId="3284" xr:uid="{00000000-0005-0000-0000-000031360000}"/>
    <cellStyle name="20% - Accent5 2 3 5 2" xfId="14527" xr:uid="{00000000-0005-0000-0000-000032360000}"/>
    <cellStyle name="20% - Accent5 2 3 5 2 2" xfId="26384" xr:uid="{00000000-0005-0000-0000-000033360000}"/>
    <cellStyle name="20% - Accent5 2 3 5 3" xfId="18478" xr:uid="{00000000-0005-0000-0000-000034360000}"/>
    <cellStyle name="20% - Accent5 2 3 5 3 2" xfId="30170" xr:uid="{00000000-0005-0000-0000-000035360000}"/>
    <cellStyle name="20% - Accent5 2 3 5 4" xfId="22524" xr:uid="{00000000-0005-0000-0000-000036360000}"/>
    <cellStyle name="20% - Accent5 2 3 6" xfId="14519" xr:uid="{00000000-0005-0000-0000-000037360000}"/>
    <cellStyle name="20% - Accent5 2 3 6 2" xfId="26376" xr:uid="{00000000-0005-0000-0000-000038360000}"/>
    <cellStyle name="20% - Accent5 2 3 7" xfId="18470" xr:uid="{00000000-0005-0000-0000-000039360000}"/>
    <cellStyle name="20% - Accent5 2 3 7 2" xfId="30162" xr:uid="{00000000-0005-0000-0000-00003A360000}"/>
    <cellStyle name="20% - Accent5 2 3 8" xfId="22516" xr:uid="{00000000-0005-0000-0000-00003B360000}"/>
    <cellStyle name="20% - Accent5 2 3_Volatility" xfId="3285" xr:uid="{00000000-0005-0000-0000-00003C360000}"/>
    <cellStyle name="20% - Accent5 2 4" xfId="3286" xr:uid="{00000000-0005-0000-0000-00003D360000}"/>
    <cellStyle name="20% - Accent5 2 4 2" xfId="3287" xr:uid="{00000000-0005-0000-0000-00003E360000}"/>
    <cellStyle name="20% - Accent5 2 4 2 2" xfId="14529" xr:uid="{00000000-0005-0000-0000-00003F360000}"/>
    <cellStyle name="20% - Accent5 2 4 2 2 2" xfId="26386" xr:uid="{00000000-0005-0000-0000-000040360000}"/>
    <cellStyle name="20% - Accent5 2 4 2 3" xfId="18480" xr:uid="{00000000-0005-0000-0000-000041360000}"/>
    <cellStyle name="20% - Accent5 2 4 2 3 2" xfId="30172" xr:uid="{00000000-0005-0000-0000-000042360000}"/>
    <cellStyle name="20% - Accent5 2 4 2 4" xfId="22526" xr:uid="{00000000-0005-0000-0000-000043360000}"/>
    <cellStyle name="20% - Accent5 2 4 3" xfId="3288" xr:uid="{00000000-0005-0000-0000-000044360000}"/>
    <cellStyle name="20% - Accent5 2 4 3 2" xfId="14530" xr:uid="{00000000-0005-0000-0000-000045360000}"/>
    <cellStyle name="20% - Accent5 2 4 3 2 2" xfId="26387" xr:uid="{00000000-0005-0000-0000-000046360000}"/>
    <cellStyle name="20% - Accent5 2 4 3 3" xfId="18481" xr:uid="{00000000-0005-0000-0000-000047360000}"/>
    <cellStyle name="20% - Accent5 2 4 3 3 2" xfId="30173" xr:uid="{00000000-0005-0000-0000-000048360000}"/>
    <cellStyle name="20% - Accent5 2 4 3 4" xfId="22527" xr:uid="{00000000-0005-0000-0000-000049360000}"/>
    <cellStyle name="20% - Accent5 2 4 4" xfId="14528" xr:uid="{00000000-0005-0000-0000-00004A360000}"/>
    <cellStyle name="20% - Accent5 2 4 4 2" xfId="26385" xr:uid="{00000000-0005-0000-0000-00004B360000}"/>
    <cellStyle name="20% - Accent5 2 4 5" xfId="18479" xr:uid="{00000000-0005-0000-0000-00004C360000}"/>
    <cellStyle name="20% - Accent5 2 4 5 2" xfId="30171" xr:uid="{00000000-0005-0000-0000-00004D360000}"/>
    <cellStyle name="20% - Accent5 2 4 6" xfId="22525" xr:uid="{00000000-0005-0000-0000-00004E360000}"/>
    <cellStyle name="20% - Accent5 2 5" xfId="3289" xr:uid="{00000000-0005-0000-0000-00004F360000}"/>
    <cellStyle name="20% - Accent5 2 5 2" xfId="3290" xr:uid="{00000000-0005-0000-0000-000050360000}"/>
    <cellStyle name="20% - Accent5 2 5 2 2" xfId="14532" xr:uid="{00000000-0005-0000-0000-000051360000}"/>
    <cellStyle name="20% - Accent5 2 5 2 2 2" xfId="26389" xr:uid="{00000000-0005-0000-0000-000052360000}"/>
    <cellStyle name="20% - Accent5 2 5 2 3" xfId="18483" xr:uid="{00000000-0005-0000-0000-000053360000}"/>
    <cellStyle name="20% - Accent5 2 5 2 3 2" xfId="30175" xr:uid="{00000000-0005-0000-0000-000054360000}"/>
    <cellStyle name="20% - Accent5 2 5 2 4" xfId="22529" xr:uid="{00000000-0005-0000-0000-000055360000}"/>
    <cellStyle name="20% - Accent5 2 5 3" xfId="3291" xr:uid="{00000000-0005-0000-0000-000056360000}"/>
    <cellStyle name="20% - Accent5 2 5 3 2" xfId="14533" xr:uid="{00000000-0005-0000-0000-000057360000}"/>
    <cellStyle name="20% - Accent5 2 5 3 2 2" xfId="26390" xr:uid="{00000000-0005-0000-0000-000058360000}"/>
    <cellStyle name="20% - Accent5 2 5 3 3" xfId="18484" xr:uid="{00000000-0005-0000-0000-000059360000}"/>
    <cellStyle name="20% - Accent5 2 5 3 3 2" xfId="30176" xr:uid="{00000000-0005-0000-0000-00005A360000}"/>
    <cellStyle name="20% - Accent5 2 5 3 4" xfId="22530" xr:uid="{00000000-0005-0000-0000-00005B360000}"/>
    <cellStyle name="20% - Accent5 2 5 4" xfId="14531" xr:uid="{00000000-0005-0000-0000-00005C360000}"/>
    <cellStyle name="20% - Accent5 2 5 4 2" xfId="26388" xr:uid="{00000000-0005-0000-0000-00005D360000}"/>
    <cellStyle name="20% - Accent5 2 5 5" xfId="18482" xr:uid="{00000000-0005-0000-0000-00005E360000}"/>
    <cellStyle name="20% - Accent5 2 5 5 2" xfId="30174" xr:uid="{00000000-0005-0000-0000-00005F360000}"/>
    <cellStyle name="20% - Accent5 2 5 6" xfId="22528" xr:uid="{00000000-0005-0000-0000-000060360000}"/>
    <cellStyle name="20% - Accent5 2 6" xfId="3292" xr:uid="{00000000-0005-0000-0000-000061360000}"/>
    <cellStyle name="20% - Accent5 2 6 2" xfId="3293" xr:uid="{00000000-0005-0000-0000-000062360000}"/>
    <cellStyle name="20% - Accent5 2 6 2 2" xfId="14535" xr:uid="{00000000-0005-0000-0000-000063360000}"/>
    <cellStyle name="20% - Accent5 2 6 2 2 2" xfId="26392" xr:uid="{00000000-0005-0000-0000-000064360000}"/>
    <cellStyle name="20% - Accent5 2 6 2 3" xfId="18486" xr:uid="{00000000-0005-0000-0000-000065360000}"/>
    <cellStyle name="20% - Accent5 2 6 2 3 2" xfId="30178" xr:uid="{00000000-0005-0000-0000-000066360000}"/>
    <cellStyle name="20% - Accent5 2 6 2 4" xfId="22532" xr:uid="{00000000-0005-0000-0000-000067360000}"/>
    <cellStyle name="20% - Accent5 2 6 3" xfId="3294" xr:uid="{00000000-0005-0000-0000-000068360000}"/>
    <cellStyle name="20% - Accent5 2 6 3 2" xfId="14536" xr:uid="{00000000-0005-0000-0000-000069360000}"/>
    <cellStyle name="20% - Accent5 2 6 3 2 2" xfId="26393" xr:uid="{00000000-0005-0000-0000-00006A360000}"/>
    <cellStyle name="20% - Accent5 2 6 3 3" xfId="18487" xr:uid="{00000000-0005-0000-0000-00006B360000}"/>
    <cellStyle name="20% - Accent5 2 6 3 3 2" xfId="30179" xr:uid="{00000000-0005-0000-0000-00006C360000}"/>
    <cellStyle name="20% - Accent5 2 6 3 4" xfId="22533" xr:uid="{00000000-0005-0000-0000-00006D360000}"/>
    <cellStyle name="20% - Accent5 2 6 4" xfId="14534" xr:uid="{00000000-0005-0000-0000-00006E360000}"/>
    <cellStyle name="20% - Accent5 2 6 4 2" xfId="26391" xr:uid="{00000000-0005-0000-0000-00006F360000}"/>
    <cellStyle name="20% - Accent5 2 6 5" xfId="18485" xr:uid="{00000000-0005-0000-0000-000070360000}"/>
    <cellStyle name="20% - Accent5 2 6 5 2" xfId="30177" xr:uid="{00000000-0005-0000-0000-000071360000}"/>
    <cellStyle name="20% - Accent5 2 6 6" xfId="22531" xr:uid="{00000000-0005-0000-0000-000072360000}"/>
    <cellStyle name="20% - Accent5 2 7" xfId="3295" xr:uid="{00000000-0005-0000-0000-000073360000}"/>
    <cellStyle name="20% - Accent5 2 7 2" xfId="14537" xr:uid="{00000000-0005-0000-0000-000074360000}"/>
    <cellStyle name="20% - Accent5 2 7 2 2" xfId="26394" xr:uid="{00000000-0005-0000-0000-000075360000}"/>
    <cellStyle name="20% - Accent5 2 7 3" xfId="18488" xr:uid="{00000000-0005-0000-0000-000076360000}"/>
    <cellStyle name="20% - Accent5 2 7 3 2" xfId="30180" xr:uid="{00000000-0005-0000-0000-000077360000}"/>
    <cellStyle name="20% - Accent5 2 7 4" xfId="22534" xr:uid="{00000000-0005-0000-0000-000078360000}"/>
    <cellStyle name="20% - Accent5 2 8" xfId="3296" xr:uid="{00000000-0005-0000-0000-000079360000}"/>
    <cellStyle name="20% - Accent5 2 8 2" xfId="14538" xr:uid="{00000000-0005-0000-0000-00007A360000}"/>
    <cellStyle name="20% - Accent5 2 8 2 2" xfId="26395" xr:uid="{00000000-0005-0000-0000-00007B360000}"/>
    <cellStyle name="20% - Accent5 2 8 3" xfId="18489" xr:uid="{00000000-0005-0000-0000-00007C360000}"/>
    <cellStyle name="20% - Accent5 2 8 3 2" xfId="30181" xr:uid="{00000000-0005-0000-0000-00007D360000}"/>
    <cellStyle name="20% - Accent5 2 8 4" xfId="22535" xr:uid="{00000000-0005-0000-0000-00007E360000}"/>
    <cellStyle name="20% - Accent5 2 9" xfId="14506" xr:uid="{00000000-0005-0000-0000-00007F360000}"/>
    <cellStyle name="20% - Accent5 2 9 2" xfId="26363" xr:uid="{00000000-0005-0000-0000-000080360000}"/>
    <cellStyle name="20% - Accent5 2_Volatility" xfId="3297" xr:uid="{00000000-0005-0000-0000-000081360000}"/>
    <cellStyle name="20% - Accent5 3" xfId="3298" xr:uid="{00000000-0005-0000-0000-000082360000}"/>
    <cellStyle name="20% - Accent5 3 10" xfId="18490" xr:uid="{00000000-0005-0000-0000-000083360000}"/>
    <cellStyle name="20% - Accent5 3 10 2" xfId="30182" xr:uid="{00000000-0005-0000-0000-000084360000}"/>
    <cellStyle name="20% - Accent5 3 11" xfId="22536" xr:uid="{00000000-0005-0000-0000-000085360000}"/>
    <cellStyle name="20% - Accent5 3 2" xfId="3299" xr:uid="{00000000-0005-0000-0000-000086360000}"/>
    <cellStyle name="20% - Accent5 3 2 2" xfId="3300" xr:uid="{00000000-0005-0000-0000-000087360000}"/>
    <cellStyle name="20% - Accent5 3 2 2 2" xfId="3301" xr:uid="{00000000-0005-0000-0000-000088360000}"/>
    <cellStyle name="20% - Accent5 3 2 2 2 2" xfId="14542" xr:uid="{00000000-0005-0000-0000-000089360000}"/>
    <cellStyle name="20% - Accent5 3 2 2 2 2 2" xfId="26399" xr:uid="{00000000-0005-0000-0000-00008A360000}"/>
    <cellStyle name="20% - Accent5 3 2 2 2 3" xfId="18493" xr:uid="{00000000-0005-0000-0000-00008B360000}"/>
    <cellStyle name="20% - Accent5 3 2 2 2 3 2" xfId="30185" xr:uid="{00000000-0005-0000-0000-00008C360000}"/>
    <cellStyle name="20% - Accent5 3 2 2 2 4" xfId="22539" xr:uid="{00000000-0005-0000-0000-00008D360000}"/>
    <cellStyle name="20% - Accent5 3 2 2 3" xfId="3302" xr:uid="{00000000-0005-0000-0000-00008E360000}"/>
    <cellStyle name="20% - Accent5 3 2 2 3 2" xfId="14543" xr:uid="{00000000-0005-0000-0000-00008F360000}"/>
    <cellStyle name="20% - Accent5 3 2 2 3 2 2" xfId="26400" xr:uid="{00000000-0005-0000-0000-000090360000}"/>
    <cellStyle name="20% - Accent5 3 2 2 3 3" xfId="18494" xr:uid="{00000000-0005-0000-0000-000091360000}"/>
    <cellStyle name="20% - Accent5 3 2 2 3 3 2" xfId="30186" xr:uid="{00000000-0005-0000-0000-000092360000}"/>
    <cellStyle name="20% - Accent5 3 2 2 3 4" xfId="22540" xr:uid="{00000000-0005-0000-0000-000093360000}"/>
    <cellStyle name="20% - Accent5 3 2 2 4" xfId="14541" xr:uid="{00000000-0005-0000-0000-000094360000}"/>
    <cellStyle name="20% - Accent5 3 2 2 4 2" xfId="26398" xr:uid="{00000000-0005-0000-0000-000095360000}"/>
    <cellStyle name="20% - Accent5 3 2 2 5" xfId="18492" xr:uid="{00000000-0005-0000-0000-000096360000}"/>
    <cellStyle name="20% - Accent5 3 2 2 5 2" xfId="30184" xr:uid="{00000000-0005-0000-0000-000097360000}"/>
    <cellStyle name="20% - Accent5 3 2 2 6" xfId="22538" xr:uid="{00000000-0005-0000-0000-000098360000}"/>
    <cellStyle name="20% - Accent5 3 2 3" xfId="3303" xr:uid="{00000000-0005-0000-0000-000099360000}"/>
    <cellStyle name="20% - Accent5 3 2 3 2" xfId="3304" xr:uid="{00000000-0005-0000-0000-00009A360000}"/>
    <cellStyle name="20% - Accent5 3 2 3 2 2" xfId="14545" xr:uid="{00000000-0005-0000-0000-00009B360000}"/>
    <cellStyle name="20% - Accent5 3 2 3 2 2 2" xfId="26402" xr:uid="{00000000-0005-0000-0000-00009C360000}"/>
    <cellStyle name="20% - Accent5 3 2 3 2 3" xfId="18496" xr:uid="{00000000-0005-0000-0000-00009D360000}"/>
    <cellStyle name="20% - Accent5 3 2 3 2 3 2" xfId="30188" xr:uid="{00000000-0005-0000-0000-00009E360000}"/>
    <cellStyle name="20% - Accent5 3 2 3 2 4" xfId="22542" xr:uid="{00000000-0005-0000-0000-00009F360000}"/>
    <cellStyle name="20% - Accent5 3 2 3 3" xfId="3305" xr:uid="{00000000-0005-0000-0000-0000A0360000}"/>
    <cellStyle name="20% - Accent5 3 2 3 3 2" xfId="14546" xr:uid="{00000000-0005-0000-0000-0000A1360000}"/>
    <cellStyle name="20% - Accent5 3 2 3 3 2 2" xfId="26403" xr:uid="{00000000-0005-0000-0000-0000A2360000}"/>
    <cellStyle name="20% - Accent5 3 2 3 3 3" xfId="18497" xr:uid="{00000000-0005-0000-0000-0000A3360000}"/>
    <cellStyle name="20% - Accent5 3 2 3 3 3 2" xfId="30189" xr:uid="{00000000-0005-0000-0000-0000A4360000}"/>
    <cellStyle name="20% - Accent5 3 2 3 3 4" xfId="22543" xr:uid="{00000000-0005-0000-0000-0000A5360000}"/>
    <cellStyle name="20% - Accent5 3 2 3 4" xfId="14544" xr:uid="{00000000-0005-0000-0000-0000A6360000}"/>
    <cellStyle name="20% - Accent5 3 2 3 4 2" xfId="26401" xr:uid="{00000000-0005-0000-0000-0000A7360000}"/>
    <cellStyle name="20% - Accent5 3 2 3 5" xfId="18495" xr:uid="{00000000-0005-0000-0000-0000A8360000}"/>
    <cellStyle name="20% - Accent5 3 2 3 5 2" xfId="30187" xr:uid="{00000000-0005-0000-0000-0000A9360000}"/>
    <cellStyle name="20% - Accent5 3 2 3 6" xfId="22541" xr:uid="{00000000-0005-0000-0000-0000AA360000}"/>
    <cellStyle name="20% - Accent5 3 2 4" xfId="3306" xr:uid="{00000000-0005-0000-0000-0000AB360000}"/>
    <cellStyle name="20% - Accent5 3 2 4 2" xfId="3307" xr:uid="{00000000-0005-0000-0000-0000AC360000}"/>
    <cellStyle name="20% - Accent5 3 2 4 2 2" xfId="14548" xr:uid="{00000000-0005-0000-0000-0000AD360000}"/>
    <cellStyle name="20% - Accent5 3 2 4 2 2 2" xfId="26405" xr:uid="{00000000-0005-0000-0000-0000AE360000}"/>
    <cellStyle name="20% - Accent5 3 2 4 2 3" xfId="18499" xr:uid="{00000000-0005-0000-0000-0000AF360000}"/>
    <cellStyle name="20% - Accent5 3 2 4 2 3 2" xfId="30191" xr:uid="{00000000-0005-0000-0000-0000B0360000}"/>
    <cellStyle name="20% - Accent5 3 2 4 2 4" xfId="22545" xr:uid="{00000000-0005-0000-0000-0000B1360000}"/>
    <cellStyle name="20% - Accent5 3 2 4 3" xfId="3308" xr:uid="{00000000-0005-0000-0000-0000B2360000}"/>
    <cellStyle name="20% - Accent5 3 2 4 3 2" xfId="14549" xr:uid="{00000000-0005-0000-0000-0000B3360000}"/>
    <cellStyle name="20% - Accent5 3 2 4 3 2 2" xfId="26406" xr:uid="{00000000-0005-0000-0000-0000B4360000}"/>
    <cellStyle name="20% - Accent5 3 2 4 3 3" xfId="18500" xr:uid="{00000000-0005-0000-0000-0000B5360000}"/>
    <cellStyle name="20% - Accent5 3 2 4 3 3 2" xfId="30192" xr:uid="{00000000-0005-0000-0000-0000B6360000}"/>
    <cellStyle name="20% - Accent5 3 2 4 3 4" xfId="22546" xr:uid="{00000000-0005-0000-0000-0000B7360000}"/>
    <cellStyle name="20% - Accent5 3 2 4 4" xfId="14547" xr:uid="{00000000-0005-0000-0000-0000B8360000}"/>
    <cellStyle name="20% - Accent5 3 2 4 4 2" xfId="26404" xr:uid="{00000000-0005-0000-0000-0000B9360000}"/>
    <cellStyle name="20% - Accent5 3 2 4 5" xfId="18498" xr:uid="{00000000-0005-0000-0000-0000BA360000}"/>
    <cellStyle name="20% - Accent5 3 2 4 5 2" xfId="30190" xr:uid="{00000000-0005-0000-0000-0000BB360000}"/>
    <cellStyle name="20% - Accent5 3 2 4 6" xfId="22544" xr:uid="{00000000-0005-0000-0000-0000BC360000}"/>
    <cellStyle name="20% - Accent5 3 2 5" xfId="3309" xr:uid="{00000000-0005-0000-0000-0000BD360000}"/>
    <cellStyle name="20% - Accent5 3 2 5 2" xfId="14550" xr:uid="{00000000-0005-0000-0000-0000BE360000}"/>
    <cellStyle name="20% - Accent5 3 2 5 2 2" xfId="26407" xr:uid="{00000000-0005-0000-0000-0000BF360000}"/>
    <cellStyle name="20% - Accent5 3 2 5 3" xfId="18501" xr:uid="{00000000-0005-0000-0000-0000C0360000}"/>
    <cellStyle name="20% - Accent5 3 2 5 3 2" xfId="30193" xr:uid="{00000000-0005-0000-0000-0000C1360000}"/>
    <cellStyle name="20% - Accent5 3 2 5 4" xfId="22547" xr:uid="{00000000-0005-0000-0000-0000C2360000}"/>
    <cellStyle name="20% - Accent5 3 2 6" xfId="3310" xr:uid="{00000000-0005-0000-0000-0000C3360000}"/>
    <cellStyle name="20% - Accent5 3 2 6 2" xfId="14551" xr:uid="{00000000-0005-0000-0000-0000C4360000}"/>
    <cellStyle name="20% - Accent5 3 2 6 2 2" xfId="26408" xr:uid="{00000000-0005-0000-0000-0000C5360000}"/>
    <cellStyle name="20% - Accent5 3 2 6 3" xfId="18502" xr:uid="{00000000-0005-0000-0000-0000C6360000}"/>
    <cellStyle name="20% - Accent5 3 2 6 3 2" xfId="30194" xr:uid="{00000000-0005-0000-0000-0000C7360000}"/>
    <cellStyle name="20% - Accent5 3 2 6 4" xfId="22548" xr:uid="{00000000-0005-0000-0000-0000C8360000}"/>
    <cellStyle name="20% - Accent5 3 2 7" xfId="14540" xr:uid="{00000000-0005-0000-0000-0000C9360000}"/>
    <cellStyle name="20% - Accent5 3 2 7 2" xfId="26397" xr:uid="{00000000-0005-0000-0000-0000CA360000}"/>
    <cellStyle name="20% - Accent5 3 2 8" xfId="18491" xr:uid="{00000000-0005-0000-0000-0000CB360000}"/>
    <cellStyle name="20% - Accent5 3 2 8 2" xfId="30183" xr:uid="{00000000-0005-0000-0000-0000CC360000}"/>
    <cellStyle name="20% - Accent5 3 2 9" xfId="22537" xr:uid="{00000000-0005-0000-0000-0000CD360000}"/>
    <cellStyle name="20% - Accent5 3 2_Volatility" xfId="3311" xr:uid="{00000000-0005-0000-0000-0000CE360000}"/>
    <cellStyle name="20% - Accent5 3 3" xfId="3312" xr:uid="{00000000-0005-0000-0000-0000CF360000}"/>
    <cellStyle name="20% - Accent5 3 3 2" xfId="3313" xr:uid="{00000000-0005-0000-0000-0000D0360000}"/>
    <cellStyle name="20% - Accent5 3 3 2 2" xfId="3314" xr:uid="{00000000-0005-0000-0000-0000D1360000}"/>
    <cellStyle name="20% - Accent5 3 3 2 2 2" xfId="14554" xr:uid="{00000000-0005-0000-0000-0000D2360000}"/>
    <cellStyle name="20% - Accent5 3 3 2 2 2 2" xfId="26411" xr:uid="{00000000-0005-0000-0000-0000D3360000}"/>
    <cellStyle name="20% - Accent5 3 3 2 2 3" xfId="18505" xr:uid="{00000000-0005-0000-0000-0000D4360000}"/>
    <cellStyle name="20% - Accent5 3 3 2 2 3 2" xfId="30197" xr:uid="{00000000-0005-0000-0000-0000D5360000}"/>
    <cellStyle name="20% - Accent5 3 3 2 2 4" xfId="22551" xr:uid="{00000000-0005-0000-0000-0000D6360000}"/>
    <cellStyle name="20% - Accent5 3 3 2 3" xfId="3315" xr:uid="{00000000-0005-0000-0000-0000D7360000}"/>
    <cellStyle name="20% - Accent5 3 3 2 3 2" xfId="14555" xr:uid="{00000000-0005-0000-0000-0000D8360000}"/>
    <cellStyle name="20% - Accent5 3 3 2 3 2 2" xfId="26412" xr:uid="{00000000-0005-0000-0000-0000D9360000}"/>
    <cellStyle name="20% - Accent5 3 3 2 3 3" xfId="18506" xr:uid="{00000000-0005-0000-0000-0000DA360000}"/>
    <cellStyle name="20% - Accent5 3 3 2 3 3 2" xfId="30198" xr:uid="{00000000-0005-0000-0000-0000DB360000}"/>
    <cellStyle name="20% - Accent5 3 3 2 3 4" xfId="22552" xr:uid="{00000000-0005-0000-0000-0000DC360000}"/>
    <cellStyle name="20% - Accent5 3 3 2 4" xfId="14553" xr:uid="{00000000-0005-0000-0000-0000DD360000}"/>
    <cellStyle name="20% - Accent5 3 3 2 4 2" xfId="26410" xr:uid="{00000000-0005-0000-0000-0000DE360000}"/>
    <cellStyle name="20% - Accent5 3 3 2 5" xfId="18504" xr:uid="{00000000-0005-0000-0000-0000DF360000}"/>
    <cellStyle name="20% - Accent5 3 3 2 5 2" xfId="30196" xr:uid="{00000000-0005-0000-0000-0000E0360000}"/>
    <cellStyle name="20% - Accent5 3 3 2 6" xfId="22550" xr:uid="{00000000-0005-0000-0000-0000E1360000}"/>
    <cellStyle name="20% - Accent5 3 3 3" xfId="3316" xr:uid="{00000000-0005-0000-0000-0000E2360000}"/>
    <cellStyle name="20% - Accent5 3 3 3 2" xfId="3317" xr:uid="{00000000-0005-0000-0000-0000E3360000}"/>
    <cellStyle name="20% - Accent5 3 3 3 2 2" xfId="14557" xr:uid="{00000000-0005-0000-0000-0000E4360000}"/>
    <cellStyle name="20% - Accent5 3 3 3 2 2 2" xfId="26414" xr:uid="{00000000-0005-0000-0000-0000E5360000}"/>
    <cellStyle name="20% - Accent5 3 3 3 2 3" xfId="18508" xr:uid="{00000000-0005-0000-0000-0000E6360000}"/>
    <cellStyle name="20% - Accent5 3 3 3 2 3 2" xfId="30200" xr:uid="{00000000-0005-0000-0000-0000E7360000}"/>
    <cellStyle name="20% - Accent5 3 3 3 2 4" xfId="22554" xr:uid="{00000000-0005-0000-0000-0000E8360000}"/>
    <cellStyle name="20% - Accent5 3 3 3 3" xfId="3318" xr:uid="{00000000-0005-0000-0000-0000E9360000}"/>
    <cellStyle name="20% - Accent5 3 3 3 3 2" xfId="14558" xr:uid="{00000000-0005-0000-0000-0000EA360000}"/>
    <cellStyle name="20% - Accent5 3 3 3 3 2 2" xfId="26415" xr:uid="{00000000-0005-0000-0000-0000EB360000}"/>
    <cellStyle name="20% - Accent5 3 3 3 3 3" xfId="18509" xr:uid="{00000000-0005-0000-0000-0000EC360000}"/>
    <cellStyle name="20% - Accent5 3 3 3 3 3 2" xfId="30201" xr:uid="{00000000-0005-0000-0000-0000ED360000}"/>
    <cellStyle name="20% - Accent5 3 3 3 3 4" xfId="22555" xr:uid="{00000000-0005-0000-0000-0000EE360000}"/>
    <cellStyle name="20% - Accent5 3 3 3 4" xfId="14556" xr:uid="{00000000-0005-0000-0000-0000EF360000}"/>
    <cellStyle name="20% - Accent5 3 3 3 4 2" xfId="26413" xr:uid="{00000000-0005-0000-0000-0000F0360000}"/>
    <cellStyle name="20% - Accent5 3 3 3 5" xfId="18507" xr:uid="{00000000-0005-0000-0000-0000F1360000}"/>
    <cellStyle name="20% - Accent5 3 3 3 5 2" xfId="30199" xr:uid="{00000000-0005-0000-0000-0000F2360000}"/>
    <cellStyle name="20% - Accent5 3 3 3 6" xfId="22553" xr:uid="{00000000-0005-0000-0000-0000F3360000}"/>
    <cellStyle name="20% - Accent5 3 3 4" xfId="3319" xr:uid="{00000000-0005-0000-0000-0000F4360000}"/>
    <cellStyle name="20% - Accent5 3 3 4 2" xfId="14559" xr:uid="{00000000-0005-0000-0000-0000F5360000}"/>
    <cellStyle name="20% - Accent5 3 3 4 2 2" xfId="26416" xr:uid="{00000000-0005-0000-0000-0000F6360000}"/>
    <cellStyle name="20% - Accent5 3 3 4 3" xfId="18510" xr:uid="{00000000-0005-0000-0000-0000F7360000}"/>
    <cellStyle name="20% - Accent5 3 3 4 3 2" xfId="30202" xr:uid="{00000000-0005-0000-0000-0000F8360000}"/>
    <cellStyle name="20% - Accent5 3 3 4 4" xfId="22556" xr:uid="{00000000-0005-0000-0000-0000F9360000}"/>
    <cellStyle name="20% - Accent5 3 3 5" xfId="3320" xr:uid="{00000000-0005-0000-0000-0000FA360000}"/>
    <cellStyle name="20% - Accent5 3 3 5 2" xfId="14560" xr:uid="{00000000-0005-0000-0000-0000FB360000}"/>
    <cellStyle name="20% - Accent5 3 3 5 2 2" xfId="26417" xr:uid="{00000000-0005-0000-0000-0000FC360000}"/>
    <cellStyle name="20% - Accent5 3 3 5 3" xfId="18511" xr:uid="{00000000-0005-0000-0000-0000FD360000}"/>
    <cellStyle name="20% - Accent5 3 3 5 3 2" xfId="30203" xr:uid="{00000000-0005-0000-0000-0000FE360000}"/>
    <cellStyle name="20% - Accent5 3 3 5 4" xfId="22557" xr:uid="{00000000-0005-0000-0000-0000FF360000}"/>
    <cellStyle name="20% - Accent5 3 3 6" xfId="14552" xr:uid="{00000000-0005-0000-0000-000000370000}"/>
    <cellStyle name="20% - Accent5 3 3 6 2" xfId="26409" xr:uid="{00000000-0005-0000-0000-000001370000}"/>
    <cellStyle name="20% - Accent5 3 3 7" xfId="18503" xr:uid="{00000000-0005-0000-0000-000002370000}"/>
    <cellStyle name="20% - Accent5 3 3 7 2" xfId="30195" xr:uid="{00000000-0005-0000-0000-000003370000}"/>
    <cellStyle name="20% - Accent5 3 3 8" xfId="22549" xr:uid="{00000000-0005-0000-0000-000004370000}"/>
    <cellStyle name="20% - Accent5 3 3_Volatility" xfId="3321" xr:uid="{00000000-0005-0000-0000-000005370000}"/>
    <cellStyle name="20% - Accent5 3 4" xfId="3322" xr:uid="{00000000-0005-0000-0000-000006370000}"/>
    <cellStyle name="20% - Accent5 3 4 2" xfId="3323" xr:uid="{00000000-0005-0000-0000-000007370000}"/>
    <cellStyle name="20% - Accent5 3 4 2 2" xfId="14562" xr:uid="{00000000-0005-0000-0000-000008370000}"/>
    <cellStyle name="20% - Accent5 3 4 2 2 2" xfId="26419" xr:uid="{00000000-0005-0000-0000-000009370000}"/>
    <cellStyle name="20% - Accent5 3 4 2 3" xfId="18513" xr:uid="{00000000-0005-0000-0000-00000A370000}"/>
    <cellStyle name="20% - Accent5 3 4 2 3 2" xfId="30205" xr:uid="{00000000-0005-0000-0000-00000B370000}"/>
    <cellStyle name="20% - Accent5 3 4 2 4" xfId="22559" xr:uid="{00000000-0005-0000-0000-00000C370000}"/>
    <cellStyle name="20% - Accent5 3 4 3" xfId="3324" xr:uid="{00000000-0005-0000-0000-00000D370000}"/>
    <cellStyle name="20% - Accent5 3 4 3 2" xfId="14563" xr:uid="{00000000-0005-0000-0000-00000E370000}"/>
    <cellStyle name="20% - Accent5 3 4 3 2 2" xfId="26420" xr:uid="{00000000-0005-0000-0000-00000F370000}"/>
    <cellStyle name="20% - Accent5 3 4 3 3" xfId="18514" xr:uid="{00000000-0005-0000-0000-000010370000}"/>
    <cellStyle name="20% - Accent5 3 4 3 3 2" xfId="30206" xr:uid="{00000000-0005-0000-0000-000011370000}"/>
    <cellStyle name="20% - Accent5 3 4 3 4" xfId="22560" xr:uid="{00000000-0005-0000-0000-000012370000}"/>
    <cellStyle name="20% - Accent5 3 4 4" xfId="14561" xr:uid="{00000000-0005-0000-0000-000013370000}"/>
    <cellStyle name="20% - Accent5 3 4 4 2" xfId="26418" xr:uid="{00000000-0005-0000-0000-000014370000}"/>
    <cellStyle name="20% - Accent5 3 4 5" xfId="18512" xr:uid="{00000000-0005-0000-0000-000015370000}"/>
    <cellStyle name="20% - Accent5 3 4 5 2" xfId="30204" xr:uid="{00000000-0005-0000-0000-000016370000}"/>
    <cellStyle name="20% - Accent5 3 4 6" xfId="22558" xr:uid="{00000000-0005-0000-0000-000017370000}"/>
    <cellStyle name="20% - Accent5 3 5" xfId="3325" xr:uid="{00000000-0005-0000-0000-000018370000}"/>
    <cellStyle name="20% - Accent5 3 5 2" xfId="3326" xr:uid="{00000000-0005-0000-0000-000019370000}"/>
    <cellStyle name="20% - Accent5 3 5 2 2" xfId="14565" xr:uid="{00000000-0005-0000-0000-00001A370000}"/>
    <cellStyle name="20% - Accent5 3 5 2 2 2" xfId="26422" xr:uid="{00000000-0005-0000-0000-00001B370000}"/>
    <cellStyle name="20% - Accent5 3 5 2 3" xfId="18516" xr:uid="{00000000-0005-0000-0000-00001C370000}"/>
    <cellStyle name="20% - Accent5 3 5 2 3 2" xfId="30208" xr:uid="{00000000-0005-0000-0000-00001D370000}"/>
    <cellStyle name="20% - Accent5 3 5 2 4" xfId="22562" xr:uid="{00000000-0005-0000-0000-00001E370000}"/>
    <cellStyle name="20% - Accent5 3 5 3" xfId="3327" xr:uid="{00000000-0005-0000-0000-00001F370000}"/>
    <cellStyle name="20% - Accent5 3 5 3 2" xfId="14566" xr:uid="{00000000-0005-0000-0000-000020370000}"/>
    <cellStyle name="20% - Accent5 3 5 3 2 2" xfId="26423" xr:uid="{00000000-0005-0000-0000-000021370000}"/>
    <cellStyle name="20% - Accent5 3 5 3 3" xfId="18517" xr:uid="{00000000-0005-0000-0000-000022370000}"/>
    <cellStyle name="20% - Accent5 3 5 3 3 2" xfId="30209" xr:uid="{00000000-0005-0000-0000-000023370000}"/>
    <cellStyle name="20% - Accent5 3 5 3 4" xfId="22563" xr:uid="{00000000-0005-0000-0000-000024370000}"/>
    <cellStyle name="20% - Accent5 3 5 4" xfId="14564" xr:uid="{00000000-0005-0000-0000-000025370000}"/>
    <cellStyle name="20% - Accent5 3 5 4 2" xfId="26421" xr:uid="{00000000-0005-0000-0000-000026370000}"/>
    <cellStyle name="20% - Accent5 3 5 5" xfId="18515" xr:uid="{00000000-0005-0000-0000-000027370000}"/>
    <cellStyle name="20% - Accent5 3 5 5 2" xfId="30207" xr:uid="{00000000-0005-0000-0000-000028370000}"/>
    <cellStyle name="20% - Accent5 3 5 6" xfId="22561" xr:uid="{00000000-0005-0000-0000-000029370000}"/>
    <cellStyle name="20% - Accent5 3 6" xfId="3328" xr:uid="{00000000-0005-0000-0000-00002A370000}"/>
    <cellStyle name="20% - Accent5 3 6 2" xfId="3329" xr:uid="{00000000-0005-0000-0000-00002B370000}"/>
    <cellStyle name="20% - Accent5 3 6 2 2" xfId="14568" xr:uid="{00000000-0005-0000-0000-00002C370000}"/>
    <cellStyle name="20% - Accent5 3 6 2 2 2" xfId="26425" xr:uid="{00000000-0005-0000-0000-00002D370000}"/>
    <cellStyle name="20% - Accent5 3 6 2 3" xfId="18519" xr:uid="{00000000-0005-0000-0000-00002E370000}"/>
    <cellStyle name="20% - Accent5 3 6 2 3 2" xfId="30211" xr:uid="{00000000-0005-0000-0000-00002F370000}"/>
    <cellStyle name="20% - Accent5 3 6 2 4" xfId="22565" xr:uid="{00000000-0005-0000-0000-000030370000}"/>
    <cellStyle name="20% - Accent5 3 6 3" xfId="3330" xr:uid="{00000000-0005-0000-0000-000031370000}"/>
    <cellStyle name="20% - Accent5 3 6 3 2" xfId="14569" xr:uid="{00000000-0005-0000-0000-000032370000}"/>
    <cellStyle name="20% - Accent5 3 6 3 2 2" xfId="26426" xr:uid="{00000000-0005-0000-0000-000033370000}"/>
    <cellStyle name="20% - Accent5 3 6 3 3" xfId="18520" xr:uid="{00000000-0005-0000-0000-000034370000}"/>
    <cellStyle name="20% - Accent5 3 6 3 3 2" xfId="30212" xr:uid="{00000000-0005-0000-0000-000035370000}"/>
    <cellStyle name="20% - Accent5 3 6 3 4" xfId="22566" xr:uid="{00000000-0005-0000-0000-000036370000}"/>
    <cellStyle name="20% - Accent5 3 6 4" xfId="14567" xr:uid="{00000000-0005-0000-0000-000037370000}"/>
    <cellStyle name="20% - Accent5 3 6 4 2" xfId="26424" xr:uid="{00000000-0005-0000-0000-000038370000}"/>
    <cellStyle name="20% - Accent5 3 6 5" xfId="18518" xr:uid="{00000000-0005-0000-0000-000039370000}"/>
    <cellStyle name="20% - Accent5 3 6 5 2" xfId="30210" xr:uid="{00000000-0005-0000-0000-00003A370000}"/>
    <cellStyle name="20% - Accent5 3 6 6" xfId="22564" xr:uid="{00000000-0005-0000-0000-00003B370000}"/>
    <cellStyle name="20% - Accent5 3 7" xfId="3331" xr:uid="{00000000-0005-0000-0000-00003C370000}"/>
    <cellStyle name="20% - Accent5 3 7 2" xfId="14570" xr:uid="{00000000-0005-0000-0000-00003D370000}"/>
    <cellStyle name="20% - Accent5 3 7 2 2" xfId="26427" xr:uid="{00000000-0005-0000-0000-00003E370000}"/>
    <cellStyle name="20% - Accent5 3 7 3" xfId="18521" xr:uid="{00000000-0005-0000-0000-00003F370000}"/>
    <cellStyle name="20% - Accent5 3 7 3 2" xfId="30213" xr:uid="{00000000-0005-0000-0000-000040370000}"/>
    <cellStyle name="20% - Accent5 3 7 4" xfId="22567" xr:uid="{00000000-0005-0000-0000-000041370000}"/>
    <cellStyle name="20% - Accent5 3 8" xfId="3332" xr:uid="{00000000-0005-0000-0000-000042370000}"/>
    <cellStyle name="20% - Accent5 3 8 2" xfId="14571" xr:uid="{00000000-0005-0000-0000-000043370000}"/>
    <cellStyle name="20% - Accent5 3 8 2 2" xfId="26428" xr:uid="{00000000-0005-0000-0000-000044370000}"/>
    <cellStyle name="20% - Accent5 3 8 3" xfId="18522" xr:uid="{00000000-0005-0000-0000-000045370000}"/>
    <cellStyle name="20% - Accent5 3 8 3 2" xfId="30214" xr:uid="{00000000-0005-0000-0000-000046370000}"/>
    <cellStyle name="20% - Accent5 3 8 4" xfId="22568" xr:uid="{00000000-0005-0000-0000-000047370000}"/>
    <cellStyle name="20% - Accent5 3 9" xfId="14539" xr:uid="{00000000-0005-0000-0000-000048370000}"/>
    <cellStyle name="20% - Accent5 3 9 2" xfId="26396" xr:uid="{00000000-0005-0000-0000-000049370000}"/>
    <cellStyle name="20% - Accent5 3_Volatility" xfId="3333" xr:uid="{00000000-0005-0000-0000-00004A370000}"/>
    <cellStyle name="20% - Accent5 4" xfId="3334" xr:uid="{00000000-0005-0000-0000-00004B370000}"/>
    <cellStyle name="20% - Accent5 4 10" xfId="18523" xr:uid="{00000000-0005-0000-0000-00004C370000}"/>
    <cellStyle name="20% - Accent5 4 10 2" xfId="30215" xr:uid="{00000000-0005-0000-0000-00004D370000}"/>
    <cellStyle name="20% - Accent5 4 11" xfId="22569" xr:uid="{00000000-0005-0000-0000-00004E370000}"/>
    <cellStyle name="20% - Accent5 4 2" xfId="3335" xr:uid="{00000000-0005-0000-0000-00004F370000}"/>
    <cellStyle name="20% - Accent5 4 2 2" xfId="3336" xr:uid="{00000000-0005-0000-0000-000050370000}"/>
    <cellStyle name="20% - Accent5 4 2 2 2" xfId="3337" xr:uid="{00000000-0005-0000-0000-000051370000}"/>
    <cellStyle name="20% - Accent5 4 2 2 2 2" xfId="14575" xr:uid="{00000000-0005-0000-0000-000052370000}"/>
    <cellStyle name="20% - Accent5 4 2 2 2 2 2" xfId="26432" xr:uid="{00000000-0005-0000-0000-000053370000}"/>
    <cellStyle name="20% - Accent5 4 2 2 2 3" xfId="18526" xr:uid="{00000000-0005-0000-0000-000054370000}"/>
    <cellStyle name="20% - Accent5 4 2 2 2 3 2" xfId="30218" xr:uid="{00000000-0005-0000-0000-000055370000}"/>
    <cellStyle name="20% - Accent5 4 2 2 2 4" xfId="22572" xr:uid="{00000000-0005-0000-0000-000056370000}"/>
    <cellStyle name="20% - Accent5 4 2 2 3" xfId="3338" xr:uid="{00000000-0005-0000-0000-000057370000}"/>
    <cellStyle name="20% - Accent5 4 2 2 3 2" xfId="14576" xr:uid="{00000000-0005-0000-0000-000058370000}"/>
    <cellStyle name="20% - Accent5 4 2 2 3 2 2" xfId="26433" xr:uid="{00000000-0005-0000-0000-000059370000}"/>
    <cellStyle name="20% - Accent5 4 2 2 3 3" xfId="18527" xr:uid="{00000000-0005-0000-0000-00005A370000}"/>
    <cellStyle name="20% - Accent5 4 2 2 3 3 2" xfId="30219" xr:uid="{00000000-0005-0000-0000-00005B370000}"/>
    <cellStyle name="20% - Accent5 4 2 2 3 4" xfId="22573" xr:uid="{00000000-0005-0000-0000-00005C370000}"/>
    <cellStyle name="20% - Accent5 4 2 2 4" xfId="14574" xr:uid="{00000000-0005-0000-0000-00005D370000}"/>
    <cellStyle name="20% - Accent5 4 2 2 4 2" xfId="26431" xr:uid="{00000000-0005-0000-0000-00005E370000}"/>
    <cellStyle name="20% - Accent5 4 2 2 5" xfId="18525" xr:uid="{00000000-0005-0000-0000-00005F370000}"/>
    <cellStyle name="20% - Accent5 4 2 2 5 2" xfId="30217" xr:uid="{00000000-0005-0000-0000-000060370000}"/>
    <cellStyle name="20% - Accent5 4 2 2 6" xfId="22571" xr:uid="{00000000-0005-0000-0000-000061370000}"/>
    <cellStyle name="20% - Accent5 4 2 3" xfId="3339" xr:uid="{00000000-0005-0000-0000-000062370000}"/>
    <cellStyle name="20% - Accent5 4 2 3 2" xfId="3340" xr:uid="{00000000-0005-0000-0000-000063370000}"/>
    <cellStyle name="20% - Accent5 4 2 3 2 2" xfId="14578" xr:uid="{00000000-0005-0000-0000-000064370000}"/>
    <cellStyle name="20% - Accent5 4 2 3 2 2 2" xfId="26435" xr:uid="{00000000-0005-0000-0000-000065370000}"/>
    <cellStyle name="20% - Accent5 4 2 3 2 3" xfId="18529" xr:uid="{00000000-0005-0000-0000-000066370000}"/>
    <cellStyle name="20% - Accent5 4 2 3 2 3 2" xfId="30221" xr:uid="{00000000-0005-0000-0000-000067370000}"/>
    <cellStyle name="20% - Accent5 4 2 3 2 4" xfId="22575" xr:uid="{00000000-0005-0000-0000-000068370000}"/>
    <cellStyle name="20% - Accent5 4 2 3 3" xfId="3341" xr:uid="{00000000-0005-0000-0000-000069370000}"/>
    <cellStyle name="20% - Accent5 4 2 3 3 2" xfId="14579" xr:uid="{00000000-0005-0000-0000-00006A370000}"/>
    <cellStyle name="20% - Accent5 4 2 3 3 2 2" xfId="26436" xr:uid="{00000000-0005-0000-0000-00006B370000}"/>
    <cellStyle name="20% - Accent5 4 2 3 3 3" xfId="18530" xr:uid="{00000000-0005-0000-0000-00006C370000}"/>
    <cellStyle name="20% - Accent5 4 2 3 3 3 2" xfId="30222" xr:uid="{00000000-0005-0000-0000-00006D370000}"/>
    <cellStyle name="20% - Accent5 4 2 3 3 4" xfId="22576" xr:uid="{00000000-0005-0000-0000-00006E370000}"/>
    <cellStyle name="20% - Accent5 4 2 3 4" xfId="14577" xr:uid="{00000000-0005-0000-0000-00006F370000}"/>
    <cellStyle name="20% - Accent5 4 2 3 4 2" xfId="26434" xr:uid="{00000000-0005-0000-0000-000070370000}"/>
    <cellStyle name="20% - Accent5 4 2 3 5" xfId="18528" xr:uid="{00000000-0005-0000-0000-000071370000}"/>
    <cellStyle name="20% - Accent5 4 2 3 5 2" xfId="30220" xr:uid="{00000000-0005-0000-0000-000072370000}"/>
    <cellStyle name="20% - Accent5 4 2 3 6" xfId="22574" xr:uid="{00000000-0005-0000-0000-000073370000}"/>
    <cellStyle name="20% - Accent5 4 2 4" xfId="3342" xr:uid="{00000000-0005-0000-0000-000074370000}"/>
    <cellStyle name="20% - Accent5 4 2 4 2" xfId="3343" xr:uid="{00000000-0005-0000-0000-000075370000}"/>
    <cellStyle name="20% - Accent5 4 2 4 2 2" xfId="14581" xr:uid="{00000000-0005-0000-0000-000076370000}"/>
    <cellStyle name="20% - Accent5 4 2 4 2 2 2" xfId="26438" xr:uid="{00000000-0005-0000-0000-000077370000}"/>
    <cellStyle name="20% - Accent5 4 2 4 2 3" xfId="18532" xr:uid="{00000000-0005-0000-0000-000078370000}"/>
    <cellStyle name="20% - Accent5 4 2 4 2 3 2" xfId="30224" xr:uid="{00000000-0005-0000-0000-000079370000}"/>
    <cellStyle name="20% - Accent5 4 2 4 2 4" xfId="22578" xr:uid="{00000000-0005-0000-0000-00007A370000}"/>
    <cellStyle name="20% - Accent5 4 2 4 3" xfId="3344" xr:uid="{00000000-0005-0000-0000-00007B370000}"/>
    <cellStyle name="20% - Accent5 4 2 4 3 2" xfId="14582" xr:uid="{00000000-0005-0000-0000-00007C370000}"/>
    <cellStyle name="20% - Accent5 4 2 4 3 2 2" xfId="26439" xr:uid="{00000000-0005-0000-0000-00007D370000}"/>
    <cellStyle name="20% - Accent5 4 2 4 3 3" xfId="18533" xr:uid="{00000000-0005-0000-0000-00007E370000}"/>
    <cellStyle name="20% - Accent5 4 2 4 3 3 2" xfId="30225" xr:uid="{00000000-0005-0000-0000-00007F370000}"/>
    <cellStyle name="20% - Accent5 4 2 4 3 4" xfId="22579" xr:uid="{00000000-0005-0000-0000-000080370000}"/>
    <cellStyle name="20% - Accent5 4 2 4 4" xfId="14580" xr:uid="{00000000-0005-0000-0000-000081370000}"/>
    <cellStyle name="20% - Accent5 4 2 4 4 2" xfId="26437" xr:uid="{00000000-0005-0000-0000-000082370000}"/>
    <cellStyle name="20% - Accent5 4 2 4 5" xfId="18531" xr:uid="{00000000-0005-0000-0000-000083370000}"/>
    <cellStyle name="20% - Accent5 4 2 4 5 2" xfId="30223" xr:uid="{00000000-0005-0000-0000-000084370000}"/>
    <cellStyle name="20% - Accent5 4 2 4 6" xfId="22577" xr:uid="{00000000-0005-0000-0000-000085370000}"/>
    <cellStyle name="20% - Accent5 4 2 5" xfId="3345" xr:uid="{00000000-0005-0000-0000-000086370000}"/>
    <cellStyle name="20% - Accent5 4 2 5 2" xfId="14583" xr:uid="{00000000-0005-0000-0000-000087370000}"/>
    <cellStyle name="20% - Accent5 4 2 5 2 2" xfId="26440" xr:uid="{00000000-0005-0000-0000-000088370000}"/>
    <cellStyle name="20% - Accent5 4 2 5 3" xfId="18534" xr:uid="{00000000-0005-0000-0000-000089370000}"/>
    <cellStyle name="20% - Accent5 4 2 5 3 2" xfId="30226" xr:uid="{00000000-0005-0000-0000-00008A370000}"/>
    <cellStyle name="20% - Accent5 4 2 5 4" xfId="22580" xr:uid="{00000000-0005-0000-0000-00008B370000}"/>
    <cellStyle name="20% - Accent5 4 2 6" xfId="3346" xr:uid="{00000000-0005-0000-0000-00008C370000}"/>
    <cellStyle name="20% - Accent5 4 2 6 2" xfId="14584" xr:uid="{00000000-0005-0000-0000-00008D370000}"/>
    <cellStyle name="20% - Accent5 4 2 6 2 2" xfId="26441" xr:uid="{00000000-0005-0000-0000-00008E370000}"/>
    <cellStyle name="20% - Accent5 4 2 6 3" xfId="18535" xr:uid="{00000000-0005-0000-0000-00008F370000}"/>
    <cellStyle name="20% - Accent5 4 2 6 3 2" xfId="30227" xr:uid="{00000000-0005-0000-0000-000090370000}"/>
    <cellStyle name="20% - Accent5 4 2 6 4" xfId="22581" xr:uid="{00000000-0005-0000-0000-000091370000}"/>
    <cellStyle name="20% - Accent5 4 2 7" xfId="14573" xr:uid="{00000000-0005-0000-0000-000092370000}"/>
    <cellStyle name="20% - Accent5 4 2 7 2" xfId="26430" xr:uid="{00000000-0005-0000-0000-000093370000}"/>
    <cellStyle name="20% - Accent5 4 2 8" xfId="18524" xr:uid="{00000000-0005-0000-0000-000094370000}"/>
    <cellStyle name="20% - Accent5 4 2 8 2" xfId="30216" xr:uid="{00000000-0005-0000-0000-000095370000}"/>
    <cellStyle name="20% - Accent5 4 2 9" xfId="22570" xr:uid="{00000000-0005-0000-0000-000096370000}"/>
    <cellStyle name="20% - Accent5 4 2_Volatility" xfId="3347" xr:uid="{00000000-0005-0000-0000-000097370000}"/>
    <cellStyle name="20% - Accent5 4 3" xfId="3348" xr:uid="{00000000-0005-0000-0000-000098370000}"/>
    <cellStyle name="20% - Accent5 4 3 2" xfId="3349" xr:uid="{00000000-0005-0000-0000-000099370000}"/>
    <cellStyle name="20% - Accent5 4 3 2 2" xfId="3350" xr:uid="{00000000-0005-0000-0000-00009A370000}"/>
    <cellStyle name="20% - Accent5 4 3 2 2 2" xfId="14587" xr:uid="{00000000-0005-0000-0000-00009B370000}"/>
    <cellStyle name="20% - Accent5 4 3 2 2 2 2" xfId="26444" xr:uid="{00000000-0005-0000-0000-00009C370000}"/>
    <cellStyle name="20% - Accent5 4 3 2 2 3" xfId="18538" xr:uid="{00000000-0005-0000-0000-00009D370000}"/>
    <cellStyle name="20% - Accent5 4 3 2 2 3 2" xfId="30230" xr:uid="{00000000-0005-0000-0000-00009E370000}"/>
    <cellStyle name="20% - Accent5 4 3 2 2 4" xfId="22584" xr:uid="{00000000-0005-0000-0000-00009F370000}"/>
    <cellStyle name="20% - Accent5 4 3 2 3" xfId="3351" xr:uid="{00000000-0005-0000-0000-0000A0370000}"/>
    <cellStyle name="20% - Accent5 4 3 2 3 2" xfId="14588" xr:uid="{00000000-0005-0000-0000-0000A1370000}"/>
    <cellStyle name="20% - Accent5 4 3 2 3 2 2" xfId="26445" xr:uid="{00000000-0005-0000-0000-0000A2370000}"/>
    <cellStyle name="20% - Accent5 4 3 2 3 3" xfId="18539" xr:uid="{00000000-0005-0000-0000-0000A3370000}"/>
    <cellStyle name="20% - Accent5 4 3 2 3 3 2" xfId="30231" xr:uid="{00000000-0005-0000-0000-0000A4370000}"/>
    <cellStyle name="20% - Accent5 4 3 2 3 4" xfId="22585" xr:uid="{00000000-0005-0000-0000-0000A5370000}"/>
    <cellStyle name="20% - Accent5 4 3 2 4" xfId="14586" xr:uid="{00000000-0005-0000-0000-0000A6370000}"/>
    <cellStyle name="20% - Accent5 4 3 2 4 2" xfId="26443" xr:uid="{00000000-0005-0000-0000-0000A7370000}"/>
    <cellStyle name="20% - Accent5 4 3 2 5" xfId="18537" xr:uid="{00000000-0005-0000-0000-0000A8370000}"/>
    <cellStyle name="20% - Accent5 4 3 2 5 2" xfId="30229" xr:uid="{00000000-0005-0000-0000-0000A9370000}"/>
    <cellStyle name="20% - Accent5 4 3 2 6" xfId="22583" xr:uid="{00000000-0005-0000-0000-0000AA370000}"/>
    <cellStyle name="20% - Accent5 4 3 3" xfId="3352" xr:uid="{00000000-0005-0000-0000-0000AB370000}"/>
    <cellStyle name="20% - Accent5 4 3 3 2" xfId="3353" xr:uid="{00000000-0005-0000-0000-0000AC370000}"/>
    <cellStyle name="20% - Accent5 4 3 3 2 2" xfId="14590" xr:uid="{00000000-0005-0000-0000-0000AD370000}"/>
    <cellStyle name="20% - Accent5 4 3 3 2 2 2" xfId="26447" xr:uid="{00000000-0005-0000-0000-0000AE370000}"/>
    <cellStyle name="20% - Accent5 4 3 3 2 3" xfId="18541" xr:uid="{00000000-0005-0000-0000-0000AF370000}"/>
    <cellStyle name="20% - Accent5 4 3 3 2 3 2" xfId="30233" xr:uid="{00000000-0005-0000-0000-0000B0370000}"/>
    <cellStyle name="20% - Accent5 4 3 3 2 4" xfId="22587" xr:uid="{00000000-0005-0000-0000-0000B1370000}"/>
    <cellStyle name="20% - Accent5 4 3 3 3" xfId="3354" xr:uid="{00000000-0005-0000-0000-0000B2370000}"/>
    <cellStyle name="20% - Accent5 4 3 3 3 2" xfId="14591" xr:uid="{00000000-0005-0000-0000-0000B3370000}"/>
    <cellStyle name="20% - Accent5 4 3 3 3 2 2" xfId="26448" xr:uid="{00000000-0005-0000-0000-0000B4370000}"/>
    <cellStyle name="20% - Accent5 4 3 3 3 3" xfId="18542" xr:uid="{00000000-0005-0000-0000-0000B5370000}"/>
    <cellStyle name="20% - Accent5 4 3 3 3 3 2" xfId="30234" xr:uid="{00000000-0005-0000-0000-0000B6370000}"/>
    <cellStyle name="20% - Accent5 4 3 3 3 4" xfId="22588" xr:uid="{00000000-0005-0000-0000-0000B7370000}"/>
    <cellStyle name="20% - Accent5 4 3 3 4" xfId="14589" xr:uid="{00000000-0005-0000-0000-0000B8370000}"/>
    <cellStyle name="20% - Accent5 4 3 3 4 2" xfId="26446" xr:uid="{00000000-0005-0000-0000-0000B9370000}"/>
    <cellStyle name="20% - Accent5 4 3 3 5" xfId="18540" xr:uid="{00000000-0005-0000-0000-0000BA370000}"/>
    <cellStyle name="20% - Accent5 4 3 3 5 2" xfId="30232" xr:uid="{00000000-0005-0000-0000-0000BB370000}"/>
    <cellStyle name="20% - Accent5 4 3 3 6" xfId="22586" xr:uid="{00000000-0005-0000-0000-0000BC370000}"/>
    <cellStyle name="20% - Accent5 4 3 4" xfId="3355" xr:uid="{00000000-0005-0000-0000-0000BD370000}"/>
    <cellStyle name="20% - Accent5 4 3 4 2" xfId="14592" xr:uid="{00000000-0005-0000-0000-0000BE370000}"/>
    <cellStyle name="20% - Accent5 4 3 4 2 2" xfId="26449" xr:uid="{00000000-0005-0000-0000-0000BF370000}"/>
    <cellStyle name="20% - Accent5 4 3 4 3" xfId="18543" xr:uid="{00000000-0005-0000-0000-0000C0370000}"/>
    <cellStyle name="20% - Accent5 4 3 4 3 2" xfId="30235" xr:uid="{00000000-0005-0000-0000-0000C1370000}"/>
    <cellStyle name="20% - Accent5 4 3 4 4" xfId="22589" xr:uid="{00000000-0005-0000-0000-0000C2370000}"/>
    <cellStyle name="20% - Accent5 4 3 5" xfId="3356" xr:uid="{00000000-0005-0000-0000-0000C3370000}"/>
    <cellStyle name="20% - Accent5 4 3 5 2" xfId="14593" xr:uid="{00000000-0005-0000-0000-0000C4370000}"/>
    <cellStyle name="20% - Accent5 4 3 5 2 2" xfId="26450" xr:uid="{00000000-0005-0000-0000-0000C5370000}"/>
    <cellStyle name="20% - Accent5 4 3 5 3" xfId="18544" xr:uid="{00000000-0005-0000-0000-0000C6370000}"/>
    <cellStyle name="20% - Accent5 4 3 5 3 2" xfId="30236" xr:uid="{00000000-0005-0000-0000-0000C7370000}"/>
    <cellStyle name="20% - Accent5 4 3 5 4" xfId="22590" xr:uid="{00000000-0005-0000-0000-0000C8370000}"/>
    <cellStyle name="20% - Accent5 4 3 6" xfId="14585" xr:uid="{00000000-0005-0000-0000-0000C9370000}"/>
    <cellStyle name="20% - Accent5 4 3 6 2" xfId="26442" xr:uid="{00000000-0005-0000-0000-0000CA370000}"/>
    <cellStyle name="20% - Accent5 4 3 7" xfId="18536" xr:uid="{00000000-0005-0000-0000-0000CB370000}"/>
    <cellStyle name="20% - Accent5 4 3 7 2" xfId="30228" xr:uid="{00000000-0005-0000-0000-0000CC370000}"/>
    <cellStyle name="20% - Accent5 4 3 8" xfId="22582" xr:uid="{00000000-0005-0000-0000-0000CD370000}"/>
    <cellStyle name="20% - Accent5 4 3_Volatility" xfId="3357" xr:uid="{00000000-0005-0000-0000-0000CE370000}"/>
    <cellStyle name="20% - Accent5 4 4" xfId="3358" xr:uid="{00000000-0005-0000-0000-0000CF370000}"/>
    <cellStyle name="20% - Accent5 4 4 2" xfId="3359" xr:uid="{00000000-0005-0000-0000-0000D0370000}"/>
    <cellStyle name="20% - Accent5 4 4 2 2" xfId="14595" xr:uid="{00000000-0005-0000-0000-0000D1370000}"/>
    <cellStyle name="20% - Accent5 4 4 2 2 2" xfId="26452" xr:uid="{00000000-0005-0000-0000-0000D2370000}"/>
    <cellStyle name="20% - Accent5 4 4 2 3" xfId="18546" xr:uid="{00000000-0005-0000-0000-0000D3370000}"/>
    <cellStyle name="20% - Accent5 4 4 2 3 2" xfId="30238" xr:uid="{00000000-0005-0000-0000-0000D4370000}"/>
    <cellStyle name="20% - Accent5 4 4 2 4" xfId="22592" xr:uid="{00000000-0005-0000-0000-0000D5370000}"/>
    <cellStyle name="20% - Accent5 4 4 3" xfId="3360" xr:uid="{00000000-0005-0000-0000-0000D6370000}"/>
    <cellStyle name="20% - Accent5 4 4 3 2" xfId="14596" xr:uid="{00000000-0005-0000-0000-0000D7370000}"/>
    <cellStyle name="20% - Accent5 4 4 3 2 2" xfId="26453" xr:uid="{00000000-0005-0000-0000-0000D8370000}"/>
    <cellStyle name="20% - Accent5 4 4 3 3" xfId="18547" xr:uid="{00000000-0005-0000-0000-0000D9370000}"/>
    <cellStyle name="20% - Accent5 4 4 3 3 2" xfId="30239" xr:uid="{00000000-0005-0000-0000-0000DA370000}"/>
    <cellStyle name="20% - Accent5 4 4 3 4" xfId="22593" xr:uid="{00000000-0005-0000-0000-0000DB370000}"/>
    <cellStyle name="20% - Accent5 4 4 4" xfId="14594" xr:uid="{00000000-0005-0000-0000-0000DC370000}"/>
    <cellStyle name="20% - Accent5 4 4 4 2" xfId="26451" xr:uid="{00000000-0005-0000-0000-0000DD370000}"/>
    <cellStyle name="20% - Accent5 4 4 5" xfId="18545" xr:uid="{00000000-0005-0000-0000-0000DE370000}"/>
    <cellStyle name="20% - Accent5 4 4 5 2" xfId="30237" xr:uid="{00000000-0005-0000-0000-0000DF370000}"/>
    <cellStyle name="20% - Accent5 4 4 6" xfId="22591" xr:uid="{00000000-0005-0000-0000-0000E0370000}"/>
    <cellStyle name="20% - Accent5 4 5" xfId="3361" xr:uid="{00000000-0005-0000-0000-0000E1370000}"/>
    <cellStyle name="20% - Accent5 4 5 2" xfId="3362" xr:uid="{00000000-0005-0000-0000-0000E2370000}"/>
    <cellStyle name="20% - Accent5 4 5 2 2" xfId="14598" xr:uid="{00000000-0005-0000-0000-0000E3370000}"/>
    <cellStyle name="20% - Accent5 4 5 2 2 2" xfId="26455" xr:uid="{00000000-0005-0000-0000-0000E4370000}"/>
    <cellStyle name="20% - Accent5 4 5 2 3" xfId="18549" xr:uid="{00000000-0005-0000-0000-0000E5370000}"/>
    <cellStyle name="20% - Accent5 4 5 2 3 2" xfId="30241" xr:uid="{00000000-0005-0000-0000-0000E6370000}"/>
    <cellStyle name="20% - Accent5 4 5 2 4" xfId="22595" xr:uid="{00000000-0005-0000-0000-0000E7370000}"/>
    <cellStyle name="20% - Accent5 4 5 3" xfId="3363" xr:uid="{00000000-0005-0000-0000-0000E8370000}"/>
    <cellStyle name="20% - Accent5 4 5 3 2" xfId="14599" xr:uid="{00000000-0005-0000-0000-0000E9370000}"/>
    <cellStyle name="20% - Accent5 4 5 3 2 2" xfId="26456" xr:uid="{00000000-0005-0000-0000-0000EA370000}"/>
    <cellStyle name="20% - Accent5 4 5 3 3" xfId="18550" xr:uid="{00000000-0005-0000-0000-0000EB370000}"/>
    <cellStyle name="20% - Accent5 4 5 3 3 2" xfId="30242" xr:uid="{00000000-0005-0000-0000-0000EC370000}"/>
    <cellStyle name="20% - Accent5 4 5 3 4" xfId="22596" xr:uid="{00000000-0005-0000-0000-0000ED370000}"/>
    <cellStyle name="20% - Accent5 4 5 4" xfId="14597" xr:uid="{00000000-0005-0000-0000-0000EE370000}"/>
    <cellStyle name="20% - Accent5 4 5 4 2" xfId="26454" xr:uid="{00000000-0005-0000-0000-0000EF370000}"/>
    <cellStyle name="20% - Accent5 4 5 5" xfId="18548" xr:uid="{00000000-0005-0000-0000-0000F0370000}"/>
    <cellStyle name="20% - Accent5 4 5 5 2" xfId="30240" xr:uid="{00000000-0005-0000-0000-0000F1370000}"/>
    <cellStyle name="20% - Accent5 4 5 6" xfId="22594" xr:uid="{00000000-0005-0000-0000-0000F2370000}"/>
    <cellStyle name="20% - Accent5 4 6" xfId="3364" xr:uid="{00000000-0005-0000-0000-0000F3370000}"/>
    <cellStyle name="20% - Accent5 4 6 2" xfId="3365" xr:uid="{00000000-0005-0000-0000-0000F4370000}"/>
    <cellStyle name="20% - Accent5 4 6 2 2" xfId="14601" xr:uid="{00000000-0005-0000-0000-0000F5370000}"/>
    <cellStyle name="20% - Accent5 4 6 2 2 2" xfId="26458" xr:uid="{00000000-0005-0000-0000-0000F6370000}"/>
    <cellStyle name="20% - Accent5 4 6 2 3" xfId="18552" xr:uid="{00000000-0005-0000-0000-0000F7370000}"/>
    <cellStyle name="20% - Accent5 4 6 2 3 2" xfId="30244" xr:uid="{00000000-0005-0000-0000-0000F8370000}"/>
    <cellStyle name="20% - Accent5 4 6 2 4" xfId="22598" xr:uid="{00000000-0005-0000-0000-0000F9370000}"/>
    <cellStyle name="20% - Accent5 4 6 3" xfId="3366" xr:uid="{00000000-0005-0000-0000-0000FA370000}"/>
    <cellStyle name="20% - Accent5 4 6 3 2" xfId="14602" xr:uid="{00000000-0005-0000-0000-0000FB370000}"/>
    <cellStyle name="20% - Accent5 4 6 3 2 2" xfId="26459" xr:uid="{00000000-0005-0000-0000-0000FC370000}"/>
    <cellStyle name="20% - Accent5 4 6 3 3" xfId="18553" xr:uid="{00000000-0005-0000-0000-0000FD370000}"/>
    <cellStyle name="20% - Accent5 4 6 3 3 2" xfId="30245" xr:uid="{00000000-0005-0000-0000-0000FE370000}"/>
    <cellStyle name="20% - Accent5 4 6 3 4" xfId="22599" xr:uid="{00000000-0005-0000-0000-0000FF370000}"/>
    <cellStyle name="20% - Accent5 4 6 4" xfId="14600" xr:uid="{00000000-0005-0000-0000-000000380000}"/>
    <cellStyle name="20% - Accent5 4 6 4 2" xfId="26457" xr:uid="{00000000-0005-0000-0000-000001380000}"/>
    <cellStyle name="20% - Accent5 4 6 5" xfId="18551" xr:uid="{00000000-0005-0000-0000-000002380000}"/>
    <cellStyle name="20% - Accent5 4 6 5 2" xfId="30243" xr:uid="{00000000-0005-0000-0000-000003380000}"/>
    <cellStyle name="20% - Accent5 4 6 6" xfId="22597" xr:uid="{00000000-0005-0000-0000-000004380000}"/>
    <cellStyle name="20% - Accent5 4 7" xfId="3367" xr:uid="{00000000-0005-0000-0000-000005380000}"/>
    <cellStyle name="20% - Accent5 4 7 2" xfId="14603" xr:uid="{00000000-0005-0000-0000-000006380000}"/>
    <cellStyle name="20% - Accent5 4 7 2 2" xfId="26460" xr:uid="{00000000-0005-0000-0000-000007380000}"/>
    <cellStyle name="20% - Accent5 4 7 3" xfId="18554" xr:uid="{00000000-0005-0000-0000-000008380000}"/>
    <cellStyle name="20% - Accent5 4 7 3 2" xfId="30246" xr:uid="{00000000-0005-0000-0000-000009380000}"/>
    <cellStyle name="20% - Accent5 4 7 4" xfId="22600" xr:uid="{00000000-0005-0000-0000-00000A380000}"/>
    <cellStyle name="20% - Accent5 4 8" xfId="3368" xr:uid="{00000000-0005-0000-0000-00000B380000}"/>
    <cellStyle name="20% - Accent5 4 8 2" xfId="14604" xr:uid="{00000000-0005-0000-0000-00000C380000}"/>
    <cellStyle name="20% - Accent5 4 8 2 2" xfId="26461" xr:uid="{00000000-0005-0000-0000-00000D380000}"/>
    <cellStyle name="20% - Accent5 4 8 3" xfId="18555" xr:uid="{00000000-0005-0000-0000-00000E380000}"/>
    <cellStyle name="20% - Accent5 4 8 3 2" xfId="30247" xr:uid="{00000000-0005-0000-0000-00000F380000}"/>
    <cellStyle name="20% - Accent5 4 8 4" xfId="22601" xr:uid="{00000000-0005-0000-0000-000010380000}"/>
    <cellStyle name="20% - Accent5 4 9" xfId="14572" xr:uid="{00000000-0005-0000-0000-000011380000}"/>
    <cellStyle name="20% - Accent5 4 9 2" xfId="26429" xr:uid="{00000000-0005-0000-0000-000012380000}"/>
    <cellStyle name="20% - Accent5 4_Volatility" xfId="3369" xr:uid="{00000000-0005-0000-0000-000013380000}"/>
    <cellStyle name="20% - Accent5 5" xfId="3370" xr:uid="{00000000-0005-0000-0000-000014380000}"/>
    <cellStyle name="20% - Accent5 5 10" xfId="18556" xr:uid="{00000000-0005-0000-0000-000015380000}"/>
    <cellStyle name="20% - Accent5 5 10 2" xfId="30248" xr:uid="{00000000-0005-0000-0000-000016380000}"/>
    <cellStyle name="20% - Accent5 5 11" xfId="22602" xr:uid="{00000000-0005-0000-0000-000017380000}"/>
    <cellStyle name="20% - Accent5 5 2" xfId="3371" xr:uid="{00000000-0005-0000-0000-000018380000}"/>
    <cellStyle name="20% - Accent5 5 2 2" xfId="3372" xr:uid="{00000000-0005-0000-0000-000019380000}"/>
    <cellStyle name="20% - Accent5 5 2 2 2" xfId="3373" xr:uid="{00000000-0005-0000-0000-00001A380000}"/>
    <cellStyle name="20% - Accent5 5 2 2 2 2" xfId="14608" xr:uid="{00000000-0005-0000-0000-00001B380000}"/>
    <cellStyle name="20% - Accent5 5 2 2 2 2 2" xfId="26465" xr:uid="{00000000-0005-0000-0000-00001C380000}"/>
    <cellStyle name="20% - Accent5 5 2 2 2 3" xfId="18559" xr:uid="{00000000-0005-0000-0000-00001D380000}"/>
    <cellStyle name="20% - Accent5 5 2 2 2 3 2" xfId="30251" xr:uid="{00000000-0005-0000-0000-00001E380000}"/>
    <cellStyle name="20% - Accent5 5 2 2 2 4" xfId="22605" xr:uid="{00000000-0005-0000-0000-00001F380000}"/>
    <cellStyle name="20% - Accent5 5 2 2 3" xfId="3374" xr:uid="{00000000-0005-0000-0000-000020380000}"/>
    <cellStyle name="20% - Accent5 5 2 2 3 2" xfId="14609" xr:uid="{00000000-0005-0000-0000-000021380000}"/>
    <cellStyle name="20% - Accent5 5 2 2 3 2 2" xfId="26466" xr:uid="{00000000-0005-0000-0000-000022380000}"/>
    <cellStyle name="20% - Accent5 5 2 2 3 3" xfId="18560" xr:uid="{00000000-0005-0000-0000-000023380000}"/>
    <cellStyle name="20% - Accent5 5 2 2 3 3 2" xfId="30252" xr:uid="{00000000-0005-0000-0000-000024380000}"/>
    <cellStyle name="20% - Accent5 5 2 2 3 4" xfId="22606" xr:uid="{00000000-0005-0000-0000-000025380000}"/>
    <cellStyle name="20% - Accent5 5 2 2 4" xfId="14607" xr:uid="{00000000-0005-0000-0000-000026380000}"/>
    <cellStyle name="20% - Accent5 5 2 2 4 2" xfId="26464" xr:uid="{00000000-0005-0000-0000-000027380000}"/>
    <cellStyle name="20% - Accent5 5 2 2 5" xfId="18558" xr:uid="{00000000-0005-0000-0000-000028380000}"/>
    <cellStyle name="20% - Accent5 5 2 2 5 2" xfId="30250" xr:uid="{00000000-0005-0000-0000-000029380000}"/>
    <cellStyle name="20% - Accent5 5 2 2 6" xfId="22604" xr:uid="{00000000-0005-0000-0000-00002A380000}"/>
    <cellStyle name="20% - Accent5 5 2 3" xfId="3375" xr:uid="{00000000-0005-0000-0000-00002B380000}"/>
    <cellStyle name="20% - Accent5 5 2 3 2" xfId="3376" xr:uid="{00000000-0005-0000-0000-00002C380000}"/>
    <cellStyle name="20% - Accent5 5 2 3 2 2" xfId="14611" xr:uid="{00000000-0005-0000-0000-00002D380000}"/>
    <cellStyle name="20% - Accent5 5 2 3 2 2 2" xfId="26468" xr:uid="{00000000-0005-0000-0000-00002E380000}"/>
    <cellStyle name="20% - Accent5 5 2 3 2 3" xfId="18562" xr:uid="{00000000-0005-0000-0000-00002F380000}"/>
    <cellStyle name="20% - Accent5 5 2 3 2 3 2" xfId="30254" xr:uid="{00000000-0005-0000-0000-000030380000}"/>
    <cellStyle name="20% - Accent5 5 2 3 2 4" xfId="22608" xr:uid="{00000000-0005-0000-0000-000031380000}"/>
    <cellStyle name="20% - Accent5 5 2 3 3" xfId="3377" xr:uid="{00000000-0005-0000-0000-000032380000}"/>
    <cellStyle name="20% - Accent5 5 2 3 3 2" xfId="14612" xr:uid="{00000000-0005-0000-0000-000033380000}"/>
    <cellStyle name="20% - Accent5 5 2 3 3 2 2" xfId="26469" xr:uid="{00000000-0005-0000-0000-000034380000}"/>
    <cellStyle name="20% - Accent5 5 2 3 3 3" xfId="18563" xr:uid="{00000000-0005-0000-0000-000035380000}"/>
    <cellStyle name="20% - Accent5 5 2 3 3 3 2" xfId="30255" xr:uid="{00000000-0005-0000-0000-000036380000}"/>
    <cellStyle name="20% - Accent5 5 2 3 3 4" xfId="22609" xr:uid="{00000000-0005-0000-0000-000037380000}"/>
    <cellStyle name="20% - Accent5 5 2 3 4" xfId="14610" xr:uid="{00000000-0005-0000-0000-000038380000}"/>
    <cellStyle name="20% - Accent5 5 2 3 4 2" xfId="26467" xr:uid="{00000000-0005-0000-0000-000039380000}"/>
    <cellStyle name="20% - Accent5 5 2 3 5" xfId="18561" xr:uid="{00000000-0005-0000-0000-00003A380000}"/>
    <cellStyle name="20% - Accent5 5 2 3 5 2" xfId="30253" xr:uid="{00000000-0005-0000-0000-00003B380000}"/>
    <cellStyle name="20% - Accent5 5 2 3 6" xfId="22607" xr:uid="{00000000-0005-0000-0000-00003C380000}"/>
    <cellStyle name="20% - Accent5 5 2 4" xfId="3378" xr:uid="{00000000-0005-0000-0000-00003D380000}"/>
    <cellStyle name="20% - Accent5 5 2 4 2" xfId="3379" xr:uid="{00000000-0005-0000-0000-00003E380000}"/>
    <cellStyle name="20% - Accent5 5 2 4 2 2" xfId="14614" xr:uid="{00000000-0005-0000-0000-00003F380000}"/>
    <cellStyle name="20% - Accent5 5 2 4 2 2 2" xfId="26471" xr:uid="{00000000-0005-0000-0000-000040380000}"/>
    <cellStyle name="20% - Accent5 5 2 4 2 3" xfId="18565" xr:uid="{00000000-0005-0000-0000-000041380000}"/>
    <cellStyle name="20% - Accent5 5 2 4 2 3 2" xfId="30257" xr:uid="{00000000-0005-0000-0000-000042380000}"/>
    <cellStyle name="20% - Accent5 5 2 4 2 4" xfId="22611" xr:uid="{00000000-0005-0000-0000-000043380000}"/>
    <cellStyle name="20% - Accent5 5 2 4 3" xfId="3380" xr:uid="{00000000-0005-0000-0000-000044380000}"/>
    <cellStyle name="20% - Accent5 5 2 4 3 2" xfId="14615" xr:uid="{00000000-0005-0000-0000-000045380000}"/>
    <cellStyle name="20% - Accent5 5 2 4 3 2 2" xfId="26472" xr:uid="{00000000-0005-0000-0000-000046380000}"/>
    <cellStyle name="20% - Accent5 5 2 4 3 3" xfId="18566" xr:uid="{00000000-0005-0000-0000-000047380000}"/>
    <cellStyle name="20% - Accent5 5 2 4 3 3 2" xfId="30258" xr:uid="{00000000-0005-0000-0000-000048380000}"/>
    <cellStyle name="20% - Accent5 5 2 4 3 4" xfId="22612" xr:uid="{00000000-0005-0000-0000-000049380000}"/>
    <cellStyle name="20% - Accent5 5 2 4 4" xfId="14613" xr:uid="{00000000-0005-0000-0000-00004A380000}"/>
    <cellStyle name="20% - Accent5 5 2 4 4 2" xfId="26470" xr:uid="{00000000-0005-0000-0000-00004B380000}"/>
    <cellStyle name="20% - Accent5 5 2 4 5" xfId="18564" xr:uid="{00000000-0005-0000-0000-00004C380000}"/>
    <cellStyle name="20% - Accent5 5 2 4 5 2" xfId="30256" xr:uid="{00000000-0005-0000-0000-00004D380000}"/>
    <cellStyle name="20% - Accent5 5 2 4 6" xfId="22610" xr:uid="{00000000-0005-0000-0000-00004E380000}"/>
    <cellStyle name="20% - Accent5 5 2 5" xfId="3381" xr:uid="{00000000-0005-0000-0000-00004F380000}"/>
    <cellStyle name="20% - Accent5 5 2 5 2" xfId="14616" xr:uid="{00000000-0005-0000-0000-000050380000}"/>
    <cellStyle name="20% - Accent5 5 2 5 2 2" xfId="26473" xr:uid="{00000000-0005-0000-0000-000051380000}"/>
    <cellStyle name="20% - Accent5 5 2 5 3" xfId="18567" xr:uid="{00000000-0005-0000-0000-000052380000}"/>
    <cellStyle name="20% - Accent5 5 2 5 3 2" xfId="30259" xr:uid="{00000000-0005-0000-0000-000053380000}"/>
    <cellStyle name="20% - Accent5 5 2 5 4" xfId="22613" xr:uid="{00000000-0005-0000-0000-000054380000}"/>
    <cellStyle name="20% - Accent5 5 2 6" xfId="3382" xr:uid="{00000000-0005-0000-0000-000055380000}"/>
    <cellStyle name="20% - Accent5 5 2 6 2" xfId="14617" xr:uid="{00000000-0005-0000-0000-000056380000}"/>
    <cellStyle name="20% - Accent5 5 2 6 2 2" xfId="26474" xr:uid="{00000000-0005-0000-0000-000057380000}"/>
    <cellStyle name="20% - Accent5 5 2 6 3" xfId="18568" xr:uid="{00000000-0005-0000-0000-000058380000}"/>
    <cellStyle name="20% - Accent5 5 2 6 3 2" xfId="30260" xr:uid="{00000000-0005-0000-0000-000059380000}"/>
    <cellStyle name="20% - Accent5 5 2 6 4" xfId="22614" xr:uid="{00000000-0005-0000-0000-00005A380000}"/>
    <cellStyle name="20% - Accent5 5 2 7" xfId="14606" xr:uid="{00000000-0005-0000-0000-00005B380000}"/>
    <cellStyle name="20% - Accent5 5 2 7 2" xfId="26463" xr:uid="{00000000-0005-0000-0000-00005C380000}"/>
    <cellStyle name="20% - Accent5 5 2 8" xfId="18557" xr:uid="{00000000-0005-0000-0000-00005D380000}"/>
    <cellStyle name="20% - Accent5 5 2 8 2" xfId="30249" xr:uid="{00000000-0005-0000-0000-00005E380000}"/>
    <cellStyle name="20% - Accent5 5 2 9" xfId="22603" xr:uid="{00000000-0005-0000-0000-00005F380000}"/>
    <cellStyle name="20% - Accent5 5 2_Volatility" xfId="3383" xr:uid="{00000000-0005-0000-0000-000060380000}"/>
    <cellStyle name="20% - Accent5 5 3" xfId="3384" xr:uid="{00000000-0005-0000-0000-000061380000}"/>
    <cellStyle name="20% - Accent5 5 3 2" xfId="3385" xr:uid="{00000000-0005-0000-0000-000062380000}"/>
    <cellStyle name="20% - Accent5 5 3 2 2" xfId="3386" xr:uid="{00000000-0005-0000-0000-000063380000}"/>
    <cellStyle name="20% - Accent5 5 3 2 2 2" xfId="14620" xr:uid="{00000000-0005-0000-0000-000064380000}"/>
    <cellStyle name="20% - Accent5 5 3 2 2 2 2" xfId="26477" xr:uid="{00000000-0005-0000-0000-000065380000}"/>
    <cellStyle name="20% - Accent5 5 3 2 2 3" xfId="18571" xr:uid="{00000000-0005-0000-0000-000066380000}"/>
    <cellStyle name="20% - Accent5 5 3 2 2 3 2" xfId="30263" xr:uid="{00000000-0005-0000-0000-000067380000}"/>
    <cellStyle name="20% - Accent5 5 3 2 2 4" xfId="22617" xr:uid="{00000000-0005-0000-0000-000068380000}"/>
    <cellStyle name="20% - Accent5 5 3 2 3" xfId="3387" xr:uid="{00000000-0005-0000-0000-000069380000}"/>
    <cellStyle name="20% - Accent5 5 3 2 3 2" xfId="14621" xr:uid="{00000000-0005-0000-0000-00006A380000}"/>
    <cellStyle name="20% - Accent5 5 3 2 3 2 2" xfId="26478" xr:uid="{00000000-0005-0000-0000-00006B380000}"/>
    <cellStyle name="20% - Accent5 5 3 2 3 3" xfId="18572" xr:uid="{00000000-0005-0000-0000-00006C380000}"/>
    <cellStyle name="20% - Accent5 5 3 2 3 3 2" xfId="30264" xr:uid="{00000000-0005-0000-0000-00006D380000}"/>
    <cellStyle name="20% - Accent5 5 3 2 3 4" xfId="22618" xr:uid="{00000000-0005-0000-0000-00006E380000}"/>
    <cellStyle name="20% - Accent5 5 3 2 4" xfId="14619" xr:uid="{00000000-0005-0000-0000-00006F380000}"/>
    <cellStyle name="20% - Accent5 5 3 2 4 2" xfId="26476" xr:uid="{00000000-0005-0000-0000-000070380000}"/>
    <cellStyle name="20% - Accent5 5 3 2 5" xfId="18570" xr:uid="{00000000-0005-0000-0000-000071380000}"/>
    <cellStyle name="20% - Accent5 5 3 2 5 2" xfId="30262" xr:uid="{00000000-0005-0000-0000-000072380000}"/>
    <cellStyle name="20% - Accent5 5 3 2 6" xfId="22616" xr:uid="{00000000-0005-0000-0000-000073380000}"/>
    <cellStyle name="20% - Accent5 5 3 3" xfId="3388" xr:uid="{00000000-0005-0000-0000-000074380000}"/>
    <cellStyle name="20% - Accent5 5 3 3 2" xfId="3389" xr:uid="{00000000-0005-0000-0000-000075380000}"/>
    <cellStyle name="20% - Accent5 5 3 3 2 2" xfId="14623" xr:uid="{00000000-0005-0000-0000-000076380000}"/>
    <cellStyle name="20% - Accent5 5 3 3 2 2 2" xfId="26480" xr:uid="{00000000-0005-0000-0000-000077380000}"/>
    <cellStyle name="20% - Accent5 5 3 3 2 3" xfId="18574" xr:uid="{00000000-0005-0000-0000-000078380000}"/>
    <cellStyle name="20% - Accent5 5 3 3 2 3 2" xfId="30266" xr:uid="{00000000-0005-0000-0000-000079380000}"/>
    <cellStyle name="20% - Accent5 5 3 3 2 4" xfId="22620" xr:uid="{00000000-0005-0000-0000-00007A380000}"/>
    <cellStyle name="20% - Accent5 5 3 3 3" xfId="3390" xr:uid="{00000000-0005-0000-0000-00007B380000}"/>
    <cellStyle name="20% - Accent5 5 3 3 3 2" xfId="14624" xr:uid="{00000000-0005-0000-0000-00007C380000}"/>
    <cellStyle name="20% - Accent5 5 3 3 3 2 2" xfId="26481" xr:uid="{00000000-0005-0000-0000-00007D380000}"/>
    <cellStyle name="20% - Accent5 5 3 3 3 3" xfId="18575" xr:uid="{00000000-0005-0000-0000-00007E380000}"/>
    <cellStyle name="20% - Accent5 5 3 3 3 3 2" xfId="30267" xr:uid="{00000000-0005-0000-0000-00007F380000}"/>
    <cellStyle name="20% - Accent5 5 3 3 3 4" xfId="22621" xr:uid="{00000000-0005-0000-0000-000080380000}"/>
    <cellStyle name="20% - Accent5 5 3 3 4" xfId="14622" xr:uid="{00000000-0005-0000-0000-000081380000}"/>
    <cellStyle name="20% - Accent5 5 3 3 4 2" xfId="26479" xr:uid="{00000000-0005-0000-0000-000082380000}"/>
    <cellStyle name="20% - Accent5 5 3 3 5" xfId="18573" xr:uid="{00000000-0005-0000-0000-000083380000}"/>
    <cellStyle name="20% - Accent5 5 3 3 5 2" xfId="30265" xr:uid="{00000000-0005-0000-0000-000084380000}"/>
    <cellStyle name="20% - Accent5 5 3 3 6" xfId="22619" xr:uid="{00000000-0005-0000-0000-000085380000}"/>
    <cellStyle name="20% - Accent5 5 3 4" xfId="3391" xr:uid="{00000000-0005-0000-0000-000086380000}"/>
    <cellStyle name="20% - Accent5 5 3 4 2" xfId="14625" xr:uid="{00000000-0005-0000-0000-000087380000}"/>
    <cellStyle name="20% - Accent5 5 3 4 2 2" xfId="26482" xr:uid="{00000000-0005-0000-0000-000088380000}"/>
    <cellStyle name="20% - Accent5 5 3 4 3" xfId="18576" xr:uid="{00000000-0005-0000-0000-000089380000}"/>
    <cellStyle name="20% - Accent5 5 3 4 3 2" xfId="30268" xr:uid="{00000000-0005-0000-0000-00008A380000}"/>
    <cellStyle name="20% - Accent5 5 3 4 4" xfId="22622" xr:uid="{00000000-0005-0000-0000-00008B380000}"/>
    <cellStyle name="20% - Accent5 5 3 5" xfId="3392" xr:uid="{00000000-0005-0000-0000-00008C380000}"/>
    <cellStyle name="20% - Accent5 5 3 5 2" xfId="14626" xr:uid="{00000000-0005-0000-0000-00008D380000}"/>
    <cellStyle name="20% - Accent5 5 3 5 2 2" xfId="26483" xr:uid="{00000000-0005-0000-0000-00008E380000}"/>
    <cellStyle name="20% - Accent5 5 3 5 3" xfId="18577" xr:uid="{00000000-0005-0000-0000-00008F380000}"/>
    <cellStyle name="20% - Accent5 5 3 5 3 2" xfId="30269" xr:uid="{00000000-0005-0000-0000-000090380000}"/>
    <cellStyle name="20% - Accent5 5 3 5 4" xfId="22623" xr:uid="{00000000-0005-0000-0000-000091380000}"/>
    <cellStyle name="20% - Accent5 5 3 6" xfId="14618" xr:uid="{00000000-0005-0000-0000-000092380000}"/>
    <cellStyle name="20% - Accent5 5 3 6 2" xfId="26475" xr:uid="{00000000-0005-0000-0000-000093380000}"/>
    <cellStyle name="20% - Accent5 5 3 7" xfId="18569" xr:uid="{00000000-0005-0000-0000-000094380000}"/>
    <cellStyle name="20% - Accent5 5 3 7 2" xfId="30261" xr:uid="{00000000-0005-0000-0000-000095380000}"/>
    <cellStyle name="20% - Accent5 5 3 8" xfId="22615" xr:uid="{00000000-0005-0000-0000-000096380000}"/>
    <cellStyle name="20% - Accent5 5 3_Volatility" xfId="3393" xr:uid="{00000000-0005-0000-0000-000097380000}"/>
    <cellStyle name="20% - Accent5 5 4" xfId="3394" xr:uid="{00000000-0005-0000-0000-000098380000}"/>
    <cellStyle name="20% - Accent5 5 4 2" xfId="3395" xr:uid="{00000000-0005-0000-0000-000099380000}"/>
    <cellStyle name="20% - Accent5 5 4 2 2" xfId="14628" xr:uid="{00000000-0005-0000-0000-00009A380000}"/>
    <cellStyle name="20% - Accent5 5 4 2 2 2" xfId="26485" xr:uid="{00000000-0005-0000-0000-00009B380000}"/>
    <cellStyle name="20% - Accent5 5 4 2 3" xfId="18579" xr:uid="{00000000-0005-0000-0000-00009C380000}"/>
    <cellStyle name="20% - Accent5 5 4 2 3 2" xfId="30271" xr:uid="{00000000-0005-0000-0000-00009D380000}"/>
    <cellStyle name="20% - Accent5 5 4 2 4" xfId="22625" xr:uid="{00000000-0005-0000-0000-00009E380000}"/>
    <cellStyle name="20% - Accent5 5 4 3" xfId="3396" xr:uid="{00000000-0005-0000-0000-00009F380000}"/>
    <cellStyle name="20% - Accent5 5 4 3 2" xfId="14629" xr:uid="{00000000-0005-0000-0000-0000A0380000}"/>
    <cellStyle name="20% - Accent5 5 4 3 2 2" xfId="26486" xr:uid="{00000000-0005-0000-0000-0000A1380000}"/>
    <cellStyle name="20% - Accent5 5 4 3 3" xfId="18580" xr:uid="{00000000-0005-0000-0000-0000A2380000}"/>
    <cellStyle name="20% - Accent5 5 4 3 3 2" xfId="30272" xr:uid="{00000000-0005-0000-0000-0000A3380000}"/>
    <cellStyle name="20% - Accent5 5 4 3 4" xfId="22626" xr:uid="{00000000-0005-0000-0000-0000A4380000}"/>
    <cellStyle name="20% - Accent5 5 4 4" xfId="14627" xr:uid="{00000000-0005-0000-0000-0000A5380000}"/>
    <cellStyle name="20% - Accent5 5 4 4 2" xfId="26484" xr:uid="{00000000-0005-0000-0000-0000A6380000}"/>
    <cellStyle name="20% - Accent5 5 4 5" xfId="18578" xr:uid="{00000000-0005-0000-0000-0000A7380000}"/>
    <cellStyle name="20% - Accent5 5 4 5 2" xfId="30270" xr:uid="{00000000-0005-0000-0000-0000A8380000}"/>
    <cellStyle name="20% - Accent5 5 4 6" xfId="22624" xr:uid="{00000000-0005-0000-0000-0000A9380000}"/>
    <cellStyle name="20% - Accent5 5 5" xfId="3397" xr:uid="{00000000-0005-0000-0000-0000AA380000}"/>
    <cellStyle name="20% - Accent5 5 5 2" xfId="3398" xr:uid="{00000000-0005-0000-0000-0000AB380000}"/>
    <cellStyle name="20% - Accent5 5 5 2 2" xfId="14631" xr:uid="{00000000-0005-0000-0000-0000AC380000}"/>
    <cellStyle name="20% - Accent5 5 5 2 2 2" xfId="26488" xr:uid="{00000000-0005-0000-0000-0000AD380000}"/>
    <cellStyle name="20% - Accent5 5 5 2 3" xfId="18582" xr:uid="{00000000-0005-0000-0000-0000AE380000}"/>
    <cellStyle name="20% - Accent5 5 5 2 3 2" xfId="30274" xr:uid="{00000000-0005-0000-0000-0000AF380000}"/>
    <cellStyle name="20% - Accent5 5 5 2 4" xfId="22628" xr:uid="{00000000-0005-0000-0000-0000B0380000}"/>
    <cellStyle name="20% - Accent5 5 5 3" xfId="3399" xr:uid="{00000000-0005-0000-0000-0000B1380000}"/>
    <cellStyle name="20% - Accent5 5 5 3 2" xfId="14632" xr:uid="{00000000-0005-0000-0000-0000B2380000}"/>
    <cellStyle name="20% - Accent5 5 5 3 2 2" xfId="26489" xr:uid="{00000000-0005-0000-0000-0000B3380000}"/>
    <cellStyle name="20% - Accent5 5 5 3 3" xfId="18583" xr:uid="{00000000-0005-0000-0000-0000B4380000}"/>
    <cellStyle name="20% - Accent5 5 5 3 3 2" xfId="30275" xr:uid="{00000000-0005-0000-0000-0000B5380000}"/>
    <cellStyle name="20% - Accent5 5 5 3 4" xfId="22629" xr:uid="{00000000-0005-0000-0000-0000B6380000}"/>
    <cellStyle name="20% - Accent5 5 5 4" xfId="14630" xr:uid="{00000000-0005-0000-0000-0000B7380000}"/>
    <cellStyle name="20% - Accent5 5 5 4 2" xfId="26487" xr:uid="{00000000-0005-0000-0000-0000B8380000}"/>
    <cellStyle name="20% - Accent5 5 5 5" xfId="18581" xr:uid="{00000000-0005-0000-0000-0000B9380000}"/>
    <cellStyle name="20% - Accent5 5 5 5 2" xfId="30273" xr:uid="{00000000-0005-0000-0000-0000BA380000}"/>
    <cellStyle name="20% - Accent5 5 5 6" xfId="22627" xr:uid="{00000000-0005-0000-0000-0000BB380000}"/>
    <cellStyle name="20% - Accent5 5 6" xfId="3400" xr:uid="{00000000-0005-0000-0000-0000BC380000}"/>
    <cellStyle name="20% - Accent5 5 6 2" xfId="3401" xr:uid="{00000000-0005-0000-0000-0000BD380000}"/>
    <cellStyle name="20% - Accent5 5 6 2 2" xfId="14634" xr:uid="{00000000-0005-0000-0000-0000BE380000}"/>
    <cellStyle name="20% - Accent5 5 6 2 2 2" xfId="26491" xr:uid="{00000000-0005-0000-0000-0000BF380000}"/>
    <cellStyle name="20% - Accent5 5 6 2 3" xfId="18585" xr:uid="{00000000-0005-0000-0000-0000C0380000}"/>
    <cellStyle name="20% - Accent5 5 6 2 3 2" xfId="30277" xr:uid="{00000000-0005-0000-0000-0000C1380000}"/>
    <cellStyle name="20% - Accent5 5 6 2 4" xfId="22631" xr:uid="{00000000-0005-0000-0000-0000C2380000}"/>
    <cellStyle name="20% - Accent5 5 6 3" xfId="3402" xr:uid="{00000000-0005-0000-0000-0000C3380000}"/>
    <cellStyle name="20% - Accent5 5 6 3 2" xfId="14635" xr:uid="{00000000-0005-0000-0000-0000C4380000}"/>
    <cellStyle name="20% - Accent5 5 6 3 2 2" xfId="26492" xr:uid="{00000000-0005-0000-0000-0000C5380000}"/>
    <cellStyle name="20% - Accent5 5 6 3 3" xfId="18586" xr:uid="{00000000-0005-0000-0000-0000C6380000}"/>
    <cellStyle name="20% - Accent5 5 6 3 3 2" xfId="30278" xr:uid="{00000000-0005-0000-0000-0000C7380000}"/>
    <cellStyle name="20% - Accent5 5 6 3 4" xfId="22632" xr:uid="{00000000-0005-0000-0000-0000C8380000}"/>
    <cellStyle name="20% - Accent5 5 6 4" xfId="14633" xr:uid="{00000000-0005-0000-0000-0000C9380000}"/>
    <cellStyle name="20% - Accent5 5 6 4 2" xfId="26490" xr:uid="{00000000-0005-0000-0000-0000CA380000}"/>
    <cellStyle name="20% - Accent5 5 6 5" xfId="18584" xr:uid="{00000000-0005-0000-0000-0000CB380000}"/>
    <cellStyle name="20% - Accent5 5 6 5 2" xfId="30276" xr:uid="{00000000-0005-0000-0000-0000CC380000}"/>
    <cellStyle name="20% - Accent5 5 6 6" xfId="22630" xr:uid="{00000000-0005-0000-0000-0000CD380000}"/>
    <cellStyle name="20% - Accent5 5 7" xfId="3403" xr:uid="{00000000-0005-0000-0000-0000CE380000}"/>
    <cellStyle name="20% - Accent5 5 7 2" xfId="14636" xr:uid="{00000000-0005-0000-0000-0000CF380000}"/>
    <cellStyle name="20% - Accent5 5 7 2 2" xfId="26493" xr:uid="{00000000-0005-0000-0000-0000D0380000}"/>
    <cellStyle name="20% - Accent5 5 7 3" xfId="18587" xr:uid="{00000000-0005-0000-0000-0000D1380000}"/>
    <cellStyle name="20% - Accent5 5 7 3 2" xfId="30279" xr:uid="{00000000-0005-0000-0000-0000D2380000}"/>
    <cellStyle name="20% - Accent5 5 7 4" xfId="22633" xr:uid="{00000000-0005-0000-0000-0000D3380000}"/>
    <cellStyle name="20% - Accent5 5 8" xfId="3404" xr:uid="{00000000-0005-0000-0000-0000D4380000}"/>
    <cellStyle name="20% - Accent5 5 8 2" xfId="14637" xr:uid="{00000000-0005-0000-0000-0000D5380000}"/>
    <cellStyle name="20% - Accent5 5 8 2 2" xfId="26494" xr:uid="{00000000-0005-0000-0000-0000D6380000}"/>
    <cellStyle name="20% - Accent5 5 8 3" xfId="18588" xr:uid="{00000000-0005-0000-0000-0000D7380000}"/>
    <cellStyle name="20% - Accent5 5 8 3 2" xfId="30280" xr:uid="{00000000-0005-0000-0000-0000D8380000}"/>
    <cellStyle name="20% - Accent5 5 8 4" xfId="22634" xr:uid="{00000000-0005-0000-0000-0000D9380000}"/>
    <cellStyle name="20% - Accent5 5 9" xfId="14605" xr:uid="{00000000-0005-0000-0000-0000DA380000}"/>
    <cellStyle name="20% - Accent5 5 9 2" xfId="26462" xr:uid="{00000000-0005-0000-0000-0000DB380000}"/>
    <cellStyle name="20% - Accent5 5_Volatility" xfId="3405" xr:uid="{00000000-0005-0000-0000-0000DC380000}"/>
    <cellStyle name="20% - Accent5 6" xfId="3406" xr:uid="{00000000-0005-0000-0000-0000DD380000}"/>
    <cellStyle name="20% - Accent5 6 10" xfId="18589" xr:uid="{00000000-0005-0000-0000-0000DE380000}"/>
    <cellStyle name="20% - Accent5 6 10 2" xfId="30281" xr:uid="{00000000-0005-0000-0000-0000DF380000}"/>
    <cellStyle name="20% - Accent5 6 11" xfId="22635" xr:uid="{00000000-0005-0000-0000-0000E0380000}"/>
    <cellStyle name="20% - Accent5 6 2" xfId="3407" xr:uid="{00000000-0005-0000-0000-0000E1380000}"/>
    <cellStyle name="20% - Accent5 6 2 2" xfId="3408" xr:uid="{00000000-0005-0000-0000-0000E2380000}"/>
    <cellStyle name="20% - Accent5 6 2 2 2" xfId="3409" xr:uid="{00000000-0005-0000-0000-0000E3380000}"/>
    <cellStyle name="20% - Accent5 6 2 2 2 2" xfId="14641" xr:uid="{00000000-0005-0000-0000-0000E4380000}"/>
    <cellStyle name="20% - Accent5 6 2 2 2 2 2" xfId="26498" xr:uid="{00000000-0005-0000-0000-0000E5380000}"/>
    <cellStyle name="20% - Accent5 6 2 2 2 3" xfId="18592" xr:uid="{00000000-0005-0000-0000-0000E6380000}"/>
    <cellStyle name="20% - Accent5 6 2 2 2 3 2" xfId="30284" xr:uid="{00000000-0005-0000-0000-0000E7380000}"/>
    <cellStyle name="20% - Accent5 6 2 2 2 4" xfId="22638" xr:uid="{00000000-0005-0000-0000-0000E8380000}"/>
    <cellStyle name="20% - Accent5 6 2 2 3" xfId="3410" xr:uid="{00000000-0005-0000-0000-0000E9380000}"/>
    <cellStyle name="20% - Accent5 6 2 2 3 2" xfId="14642" xr:uid="{00000000-0005-0000-0000-0000EA380000}"/>
    <cellStyle name="20% - Accent5 6 2 2 3 2 2" xfId="26499" xr:uid="{00000000-0005-0000-0000-0000EB380000}"/>
    <cellStyle name="20% - Accent5 6 2 2 3 3" xfId="18593" xr:uid="{00000000-0005-0000-0000-0000EC380000}"/>
    <cellStyle name="20% - Accent5 6 2 2 3 3 2" xfId="30285" xr:uid="{00000000-0005-0000-0000-0000ED380000}"/>
    <cellStyle name="20% - Accent5 6 2 2 3 4" xfId="22639" xr:uid="{00000000-0005-0000-0000-0000EE380000}"/>
    <cellStyle name="20% - Accent5 6 2 2 4" xfId="14640" xr:uid="{00000000-0005-0000-0000-0000EF380000}"/>
    <cellStyle name="20% - Accent5 6 2 2 4 2" xfId="26497" xr:uid="{00000000-0005-0000-0000-0000F0380000}"/>
    <cellStyle name="20% - Accent5 6 2 2 5" xfId="18591" xr:uid="{00000000-0005-0000-0000-0000F1380000}"/>
    <cellStyle name="20% - Accent5 6 2 2 5 2" xfId="30283" xr:uid="{00000000-0005-0000-0000-0000F2380000}"/>
    <cellStyle name="20% - Accent5 6 2 2 6" xfId="22637" xr:uid="{00000000-0005-0000-0000-0000F3380000}"/>
    <cellStyle name="20% - Accent5 6 2 3" xfId="3411" xr:uid="{00000000-0005-0000-0000-0000F4380000}"/>
    <cellStyle name="20% - Accent5 6 2 3 2" xfId="3412" xr:uid="{00000000-0005-0000-0000-0000F5380000}"/>
    <cellStyle name="20% - Accent5 6 2 3 2 2" xfId="14644" xr:uid="{00000000-0005-0000-0000-0000F6380000}"/>
    <cellStyle name="20% - Accent5 6 2 3 2 2 2" xfId="26501" xr:uid="{00000000-0005-0000-0000-0000F7380000}"/>
    <cellStyle name="20% - Accent5 6 2 3 2 3" xfId="18595" xr:uid="{00000000-0005-0000-0000-0000F8380000}"/>
    <cellStyle name="20% - Accent5 6 2 3 2 3 2" xfId="30287" xr:uid="{00000000-0005-0000-0000-0000F9380000}"/>
    <cellStyle name="20% - Accent5 6 2 3 2 4" xfId="22641" xr:uid="{00000000-0005-0000-0000-0000FA380000}"/>
    <cellStyle name="20% - Accent5 6 2 3 3" xfId="3413" xr:uid="{00000000-0005-0000-0000-0000FB380000}"/>
    <cellStyle name="20% - Accent5 6 2 3 3 2" xfId="14645" xr:uid="{00000000-0005-0000-0000-0000FC380000}"/>
    <cellStyle name="20% - Accent5 6 2 3 3 2 2" xfId="26502" xr:uid="{00000000-0005-0000-0000-0000FD380000}"/>
    <cellStyle name="20% - Accent5 6 2 3 3 3" xfId="18596" xr:uid="{00000000-0005-0000-0000-0000FE380000}"/>
    <cellStyle name="20% - Accent5 6 2 3 3 3 2" xfId="30288" xr:uid="{00000000-0005-0000-0000-0000FF380000}"/>
    <cellStyle name="20% - Accent5 6 2 3 3 4" xfId="22642" xr:uid="{00000000-0005-0000-0000-000000390000}"/>
    <cellStyle name="20% - Accent5 6 2 3 4" xfId="14643" xr:uid="{00000000-0005-0000-0000-000001390000}"/>
    <cellStyle name="20% - Accent5 6 2 3 4 2" xfId="26500" xr:uid="{00000000-0005-0000-0000-000002390000}"/>
    <cellStyle name="20% - Accent5 6 2 3 5" xfId="18594" xr:uid="{00000000-0005-0000-0000-000003390000}"/>
    <cellStyle name="20% - Accent5 6 2 3 5 2" xfId="30286" xr:uid="{00000000-0005-0000-0000-000004390000}"/>
    <cellStyle name="20% - Accent5 6 2 3 6" xfId="22640" xr:uid="{00000000-0005-0000-0000-000005390000}"/>
    <cellStyle name="20% - Accent5 6 2 4" xfId="3414" xr:uid="{00000000-0005-0000-0000-000006390000}"/>
    <cellStyle name="20% - Accent5 6 2 4 2" xfId="3415" xr:uid="{00000000-0005-0000-0000-000007390000}"/>
    <cellStyle name="20% - Accent5 6 2 4 2 2" xfId="14647" xr:uid="{00000000-0005-0000-0000-000008390000}"/>
    <cellStyle name="20% - Accent5 6 2 4 2 2 2" xfId="26504" xr:uid="{00000000-0005-0000-0000-000009390000}"/>
    <cellStyle name="20% - Accent5 6 2 4 2 3" xfId="18598" xr:uid="{00000000-0005-0000-0000-00000A390000}"/>
    <cellStyle name="20% - Accent5 6 2 4 2 3 2" xfId="30290" xr:uid="{00000000-0005-0000-0000-00000B390000}"/>
    <cellStyle name="20% - Accent5 6 2 4 2 4" xfId="22644" xr:uid="{00000000-0005-0000-0000-00000C390000}"/>
    <cellStyle name="20% - Accent5 6 2 4 3" xfId="3416" xr:uid="{00000000-0005-0000-0000-00000D390000}"/>
    <cellStyle name="20% - Accent5 6 2 4 3 2" xfId="14648" xr:uid="{00000000-0005-0000-0000-00000E390000}"/>
    <cellStyle name="20% - Accent5 6 2 4 3 2 2" xfId="26505" xr:uid="{00000000-0005-0000-0000-00000F390000}"/>
    <cellStyle name="20% - Accent5 6 2 4 3 3" xfId="18599" xr:uid="{00000000-0005-0000-0000-000010390000}"/>
    <cellStyle name="20% - Accent5 6 2 4 3 3 2" xfId="30291" xr:uid="{00000000-0005-0000-0000-000011390000}"/>
    <cellStyle name="20% - Accent5 6 2 4 3 4" xfId="22645" xr:uid="{00000000-0005-0000-0000-000012390000}"/>
    <cellStyle name="20% - Accent5 6 2 4 4" xfId="14646" xr:uid="{00000000-0005-0000-0000-000013390000}"/>
    <cellStyle name="20% - Accent5 6 2 4 4 2" xfId="26503" xr:uid="{00000000-0005-0000-0000-000014390000}"/>
    <cellStyle name="20% - Accent5 6 2 4 5" xfId="18597" xr:uid="{00000000-0005-0000-0000-000015390000}"/>
    <cellStyle name="20% - Accent5 6 2 4 5 2" xfId="30289" xr:uid="{00000000-0005-0000-0000-000016390000}"/>
    <cellStyle name="20% - Accent5 6 2 4 6" xfId="22643" xr:uid="{00000000-0005-0000-0000-000017390000}"/>
    <cellStyle name="20% - Accent5 6 2 5" xfId="3417" xr:uid="{00000000-0005-0000-0000-000018390000}"/>
    <cellStyle name="20% - Accent5 6 2 5 2" xfId="14649" xr:uid="{00000000-0005-0000-0000-000019390000}"/>
    <cellStyle name="20% - Accent5 6 2 5 2 2" xfId="26506" xr:uid="{00000000-0005-0000-0000-00001A390000}"/>
    <cellStyle name="20% - Accent5 6 2 5 3" xfId="18600" xr:uid="{00000000-0005-0000-0000-00001B390000}"/>
    <cellStyle name="20% - Accent5 6 2 5 3 2" xfId="30292" xr:uid="{00000000-0005-0000-0000-00001C390000}"/>
    <cellStyle name="20% - Accent5 6 2 5 4" xfId="22646" xr:uid="{00000000-0005-0000-0000-00001D390000}"/>
    <cellStyle name="20% - Accent5 6 2 6" xfId="3418" xr:uid="{00000000-0005-0000-0000-00001E390000}"/>
    <cellStyle name="20% - Accent5 6 2 6 2" xfId="14650" xr:uid="{00000000-0005-0000-0000-00001F390000}"/>
    <cellStyle name="20% - Accent5 6 2 6 2 2" xfId="26507" xr:uid="{00000000-0005-0000-0000-000020390000}"/>
    <cellStyle name="20% - Accent5 6 2 6 3" xfId="18601" xr:uid="{00000000-0005-0000-0000-000021390000}"/>
    <cellStyle name="20% - Accent5 6 2 6 3 2" xfId="30293" xr:uid="{00000000-0005-0000-0000-000022390000}"/>
    <cellStyle name="20% - Accent5 6 2 6 4" xfId="22647" xr:uid="{00000000-0005-0000-0000-000023390000}"/>
    <cellStyle name="20% - Accent5 6 2 7" xfId="14639" xr:uid="{00000000-0005-0000-0000-000024390000}"/>
    <cellStyle name="20% - Accent5 6 2 7 2" xfId="26496" xr:uid="{00000000-0005-0000-0000-000025390000}"/>
    <cellStyle name="20% - Accent5 6 2 8" xfId="18590" xr:uid="{00000000-0005-0000-0000-000026390000}"/>
    <cellStyle name="20% - Accent5 6 2 8 2" xfId="30282" xr:uid="{00000000-0005-0000-0000-000027390000}"/>
    <cellStyle name="20% - Accent5 6 2 9" xfId="22636" xr:uid="{00000000-0005-0000-0000-000028390000}"/>
    <cellStyle name="20% - Accent5 6 2_Volatility" xfId="3419" xr:uid="{00000000-0005-0000-0000-000029390000}"/>
    <cellStyle name="20% - Accent5 6 3" xfId="3420" xr:uid="{00000000-0005-0000-0000-00002A390000}"/>
    <cellStyle name="20% - Accent5 6 3 2" xfId="3421" xr:uid="{00000000-0005-0000-0000-00002B390000}"/>
    <cellStyle name="20% - Accent5 6 3 2 2" xfId="3422" xr:uid="{00000000-0005-0000-0000-00002C390000}"/>
    <cellStyle name="20% - Accent5 6 3 2 2 2" xfId="14653" xr:uid="{00000000-0005-0000-0000-00002D390000}"/>
    <cellStyle name="20% - Accent5 6 3 2 2 2 2" xfId="26510" xr:uid="{00000000-0005-0000-0000-00002E390000}"/>
    <cellStyle name="20% - Accent5 6 3 2 2 3" xfId="18604" xr:uid="{00000000-0005-0000-0000-00002F390000}"/>
    <cellStyle name="20% - Accent5 6 3 2 2 3 2" xfId="30296" xr:uid="{00000000-0005-0000-0000-000030390000}"/>
    <cellStyle name="20% - Accent5 6 3 2 2 4" xfId="22650" xr:uid="{00000000-0005-0000-0000-000031390000}"/>
    <cellStyle name="20% - Accent5 6 3 2 3" xfId="3423" xr:uid="{00000000-0005-0000-0000-000032390000}"/>
    <cellStyle name="20% - Accent5 6 3 2 3 2" xfId="14654" xr:uid="{00000000-0005-0000-0000-000033390000}"/>
    <cellStyle name="20% - Accent5 6 3 2 3 2 2" xfId="26511" xr:uid="{00000000-0005-0000-0000-000034390000}"/>
    <cellStyle name="20% - Accent5 6 3 2 3 3" xfId="18605" xr:uid="{00000000-0005-0000-0000-000035390000}"/>
    <cellStyle name="20% - Accent5 6 3 2 3 3 2" xfId="30297" xr:uid="{00000000-0005-0000-0000-000036390000}"/>
    <cellStyle name="20% - Accent5 6 3 2 3 4" xfId="22651" xr:uid="{00000000-0005-0000-0000-000037390000}"/>
    <cellStyle name="20% - Accent5 6 3 2 4" xfId="14652" xr:uid="{00000000-0005-0000-0000-000038390000}"/>
    <cellStyle name="20% - Accent5 6 3 2 4 2" xfId="26509" xr:uid="{00000000-0005-0000-0000-000039390000}"/>
    <cellStyle name="20% - Accent5 6 3 2 5" xfId="18603" xr:uid="{00000000-0005-0000-0000-00003A390000}"/>
    <cellStyle name="20% - Accent5 6 3 2 5 2" xfId="30295" xr:uid="{00000000-0005-0000-0000-00003B390000}"/>
    <cellStyle name="20% - Accent5 6 3 2 6" xfId="22649" xr:uid="{00000000-0005-0000-0000-00003C390000}"/>
    <cellStyle name="20% - Accent5 6 3 3" xfId="3424" xr:uid="{00000000-0005-0000-0000-00003D390000}"/>
    <cellStyle name="20% - Accent5 6 3 3 2" xfId="3425" xr:uid="{00000000-0005-0000-0000-00003E390000}"/>
    <cellStyle name="20% - Accent5 6 3 3 2 2" xfId="14656" xr:uid="{00000000-0005-0000-0000-00003F390000}"/>
    <cellStyle name="20% - Accent5 6 3 3 2 2 2" xfId="26513" xr:uid="{00000000-0005-0000-0000-000040390000}"/>
    <cellStyle name="20% - Accent5 6 3 3 2 3" xfId="18607" xr:uid="{00000000-0005-0000-0000-000041390000}"/>
    <cellStyle name="20% - Accent5 6 3 3 2 3 2" xfId="30299" xr:uid="{00000000-0005-0000-0000-000042390000}"/>
    <cellStyle name="20% - Accent5 6 3 3 2 4" xfId="22653" xr:uid="{00000000-0005-0000-0000-000043390000}"/>
    <cellStyle name="20% - Accent5 6 3 3 3" xfId="3426" xr:uid="{00000000-0005-0000-0000-000044390000}"/>
    <cellStyle name="20% - Accent5 6 3 3 3 2" xfId="14657" xr:uid="{00000000-0005-0000-0000-000045390000}"/>
    <cellStyle name="20% - Accent5 6 3 3 3 2 2" xfId="26514" xr:uid="{00000000-0005-0000-0000-000046390000}"/>
    <cellStyle name="20% - Accent5 6 3 3 3 3" xfId="18608" xr:uid="{00000000-0005-0000-0000-000047390000}"/>
    <cellStyle name="20% - Accent5 6 3 3 3 3 2" xfId="30300" xr:uid="{00000000-0005-0000-0000-000048390000}"/>
    <cellStyle name="20% - Accent5 6 3 3 3 4" xfId="22654" xr:uid="{00000000-0005-0000-0000-000049390000}"/>
    <cellStyle name="20% - Accent5 6 3 3 4" xfId="14655" xr:uid="{00000000-0005-0000-0000-00004A390000}"/>
    <cellStyle name="20% - Accent5 6 3 3 4 2" xfId="26512" xr:uid="{00000000-0005-0000-0000-00004B390000}"/>
    <cellStyle name="20% - Accent5 6 3 3 5" xfId="18606" xr:uid="{00000000-0005-0000-0000-00004C390000}"/>
    <cellStyle name="20% - Accent5 6 3 3 5 2" xfId="30298" xr:uid="{00000000-0005-0000-0000-00004D390000}"/>
    <cellStyle name="20% - Accent5 6 3 3 6" xfId="22652" xr:uid="{00000000-0005-0000-0000-00004E390000}"/>
    <cellStyle name="20% - Accent5 6 3 4" xfId="3427" xr:uid="{00000000-0005-0000-0000-00004F390000}"/>
    <cellStyle name="20% - Accent5 6 3 4 2" xfId="14658" xr:uid="{00000000-0005-0000-0000-000050390000}"/>
    <cellStyle name="20% - Accent5 6 3 4 2 2" xfId="26515" xr:uid="{00000000-0005-0000-0000-000051390000}"/>
    <cellStyle name="20% - Accent5 6 3 4 3" xfId="18609" xr:uid="{00000000-0005-0000-0000-000052390000}"/>
    <cellStyle name="20% - Accent5 6 3 4 3 2" xfId="30301" xr:uid="{00000000-0005-0000-0000-000053390000}"/>
    <cellStyle name="20% - Accent5 6 3 4 4" xfId="22655" xr:uid="{00000000-0005-0000-0000-000054390000}"/>
    <cellStyle name="20% - Accent5 6 3 5" xfId="3428" xr:uid="{00000000-0005-0000-0000-000055390000}"/>
    <cellStyle name="20% - Accent5 6 3 5 2" xfId="14659" xr:uid="{00000000-0005-0000-0000-000056390000}"/>
    <cellStyle name="20% - Accent5 6 3 5 2 2" xfId="26516" xr:uid="{00000000-0005-0000-0000-000057390000}"/>
    <cellStyle name="20% - Accent5 6 3 5 3" xfId="18610" xr:uid="{00000000-0005-0000-0000-000058390000}"/>
    <cellStyle name="20% - Accent5 6 3 5 3 2" xfId="30302" xr:uid="{00000000-0005-0000-0000-000059390000}"/>
    <cellStyle name="20% - Accent5 6 3 5 4" xfId="22656" xr:uid="{00000000-0005-0000-0000-00005A390000}"/>
    <cellStyle name="20% - Accent5 6 3 6" xfId="14651" xr:uid="{00000000-0005-0000-0000-00005B390000}"/>
    <cellStyle name="20% - Accent5 6 3 6 2" xfId="26508" xr:uid="{00000000-0005-0000-0000-00005C390000}"/>
    <cellStyle name="20% - Accent5 6 3 7" xfId="18602" xr:uid="{00000000-0005-0000-0000-00005D390000}"/>
    <cellStyle name="20% - Accent5 6 3 7 2" xfId="30294" xr:uid="{00000000-0005-0000-0000-00005E390000}"/>
    <cellStyle name="20% - Accent5 6 3 8" xfId="22648" xr:uid="{00000000-0005-0000-0000-00005F390000}"/>
    <cellStyle name="20% - Accent5 6 3_Volatility" xfId="3429" xr:uid="{00000000-0005-0000-0000-000060390000}"/>
    <cellStyle name="20% - Accent5 6 4" xfId="3430" xr:uid="{00000000-0005-0000-0000-000061390000}"/>
    <cellStyle name="20% - Accent5 6 4 2" xfId="3431" xr:uid="{00000000-0005-0000-0000-000062390000}"/>
    <cellStyle name="20% - Accent5 6 4 2 2" xfId="14661" xr:uid="{00000000-0005-0000-0000-000063390000}"/>
    <cellStyle name="20% - Accent5 6 4 2 2 2" xfId="26518" xr:uid="{00000000-0005-0000-0000-000064390000}"/>
    <cellStyle name="20% - Accent5 6 4 2 3" xfId="18612" xr:uid="{00000000-0005-0000-0000-000065390000}"/>
    <cellStyle name="20% - Accent5 6 4 2 3 2" xfId="30304" xr:uid="{00000000-0005-0000-0000-000066390000}"/>
    <cellStyle name="20% - Accent5 6 4 2 4" xfId="22658" xr:uid="{00000000-0005-0000-0000-000067390000}"/>
    <cellStyle name="20% - Accent5 6 4 3" xfId="3432" xr:uid="{00000000-0005-0000-0000-000068390000}"/>
    <cellStyle name="20% - Accent5 6 4 3 2" xfId="14662" xr:uid="{00000000-0005-0000-0000-000069390000}"/>
    <cellStyle name="20% - Accent5 6 4 3 2 2" xfId="26519" xr:uid="{00000000-0005-0000-0000-00006A390000}"/>
    <cellStyle name="20% - Accent5 6 4 3 3" xfId="18613" xr:uid="{00000000-0005-0000-0000-00006B390000}"/>
    <cellStyle name="20% - Accent5 6 4 3 3 2" xfId="30305" xr:uid="{00000000-0005-0000-0000-00006C390000}"/>
    <cellStyle name="20% - Accent5 6 4 3 4" xfId="22659" xr:uid="{00000000-0005-0000-0000-00006D390000}"/>
    <cellStyle name="20% - Accent5 6 4 4" xfId="14660" xr:uid="{00000000-0005-0000-0000-00006E390000}"/>
    <cellStyle name="20% - Accent5 6 4 4 2" xfId="26517" xr:uid="{00000000-0005-0000-0000-00006F390000}"/>
    <cellStyle name="20% - Accent5 6 4 5" xfId="18611" xr:uid="{00000000-0005-0000-0000-000070390000}"/>
    <cellStyle name="20% - Accent5 6 4 5 2" xfId="30303" xr:uid="{00000000-0005-0000-0000-000071390000}"/>
    <cellStyle name="20% - Accent5 6 4 6" xfId="22657" xr:uid="{00000000-0005-0000-0000-000072390000}"/>
    <cellStyle name="20% - Accent5 6 5" xfId="3433" xr:uid="{00000000-0005-0000-0000-000073390000}"/>
    <cellStyle name="20% - Accent5 6 5 2" xfId="3434" xr:uid="{00000000-0005-0000-0000-000074390000}"/>
    <cellStyle name="20% - Accent5 6 5 2 2" xfId="14664" xr:uid="{00000000-0005-0000-0000-000075390000}"/>
    <cellStyle name="20% - Accent5 6 5 2 2 2" xfId="26521" xr:uid="{00000000-0005-0000-0000-000076390000}"/>
    <cellStyle name="20% - Accent5 6 5 2 3" xfId="18615" xr:uid="{00000000-0005-0000-0000-000077390000}"/>
    <cellStyle name="20% - Accent5 6 5 2 3 2" xfId="30307" xr:uid="{00000000-0005-0000-0000-000078390000}"/>
    <cellStyle name="20% - Accent5 6 5 2 4" xfId="22661" xr:uid="{00000000-0005-0000-0000-000079390000}"/>
    <cellStyle name="20% - Accent5 6 5 3" xfId="3435" xr:uid="{00000000-0005-0000-0000-00007A390000}"/>
    <cellStyle name="20% - Accent5 6 5 3 2" xfId="14665" xr:uid="{00000000-0005-0000-0000-00007B390000}"/>
    <cellStyle name="20% - Accent5 6 5 3 2 2" xfId="26522" xr:uid="{00000000-0005-0000-0000-00007C390000}"/>
    <cellStyle name="20% - Accent5 6 5 3 3" xfId="18616" xr:uid="{00000000-0005-0000-0000-00007D390000}"/>
    <cellStyle name="20% - Accent5 6 5 3 3 2" xfId="30308" xr:uid="{00000000-0005-0000-0000-00007E390000}"/>
    <cellStyle name="20% - Accent5 6 5 3 4" xfId="22662" xr:uid="{00000000-0005-0000-0000-00007F390000}"/>
    <cellStyle name="20% - Accent5 6 5 4" xfId="14663" xr:uid="{00000000-0005-0000-0000-000080390000}"/>
    <cellStyle name="20% - Accent5 6 5 4 2" xfId="26520" xr:uid="{00000000-0005-0000-0000-000081390000}"/>
    <cellStyle name="20% - Accent5 6 5 5" xfId="18614" xr:uid="{00000000-0005-0000-0000-000082390000}"/>
    <cellStyle name="20% - Accent5 6 5 5 2" xfId="30306" xr:uid="{00000000-0005-0000-0000-000083390000}"/>
    <cellStyle name="20% - Accent5 6 5 6" xfId="22660" xr:uid="{00000000-0005-0000-0000-000084390000}"/>
    <cellStyle name="20% - Accent5 6 6" xfId="3436" xr:uid="{00000000-0005-0000-0000-000085390000}"/>
    <cellStyle name="20% - Accent5 6 6 2" xfId="3437" xr:uid="{00000000-0005-0000-0000-000086390000}"/>
    <cellStyle name="20% - Accent5 6 6 2 2" xfId="14667" xr:uid="{00000000-0005-0000-0000-000087390000}"/>
    <cellStyle name="20% - Accent5 6 6 2 2 2" xfId="26524" xr:uid="{00000000-0005-0000-0000-000088390000}"/>
    <cellStyle name="20% - Accent5 6 6 2 3" xfId="18618" xr:uid="{00000000-0005-0000-0000-000089390000}"/>
    <cellStyle name="20% - Accent5 6 6 2 3 2" xfId="30310" xr:uid="{00000000-0005-0000-0000-00008A390000}"/>
    <cellStyle name="20% - Accent5 6 6 2 4" xfId="22664" xr:uid="{00000000-0005-0000-0000-00008B390000}"/>
    <cellStyle name="20% - Accent5 6 6 3" xfId="3438" xr:uid="{00000000-0005-0000-0000-00008C390000}"/>
    <cellStyle name="20% - Accent5 6 6 3 2" xfId="14668" xr:uid="{00000000-0005-0000-0000-00008D390000}"/>
    <cellStyle name="20% - Accent5 6 6 3 2 2" xfId="26525" xr:uid="{00000000-0005-0000-0000-00008E390000}"/>
    <cellStyle name="20% - Accent5 6 6 3 3" xfId="18619" xr:uid="{00000000-0005-0000-0000-00008F390000}"/>
    <cellStyle name="20% - Accent5 6 6 3 3 2" xfId="30311" xr:uid="{00000000-0005-0000-0000-000090390000}"/>
    <cellStyle name="20% - Accent5 6 6 3 4" xfId="22665" xr:uid="{00000000-0005-0000-0000-000091390000}"/>
    <cellStyle name="20% - Accent5 6 6 4" xfId="14666" xr:uid="{00000000-0005-0000-0000-000092390000}"/>
    <cellStyle name="20% - Accent5 6 6 4 2" xfId="26523" xr:uid="{00000000-0005-0000-0000-000093390000}"/>
    <cellStyle name="20% - Accent5 6 6 5" xfId="18617" xr:uid="{00000000-0005-0000-0000-000094390000}"/>
    <cellStyle name="20% - Accent5 6 6 5 2" xfId="30309" xr:uid="{00000000-0005-0000-0000-000095390000}"/>
    <cellStyle name="20% - Accent5 6 6 6" xfId="22663" xr:uid="{00000000-0005-0000-0000-000096390000}"/>
    <cellStyle name="20% - Accent5 6 7" xfId="3439" xr:uid="{00000000-0005-0000-0000-000097390000}"/>
    <cellStyle name="20% - Accent5 6 7 2" xfId="14669" xr:uid="{00000000-0005-0000-0000-000098390000}"/>
    <cellStyle name="20% - Accent5 6 7 2 2" xfId="26526" xr:uid="{00000000-0005-0000-0000-000099390000}"/>
    <cellStyle name="20% - Accent5 6 7 3" xfId="18620" xr:uid="{00000000-0005-0000-0000-00009A390000}"/>
    <cellStyle name="20% - Accent5 6 7 3 2" xfId="30312" xr:uid="{00000000-0005-0000-0000-00009B390000}"/>
    <cellStyle name="20% - Accent5 6 7 4" xfId="22666" xr:uid="{00000000-0005-0000-0000-00009C390000}"/>
    <cellStyle name="20% - Accent5 6 8" xfId="3440" xr:uid="{00000000-0005-0000-0000-00009D390000}"/>
    <cellStyle name="20% - Accent5 6 8 2" xfId="14670" xr:uid="{00000000-0005-0000-0000-00009E390000}"/>
    <cellStyle name="20% - Accent5 6 8 2 2" xfId="26527" xr:uid="{00000000-0005-0000-0000-00009F390000}"/>
    <cellStyle name="20% - Accent5 6 8 3" xfId="18621" xr:uid="{00000000-0005-0000-0000-0000A0390000}"/>
    <cellStyle name="20% - Accent5 6 8 3 2" xfId="30313" xr:uid="{00000000-0005-0000-0000-0000A1390000}"/>
    <cellStyle name="20% - Accent5 6 8 4" xfId="22667" xr:uid="{00000000-0005-0000-0000-0000A2390000}"/>
    <cellStyle name="20% - Accent5 6 9" xfId="14638" xr:uid="{00000000-0005-0000-0000-0000A3390000}"/>
    <cellStyle name="20% - Accent5 6 9 2" xfId="26495" xr:uid="{00000000-0005-0000-0000-0000A4390000}"/>
    <cellStyle name="20% - Accent5 6_Volatility" xfId="3441" xr:uid="{00000000-0005-0000-0000-0000A5390000}"/>
    <cellStyle name="20% - Accent5 7" xfId="3442" xr:uid="{00000000-0005-0000-0000-0000A6390000}"/>
    <cellStyle name="20% - Accent5 7 10" xfId="18622" xr:uid="{00000000-0005-0000-0000-0000A7390000}"/>
    <cellStyle name="20% - Accent5 7 10 2" xfId="30314" xr:uid="{00000000-0005-0000-0000-0000A8390000}"/>
    <cellStyle name="20% - Accent5 7 11" xfId="22668" xr:uid="{00000000-0005-0000-0000-0000A9390000}"/>
    <cellStyle name="20% - Accent5 7 2" xfId="3443" xr:uid="{00000000-0005-0000-0000-0000AA390000}"/>
    <cellStyle name="20% - Accent5 7 2 2" xfId="3444" xr:uid="{00000000-0005-0000-0000-0000AB390000}"/>
    <cellStyle name="20% - Accent5 7 2 2 2" xfId="3445" xr:uid="{00000000-0005-0000-0000-0000AC390000}"/>
    <cellStyle name="20% - Accent5 7 2 2 2 2" xfId="14674" xr:uid="{00000000-0005-0000-0000-0000AD390000}"/>
    <cellStyle name="20% - Accent5 7 2 2 2 2 2" xfId="26531" xr:uid="{00000000-0005-0000-0000-0000AE390000}"/>
    <cellStyle name="20% - Accent5 7 2 2 2 3" xfId="18625" xr:uid="{00000000-0005-0000-0000-0000AF390000}"/>
    <cellStyle name="20% - Accent5 7 2 2 2 3 2" xfId="30317" xr:uid="{00000000-0005-0000-0000-0000B0390000}"/>
    <cellStyle name="20% - Accent5 7 2 2 2 4" xfId="22671" xr:uid="{00000000-0005-0000-0000-0000B1390000}"/>
    <cellStyle name="20% - Accent5 7 2 2 3" xfId="3446" xr:uid="{00000000-0005-0000-0000-0000B2390000}"/>
    <cellStyle name="20% - Accent5 7 2 2 3 2" xfId="14675" xr:uid="{00000000-0005-0000-0000-0000B3390000}"/>
    <cellStyle name="20% - Accent5 7 2 2 3 2 2" xfId="26532" xr:uid="{00000000-0005-0000-0000-0000B4390000}"/>
    <cellStyle name="20% - Accent5 7 2 2 3 3" xfId="18626" xr:uid="{00000000-0005-0000-0000-0000B5390000}"/>
    <cellStyle name="20% - Accent5 7 2 2 3 3 2" xfId="30318" xr:uid="{00000000-0005-0000-0000-0000B6390000}"/>
    <cellStyle name="20% - Accent5 7 2 2 3 4" xfId="22672" xr:uid="{00000000-0005-0000-0000-0000B7390000}"/>
    <cellStyle name="20% - Accent5 7 2 2 4" xfId="14673" xr:uid="{00000000-0005-0000-0000-0000B8390000}"/>
    <cellStyle name="20% - Accent5 7 2 2 4 2" xfId="26530" xr:uid="{00000000-0005-0000-0000-0000B9390000}"/>
    <cellStyle name="20% - Accent5 7 2 2 5" xfId="18624" xr:uid="{00000000-0005-0000-0000-0000BA390000}"/>
    <cellStyle name="20% - Accent5 7 2 2 5 2" xfId="30316" xr:uid="{00000000-0005-0000-0000-0000BB390000}"/>
    <cellStyle name="20% - Accent5 7 2 2 6" xfId="22670" xr:uid="{00000000-0005-0000-0000-0000BC390000}"/>
    <cellStyle name="20% - Accent5 7 2 3" xfId="3447" xr:uid="{00000000-0005-0000-0000-0000BD390000}"/>
    <cellStyle name="20% - Accent5 7 2 3 2" xfId="3448" xr:uid="{00000000-0005-0000-0000-0000BE390000}"/>
    <cellStyle name="20% - Accent5 7 2 3 2 2" xfId="14677" xr:uid="{00000000-0005-0000-0000-0000BF390000}"/>
    <cellStyle name="20% - Accent5 7 2 3 2 2 2" xfId="26534" xr:uid="{00000000-0005-0000-0000-0000C0390000}"/>
    <cellStyle name="20% - Accent5 7 2 3 2 3" xfId="18628" xr:uid="{00000000-0005-0000-0000-0000C1390000}"/>
    <cellStyle name="20% - Accent5 7 2 3 2 3 2" xfId="30320" xr:uid="{00000000-0005-0000-0000-0000C2390000}"/>
    <cellStyle name="20% - Accent5 7 2 3 2 4" xfId="22674" xr:uid="{00000000-0005-0000-0000-0000C3390000}"/>
    <cellStyle name="20% - Accent5 7 2 3 3" xfId="3449" xr:uid="{00000000-0005-0000-0000-0000C4390000}"/>
    <cellStyle name="20% - Accent5 7 2 3 3 2" xfId="14678" xr:uid="{00000000-0005-0000-0000-0000C5390000}"/>
    <cellStyle name="20% - Accent5 7 2 3 3 2 2" xfId="26535" xr:uid="{00000000-0005-0000-0000-0000C6390000}"/>
    <cellStyle name="20% - Accent5 7 2 3 3 3" xfId="18629" xr:uid="{00000000-0005-0000-0000-0000C7390000}"/>
    <cellStyle name="20% - Accent5 7 2 3 3 3 2" xfId="30321" xr:uid="{00000000-0005-0000-0000-0000C8390000}"/>
    <cellStyle name="20% - Accent5 7 2 3 3 4" xfId="22675" xr:uid="{00000000-0005-0000-0000-0000C9390000}"/>
    <cellStyle name="20% - Accent5 7 2 3 4" xfId="14676" xr:uid="{00000000-0005-0000-0000-0000CA390000}"/>
    <cellStyle name="20% - Accent5 7 2 3 4 2" xfId="26533" xr:uid="{00000000-0005-0000-0000-0000CB390000}"/>
    <cellStyle name="20% - Accent5 7 2 3 5" xfId="18627" xr:uid="{00000000-0005-0000-0000-0000CC390000}"/>
    <cellStyle name="20% - Accent5 7 2 3 5 2" xfId="30319" xr:uid="{00000000-0005-0000-0000-0000CD390000}"/>
    <cellStyle name="20% - Accent5 7 2 3 6" xfId="22673" xr:uid="{00000000-0005-0000-0000-0000CE390000}"/>
    <cellStyle name="20% - Accent5 7 2 4" xfId="3450" xr:uid="{00000000-0005-0000-0000-0000CF390000}"/>
    <cellStyle name="20% - Accent5 7 2 4 2" xfId="3451" xr:uid="{00000000-0005-0000-0000-0000D0390000}"/>
    <cellStyle name="20% - Accent5 7 2 4 2 2" xfId="14680" xr:uid="{00000000-0005-0000-0000-0000D1390000}"/>
    <cellStyle name="20% - Accent5 7 2 4 2 2 2" xfId="26537" xr:uid="{00000000-0005-0000-0000-0000D2390000}"/>
    <cellStyle name="20% - Accent5 7 2 4 2 3" xfId="18631" xr:uid="{00000000-0005-0000-0000-0000D3390000}"/>
    <cellStyle name="20% - Accent5 7 2 4 2 3 2" xfId="30323" xr:uid="{00000000-0005-0000-0000-0000D4390000}"/>
    <cellStyle name="20% - Accent5 7 2 4 2 4" xfId="22677" xr:uid="{00000000-0005-0000-0000-0000D5390000}"/>
    <cellStyle name="20% - Accent5 7 2 4 3" xfId="3452" xr:uid="{00000000-0005-0000-0000-0000D6390000}"/>
    <cellStyle name="20% - Accent5 7 2 4 3 2" xfId="14681" xr:uid="{00000000-0005-0000-0000-0000D7390000}"/>
    <cellStyle name="20% - Accent5 7 2 4 3 2 2" xfId="26538" xr:uid="{00000000-0005-0000-0000-0000D8390000}"/>
    <cellStyle name="20% - Accent5 7 2 4 3 3" xfId="18632" xr:uid="{00000000-0005-0000-0000-0000D9390000}"/>
    <cellStyle name="20% - Accent5 7 2 4 3 3 2" xfId="30324" xr:uid="{00000000-0005-0000-0000-0000DA390000}"/>
    <cellStyle name="20% - Accent5 7 2 4 3 4" xfId="22678" xr:uid="{00000000-0005-0000-0000-0000DB390000}"/>
    <cellStyle name="20% - Accent5 7 2 4 4" xfId="14679" xr:uid="{00000000-0005-0000-0000-0000DC390000}"/>
    <cellStyle name="20% - Accent5 7 2 4 4 2" xfId="26536" xr:uid="{00000000-0005-0000-0000-0000DD390000}"/>
    <cellStyle name="20% - Accent5 7 2 4 5" xfId="18630" xr:uid="{00000000-0005-0000-0000-0000DE390000}"/>
    <cellStyle name="20% - Accent5 7 2 4 5 2" xfId="30322" xr:uid="{00000000-0005-0000-0000-0000DF390000}"/>
    <cellStyle name="20% - Accent5 7 2 4 6" xfId="22676" xr:uid="{00000000-0005-0000-0000-0000E0390000}"/>
    <cellStyle name="20% - Accent5 7 2 5" xfId="3453" xr:uid="{00000000-0005-0000-0000-0000E1390000}"/>
    <cellStyle name="20% - Accent5 7 2 5 2" xfId="14682" xr:uid="{00000000-0005-0000-0000-0000E2390000}"/>
    <cellStyle name="20% - Accent5 7 2 5 2 2" xfId="26539" xr:uid="{00000000-0005-0000-0000-0000E3390000}"/>
    <cellStyle name="20% - Accent5 7 2 5 3" xfId="18633" xr:uid="{00000000-0005-0000-0000-0000E4390000}"/>
    <cellStyle name="20% - Accent5 7 2 5 3 2" xfId="30325" xr:uid="{00000000-0005-0000-0000-0000E5390000}"/>
    <cellStyle name="20% - Accent5 7 2 5 4" xfId="22679" xr:uid="{00000000-0005-0000-0000-0000E6390000}"/>
    <cellStyle name="20% - Accent5 7 2 6" xfId="3454" xr:uid="{00000000-0005-0000-0000-0000E7390000}"/>
    <cellStyle name="20% - Accent5 7 2 6 2" xfId="14683" xr:uid="{00000000-0005-0000-0000-0000E8390000}"/>
    <cellStyle name="20% - Accent5 7 2 6 2 2" xfId="26540" xr:uid="{00000000-0005-0000-0000-0000E9390000}"/>
    <cellStyle name="20% - Accent5 7 2 6 3" xfId="18634" xr:uid="{00000000-0005-0000-0000-0000EA390000}"/>
    <cellStyle name="20% - Accent5 7 2 6 3 2" xfId="30326" xr:uid="{00000000-0005-0000-0000-0000EB390000}"/>
    <cellStyle name="20% - Accent5 7 2 6 4" xfId="22680" xr:uid="{00000000-0005-0000-0000-0000EC390000}"/>
    <cellStyle name="20% - Accent5 7 2 7" xfId="14672" xr:uid="{00000000-0005-0000-0000-0000ED390000}"/>
    <cellStyle name="20% - Accent5 7 2 7 2" xfId="26529" xr:uid="{00000000-0005-0000-0000-0000EE390000}"/>
    <cellStyle name="20% - Accent5 7 2 8" xfId="18623" xr:uid="{00000000-0005-0000-0000-0000EF390000}"/>
    <cellStyle name="20% - Accent5 7 2 8 2" xfId="30315" xr:uid="{00000000-0005-0000-0000-0000F0390000}"/>
    <cellStyle name="20% - Accent5 7 2 9" xfId="22669" xr:uid="{00000000-0005-0000-0000-0000F1390000}"/>
    <cellStyle name="20% - Accent5 7 2_Volatility" xfId="3455" xr:uid="{00000000-0005-0000-0000-0000F2390000}"/>
    <cellStyle name="20% - Accent5 7 3" xfId="3456" xr:uid="{00000000-0005-0000-0000-0000F3390000}"/>
    <cellStyle name="20% - Accent5 7 3 2" xfId="3457" xr:uid="{00000000-0005-0000-0000-0000F4390000}"/>
    <cellStyle name="20% - Accent5 7 3 2 2" xfId="3458" xr:uid="{00000000-0005-0000-0000-0000F5390000}"/>
    <cellStyle name="20% - Accent5 7 3 2 2 2" xfId="14686" xr:uid="{00000000-0005-0000-0000-0000F6390000}"/>
    <cellStyle name="20% - Accent5 7 3 2 2 2 2" xfId="26543" xr:uid="{00000000-0005-0000-0000-0000F7390000}"/>
    <cellStyle name="20% - Accent5 7 3 2 2 3" xfId="18637" xr:uid="{00000000-0005-0000-0000-0000F8390000}"/>
    <cellStyle name="20% - Accent5 7 3 2 2 3 2" xfId="30329" xr:uid="{00000000-0005-0000-0000-0000F9390000}"/>
    <cellStyle name="20% - Accent5 7 3 2 2 4" xfId="22683" xr:uid="{00000000-0005-0000-0000-0000FA390000}"/>
    <cellStyle name="20% - Accent5 7 3 2 3" xfId="3459" xr:uid="{00000000-0005-0000-0000-0000FB390000}"/>
    <cellStyle name="20% - Accent5 7 3 2 3 2" xfId="14687" xr:uid="{00000000-0005-0000-0000-0000FC390000}"/>
    <cellStyle name="20% - Accent5 7 3 2 3 2 2" xfId="26544" xr:uid="{00000000-0005-0000-0000-0000FD390000}"/>
    <cellStyle name="20% - Accent5 7 3 2 3 3" xfId="18638" xr:uid="{00000000-0005-0000-0000-0000FE390000}"/>
    <cellStyle name="20% - Accent5 7 3 2 3 3 2" xfId="30330" xr:uid="{00000000-0005-0000-0000-0000FF390000}"/>
    <cellStyle name="20% - Accent5 7 3 2 3 4" xfId="22684" xr:uid="{00000000-0005-0000-0000-0000003A0000}"/>
    <cellStyle name="20% - Accent5 7 3 2 4" xfId="14685" xr:uid="{00000000-0005-0000-0000-0000013A0000}"/>
    <cellStyle name="20% - Accent5 7 3 2 4 2" xfId="26542" xr:uid="{00000000-0005-0000-0000-0000023A0000}"/>
    <cellStyle name="20% - Accent5 7 3 2 5" xfId="18636" xr:uid="{00000000-0005-0000-0000-0000033A0000}"/>
    <cellStyle name="20% - Accent5 7 3 2 5 2" xfId="30328" xr:uid="{00000000-0005-0000-0000-0000043A0000}"/>
    <cellStyle name="20% - Accent5 7 3 2 6" xfId="22682" xr:uid="{00000000-0005-0000-0000-0000053A0000}"/>
    <cellStyle name="20% - Accent5 7 3 3" xfId="3460" xr:uid="{00000000-0005-0000-0000-0000063A0000}"/>
    <cellStyle name="20% - Accent5 7 3 3 2" xfId="3461" xr:uid="{00000000-0005-0000-0000-0000073A0000}"/>
    <cellStyle name="20% - Accent5 7 3 3 2 2" xfId="14689" xr:uid="{00000000-0005-0000-0000-0000083A0000}"/>
    <cellStyle name="20% - Accent5 7 3 3 2 2 2" xfId="26546" xr:uid="{00000000-0005-0000-0000-0000093A0000}"/>
    <cellStyle name="20% - Accent5 7 3 3 2 3" xfId="18640" xr:uid="{00000000-0005-0000-0000-00000A3A0000}"/>
    <cellStyle name="20% - Accent5 7 3 3 2 3 2" xfId="30332" xr:uid="{00000000-0005-0000-0000-00000B3A0000}"/>
    <cellStyle name="20% - Accent5 7 3 3 2 4" xfId="22686" xr:uid="{00000000-0005-0000-0000-00000C3A0000}"/>
    <cellStyle name="20% - Accent5 7 3 3 3" xfId="3462" xr:uid="{00000000-0005-0000-0000-00000D3A0000}"/>
    <cellStyle name="20% - Accent5 7 3 3 3 2" xfId="14690" xr:uid="{00000000-0005-0000-0000-00000E3A0000}"/>
    <cellStyle name="20% - Accent5 7 3 3 3 2 2" xfId="26547" xr:uid="{00000000-0005-0000-0000-00000F3A0000}"/>
    <cellStyle name="20% - Accent5 7 3 3 3 3" xfId="18641" xr:uid="{00000000-0005-0000-0000-0000103A0000}"/>
    <cellStyle name="20% - Accent5 7 3 3 3 3 2" xfId="30333" xr:uid="{00000000-0005-0000-0000-0000113A0000}"/>
    <cellStyle name="20% - Accent5 7 3 3 3 4" xfId="22687" xr:uid="{00000000-0005-0000-0000-0000123A0000}"/>
    <cellStyle name="20% - Accent5 7 3 3 4" xfId="14688" xr:uid="{00000000-0005-0000-0000-0000133A0000}"/>
    <cellStyle name="20% - Accent5 7 3 3 4 2" xfId="26545" xr:uid="{00000000-0005-0000-0000-0000143A0000}"/>
    <cellStyle name="20% - Accent5 7 3 3 5" xfId="18639" xr:uid="{00000000-0005-0000-0000-0000153A0000}"/>
    <cellStyle name="20% - Accent5 7 3 3 5 2" xfId="30331" xr:uid="{00000000-0005-0000-0000-0000163A0000}"/>
    <cellStyle name="20% - Accent5 7 3 3 6" xfId="22685" xr:uid="{00000000-0005-0000-0000-0000173A0000}"/>
    <cellStyle name="20% - Accent5 7 3 4" xfId="3463" xr:uid="{00000000-0005-0000-0000-0000183A0000}"/>
    <cellStyle name="20% - Accent5 7 3 4 2" xfId="14691" xr:uid="{00000000-0005-0000-0000-0000193A0000}"/>
    <cellStyle name="20% - Accent5 7 3 4 2 2" xfId="26548" xr:uid="{00000000-0005-0000-0000-00001A3A0000}"/>
    <cellStyle name="20% - Accent5 7 3 4 3" xfId="18642" xr:uid="{00000000-0005-0000-0000-00001B3A0000}"/>
    <cellStyle name="20% - Accent5 7 3 4 3 2" xfId="30334" xr:uid="{00000000-0005-0000-0000-00001C3A0000}"/>
    <cellStyle name="20% - Accent5 7 3 4 4" xfId="22688" xr:uid="{00000000-0005-0000-0000-00001D3A0000}"/>
    <cellStyle name="20% - Accent5 7 3 5" xfId="3464" xr:uid="{00000000-0005-0000-0000-00001E3A0000}"/>
    <cellStyle name="20% - Accent5 7 3 5 2" xfId="14692" xr:uid="{00000000-0005-0000-0000-00001F3A0000}"/>
    <cellStyle name="20% - Accent5 7 3 5 2 2" xfId="26549" xr:uid="{00000000-0005-0000-0000-0000203A0000}"/>
    <cellStyle name="20% - Accent5 7 3 5 3" xfId="18643" xr:uid="{00000000-0005-0000-0000-0000213A0000}"/>
    <cellStyle name="20% - Accent5 7 3 5 3 2" xfId="30335" xr:uid="{00000000-0005-0000-0000-0000223A0000}"/>
    <cellStyle name="20% - Accent5 7 3 5 4" xfId="22689" xr:uid="{00000000-0005-0000-0000-0000233A0000}"/>
    <cellStyle name="20% - Accent5 7 3 6" xfId="14684" xr:uid="{00000000-0005-0000-0000-0000243A0000}"/>
    <cellStyle name="20% - Accent5 7 3 6 2" xfId="26541" xr:uid="{00000000-0005-0000-0000-0000253A0000}"/>
    <cellStyle name="20% - Accent5 7 3 7" xfId="18635" xr:uid="{00000000-0005-0000-0000-0000263A0000}"/>
    <cellStyle name="20% - Accent5 7 3 7 2" xfId="30327" xr:uid="{00000000-0005-0000-0000-0000273A0000}"/>
    <cellStyle name="20% - Accent5 7 3 8" xfId="22681" xr:uid="{00000000-0005-0000-0000-0000283A0000}"/>
    <cellStyle name="20% - Accent5 7 3_Volatility" xfId="3465" xr:uid="{00000000-0005-0000-0000-0000293A0000}"/>
    <cellStyle name="20% - Accent5 7 4" xfId="3466" xr:uid="{00000000-0005-0000-0000-00002A3A0000}"/>
    <cellStyle name="20% - Accent5 7 4 2" xfId="3467" xr:uid="{00000000-0005-0000-0000-00002B3A0000}"/>
    <cellStyle name="20% - Accent5 7 4 2 2" xfId="14694" xr:uid="{00000000-0005-0000-0000-00002C3A0000}"/>
    <cellStyle name="20% - Accent5 7 4 2 2 2" xfId="26551" xr:uid="{00000000-0005-0000-0000-00002D3A0000}"/>
    <cellStyle name="20% - Accent5 7 4 2 3" xfId="18645" xr:uid="{00000000-0005-0000-0000-00002E3A0000}"/>
    <cellStyle name="20% - Accent5 7 4 2 3 2" xfId="30337" xr:uid="{00000000-0005-0000-0000-00002F3A0000}"/>
    <cellStyle name="20% - Accent5 7 4 2 4" xfId="22691" xr:uid="{00000000-0005-0000-0000-0000303A0000}"/>
    <cellStyle name="20% - Accent5 7 4 3" xfId="3468" xr:uid="{00000000-0005-0000-0000-0000313A0000}"/>
    <cellStyle name="20% - Accent5 7 4 3 2" xfId="14695" xr:uid="{00000000-0005-0000-0000-0000323A0000}"/>
    <cellStyle name="20% - Accent5 7 4 3 2 2" xfId="26552" xr:uid="{00000000-0005-0000-0000-0000333A0000}"/>
    <cellStyle name="20% - Accent5 7 4 3 3" xfId="18646" xr:uid="{00000000-0005-0000-0000-0000343A0000}"/>
    <cellStyle name="20% - Accent5 7 4 3 3 2" xfId="30338" xr:uid="{00000000-0005-0000-0000-0000353A0000}"/>
    <cellStyle name="20% - Accent5 7 4 3 4" xfId="22692" xr:uid="{00000000-0005-0000-0000-0000363A0000}"/>
    <cellStyle name="20% - Accent5 7 4 4" xfId="14693" xr:uid="{00000000-0005-0000-0000-0000373A0000}"/>
    <cellStyle name="20% - Accent5 7 4 4 2" xfId="26550" xr:uid="{00000000-0005-0000-0000-0000383A0000}"/>
    <cellStyle name="20% - Accent5 7 4 5" xfId="18644" xr:uid="{00000000-0005-0000-0000-0000393A0000}"/>
    <cellStyle name="20% - Accent5 7 4 5 2" xfId="30336" xr:uid="{00000000-0005-0000-0000-00003A3A0000}"/>
    <cellStyle name="20% - Accent5 7 4 6" xfId="22690" xr:uid="{00000000-0005-0000-0000-00003B3A0000}"/>
    <cellStyle name="20% - Accent5 7 5" xfId="3469" xr:uid="{00000000-0005-0000-0000-00003C3A0000}"/>
    <cellStyle name="20% - Accent5 7 5 2" xfId="3470" xr:uid="{00000000-0005-0000-0000-00003D3A0000}"/>
    <cellStyle name="20% - Accent5 7 5 2 2" xfId="14697" xr:uid="{00000000-0005-0000-0000-00003E3A0000}"/>
    <cellStyle name="20% - Accent5 7 5 2 2 2" xfId="26554" xr:uid="{00000000-0005-0000-0000-00003F3A0000}"/>
    <cellStyle name="20% - Accent5 7 5 2 3" xfId="18648" xr:uid="{00000000-0005-0000-0000-0000403A0000}"/>
    <cellStyle name="20% - Accent5 7 5 2 3 2" xfId="30340" xr:uid="{00000000-0005-0000-0000-0000413A0000}"/>
    <cellStyle name="20% - Accent5 7 5 2 4" xfId="22694" xr:uid="{00000000-0005-0000-0000-0000423A0000}"/>
    <cellStyle name="20% - Accent5 7 5 3" xfId="3471" xr:uid="{00000000-0005-0000-0000-0000433A0000}"/>
    <cellStyle name="20% - Accent5 7 5 3 2" xfId="14698" xr:uid="{00000000-0005-0000-0000-0000443A0000}"/>
    <cellStyle name="20% - Accent5 7 5 3 2 2" xfId="26555" xr:uid="{00000000-0005-0000-0000-0000453A0000}"/>
    <cellStyle name="20% - Accent5 7 5 3 3" xfId="18649" xr:uid="{00000000-0005-0000-0000-0000463A0000}"/>
    <cellStyle name="20% - Accent5 7 5 3 3 2" xfId="30341" xr:uid="{00000000-0005-0000-0000-0000473A0000}"/>
    <cellStyle name="20% - Accent5 7 5 3 4" xfId="22695" xr:uid="{00000000-0005-0000-0000-0000483A0000}"/>
    <cellStyle name="20% - Accent5 7 5 4" xfId="14696" xr:uid="{00000000-0005-0000-0000-0000493A0000}"/>
    <cellStyle name="20% - Accent5 7 5 4 2" xfId="26553" xr:uid="{00000000-0005-0000-0000-00004A3A0000}"/>
    <cellStyle name="20% - Accent5 7 5 5" xfId="18647" xr:uid="{00000000-0005-0000-0000-00004B3A0000}"/>
    <cellStyle name="20% - Accent5 7 5 5 2" xfId="30339" xr:uid="{00000000-0005-0000-0000-00004C3A0000}"/>
    <cellStyle name="20% - Accent5 7 5 6" xfId="22693" xr:uid="{00000000-0005-0000-0000-00004D3A0000}"/>
    <cellStyle name="20% - Accent5 7 6" xfId="3472" xr:uid="{00000000-0005-0000-0000-00004E3A0000}"/>
    <cellStyle name="20% - Accent5 7 6 2" xfId="3473" xr:uid="{00000000-0005-0000-0000-00004F3A0000}"/>
    <cellStyle name="20% - Accent5 7 6 2 2" xfId="14700" xr:uid="{00000000-0005-0000-0000-0000503A0000}"/>
    <cellStyle name="20% - Accent5 7 6 2 2 2" xfId="26557" xr:uid="{00000000-0005-0000-0000-0000513A0000}"/>
    <cellStyle name="20% - Accent5 7 6 2 3" xfId="18651" xr:uid="{00000000-0005-0000-0000-0000523A0000}"/>
    <cellStyle name="20% - Accent5 7 6 2 3 2" xfId="30343" xr:uid="{00000000-0005-0000-0000-0000533A0000}"/>
    <cellStyle name="20% - Accent5 7 6 2 4" xfId="22697" xr:uid="{00000000-0005-0000-0000-0000543A0000}"/>
    <cellStyle name="20% - Accent5 7 6 3" xfId="3474" xr:uid="{00000000-0005-0000-0000-0000553A0000}"/>
    <cellStyle name="20% - Accent5 7 6 3 2" xfId="14701" xr:uid="{00000000-0005-0000-0000-0000563A0000}"/>
    <cellStyle name="20% - Accent5 7 6 3 2 2" xfId="26558" xr:uid="{00000000-0005-0000-0000-0000573A0000}"/>
    <cellStyle name="20% - Accent5 7 6 3 3" xfId="18652" xr:uid="{00000000-0005-0000-0000-0000583A0000}"/>
    <cellStyle name="20% - Accent5 7 6 3 3 2" xfId="30344" xr:uid="{00000000-0005-0000-0000-0000593A0000}"/>
    <cellStyle name="20% - Accent5 7 6 3 4" xfId="22698" xr:uid="{00000000-0005-0000-0000-00005A3A0000}"/>
    <cellStyle name="20% - Accent5 7 6 4" xfId="14699" xr:uid="{00000000-0005-0000-0000-00005B3A0000}"/>
    <cellStyle name="20% - Accent5 7 6 4 2" xfId="26556" xr:uid="{00000000-0005-0000-0000-00005C3A0000}"/>
    <cellStyle name="20% - Accent5 7 6 5" xfId="18650" xr:uid="{00000000-0005-0000-0000-00005D3A0000}"/>
    <cellStyle name="20% - Accent5 7 6 5 2" xfId="30342" xr:uid="{00000000-0005-0000-0000-00005E3A0000}"/>
    <cellStyle name="20% - Accent5 7 6 6" xfId="22696" xr:uid="{00000000-0005-0000-0000-00005F3A0000}"/>
    <cellStyle name="20% - Accent5 7 7" xfId="3475" xr:uid="{00000000-0005-0000-0000-0000603A0000}"/>
    <cellStyle name="20% - Accent5 7 7 2" xfId="14702" xr:uid="{00000000-0005-0000-0000-0000613A0000}"/>
    <cellStyle name="20% - Accent5 7 7 2 2" xfId="26559" xr:uid="{00000000-0005-0000-0000-0000623A0000}"/>
    <cellStyle name="20% - Accent5 7 7 3" xfId="18653" xr:uid="{00000000-0005-0000-0000-0000633A0000}"/>
    <cellStyle name="20% - Accent5 7 7 3 2" xfId="30345" xr:uid="{00000000-0005-0000-0000-0000643A0000}"/>
    <cellStyle name="20% - Accent5 7 7 4" xfId="22699" xr:uid="{00000000-0005-0000-0000-0000653A0000}"/>
    <cellStyle name="20% - Accent5 7 8" xfId="3476" xr:uid="{00000000-0005-0000-0000-0000663A0000}"/>
    <cellStyle name="20% - Accent5 7 8 2" xfId="14703" xr:uid="{00000000-0005-0000-0000-0000673A0000}"/>
    <cellStyle name="20% - Accent5 7 8 2 2" xfId="26560" xr:uid="{00000000-0005-0000-0000-0000683A0000}"/>
    <cellStyle name="20% - Accent5 7 8 3" xfId="18654" xr:uid="{00000000-0005-0000-0000-0000693A0000}"/>
    <cellStyle name="20% - Accent5 7 8 3 2" xfId="30346" xr:uid="{00000000-0005-0000-0000-00006A3A0000}"/>
    <cellStyle name="20% - Accent5 7 8 4" xfId="22700" xr:uid="{00000000-0005-0000-0000-00006B3A0000}"/>
    <cellStyle name="20% - Accent5 7 9" xfId="14671" xr:uid="{00000000-0005-0000-0000-00006C3A0000}"/>
    <cellStyle name="20% - Accent5 7 9 2" xfId="26528" xr:uid="{00000000-0005-0000-0000-00006D3A0000}"/>
    <cellStyle name="20% - Accent5 7_Volatility" xfId="3477" xr:uid="{00000000-0005-0000-0000-00006E3A0000}"/>
    <cellStyle name="20% - Accent5 8" xfId="3478" xr:uid="{00000000-0005-0000-0000-00006F3A0000}"/>
    <cellStyle name="20% - Accent5 8 10" xfId="18655" xr:uid="{00000000-0005-0000-0000-0000703A0000}"/>
    <cellStyle name="20% - Accent5 8 10 2" xfId="30347" xr:uid="{00000000-0005-0000-0000-0000713A0000}"/>
    <cellStyle name="20% - Accent5 8 11" xfId="22701" xr:uid="{00000000-0005-0000-0000-0000723A0000}"/>
    <cellStyle name="20% - Accent5 8 2" xfId="3479" xr:uid="{00000000-0005-0000-0000-0000733A0000}"/>
    <cellStyle name="20% - Accent5 8 2 2" xfId="3480" xr:uid="{00000000-0005-0000-0000-0000743A0000}"/>
    <cellStyle name="20% - Accent5 8 2 2 2" xfId="3481" xr:uid="{00000000-0005-0000-0000-0000753A0000}"/>
    <cellStyle name="20% - Accent5 8 2 2 2 2" xfId="14707" xr:uid="{00000000-0005-0000-0000-0000763A0000}"/>
    <cellStyle name="20% - Accent5 8 2 2 2 2 2" xfId="26564" xr:uid="{00000000-0005-0000-0000-0000773A0000}"/>
    <cellStyle name="20% - Accent5 8 2 2 2 3" xfId="18658" xr:uid="{00000000-0005-0000-0000-0000783A0000}"/>
    <cellStyle name="20% - Accent5 8 2 2 2 3 2" xfId="30350" xr:uid="{00000000-0005-0000-0000-0000793A0000}"/>
    <cellStyle name="20% - Accent5 8 2 2 2 4" xfId="22704" xr:uid="{00000000-0005-0000-0000-00007A3A0000}"/>
    <cellStyle name="20% - Accent5 8 2 2 3" xfId="3482" xr:uid="{00000000-0005-0000-0000-00007B3A0000}"/>
    <cellStyle name="20% - Accent5 8 2 2 3 2" xfId="14708" xr:uid="{00000000-0005-0000-0000-00007C3A0000}"/>
    <cellStyle name="20% - Accent5 8 2 2 3 2 2" xfId="26565" xr:uid="{00000000-0005-0000-0000-00007D3A0000}"/>
    <cellStyle name="20% - Accent5 8 2 2 3 3" xfId="18659" xr:uid="{00000000-0005-0000-0000-00007E3A0000}"/>
    <cellStyle name="20% - Accent5 8 2 2 3 3 2" xfId="30351" xr:uid="{00000000-0005-0000-0000-00007F3A0000}"/>
    <cellStyle name="20% - Accent5 8 2 2 3 4" xfId="22705" xr:uid="{00000000-0005-0000-0000-0000803A0000}"/>
    <cellStyle name="20% - Accent5 8 2 2 4" xfId="14706" xr:uid="{00000000-0005-0000-0000-0000813A0000}"/>
    <cellStyle name="20% - Accent5 8 2 2 4 2" xfId="26563" xr:uid="{00000000-0005-0000-0000-0000823A0000}"/>
    <cellStyle name="20% - Accent5 8 2 2 5" xfId="18657" xr:uid="{00000000-0005-0000-0000-0000833A0000}"/>
    <cellStyle name="20% - Accent5 8 2 2 5 2" xfId="30349" xr:uid="{00000000-0005-0000-0000-0000843A0000}"/>
    <cellStyle name="20% - Accent5 8 2 2 6" xfId="22703" xr:uid="{00000000-0005-0000-0000-0000853A0000}"/>
    <cellStyle name="20% - Accent5 8 2 3" xfId="3483" xr:uid="{00000000-0005-0000-0000-0000863A0000}"/>
    <cellStyle name="20% - Accent5 8 2 3 2" xfId="3484" xr:uid="{00000000-0005-0000-0000-0000873A0000}"/>
    <cellStyle name="20% - Accent5 8 2 3 2 2" xfId="14710" xr:uid="{00000000-0005-0000-0000-0000883A0000}"/>
    <cellStyle name="20% - Accent5 8 2 3 2 2 2" xfId="26567" xr:uid="{00000000-0005-0000-0000-0000893A0000}"/>
    <cellStyle name="20% - Accent5 8 2 3 2 3" xfId="18661" xr:uid="{00000000-0005-0000-0000-00008A3A0000}"/>
    <cellStyle name="20% - Accent5 8 2 3 2 3 2" xfId="30353" xr:uid="{00000000-0005-0000-0000-00008B3A0000}"/>
    <cellStyle name="20% - Accent5 8 2 3 2 4" xfId="22707" xr:uid="{00000000-0005-0000-0000-00008C3A0000}"/>
    <cellStyle name="20% - Accent5 8 2 3 3" xfId="3485" xr:uid="{00000000-0005-0000-0000-00008D3A0000}"/>
    <cellStyle name="20% - Accent5 8 2 3 3 2" xfId="14711" xr:uid="{00000000-0005-0000-0000-00008E3A0000}"/>
    <cellStyle name="20% - Accent5 8 2 3 3 2 2" xfId="26568" xr:uid="{00000000-0005-0000-0000-00008F3A0000}"/>
    <cellStyle name="20% - Accent5 8 2 3 3 3" xfId="18662" xr:uid="{00000000-0005-0000-0000-0000903A0000}"/>
    <cellStyle name="20% - Accent5 8 2 3 3 3 2" xfId="30354" xr:uid="{00000000-0005-0000-0000-0000913A0000}"/>
    <cellStyle name="20% - Accent5 8 2 3 3 4" xfId="22708" xr:uid="{00000000-0005-0000-0000-0000923A0000}"/>
    <cellStyle name="20% - Accent5 8 2 3 4" xfId="14709" xr:uid="{00000000-0005-0000-0000-0000933A0000}"/>
    <cellStyle name="20% - Accent5 8 2 3 4 2" xfId="26566" xr:uid="{00000000-0005-0000-0000-0000943A0000}"/>
    <cellStyle name="20% - Accent5 8 2 3 5" xfId="18660" xr:uid="{00000000-0005-0000-0000-0000953A0000}"/>
    <cellStyle name="20% - Accent5 8 2 3 5 2" xfId="30352" xr:uid="{00000000-0005-0000-0000-0000963A0000}"/>
    <cellStyle name="20% - Accent5 8 2 3 6" xfId="22706" xr:uid="{00000000-0005-0000-0000-0000973A0000}"/>
    <cellStyle name="20% - Accent5 8 2 4" xfId="3486" xr:uid="{00000000-0005-0000-0000-0000983A0000}"/>
    <cellStyle name="20% - Accent5 8 2 4 2" xfId="3487" xr:uid="{00000000-0005-0000-0000-0000993A0000}"/>
    <cellStyle name="20% - Accent5 8 2 4 2 2" xfId="14713" xr:uid="{00000000-0005-0000-0000-00009A3A0000}"/>
    <cellStyle name="20% - Accent5 8 2 4 2 2 2" xfId="26570" xr:uid="{00000000-0005-0000-0000-00009B3A0000}"/>
    <cellStyle name="20% - Accent5 8 2 4 2 3" xfId="18664" xr:uid="{00000000-0005-0000-0000-00009C3A0000}"/>
    <cellStyle name="20% - Accent5 8 2 4 2 3 2" xfId="30356" xr:uid="{00000000-0005-0000-0000-00009D3A0000}"/>
    <cellStyle name="20% - Accent5 8 2 4 2 4" xfId="22710" xr:uid="{00000000-0005-0000-0000-00009E3A0000}"/>
    <cellStyle name="20% - Accent5 8 2 4 3" xfId="3488" xr:uid="{00000000-0005-0000-0000-00009F3A0000}"/>
    <cellStyle name="20% - Accent5 8 2 4 3 2" xfId="14714" xr:uid="{00000000-0005-0000-0000-0000A03A0000}"/>
    <cellStyle name="20% - Accent5 8 2 4 3 2 2" xfId="26571" xr:uid="{00000000-0005-0000-0000-0000A13A0000}"/>
    <cellStyle name="20% - Accent5 8 2 4 3 3" xfId="18665" xr:uid="{00000000-0005-0000-0000-0000A23A0000}"/>
    <cellStyle name="20% - Accent5 8 2 4 3 3 2" xfId="30357" xr:uid="{00000000-0005-0000-0000-0000A33A0000}"/>
    <cellStyle name="20% - Accent5 8 2 4 3 4" xfId="22711" xr:uid="{00000000-0005-0000-0000-0000A43A0000}"/>
    <cellStyle name="20% - Accent5 8 2 4 4" xfId="14712" xr:uid="{00000000-0005-0000-0000-0000A53A0000}"/>
    <cellStyle name="20% - Accent5 8 2 4 4 2" xfId="26569" xr:uid="{00000000-0005-0000-0000-0000A63A0000}"/>
    <cellStyle name="20% - Accent5 8 2 4 5" xfId="18663" xr:uid="{00000000-0005-0000-0000-0000A73A0000}"/>
    <cellStyle name="20% - Accent5 8 2 4 5 2" xfId="30355" xr:uid="{00000000-0005-0000-0000-0000A83A0000}"/>
    <cellStyle name="20% - Accent5 8 2 4 6" xfId="22709" xr:uid="{00000000-0005-0000-0000-0000A93A0000}"/>
    <cellStyle name="20% - Accent5 8 2 5" xfId="3489" xr:uid="{00000000-0005-0000-0000-0000AA3A0000}"/>
    <cellStyle name="20% - Accent5 8 2 5 2" xfId="14715" xr:uid="{00000000-0005-0000-0000-0000AB3A0000}"/>
    <cellStyle name="20% - Accent5 8 2 5 2 2" xfId="26572" xr:uid="{00000000-0005-0000-0000-0000AC3A0000}"/>
    <cellStyle name="20% - Accent5 8 2 5 3" xfId="18666" xr:uid="{00000000-0005-0000-0000-0000AD3A0000}"/>
    <cellStyle name="20% - Accent5 8 2 5 3 2" xfId="30358" xr:uid="{00000000-0005-0000-0000-0000AE3A0000}"/>
    <cellStyle name="20% - Accent5 8 2 5 4" xfId="22712" xr:uid="{00000000-0005-0000-0000-0000AF3A0000}"/>
    <cellStyle name="20% - Accent5 8 2 6" xfId="3490" xr:uid="{00000000-0005-0000-0000-0000B03A0000}"/>
    <cellStyle name="20% - Accent5 8 2 6 2" xfId="14716" xr:uid="{00000000-0005-0000-0000-0000B13A0000}"/>
    <cellStyle name="20% - Accent5 8 2 6 2 2" xfId="26573" xr:uid="{00000000-0005-0000-0000-0000B23A0000}"/>
    <cellStyle name="20% - Accent5 8 2 6 3" xfId="18667" xr:uid="{00000000-0005-0000-0000-0000B33A0000}"/>
    <cellStyle name="20% - Accent5 8 2 6 3 2" xfId="30359" xr:uid="{00000000-0005-0000-0000-0000B43A0000}"/>
    <cellStyle name="20% - Accent5 8 2 6 4" xfId="22713" xr:uid="{00000000-0005-0000-0000-0000B53A0000}"/>
    <cellStyle name="20% - Accent5 8 2 7" xfId="14705" xr:uid="{00000000-0005-0000-0000-0000B63A0000}"/>
    <cellStyle name="20% - Accent5 8 2 7 2" xfId="26562" xr:uid="{00000000-0005-0000-0000-0000B73A0000}"/>
    <cellStyle name="20% - Accent5 8 2 8" xfId="18656" xr:uid="{00000000-0005-0000-0000-0000B83A0000}"/>
    <cellStyle name="20% - Accent5 8 2 8 2" xfId="30348" xr:uid="{00000000-0005-0000-0000-0000B93A0000}"/>
    <cellStyle name="20% - Accent5 8 2 9" xfId="22702" xr:uid="{00000000-0005-0000-0000-0000BA3A0000}"/>
    <cellStyle name="20% - Accent5 8 2_Volatility" xfId="3491" xr:uid="{00000000-0005-0000-0000-0000BB3A0000}"/>
    <cellStyle name="20% - Accent5 8 3" xfId="3492" xr:uid="{00000000-0005-0000-0000-0000BC3A0000}"/>
    <cellStyle name="20% - Accent5 8 3 2" xfId="3493" xr:uid="{00000000-0005-0000-0000-0000BD3A0000}"/>
    <cellStyle name="20% - Accent5 8 3 2 2" xfId="3494" xr:uid="{00000000-0005-0000-0000-0000BE3A0000}"/>
    <cellStyle name="20% - Accent5 8 3 2 2 2" xfId="14719" xr:uid="{00000000-0005-0000-0000-0000BF3A0000}"/>
    <cellStyle name="20% - Accent5 8 3 2 2 2 2" xfId="26576" xr:uid="{00000000-0005-0000-0000-0000C03A0000}"/>
    <cellStyle name="20% - Accent5 8 3 2 2 3" xfId="18670" xr:uid="{00000000-0005-0000-0000-0000C13A0000}"/>
    <cellStyle name="20% - Accent5 8 3 2 2 3 2" xfId="30362" xr:uid="{00000000-0005-0000-0000-0000C23A0000}"/>
    <cellStyle name="20% - Accent5 8 3 2 2 4" xfId="22716" xr:uid="{00000000-0005-0000-0000-0000C33A0000}"/>
    <cellStyle name="20% - Accent5 8 3 2 3" xfId="3495" xr:uid="{00000000-0005-0000-0000-0000C43A0000}"/>
    <cellStyle name="20% - Accent5 8 3 2 3 2" xfId="14720" xr:uid="{00000000-0005-0000-0000-0000C53A0000}"/>
    <cellStyle name="20% - Accent5 8 3 2 3 2 2" xfId="26577" xr:uid="{00000000-0005-0000-0000-0000C63A0000}"/>
    <cellStyle name="20% - Accent5 8 3 2 3 3" xfId="18671" xr:uid="{00000000-0005-0000-0000-0000C73A0000}"/>
    <cellStyle name="20% - Accent5 8 3 2 3 3 2" xfId="30363" xr:uid="{00000000-0005-0000-0000-0000C83A0000}"/>
    <cellStyle name="20% - Accent5 8 3 2 3 4" xfId="22717" xr:uid="{00000000-0005-0000-0000-0000C93A0000}"/>
    <cellStyle name="20% - Accent5 8 3 2 4" xfId="14718" xr:uid="{00000000-0005-0000-0000-0000CA3A0000}"/>
    <cellStyle name="20% - Accent5 8 3 2 4 2" xfId="26575" xr:uid="{00000000-0005-0000-0000-0000CB3A0000}"/>
    <cellStyle name="20% - Accent5 8 3 2 5" xfId="18669" xr:uid="{00000000-0005-0000-0000-0000CC3A0000}"/>
    <cellStyle name="20% - Accent5 8 3 2 5 2" xfId="30361" xr:uid="{00000000-0005-0000-0000-0000CD3A0000}"/>
    <cellStyle name="20% - Accent5 8 3 2 6" xfId="22715" xr:uid="{00000000-0005-0000-0000-0000CE3A0000}"/>
    <cellStyle name="20% - Accent5 8 3 3" xfId="3496" xr:uid="{00000000-0005-0000-0000-0000CF3A0000}"/>
    <cellStyle name="20% - Accent5 8 3 3 2" xfId="3497" xr:uid="{00000000-0005-0000-0000-0000D03A0000}"/>
    <cellStyle name="20% - Accent5 8 3 3 2 2" xfId="14722" xr:uid="{00000000-0005-0000-0000-0000D13A0000}"/>
    <cellStyle name="20% - Accent5 8 3 3 2 2 2" xfId="26579" xr:uid="{00000000-0005-0000-0000-0000D23A0000}"/>
    <cellStyle name="20% - Accent5 8 3 3 2 3" xfId="18673" xr:uid="{00000000-0005-0000-0000-0000D33A0000}"/>
    <cellStyle name="20% - Accent5 8 3 3 2 3 2" xfId="30365" xr:uid="{00000000-0005-0000-0000-0000D43A0000}"/>
    <cellStyle name="20% - Accent5 8 3 3 2 4" xfId="22719" xr:uid="{00000000-0005-0000-0000-0000D53A0000}"/>
    <cellStyle name="20% - Accent5 8 3 3 3" xfId="3498" xr:uid="{00000000-0005-0000-0000-0000D63A0000}"/>
    <cellStyle name="20% - Accent5 8 3 3 3 2" xfId="14723" xr:uid="{00000000-0005-0000-0000-0000D73A0000}"/>
    <cellStyle name="20% - Accent5 8 3 3 3 2 2" xfId="26580" xr:uid="{00000000-0005-0000-0000-0000D83A0000}"/>
    <cellStyle name="20% - Accent5 8 3 3 3 3" xfId="18674" xr:uid="{00000000-0005-0000-0000-0000D93A0000}"/>
    <cellStyle name="20% - Accent5 8 3 3 3 3 2" xfId="30366" xr:uid="{00000000-0005-0000-0000-0000DA3A0000}"/>
    <cellStyle name="20% - Accent5 8 3 3 3 4" xfId="22720" xr:uid="{00000000-0005-0000-0000-0000DB3A0000}"/>
    <cellStyle name="20% - Accent5 8 3 3 4" xfId="14721" xr:uid="{00000000-0005-0000-0000-0000DC3A0000}"/>
    <cellStyle name="20% - Accent5 8 3 3 4 2" xfId="26578" xr:uid="{00000000-0005-0000-0000-0000DD3A0000}"/>
    <cellStyle name="20% - Accent5 8 3 3 5" xfId="18672" xr:uid="{00000000-0005-0000-0000-0000DE3A0000}"/>
    <cellStyle name="20% - Accent5 8 3 3 5 2" xfId="30364" xr:uid="{00000000-0005-0000-0000-0000DF3A0000}"/>
    <cellStyle name="20% - Accent5 8 3 3 6" xfId="22718" xr:uid="{00000000-0005-0000-0000-0000E03A0000}"/>
    <cellStyle name="20% - Accent5 8 3 4" xfId="3499" xr:uid="{00000000-0005-0000-0000-0000E13A0000}"/>
    <cellStyle name="20% - Accent5 8 3 4 2" xfId="14724" xr:uid="{00000000-0005-0000-0000-0000E23A0000}"/>
    <cellStyle name="20% - Accent5 8 3 4 2 2" xfId="26581" xr:uid="{00000000-0005-0000-0000-0000E33A0000}"/>
    <cellStyle name="20% - Accent5 8 3 4 3" xfId="18675" xr:uid="{00000000-0005-0000-0000-0000E43A0000}"/>
    <cellStyle name="20% - Accent5 8 3 4 3 2" xfId="30367" xr:uid="{00000000-0005-0000-0000-0000E53A0000}"/>
    <cellStyle name="20% - Accent5 8 3 4 4" xfId="22721" xr:uid="{00000000-0005-0000-0000-0000E63A0000}"/>
    <cellStyle name="20% - Accent5 8 3 5" xfId="3500" xr:uid="{00000000-0005-0000-0000-0000E73A0000}"/>
    <cellStyle name="20% - Accent5 8 3 5 2" xfId="14725" xr:uid="{00000000-0005-0000-0000-0000E83A0000}"/>
    <cellStyle name="20% - Accent5 8 3 5 2 2" xfId="26582" xr:uid="{00000000-0005-0000-0000-0000E93A0000}"/>
    <cellStyle name="20% - Accent5 8 3 5 3" xfId="18676" xr:uid="{00000000-0005-0000-0000-0000EA3A0000}"/>
    <cellStyle name="20% - Accent5 8 3 5 3 2" xfId="30368" xr:uid="{00000000-0005-0000-0000-0000EB3A0000}"/>
    <cellStyle name="20% - Accent5 8 3 5 4" xfId="22722" xr:uid="{00000000-0005-0000-0000-0000EC3A0000}"/>
    <cellStyle name="20% - Accent5 8 3 6" xfId="14717" xr:uid="{00000000-0005-0000-0000-0000ED3A0000}"/>
    <cellStyle name="20% - Accent5 8 3 6 2" xfId="26574" xr:uid="{00000000-0005-0000-0000-0000EE3A0000}"/>
    <cellStyle name="20% - Accent5 8 3 7" xfId="18668" xr:uid="{00000000-0005-0000-0000-0000EF3A0000}"/>
    <cellStyle name="20% - Accent5 8 3 7 2" xfId="30360" xr:uid="{00000000-0005-0000-0000-0000F03A0000}"/>
    <cellStyle name="20% - Accent5 8 3 8" xfId="22714" xr:uid="{00000000-0005-0000-0000-0000F13A0000}"/>
    <cellStyle name="20% - Accent5 8 3_Volatility" xfId="3501" xr:uid="{00000000-0005-0000-0000-0000F23A0000}"/>
    <cellStyle name="20% - Accent5 8 4" xfId="3502" xr:uid="{00000000-0005-0000-0000-0000F33A0000}"/>
    <cellStyle name="20% - Accent5 8 4 2" xfId="3503" xr:uid="{00000000-0005-0000-0000-0000F43A0000}"/>
    <cellStyle name="20% - Accent5 8 4 2 2" xfId="14727" xr:uid="{00000000-0005-0000-0000-0000F53A0000}"/>
    <cellStyle name="20% - Accent5 8 4 2 2 2" xfId="26584" xr:uid="{00000000-0005-0000-0000-0000F63A0000}"/>
    <cellStyle name="20% - Accent5 8 4 2 3" xfId="18678" xr:uid="{00000000-0005-0000-0000-0000F73A0000}"/>
    <cellStyle name="20% - Accent5 8 4 2 3 2" xfId="30370" xr:uid="{00000000-0005-0000-0000-0000F83A0000}"/>
    <cellStyle name="20% - Accent5 8 4 2 4" xfId="22724" xr:uid="{00000000-0005-0000-0000-0000F93A0000}"/>
    <cellStyle name="20% - Accent5 8 4 3" xfId="3504" xr:uid="{00000000-0005-0000-0000-0000FA3A0000}"/>
    <cellStyle name="20% - Accent5 8 4 3 2" xfId="14728" xr:uid="{00000000-0005-0000-0000-0000FB3A0000}"/>
    <cellStyle name="20% - Accent5 8 4 3 2 2" xfId="26585" xr:uid="{00000000-0005-0000-0000-0000FC3A0000}"/>
    <cellStyle name="20% - Accent5 8 4 3 3" xfId="18679" xr:uid="{00000000-0005-0000-0000-0000FD3A0000}"/>
    <cellStyle name="20% - Accent5 8 4 3 3 2" xfId="30371" xr:uid="{00000000-0005-0000-0000-0000FE3A0000}"/>
    <cellStyle name="20% - Accent5 8 4 3 4" xfId="22725" xr:uid="{00000000-0005-0000-0000-0000FF3A0000}"/>
    <cellStyle name="20% - Accent5 8 4 4" xfId="14726" xr:uid="{00000000-0005-0000-0000-0000003B0000}"/>
    <cellStyle name="20% - Accent5 8 4 4 2" xfId="26583" xr:uid="{00000000-0005-0000-0000-0000013B0000}"/>
    <cellStyle name="20% - Accent5 8 4 5" xfId="18677" xr:uid="{00000000-0005-0000-0000-0000023B0000}"/>
    <cellStyle name="20% - Accent5 8 4 5 2" xfId="30369" xr:uid="{00000000-0005-0000-0000-0000033B0000}"/>
    <cellStyle name="20% - Accent5 8 4 6" xfId="22723" xr:uid="{00000000-0005-0000-0000-0000043B0000}"/>
    <cellStyle name="20% - Accent5 8 5" xfId="3505" xr:uid="{00000000-0005-0000-0000-0000053B0000}"/>
    <cellStyle name="20% - Accent5 8 5 2" xfId="3506" xr:uid="{00000000-0005-0000-0000-0000063B0000}"/>
    <cellStyle name="20% - Accent5 8 5 2 2" xfId="14730" xr:uid="{00000000-0005-0000-0000-0000073B0000}"/>
    <cellStyle name="20% - Accent5 8 5 2 2 2" xfId="26587" xr:uid="{00000000-0005-0000-0000-0000083B0000}"/>
    <cellStyle name="20% - Accent5 8 5 2 3" xfId="18681" xr:uid="{00000000-0005-0000-0000-0000093B0000}"/>
    <cellStyle name="20% - Accent5 8 5 2 3 2" xfId="30373" xr:uid="{00000000-0005-0000-0000-00000A3B0000}"/>
    <cellStyle name="20% - Accent5 8 5 2 4" xfId="22727" xr:uid="{00000000-0005-0000-0000-00000B3B0000}"/>
    <cellStyle name="20% - Accent5 8 5 3" xfId="3507" xr:uid="{00000000-0005-0000-0000-00000C3B0000}"/>
    <cellStyle name="20% - Accent5 8 5 3 2" xfId="14731" xr:uid="{00000000-0005-0000-0000-00000D3B0000}"/>
    <cellStyle name="20% - Accent5 8 5 3 2 2" xfId="26588" xr:uid="{00000000-0005-0000-0000-00000E3B0000}"/>
    <cellStyle name="20% - Accent5 8 5 3 3" xfId="18682" xr:uid="{00000000-0005-0000-0000-00000F3B0000}"/>
    <cellStyle name="20% - Accent5 8 5 3 3 2" xfId="30374" xr:uid="{00000000-0005-0000-0000-0000103B0000}"/>
    <cellStyle name="20% - Accent5 8 5 3 4" xfId="22728" xr:uid="{00000000-0005-0000-0000-0000113B0000}"/>
    <cellStyle name="20% - Accent5 8 5 4" xfId="14729" xr:uid="{00000000-0005-0000-0000-0000123B0000}"/>
    <cellStyle name="20% - Accent5 8 5 4 2" xfId="26586" xr:uid="{00000000-0005-0000-0000-0000133B0000}"/>
    <cellStyle name="20% - Accent5 8 5 5" xfId="18680" xr:uid="{00000000-0005-0000-0000-0000143B0000}"/>
    <cellStyle name="20% - Accent5 8 5 5 2" xfId="30372" xr:uid="{00000000-0005-0000-0000-0000153B0000}"/>
    <cellStyle name="20% - Accent5 8 5 6" xfId="22726" xr:uid="{00000000-0005-0000-0000-0000163B0000}"/>
    <cellStyle name="20% - Accent5 8 6" xfId="3508" xr:uid="{00000000-0005-0000-0000-0000173B0000}"/>
    <cellStyle name="20% - Accent5 8 6 2" xfId="3509" xr:uid="{00000000-0005-0000-0000-0000183B0000}"/>
    <cellStyle name="20% - Accent5 8 6 2 2" xfId="14733" xr:uid="{00000000-0005-0000-0000-0000193B0000}"/>
    <cellStyle name="20% - Accent5 8 6 2 2 2" xfId="26590" xr:uid="{00000000-0005-0000-0000-00001A3B0000}"/>
    <cellStyle name="20% - Accent5 8 6 2 3" xfId="18684" xr:uid="{00000000-0005-0000-0000-00001B3B0000}"/>
    <cellStyle name="20% - Accent5 8 6 2 3 2" xfId="30376" xr:uid="{00000000-0005-0000-0000-00001C3B0000}"/>
    <cellStyle name="20% - Accent5 8 6 2 4" xfId="22730" xr:uid="{00000000-0005-0000-0000-00001D3B0000}"/>
    <cellStyle name="20% - Accent5 8 6 3" xfId="3510" xr:uid="{00000000-0005-0000-0000-00001E3B0000}"/>
    <cellStyle name="20% - Accent5 8 6 3 2" xfId="14734" xr:uid="{00000000-0005-0000-0000-00001F3B0000}"/>
    <cellStyle name="20% - Accent5 8 6 3 2 2" xfId="26591" xr:uid="{00000000-0005-0000-0000-0000203B0000}"/>
    <cellStyle name="20% - Accent5 8 6 3 3" xfId="18685" xr:uid="{00000000-0005-0000-0000-0000213B0000}"/>
    <cellStyle name="20% - Accent5 8 6 3 3 2" xfId="30377" xr:uid="{00000000-0005-0000-0000-0000223B0000}"/>
    <cellStyle name="20% - Accent5 8 6 3 4" xfId="22731" xr:uid="{00000000-0005-0000-0000-0000233B0000}"/>
    <cellStyle name="20% - Accent5 8 6 4" xfId="14732" xr:uid="{00000000-0005-0000-0000-0000243B0000}"/>
    <cellStyle name="20% - Accent5 8 6 4 2" xfId="26589" xr:uid="{00000000-0005-0000-0000-0000253B0000}"/>
    <cellStyle name="20% - Accent5 8 6 5" xfId="18683" xr:uid="{00000000-0005-0000-0000-0000263B0000}"/>
    <cellStyle name="20% - Accent5 8 6 5 2" xfId="30375" xr:uid="{00000000-0005-0000-0000-0000273B0000}"/>
    <cellStyle name="20% - Accent5 8 6 6" xfId="22729" xr:uid="{00000000-0005-0000-0000-0000283B0000}"/>
    <cellStyle name="20% - Accent5 8 7" xfId="3511" xr:uid="{00000000-0005-0000-0000-0000293B0000}"/>
    <cellStyle name="20% - Accent5 8 7 2" xfId="14735" xr:uid="{00000000-0005-0000-0000-00002A3B0000}"/>
    <cellStyle name="20% - Accent5 8 7 2 2" xfId="26592" xr:uid="{00000000-0005-0000-0000-00002B3B0000}"/>
    <cellStyle name="20% - Accent5 8 7 3" xfId="18686" xr:uid="{00000000-0005-0000-0000-00002C3B0000}"/>
    <cellStyle name="20% - Accent5 8 7 3 2" xfId="30378" xr:uid="{00000000-0005-0000-0000-00002D3B0000}"/>
    <cellStyle name="20% - Accent5 8 7 4" xfId="22732" xr:uid="{00000000-0005-0000-0000-00002E3B0000}"/>
    <cellStyle name="20% - Accent5 8 8" xfId="3512" xr:uid="{00000000-0005-0000-0000-00002F3B0000}"/>
    <cellStyle name="20% - Accent5 8 8 2" xfId="14736" xr:uid="{00000000-0005-0000-0000-0000303B0000}"/>
    <cellStyle name="20% - Accent5 8 8 2 2" xfId="26593" xr:uid="{00000000-0005-0000-0000-0000313B0000}"/>
    <cellStyle name="20% - Accent5 8 8 3" xfId="18687" xr:uid="{00000000-0005-0000-0000-0000323B0000}"/>
    <cellStyle name="20% - Accent5 8 8 3 2" xfId="30379" xr:uid="{00000000-0005-0000-0000-0000333B0000}"/>
    <cellStyle name="20% - Accent5 8 8 4" xfId="22733" xr:uid="{00000000-0005-0000-0000-0000343B0000}"/>
    <cellStyle name="20% - Accent5 8 9" xfId="14704" xr:uid="{00000000-0005-0000-0000-0000353B0000}"/>
    <cellStyle name="20% - Accent5 8 9 2" xfId="26561" xr:uid="{00000000-0005-0000-0000-0000363B0000}"/>
    <cellStyle name="20% - Accent5 8_Volatility" xfId="3513" xr:uid="{00000000-0005-0000-0000-0000373B0000}"/>
    <cellStyle name="20% - Accent5 9" xfId="3514" xr:uid="{00000000-0005-0000-0000-0000383B0000}"/>
    <cellStyle name="20% - Accent5 9 10" xfId="18688" xr:uid="{00000000-0005-0000-0000-0000393B0000}"/>
    <cellStyle name="20% - Accent5 9 10 2" xfId="30380" xr:uid="{00000000-0005-0000-0000-00003A3B0000}"/>
    <cellStyle name="20% - Accent5 9 11" xfId="22734" xr:uid="{00000000-0005-0000-0000-00003B3B0000}"/>
    <cellStyle name="20% - Accent5 9 2" xfId="3515" xr:uid="{00000000-0005-0000-0000-00003C3B0000}"/>
    <cellStyle name="20% - Accent5 9 2 2" xfId="3516" xr:uid="{00000000-0005-0000-0000-00003D3B0000}"/>
    <cellStyle name="20% - Accent5 9 2 2 2" xfId="3517" xr:uid="{00000000-0005-0000-0000-00003E3B0000}"/>
    <cellStyle name="20% - Accent5 9 2 2 2 2" xfId="14740" xr:uid="{00000000-0005-0000-0000-00003F3B0000}"/>
    <cellStyle name="20% - Accent5 9 2 2 2 2 2" xfId="26597" xr:uid="{00000000-0005-0000-0000-0000403B0000}"/>
    <cellStyle name="20% - Accent5 9 2 2 2 3" xfId="18691" xr:uid="{00000000-0005-0000-0000-0000413B0000}"/>
    <cellStyle name="20% - Accent5 9 2 2 2 3 2" xfId="30383" xr:uid="{00000000-0005-0000-0000-0000423B0000}"/>
    <cellStyle name="20% - Accent5 9 2 2 2 4" xfId="22737" xr:uid="{00000000-0005-0000-0000-0000433B0000}"/>
    <cellStyle name="20% - Accent5 9 2 2 3" xfId="3518" xr:uid="{00000000-0005-0000-0000-0000443B0000}"/>
    <cellStyle name="20% - Accent5 9 2 2 3 2" xfId="14741" xr:uid="{00000000-0005-0000-0000-0000453B0000}"/>
    <cellStyle name="20% - Accent5 9 2 2 3 2 2" xfId="26598" xr:uid="{00000000-0005-0000-0000-0000463B0000}"/>
    <cellStyle name="20% - Accent5 9 2 2 3 3" xfId="18692" xr:uid="{00000000-0005-0000-0000-0000473B0000}"/>
    <cellStyle name="20% - Accent5 9 2 2 3 3 2" xfId="30384" xr:uid="{00000000-0005-0000-0000-0000483B0000}"/>
    <cellStyle name="20% - Accent5 9 2 2 3 4" xfId="22738" xr:uid="{00000000-0005-0000-0000-0000493B0000}"/>
    <cellStyle name="20% - Accent5 9 2 2 4" xfId="14739" xr:uid="{00000000-0005-0000-0000-00004A3B0000}"/>
    <cellStyle name="20% - Accent5 9 2 2 4 2" xfId="26596" xr:uid="{00000000-0005-0000-0000-00004B3B0000}"/>
    <cellStyle name="20% - Accent5 9 2 2 5" xfId="18690" xr:uid="{00000000-0005-0000-0000-00004C3B0000}"/>
    <cellStyle name="20% - Accent5 9 2 2 5 2" xfId="30382" xr:uid="{00000000-0005-0000-0000-00004D3B0000}"/>
    <cellStyle name="20% - Accent5 9 2 2 6" xfId="22736" xr:uid="{00000000-0005-0000-0000-00004E3B0000}"/>
    <cellStyle name="20% - Accent5 9 2 3" xfId="3519" xr:uid="{00000000-0005-0000-0000-00004F3B0000}"/>
    <cellStyle name="20% - Accent5 9 2 3 2" xfId="3520" xr:uid="{00000000-0005-0000-0000-0000503B0000}"/>
    <cellStyle name="20% - Accent5 9 2 3 2 2" xfId="14743" xr:uid="{00000000-0005-0000-0000-0000513B0000}"/>
    <cellStyle name="20% - Accent5 9 2 3 2 2 2" xfId="26600" xr:uid="{00000000-0005-0000-0000-0000523B0000}"/>
    <cellStyle name="20% - Accent5 9 2 3 2 3" xfId="18694" xr:uid="{00000000-0005-0000-0000-0000533B0000}"/>
    <cellStyle name="20% - Accent5 9 2 3 2 3 2" xfId="30386" xr:uid="{00000000-0005-0000-0000-0000543B0000}"/>
    <cellStyle name="20% - Accent5 9 2 3 2 4" xfId="22740" xr:uid="{00000000-0005-0000-0000-0000553B0000}"/>
    <cellStyle name="20% - Accent5 9 2 3 3" xfId="3521" xr:uid="{00000000-0005-0000-0000-0000563B0000}"/>
    <cellStyle name="20% - Accent5 9 2 3 3 2" xfId="14744" xr:uid="{00000000-0005-0000-0000-0000573B0000}"/>
    <cellStyle name="20% - Accent5 9 2 3 3 2 2" xfId="26601" xr:uid="{00000000-0005-0000-0000-0000583B0000}"/>
    <cellStyle name="20% - Accent5 9 2 3 3 3" xfId="18695" xr:uid="{00000000-0005-0000-0000-0000593B0000}"/>
    <cellStyle name="20% - Accent5 9 2 3 3 3 2" xfId="30387" xr:uid="{00000000-0005-0000-0000-00005A3B0000}"/>
    <cellStyle name="20% - Accent5 9 2 3 3 4" xfId="22741" xr:uid="{00000000-0005-0000-0000-00005B3B0000}"/>
    <cellStyle name="20% - Accent5 9 2 3 4" xfId="14742" xr:uid="{00000000-0005-0000-0000-00005C3B0000}"/>
    <cellStyle name="20% - Accent5 9 2 3 4 2" xfId="26599" xr:uid="{00000000-0005-0000-0000-00005D3B0000}"/>
    <cellStyle name="20% - Accent5 9 2 3 5" xfId="18693" xr:uid="{00000000-0005-0000-0000-00005E3B0000}"/>
    <cellStyle name="20% - Accent5 9 2 3 5 2" xfId="30385" xr:uid="{00000000-0005-0000-0000-00005F3B0000}"/>
    <cellStyle name="20% - Accent5 9 2 3 6" xfId="22739" xr:uid="{00000000-0005-0000-0000-0000603B0000}"/>
    <cellStyle name="20% - Accent5 9 2 4" xfId="3522" xr:uid="{00000000-0005-0000-0000-0000613B0000}"/>
    <cellStyle name="20% - Accent5 9 2 4 2" xfId="3523" xr:uid="{00000000-0005-0000-0000-0000623B0000}"/>
    <cellStyle name="20% - Accent5 9 2 4 2 2" xfId="14746" xr:uid="{00000000-0005-0000-0000-0000633B0000}"/>
    <cellStyle name="20% - Accent5 9 2 4 2 2 2" xfId="26603" xr:uid="{00000000-0005-0000-0000-0000643B0000}"/>
    <cellStyle name="20% - Accent5 9 2 4 2 3" xfId="18697" xr:uid="{00000000-0005-0000-0000-0000653B0000}"/>
    <cellStyle name="20% - Accent5 9 2 4 2 3 2" xfId="30389" xr:uid="{00000000-0005-0000-0000-0000663B0000}"/>
    <cellStyle name="20% - Accent5 9 2 4 2 4" xfId="22743" xr:uid="{00000000-0005-0000-0000-0000673B0000}"/>
    <cellStyle name="20% - Accent5 9 2 4 3" xfId="3524" xr:uid="{00000000-0005-0000-0000-0000683B0000}"/>
    <cellStyle name="20% - Accent5 9 2 4 3 2" xfId="14747" xr:uid="{00000000-0005-0000-0000-0000693B0000}"/>
    <cellStyle name="20% - Accent5 9 2 4 3 2 2" xfId="26604" xr:uid="{00000000-0005-0000-0000-00006A3B0000}"/>
    <cellStyle name="20% - Accent5 9 2 4 3 3" xfId="18698" xr:uid="{00000000-0005-0000-0000-00006B3B0000}"/>
    <cellStyle name="20% - Accent5 9 2 4 3 3 2" xfId="30390" xr:uid="{00000000-0005-0000-0000-00006C3B0000}"/>
    <cellStyle name="20% - Accent5 9 2 4 3 4" xfId="22744" xr:uid="{00000000-0005-0000-0000-00006D3B0000}"/>
    <cellStyle name="20% - Accent5 9 2 4 4" xfId="14745" xr:uid="{00000000-0005-0000-0000-00006E3B0000}"/>
    <cellStyle name="20% - Accent5 9 2 4 4 2" xfId="26602" xr:uid="{00000000-0005-0000-0000-00006F3B0000}"/>
    <cellStyle name="20% - Accent5 9 2 4 5" xfId="18696" xr:uid="{00000000-0005-0000-0000-0000703B0000}"/>
    <cellStyle name="20% - Accent5 9 2 4 5 2" xfId="30388" xr:uid="{00000000-0005-0000-0000-0000713B0000}"/>
    <cellStyle name="20% - Accent5 9 2 4 6" xfId="22742" xr:uid="{00000000-0005-0000-0000-0000723B0000}"/>
    <cellStyle name="20% - Accent5 9 2 5" xfId="3525" xr:uid="{00000000-0005-0000-0000-0000733B0000}"/>
    <cellStyle name="20% - Accent5 9 2 5 2" xfId="14748" xr:uid="{00000000-0005-0000-0000-0000743B0000}"/>
    <cellStyle name="20% - Accent5 9 2 5 2 2" xfId="26605" xr:uid="{00000000-0005-0000-0000-0000753B0000}"/>
    <cellStyle name="20% - Accent5 9 2 5 3" xfId="18699" xr:uid="{00000000-0005-0000-0000-0000763B0000}"/>
    <cellStyle name="20% - Accent5 9 2 5 3 2" xfId="30391" xr:uid="{00000000-0005-0000-0000-0000773B0000}"/>
    <cellStyle name="20% - Accent5 9 2 5 4" xfId="22745" xr:uid="{00000000-0005-0000-0000-0000783B0000}"/>
    <cellStyle name="20% - Accent5 9 2 6" xfId="3526" xr:uid="{00000000-0005-0000-0000-0000793B0000}"/>
    <cellStyle name="20% - Accent5 9 2 6 2" xfId="14749" xr:uid="{00000000-0005-0000-0000-00007A3B0000}"/>
    <cellStyle name="20% - Accent5 9 2 6 2 2" xfId="26606" xr:uid="{00000000-0005-0000-0000-00007B3B0000}"/>
    <cellStyle name="20% - Accent5 9 2 6 3" xfId="18700" xr:uid="{00000000-0005-0000-0000-00007C3B0000}"/>
    <cellStyle name="20% - Accent5 9 2 6 3 2" xfId="30392" xr:uid="{00000000-0005-0000-0000-00007D3B0000}"/>
    <cellStyle name="20% - Accent5 9 2 6 4" xfId="22746" xr:uid="{00000000-0005-0000-0000-00007E3B0000}"/>
    <cellStyle name="20% - Accent5 9 2 7" xfId="14738" xr:uid="{00000000-0005-0000-0000-00007F3B0000}"/>
    <cellStyle name="20% - Accent5 9 2 7 2" xfId="26595" xr:uid="{00000000-0005-0000-0000-0000803B0000}"/>
    <cellStyle name="20% - Accent5 9 2 8" xfId="18689" xr:uid="{00000000-0005-0000-0000-0000813B0000}"/>
    <cellStyle name="20% - Accent5 9 2 8 2" xfId="30381" xr:uid="{00000000-0005-0000-0000-0000823B0000}"/>
    <cellStyle name="20% - Accent5 9 2 9" xfId="22735" xr:uid="{00000000-0005-0000-0000-0000833B0000}"/>
    <cellStyle name="20% - Accent5 9 2_Volatility" xfId="3527" xr:uid="{00000000-0005-0000-0000-0000843B0000}"/>
    <cellStyle name="20% - Accent5 9 3" xfId="3528" xr:uid="{00000000-0005-0000-0000-0000853B0000}"/>
    <cellStyle name="20% - Accent5 9 3 2" xfId="3529" xr:uid="{00000000-0005-0000-0000-0000863B0000}"/>
    <cellStyle name="20% - Accent5 9 3 2 2" xfId="3530" xr:uid="{00000000-0005-0000-0000-0000873B0000}"/>
    <cellStyle name="20% - Accent5 9 3 2 2 2" xfId="14752" xr:uid="{00000000-0005-0000-0000-0000883B0000}"/>
    <cellStyle name="20% - Accent5 9 3 2 2 2 2" xfId="26609" xr:uid="{00000000-0005-0000-0000-0000893B0000}"/>
    <cellStyle name="20% - Accent5 9 3 2 2 3" xfId="18703" xr:uid="{00000000-0005-0000-0000-00008A3B0000}"/>
    <cellStyle name="20% - Accent5 9 3 2 2 3 2" xfId="30395" xr:uid="{00000000-0005-0000-0000-00008B3B0000}"/>
    <cellStyle name="20% - Accent5 9 3 2 2 4" xfId="22749" xr:uid="{00000000-0005-0000-0000-00008C3B0000}"/>
    <cellStyle name="20% - Accent5 9 3 2 3" xfId="3531" xr:uid="{00000000-0005-0000-0000-00008D3B0000}"/>
    <cellStyle name="20% - Accent5 9 3 2 3 2" xfId="14753" xr:uid="{00000000-0005-0000-0000-00008E3B0000}"/>
    <cellStyle name="20% - Accent5 9 3 2 3 2 2" xfId="26610" xr:uid="{00000000-0005-0000-0000-00008F3B0000}"/>
    <cellStyle name="20% - Accent5 9 3 2 3 3" xfId="18704" xr:uid="{00000000-0005-0000-0000-0000903B0000}"/>
    <cellStyle name="20% - Accent5 9 3 2 3 3 2" xfId="30396" xr:uid="{00000000-0005-0000-0000-0000913B0000}"/>
    <cellStyle name="20% - Accent5 9 3 2 3 4" xfId="22750" xr:uid="{00000000-0005-0000-0000-0000923B0000}"/>
    <cellStyle name="20% - Accent5 9 3 2 4" xfId="14751" xr:uid="{00000000-0005-0000-0000-0000933B0000}"/>
    <cellStyle name="20% - Accent5 9 3 2 4 2" xfId="26608" xr:uid="{00000000-0005-0000-0000-0000943B0000}"/>
    <cellStyle name="20% - Accent5 9 3 2 5" xfId="18702" xr:uid="{00000000-0005-0000-0000-0000953B0000}"/>
    <cellStyle name="20% - Accent5 9 3 2 5 2" xfId="30394" xr:uid="{00000000-0005-0000-0000-0000963B0000}"/>
    <cellStyle name="20% - Accent5 9 3 2 6" xfId="22748" xr:uid="{00000000-0005-0000-0000-0000973B0000}"/>
    <cellStyle name="20% - Accent5 9 3 3" xfId="3532" xr:uid="{00000000-0005-0000-0000-0000983B0000}"/>
    <cellStyle name="20% - Accent5 9 3 3 2" xfId="3533" xr:uid="{00000000-0005-0000-0000-0000993B0000}"/>
    <cellStyle name="20% - Accent5 9 3 3 2 2" xfId="14755" xr:uid="{00000000-0005-0000-0000-00009A3B0000}"/>
    <cellStyle name="20% - Accent5 9 3 3 2 2 2" xfId="26612" xr:uid="{00000000-0005-0000-0000-00009B3B0000}"/>
    <cellStyle name="20% - Accent5 9 3 3 2 3" xfId="18706" xr:uid="{00000000-0005-0000-0000-00009C3B0000}"/>
    <cellStyle name="20% - Accent5 9 3 3 2 3 2" xfId="30398" xr:uid="{00000000-0005-0000-0000-00009D3B0000}"/>
    <cellStyle name="20% - Accent5 9 3 3 2 4" xfId="22752" xr:uid="{00000000-0005-0000-0000-00009E3B0000}"/>
    <cellStyle name="20% - Accent5 9 3 3 3" xfId="3534" xr:uid="{00000000-0005-0000-0000-00009F3B0000}"/>
    <cellStyle name="20% - Accent5 9 3 3 3 2" xfId="14756" xr:uid="{00000000-0005-0000-0000-0000A03B0000}"/>
    <cellStyle name="20% - Accent5 9 3 3 3 2 2" xfId="26613" xr:uid="{00000000-0005-0000-0000-0000A13B0000}"/>
    <cellStyle name="20% - Accent5 9 3 3 3 3" xfId="18707" xr:uid="{00000000-0005-0000-0000-0000A23B0000}"/>
    <cellStyle name="20% - Accent5 9 3 3 3 3 2" xfId="30399" xr:uid="{00000000-0005-0000-0000-0000A33B0000}"/>
    <cellStyle name="20% - Accent5 9 3 3 3 4" xfId="22753" xr:uid="{00000000-0005-0000-0000-0000A43B0000}"/>
    <cellStyle name="20% - Accent5 9 3 3 4" xfId="14754" xr:uid="{00000000-0005-0000-0000-0000A53B0000}"/>
    <cellStyle name="20% - Accent5 9 3 3 4 2" xfId="26611" xr:uid="{00000000-0005-0000-0000-0000A63B0000}"/>
    <cellStyle name="20% - Accent5 9 3 3 5" xfId="18705" xr:uid="{00000000-0005-0000-0000-0000A73B0000}"/>
    <cellStyle name="20% - Accent5 9 3 3 5 2" xfId="30397" xr:uid="{00000000-0005-0000-0000-0000A83B0000}"/>
    <cellStyle name="20% - Accent5 9 3 3 6" xfId="22751" xr:uid="{00000000-0005-0000-0000-0000A93B0000}"/>
    <cellStyle name="20% - Accent5 9 3 4" xfId="3535" xr:uid="{00000000-0005-0000-0000-0000AA3B0000}"/>
    <cellStyle name="20% - Accent5 9 3 4 2" xfId="14757" xr:uid="{00000000-0005-0000-0000-0000AB3B0000}"/>
    <cellStyle name="20% - Accent5 9 3 4 2 2" xfId="26614" xr:uid="{00000000-0005-0000-0000-0000AC3B0000}"/>
    <cellStyle name="20% - Accent5 9 3 4 3" xfId="18708" xr:uid="{00000000-0005-0000-0000-0000AD3B0000}"/>
    <cellStyle name="20% - Accent5 9 3 4 3 2" xfId="30400" xr:uid="{00000000-0005-0000-0000-0000AE3B0000}"/>
    <cellStyle name="20% - Accent5 9 3 4 4" xfId="22754" xr:uid="{00000000-0005-0000-0000-0000AF3B0000}"/>
    <cellStyle name="20% - Accent5 9 3 5" xfId="3536" xr:uid="{00000000-0005-0000-0000-0000B03B0000}"/>
    <cellStyle name="20% - Accent5 9 3 5 2" xfId="14758" xr:uid="{00000000-0005-0000-0000-0000B13B0000}"/>
    <cellStyle name="20% - Accent5 9 3 5 2 2" xfId="26615" xr:uid="{00000000-0005-0000-0000-0000B23B0000}"/>
    <cellStyle name="20% - Accent5 9 3 5 3" xfId="18709" xr:uid="{00000000-0005-0000-0000-0000B33B0000}"/>
    <cellStyle name="20% - Accent5 9 3 5 3 2" xfId="30401" xr:uid="{00000000-0005-0000-0000-0000B43B0000}"/>
    <cellStyle name="20% - Accent5 9 3 5 4" xfId="22755" xr:uid="{00000000-0005-0000-0000-0000B53B0000}"/>
    <cellStyle name="20% - Accent5 9 3 6" xfId="14750" xr:uid="{00000000-0005-0000-0000-0000B63B0000}"/>
    <cellStyle name="20% - Accent5 9 3 6 2" xfId="26607" xr:uid="{00000000-0005-0000-0000-0000B73B0000}"/>
    <cellStyle name="20% - Accent5 9 3 7" xfId="18701" xr:uid="{00000000-0005-0000-0000-0000B83B0000}"/>
    <cellStyle name="20% - Accent5 9 3 7 2" xfId="30393" xr:uid="{00000000-0005-0000-0000-0000B93B0000}"/>
    <cellStyle name="20% - Accent5 9 3 8" xfId="22747" xr:uid="{00000000-0005-0000-0000-0000BA3B0000}"/>
    <cellStyle name="20% - Accent5 9 3_Volatility" xfId="3537" xr:uid="{00000000-0005-0000-0000-0000BB3B0000}"/>
    <cellStyle name="20% - Accent5 9 4" xfId="3538" xr:uid="{00000000-0005-0000-0000-0000BC3B0000}"/>
    <cellStyle name="20% - Accent5 9 4 2" xfId="3539" xr:uid="{00000000-0005-0000-0000-0000BD3B0000}"/>
    <cellStyle name="20% - Accent5 9 4 2 2" xfId="14760" xr:uid="{00000000-0005-0000-0000-0000BE3B0000}"/>
    <cellStyle name="20% - Accent5 9 4 2 2 2" xfId="26617" xr:uid="{00000000-0005-0000-0000-0000BF3B0000}"/>
    <cellStyle name="20% - Accent5 9 4 2 3" xfId="18711" xr:uid="{00000000-0005-0000-0000-0000C03B0000}"/>
    <cellStyle name="20% - Accent5 9 4 2 3 2" xfId="30403" xr:uid="{00000000-0005-0000-0000-0000C13B0000}"/>
    <cellStyle name="20% - Accent5 9 4 2 4" xfId="22757" xr:uid="{00000000-0005-0000-0000-0000C23B0000}"/>
    <cellStyle name="20% - Accent5 9 4 3" xfId="3540" xr:uid="{00000000-0005-0000-0000-0000C33B0000}"/>
    <cellStyle name="20% - Accent5 9 4 3 2" xfId="14761" xr:uid="{00000000-0005-0000-0000-0000C43B0000}"/>
    <cellStyle name="20% - Accent5 9 4 3 2 2" xfId="26618" xr:uid="{00000000-0005-0000-0000-0000C53B0000}"/>
    <cellStyle name="20% - Accent5 9 4 3 3" xfId="18712" xr:uid="{00000000-0005-0000-0000-0000C63B0000}"/>
    <cellStyle name="20% - Accent5 9 4 3 3 2" xfId="30404" xr:uid="{00000000-0005-0000-0000-0000C73B0000}"/>
    <cellStyle name="20% - Accent5 9 4 3 4" xfId="22758" xr:uid="{00000000-0005-0000-0000-0000C83B0000}"/>
    <cellStyle name="20% - Accent5 9 4 4" xfId="14759" xr:uid="{00000000-0005-0000-0000-0000C93B0000}"/>
    <cellStyle name="20% - Accent5 9 4 4 2" xfId="26616" xr:uid="{00000000-0005-0000-0000-0000CA3B0000}"/>
    <cellStyle name="20% - Accent5 9 4 5" xfId="18710" xr:uid="{00000000-0005-0000-0000-0000CB3B0000}"/>
    <cellStyle name="20% - Accent5 9 4 5 2" xfId="30402" xr:uid="{00000000-0005-0000-0000-0000CC3B0000}"/>
    <cellStyle name="20% - Accent5 9 4 6" xfId="22756" xr:uid="{00000000-0005-0000-0000-0000CD3B0000}"/>
    <cellStyle name="20% - Accent5 9 5" xfId="3541" xr:uid="{00000000-0005-0000-0000-0000CE3B0000}"/>
    <cellStyle name="20% - Accent5 9 5 2" xfId="3542" xr:uid="{00000000-0005-0000-0000-0000CF3B0000}"/>
    <cellStyle name="20% - Accent5 9 5 2 2" xfId="14763" xr:uid="{00000000-0005-0000-0000-0000D03B0000}"/>
    <cellStyle name="20% - Accent5 9 5 2 2 2" xfId="26620" xr:uid="{00000000-0005-0000-0000-0000D13B0000}"/>
    <cellStyle name="20% - Accent5 9 5 2 3" xfId="18714" xr:uid="{00000000-0005-0000-0000-0000D23B0000}"/>
    <cellStyle name="20% - Accent5 9 5 2 3 2" xfId="30406" xr:uid="{00000000-0005-0000-0000-0000D33B0000}"/>
    <cellStyle name="20% - Accent5 9 5 2 4" xfId="22760" xr:uid="{00000000-0005-0000-0000-0000D43B0000}"/>
    <cellStyle name="20% - Accent5 9 5 3" xfId="3543" xr:uid="{00000000-0005-0000-0000-0000D53B0000}"/>
    <cellStyle name="20% - Accent5 9 5 3 2" xfId="14764" xr:uid="{00000000-0005-0000-0000-0000D63B0000}"/>
    <cellStyle name="20% - Accent5 9 5 3 2 2" xfId="26621" xr:uid="{00000000-0005-0000-0000-0000D73B0000}"/>
    <cellStyle name="20% - Accent5 9 5 3 3" xfId="18715" xr:uid="{00000000-0005-0000-0000-0000D83B0000}"/>
    <cellStyle name="20% - Accent5 9 5 3 3 2" xfId="30407" xr:uid="{00000000-0005-0000-0000-0000D93B0000}"/>
    <cellStyle name="20% - Accent5 9 5 3 4" xfId="22761" xr:uid="{00000000-0005-0000-0000-0000DA3B0000}"/>
    <cellStyle name="20% - Accent5 9 5 4" xfId="14762" xr:uid="{00000000-0005-0000-0000-0000DB3B0000}"/>
    <cellStyle name="20% - Accent5 9 5 4 2" xfId="26619" xr:uid="{00000000-0005-0000-0000-0000DC3B0000}"/>
    <cellStyle name="20% - Accent5 9 5 5" xfId="18713" xr:uid="{00000000-0005-0000-0000-0000DD3B0000}"/>
    <cellStyle name="20% - Accent5 9 5 5 2" xfId="30405" xr:uid="{00000000-0005-0000-0000-0000DE3B0000}"/>
    <cellStyle name="20% - Accent5 9 5 6" xfId="22759" xr:uid="{00000000-0005-0000-0000-0000DF3B0000}"/>
    <cellStyle name="20% - Accent5 9 6" xfId="3544" xr:uid="{00000000-0005-0000-0000-0000E03B0000}"/>
    <cellStyle name="20% - Accent5 9 6 2" xfId="3545" xr:uid="{00000000-0005-0000-0000-0000E13B0000}"/>
    <cellStyle name="20% - Accent5 9 6 2 2" xfId="14766" xr:uid="{00000000-0005-0000-0000-0000E23B0000}"/>
    <cellStyle name="20% - Accent5 9 6 2 2 2" xfId="26623" xr:uid="{00000000-0005-0000-0000-0000E33B0000}"/>
    <cellStyle name="20% - Accent5 9 6 2 3" xfId="18717" xr:uid="{00000000-0005-0000-0000-0000E43B0000}"/>
    <cellStyle name="20% - Accent5 9 6 2 3 2" xfId="30409" xr:uid="{00000000-0005-0000-0000-0000E53B0000}"/>
    <cellStyle name="20% - Accent5 9 6 2 4" xfId="22763" xr:uid="{00000000-0005-0000-0000-0000E63B0000}"/>
    <cellStyle name="20% - Accent5 9 6 3" xfId="3546" xr:uid="{00000000-0005-0000-0000-0000E73B0000}"/>
    <cellStyle name="20% - Accent5 9 6 3 2" xfId="14767" xr:uid="{00000000-0005-0000-0000-0000E83B0000}"/>
    <cellStyle name="20% - Accent5 9 6 3 2 2" xfId="26624" xr:uid="{00000000-0005-0000-0000-0000E93B0000}"/>
    <cellStyle name="20% - Accent5 9 6 3 3" xfId="18718" xr:uid="{00000000-0005-0000-0000-0000EA3B0000}"/>
    <cellStyle name="20% - Accent5 9 6 3 3 2" xfId="30410" xr:uid="{00000000-0005-0000-0000-0000EB3B0000}"/>
    <cellStyle name="20% - Accent5 9 6 3 4" xfId="22764" xr:uid="{00000000-0005-0000-0000-0000EC3B0000}"/>
    <cellStyle name="20% - Accent5 9 6 4" xfId="14765" xr:uid="{00000000-0005-0000-0000-0000ED3B0000}"/>
    <cellStyle name="20% - Accent5 9 6 4 2" xfId="26622" xr:uid="{00000000-0005-0000-0000-0000EE3B0000}"/>
    <cellStyle name="20% - Accent5 9 6 5" xfId="18716" xr:uid="{00000000-0005-0000-0000-0000EF3B0000}"/>
    <cellStyle name="20% - Accent5 9 6 5 2" xfId="30408" xr:uid="{00000000-0005-0000-0000-0000F03B0000}"/>
    <cellStyle name="20% - Accent5 9 6 6" xfId="22762" xr:uid="{00000000-0005-0000-0000-0000F13B0000}"/>
    <cellStyle name="20% - Accent5 9 7" xfId="3547" xr:uid="{00000000-0005-0000-0000-0000F23B0000}"/>
    <cellStyle name="20% - Accent5 9 7 2" xfId="14768" xr:uid="{00000000-0005-0000-0000-0000F33B0000}"/>
    <cellStyle name="20% - Accent5 9 7 2 2" xfId="26625" xr:uid="{00000000-0005-0000-0000-0000F43B0000}"/>
    <cellStyle name="20% - Accent5 9 7 3" xfId="18719" xr:uid="{00000000-0005-0000-0000-0000F53B0000}"/>
    <cellStyle name="20% - Accent5 9 7 3 2" xfId="30411" xr:uid="{00000000-0005-0000-0000-0000F63B0000}"/>
    <cellStyle name="20% - Accent5 9 7 4" xfId="22765" xr:uid="{00000000-0005-0000-0000-0000F73B0000}"/>
    <cellStyle name="20% - Accent5 9 8" xfId="3548" xr:uid="{00000000-0005-0000-0000-0000F83B0000}"/>
    <cellStyle name="20% - Accent5 9 8 2" xfId="14769" xr:uid="{00000000-0005-0000-0000-0000F93B0000}"/>
    <cellStyle name="20% - Accent5 9 8 2 2" xfId="26626" xr:uid="{00000000-0005-0000-0000-0000FA3B0000}"/>
    <cellStyle name="20% - Accent5 9 8 3" xfId="18720" xr:uid="{00000000-0005-0000-0000-0000FB3B0000}"/>
    <cellStyle name="20% - Accent5 9 8 3 2" xfId="30412" xr:uid="{00000000-0005-0000-0000-0000FC3B0000}"/>
    <cellStyle name="20% - Accent5 9 8 4" xfId="22766" xr:uid="{00000000-0005-0000-0000-0000FD3B0000}"/>
    <cellStyle name="20% - Accent5 9 9" xfId="14737" xr:uid="{00000000-0005-0000-0000-0000FE3B0000}"/>
    <cellStyle name="20% - Accent5 9 9 2" xfId="26594" xr:uid="{00000000-0005-0000-0000-0000FF3B0000}"/>
    <cellStyle name="20% - Accent5 9_Volatility" xfId="3549" xr:uid="{00000000-0005-0000-0000-0000003C0000}"/>
    <cellStyle name="20% - Accent6 10" xfId="3550" xr:uid="{00000000-0005-0000-0000-0000013C0000}"/>
    <cellStyle name="20% - Accent6 10 10" xfId="18721" xr:uid="{00000000-0005-0000-0000-0000023C0000}"/>
    <cellStyle name="20% - Accent6 10 10 2" xfId="30413" xr:uid="{00000000-0005-0000-0000-0000033C0000}"/>
    <cellStyle name="20% - Accent6 10 11" xfId="22767" xr:uid="{00000000-0005-0000-0000-0000043C0000}"/>
    <cellStyle name="20% - Accent6 10 2" xfId="3551" xr:uid="{00000000-0005-0000-0000-0000053C0000}"/>
    <cellStyle name="20% - Accent6 10 2 2" xfId="3552" xr:uid="{00000000-0005-0000-0000-0000063C0000}"/>
    <cellStyle name="20% - Accent6 10 2 2 2" xfId="3553" xr:uid="{00000000-0005-0000-0000-0000073C0000}"/>
    <cellStyle name="20% - Accent6 10 2 2 2 2" xfId="14773" xr:uid="{00000000-0005-0000-0000-0000083C0000}"/>
    <cellStyle name="20% - Accent6 10 2 2 2 2 2" xfId="26630" xr:uid="{00000000-0005-0000-0000-0000093C0000}"/>
    <cellStyle name="20% - Accent6 10 2 2 2 3" xfId="18724" xr:uid="{00000000-0005-0000-0000-00000A3C0000}"/>
    <cellStyle name="20% - Accent6 10 2 2 2 3 2" xfId="30416" xr:uid="{00000000-0005-0000-0000-00000B3C0000}"/>
    <cellStyle name="20% - Accent6 10 2 2 2 4" xfId="22770" xr:uid="{00000000-0005-0000-0000-00000C3C0000}"/>
    <cellStyle name="20% - Accent6 10 2 2 3" xfId="3554" xr:uid="{00000000-0005-0000-0000-00000D3C0000}"/>
    <cellStyle name="20% - Accent6 10 2 2 3 2" xfId="14774" xr:uid="{00000000-0005-0000-0000-00000E3C0000}"/>
    <cellStyle name="20% - Accent6 10 2 2 3 2 2" xfId="26631" xr:uid="{00000000-0005-0000-0000-00000F3C0000}"/>
    <cellStyle name="20% - Accent6 10 2 2 3 3" xfId="18725" xr:uid="{00000000-0005-0000-0000-0000103C0000}"/>
    <cellStyle name="20% - Accent6 10 2 2 3 3 2" xfId="30417" xr:uid="{00000000-0005-0000-0000-0000113C0000}"/>
    <cellStyle name="20% - Accent6 10 2 2 3 4" xfId="22771" xr:uid="{00000000-0005-0000-0000-0000123C0000}"/>
    <cellStyle name="20% - Accent6 10 2 2 4" xfId="14772" xr:uid="{00000000-0005-0000-0000-0000133C0000}"/>
    <cellStyle name="20% - Accent6 10 2 2 4 2" xfId="26629" xr:uid="{00000000-0005-0000-0000-0000143C0000}"/>
    <cellStyle name="20% - Accent6 10 2 2 5" xfId="18723" xr:uid="{00000000-0005-0000-0000-0000153C0000}"/>
    <cellStyle name="20% - Accent6 10 2 2 5 2" xfId="30415" xr:uid="{00000000-0005-0000-0000-0000163C0000}"/>
    <cellStyle name="20% - Accent6 10 2 2 6" xfId="22769" xr:uid="{00000000-0005-0000-0000-0000173C0000}"/>
    <cellStyle name="20% - Accent6 10 2 3" xfId="3555" xr:uid="{00000000-0005-0000-0000-0000183C0000}"/>
    <cellStyle name="20% - Accent6 10 2 3 2" xfId="3556" xr:uid="{00000000-0005-0000-0000-0000193C0000}"/>
    <cellStyle name="20% - Accent6 10 2 3 2 2" xfId="14776" xr:uid="{00000000-0005-0000-0000-00001A3C0000}"/>
    <cellStyle name="20% - Accent6 10 2 3 2 2 2" xfId="26633" xr:uid="{00000000-0005-0000-0000-00001B3C0000}"/>
    <cellStyle name="20% - Accent6 10 2 3 2 3" xfId="18727" xr:uid="{00000000-0005-0000-0000-00001C3C0000}"/>
    <cellStyle name="20% - Accent6 10 2 3 2 3 2" xfId="30419" xr:uid="{00000000-0005-0000-0000-00001D3C0000}"/>
    <cellStyle name="20% - Accent6 10 2 3 2 4" xfId="22773" xr:uid="{00000000-0005-0000-0000-00001E3C0000}"/>
    <cellStyle name="20% - Accent6 10 2 3 3" xfId="3557" xr:uid="{00000000-0005-0000-0000-00001F3C0000}"/>
    <cellStyle name="20% - Accent6 10 2 3 3 2" xfId="14777" xr:uid="{00000000-0005-0000-0000-0000203C0000}"/>
    <cellStyle name="20% - Accent6 10 2 3 3 2 2" xfId="26634" xr:uid="{00000000-0005-0000-0000-0000213C0000}"/>
    <cellStyle name="20% - Accent6 10 2 3 3 3" xfId="18728" xr:uid="{00000000-0005-0000-0000-0000223C0000}"/>
    <cellStyle name="20% - Accent6 10 2 3 3 3 2" xfId="30420" xr:uid="{00000000-0005-0000-0000-0000233C0000}"/>
    <cellStyle name="20% - Accent6 10 2 3 3 4" xfId="22774" xr:uid="{00000000-0005-0000-0000-0000243C0000}"/>
    <cellStyle name="20% - Accent6 10 2 3 4" xfId="14775" xr:uid="{00000000-0005-0000-0000-0000253C0000}"/>
    <cellStyle name="20% - Accent6 10 2 3 4 2" xfId="26632" xr:uid="{00000000-0005-0000-0000-0000263C0000}"/>
    <cellStyle name="20% - Accent6 10 2 3 5" xfId="18726" xr:uid="{00000000-0005-0000-0000-0000273C0000}"/>
    <cellStyle name="20% - Accent6 10 2 3 5 2" xfId="30418" xr:uid="{00000000-0005-0000-0000-0000283C0000}"/>
    <cellStyle name="20% - Accent6 10 2 3 6" xfId="22772" xr:uid="{00000000-0005-0000-0000-0000293C0000}"/>
    <cellStyle name="20% - Accent6 10 2 4" xfId="3558" xr:uid="{00000000-0005-0000-0000-00002A3C0000}"/>
    <cellStyle name="20% - Accent6 10 2 4 2" xfId="3559" xr:uid="{00000000-0005-0000-0000-00002B3C0000}"/>
    <cellStyle name="20% - Accent6 10 2 4 2 2" xfId="14779" xr:uid="{00000000-0005-0000-0000-00002C3C0000}"/>
    <cellStyle name="20% - Accent6 10 2 4 2 2 2" xfId="26636" xr:uid="{00000000-0005-0000-0000-00002D3C0000}"/>
    <cellStyle name="20% - Accent6 10 2 4 2 3" xfId="18730" xr:uid="{00000000-0005-0000-0000-00002E3C0000}"/>
    <cellStyle name="20% - Accent6 10 2 4 2 3 2" xfId="30422" xr:uid="{00000000-0005-0000-0000-00002F3C0000}"/>
    <cellStyle name="20% - Accent6 10 2 4 2 4" xfId="22776" xr:uid="{00000000-0005-0000-0000-0000303C0000}"/>
    <cellStyle name="20% - Accent6 10 2 4 3" xfId="3560" xr:uid="{00000000-0005-0000-0000-0000313C0000}"/>
    <cellStyle name="20% - Accent6 10 2 4 3 2" xfId="14780" xr:uid="{00000000-0005-0000-0000-0000323C0000}"/>
    <cellStyle name="20% - Accent6 10 2 4 3 2 2" xfId="26637" xr:uid="{00000000-0005-0000-0000-0000333C0000}"/>
    <cellStyle name="20% - Accent6 10 2 4 3 3" xfId="18731" xr:uid="{00000000-0005-0000-0000-0000343C0000}"/>
    <cellStyle name="20% - Accent6 10 2 4 3 3 2" xfId="30423" xr:uid="{00000000-0005-0000-0000-0000353C0000}"/>
    <cellStyle name="20% - Accent6 10 2 4 3 4" xfId="22777" xr:uid="{00000000-0005-0000-0000-0000363C0000}"/>
    <cellStyle name="20% - Accent6 10 2 4 4" xfId="14778" xr:uid="{00000000-0005-0000-0000-0000373C0000}"/>
    <cellStyle name="20% - Accent6 10 2 4 4 2" xfId="26635" xr:uid="{00000000-0005-0000-0000-0000383C0000}"/>
    <cellStyle name="20% - Accent6 10 2 4 5" xfId="18729" xr:uid="{00000000-0005-0000-0000-0000393C0000}"/>
    <cellStyle name="20% - Accent6 10 2 4 5 2" xfId="30421" xr:uid="{00000000-0005-0000-0000-00003A3C0000}"/>
    <cellStyle name="20% - Accent6 10 2 4 6" xfId="22775" xr:uid="{00000000-0005-0000-0000-00003B3C0000}"/>
    <cellStyle name="20% - Accent6 10 2 5" xfId="3561" xr:uid="{00000000-0005-0000-0000-00003C3C0000}"/>
    <cellStyle name="20% - Accent6 10 2 5 2" xfId="14781" xr:uid="{00000000-0005-0000-0000-00003D3C0000}"/>
    <cellStyle name="20% - Accent6 10 2 5 2 2" xfId="26638" xr:uid="{00000000-0005-0000-0000-00003E3C0000}"/>
    <cellStyle name="20% - Accent6 10 2 5 3" xfId="18732" xr:uid="{00000000-0005-0000-0000-00003F3C0000}"/>
    <cellStyle name="20% - Accent6 10 2 5 3 2" xfId="30424" xr:uid="{00000000-0005-0000-0000-0000403C0000}"/>
    <cellStyle name="20% - Accent6 10 2 5 4" xfId="22778" xr:uid="{00000000-0005-0000-0000-0000413C0000}"/>
    <cellStyle name="20% - Accent6 10 2 6" xfId="3562" xr:uid="{00000000-0005-0000-0000-0000423C0000}"/>
    <cellStyle name="20% - Accent6 10 2 6 2" xfId="14782" xr:uid="{00000000-0005-0000-0000-0000433C0000}"/>
    <cellStyle name="20% - Accent6 10 2 6 2 2" xfId="26639" xr:uid="{00000000-0005-0000-0000-0000443C0000}"/>
    <cellStyle name="20% - Accent6 10 2 6 3" xfId="18733" xr:uid="{00000000-0005-0000-0000-0000453C0000}"/>
    <cellStyle name="20% - Accent6 10 2 6 3 2" xfId="30425" xr:uid="{00000000-0005-0000-0000-0000463C0000}"/>
    <cellStyle name="20% - Accent6 10 2 6 4" xfId="22779" xr:uid="{00000000-0005-0000-0000-0000473C0000}"/>
    <cellStyle name="20% - Accent6 10 2 7" xfId="14771" xr:uid="{00000000-0005-0000-0000-0000483C0000}"/>
    <cellStyle name="20% - Accent6 10 2 7 2" xfId="26628" xr:uid="{00000000-0005-0000-0000-0000493C0000}"/>
    <cellStyle name="20% - Accent6 10 2 8" xfId="18722" xr:uid="{00000000-0005-0000-0000-00004A3C0000}"/>
    <cellStyle name="20% - Accent6 10 2 8 2" xfId="30414" xr:uid="{00000000-0005-0000-0000-00004B3C0000}"/>
    <cellStyle name="20% - Accent6 10 2 9" xfId="22768" xr:uid="{00000000-0005-0000-0000-00004C3C0000}"/>
    <cellStyle name="20% - Accent6 10 2_Volatility" xfId="3563" xr:uid="{00000000-0005-0000-0000-00004D3C0000}"/>
    <cellStyle name="20% - Accent6 10 3" xfId="3564" xr:uid="{00000000-0005-0000-0000-00004E3C0000}"/>
    <cellStyle name="20% - Accent6 10 3 2" xfId="3565" xr:uid="{00000000-0005-0000-0000-00004F3C0000}"/>
    <cellStyle name="20% - Accent6 10 3 2 2" xfId="3566" xr:uid="{00000000-0005-0000-0000-0000503C0000}"/>
    <cellStyle name="20% - Accent6 10 3 2 2 2" xfId="14785" xr:uid="{00000000-0005-0000-0000-0000513C0000}"/>
    <cellStyle name="20% - Accent6 10 3 2 2 2 2" xfId="26642" xr:uid="{00000000-0005-0000-0000-0000523C0000}"/>
    <cellStyle name="20% - Accent6 10 3 2 2 3" xfId="18736" xr:uid="{00000000-0005-0000-0000-0000533C0000}"/>
    <cellStyle name="20% - Accent6 10 3 2 2 3 2" xfId="30428" xr:uid="{00000000-0005-0000-0000-0000543C0000}"/>
    <cellStyle name="20% - Accent6 10 3 2 2 4" xfId="22782" xr:uid="{00000000-0005-0000-0000-0000553C0000}"/>
    <cellStyle name="20% - Accent6 10 3 2 3" xfId="3567" xr:uid="{00000000-0005-0000-0000-0000563C0000}"/>
    <cellStyle name="20% - Accent6 10 3 2 3 2" xfId="14786" xr:uid="{00000000-0005-0000-0000-0000573C0000}"/>
    <cellStyle name="20% - Accent6 10 3 2 3 2 2" xfId="26643" xr:uid="{00000000-0005-0000-0000-0000583C0000}"/>
    <cellStyle name="20% - Accent6 10 3 2 3 3" xfId="18737" xr:uid="{00000000-0005-0000-0000-0000593C0000}"/>
    <cellStyle name="20% - Accent6 10 3 2 3 3 2" xfId="30429" xr:uid="{00000000-0005-0000-0000-00005A3C0000}"/>
    <cellStyle name="20% - Accent6 10 3 2 3 4" xfId="22783" xr:uid="{00000000-0005-0000-0000-00005B3C0000}"/>
    <cellStyle name="20% - Accent6 10 3 2 4" xfId="14784" xr:uid="{00000000-0005-0000-0000-00005C3C0000}"/>
    <cellStyle name="20% - Accent6 10 3 2 4 2" xfId="26641" xr:uid="{00000000-0005-0000-0000-00005D3C0000}"/>
    <cellStyle name="20% - Accent6 10 3 2 5" xfId="18735" xr:uid="{00000000-0005-0000-0000-00005E3C0000}"/>
    <cellStyle name="20% - Accent6 10 3 2 5 2" xfId="30427" xr:uid="{00000000-0005-0000-0000-00005F3C0000}"/>
    <cellStyle name="20% - Accent6 10 3 2 6" xfId="22781" xr:uid="{00000000-0005-0000-0000-0000603C0000}"/>
    <cellStyle name="20% - Accent6 10 3 3" xfId="3568" xr:uid="{00000000-0005-0000-0000-0000613C0000}"/>
    <cellStyle name="20% - Accent6 10 3 3 2" xfId="3569" xr:uid="{00000000-0005-0000-0000-0000623C0000}"/>
    <cellStyle name="20% - Accent6 10 3 3 2 2" xfId="14788" xr:uid="{00000000-0005-0000-0000-0000633C0000}"/>
    <cellStyle name="20% - Accent6 10 3 3 2 2 2" xfId="26645" xr:uid="{00000000-0005-0000-0000-0000643C0000}"/>
    <cellStyle name="20% - Accent6 10 3 3 2 3" xfId="18739" xr:uid="{00000000-0005-0000-0000-0000653C0000}"/>
    <cellStyle name="20% - Accent6 10 3 3 2 3 2" xfId="30431" xr:uid="{00000000-0005-0000-0000-0000663C0000}"/>
    <cellStyle name="20% - Accent6 10 3 3 2 4" xfId="22785" xr:uid="{00000000-0005-0000-0000-0000673C0000}"/>
    <cellStyle name="20% - Accent6 10 3 3 3" xfId="3570" xr:uid="{00000000-0005-0000-0000-0000683C0000}"/>
    <cellStyle name="20% - Accent6 10 3 3 3 2" xfId="14789" xr:uid="{00000000-0005-0000-0000-0000693C0000}"/>
    <cellStyle name="20% - Accent6 10 3 3 3 2 2" xfId="26646" xr:uid="{00000000-0005-0000-0000-00006A3C0000}"/>
    <cellStyle name="20% - Accent6 10 3 3 3 3" xfId="18740" xr:uid="{00000000-0005-0000-0000-00006B3C0000}"/>
    <cellStyle name="20% - Accent6 10 3 3 3 3 2" xfId="30432" xr:uid="{00000000-0005-0000-0000-00006C3C0000}"/>
    <cellStyle name="20% - Accent6 10 3 3 3 4" xfId="22786" xr:uid="{00000000-0005-0000-0000-00006D3C0000}"/>
    <cellStyle name="20% - Accent6 10 3 3 4" xfId="14787" xr:uid="{00000000-0005-0000-0000-00006E3C0000}"/>
    <cellStyle name="20% - Accent6 10 3 3 4 2" xfId="26644" xr:uid="{00000000-0005-0000-0000-00006F3C0000}"/>
    <cellStyle name="20% - Accent6 10 3 3 5" xfId="18738" xr:uid="{00000000-0005-0000-0000-0000703C0000}"/>
    <cellStyle name="20% - Accent6 10 3 3 5 2" xfId="30430" xr:uid="{00000000-0005-0000-0000-0000713C0000}"/>
    <cellStyle name="20% - Accent6 10 3 3 6" xfId="22784" xr:uid="{00000000-0005-0000-0000-0000723C0000}"/>
    <cellStyle name="20% - Accent6 10 3 4" xfId="3571" xr:uid="{00000000-0005-0000-0000-0000733C0000}"/>
    <cellStyle name="20% - Accent6 10 3 4 2" xfId="14790" xr:uid="{00000000-0005-0000-0000-0000743C0000}"/>
    <cellStyle name="20% - Accent6 10 3 4 2 2" xfId="26647" xr:uid="{00000000-0005-0000-0000-0000753C0000}"/>
    <cellStyle name="20% - Accent6 10 3 4 3" xfId="18741" xr:uid="{00000000-0005-0000-0000-0000763C0000}"/>
    <cellStyle name="20% - Accent6 10 3 4 3 2" xfId="30433" xr:uid="{00000000-0005-0000-0000-0000773C0000}"/>
    <cellStyle name="20% - Accent6 10 3 4 4" xfId="22787" xr:uid="{00000000-0005-0000-0000-0000783C0000}"/>
    <cellStyle name="20% - Accent6 10 3 5" xfId="3572" xr:uid="{00000000-0005-0000-0000-0000793C0000}"/>
    <cellStyle name="20% - Accent6 10 3 5 2" xfId="14791" xr:uid="{00000000-0005-0000-0000-00007A3C0000}"/>
    <cellStyle name="20% - Accent6 10 3 5 2 2" xfId="26648" xr:uid="{00000000-0005-0000-0000-00007B3C0000}"/>
    <cellStyle name="20% - Accent6 10 3 5 3" xfId="18742" xr:uid="{00000000-0005-0000-0000-00007C3C0000}"/>
    <cellStyle name="20% - Accent6 10 3 5 3 2" xfId="30434" xr:uid="{00000000-0005-0000-0000-00007D3C0000}"/>
    <cellStyle name="20% - Accent6 10 3 5 4" xfId="22788" xr:uid="{00000000-0005-0000-0000-00007E3C0000}"/>
    <cellStyle name="20% - Accent6 10 3 6" xfId="14783" xr:uid="{00000000-0005-0000-0000-00007F3C0000}"/>
    <cellStyle name="20% - Accent6 10 3 6 2" xfId="26640" xr:uid="{00000000-0005-0000-0000-0000803C0000}"/>
    <cellStyle name="20% - Accent6 10 3 7" xfId="18734" xr:uid="{00000000-0005-0000-0000-0000813C0000}"/>
    <cellStyle name="20% - Accent6 10 3 7 2" xfId="30426" xr:uid="{00000000-0005-0000-0000-0000823C0000}"/>
    <cellStyle name="20% - Accent6 10 3 8" xfId="22780" xr:uid="{00000000-0005-0000-0000-0000833C0000}"/>
    <cellStyle name="20% - Accent6 10 3_Volatility" xfId="3573" xr:uid="{00000000-0005-0000-0000-0000843C0000}"/>
    <cellStyle name="20% - Accent6 10 4" xfId="3574" xr:uid="{00000000-0005-0000-0000-0000853C0000}"/>
    <cellStyle name="20% - Accent6 10 4 2" xfId="3575" xr:uid="{00000000-0005-0000-0000-0000863C0000}"/>
    <cellStyle name="20% - Accent6 10 4 2 2" xfId="14793" xr:uid="{00000000-0005-0000-0000-0000873C0000}"/>
    <cellStyle name="20% - Accent6 10 4 2 2 2" xfId="26650" xr:uid="{00000000-0005-0000-0000-0000883C0000}"/>
    <cellStyle name="20% - Accent6 10 4 2 3" xfId="18744" xr:uid="{00000000-0005-0000-0000-0000893C0000}"/>
    <cellStyle name="20% - Accent6 10 4 2 3 2" xfId="30436" xr:uid="{00000000-0005-0000-0000-00008A3C0000}"/>
    <cellStyle name="20% - Accent6 10 4 2 4" xfId="22790" xr:uid="{00000000-0005-0000-0000-00008B3C0000}"/>
    <cellStyle name="20% - Accent6 10 4 3" xfId="3576" xr:uid="{00000000-0005-0000-0000-00008C3C0000}"/>
    <cellStyle name="20% - Accent6 10 4 3 2" xfId="14794" xr:uid="{00000000-0005-0000-0000-00008D3C0000}"/>
    <cellStyle name="20% - Accent6 10 4 3 2 2" xfId="26651" xr:uid="{00000000-0005-0000-0000-00008E3C0000}"/>
    <cellStyle name="20% - Accent6 10 4 3 3" xfId="18745" xr:uid="{00000000-0005-0000-0000-00008F3C0000}"/>
    <cellStyle name="20% - Accent6 10 4 3 3 2" xfId="30437" xr:uid="{00000000-0005-0000-0000-0000903C0000}"/>
    <cellStyle name="20% - Accent6 10 4 3 4" xfId="22791" xr:uid="{00000000-0005-0000-0000-0000913C0000}"/>
    <cellStyle name="20% - Accent6 10 4 4" xfId="14792" xr:uid="{00000000-0005-0000-0000-0000923C0000}"/>
    <cellStyle name="20% - Accent6 10 4 4 2" xfId="26649" xr:uid="{00000000-0005-0000-0000-0000933C0000}"/>
    <cellStyle name="20% - Accent6 10 4 5" xfId="18743" xr:uid="{00000000-0005-0000-0000-0000943C0000}"/>
    <cellStyle name="20% - Accent6 10 4 5 2" xfId="30435" xr:uid="{00000000-0005-0000-0000-0000953C0000}"/>
    <cellStyle name="20% - Accent6 10 4 6" xfId="22789" xr:uid="{00000000-0005-0000-0000-0000963C0000}"/>
    <cellStyle name="20% - Accent6 10 5" xfId="3577" xr:uid="{00000000-0005-0000-0000-0000973C0000}"/>
    <cellStyle name="20% - Accent6 10 5 2" xfId="3578" xr:uid="{00000000-0005-0000-0000-0000983C0000}"/>
    <cellStyle name="20% - Accent6 10 5 2 2" xfId="14796" xr:uid="{00000000-0005-0000-0000-0000993C0000}"/>
    <cellStyle name="20% - Accent6 10 5 2 2 2" xfId="26653" xr:uid="{00000000-0005-0000-0000-00009A3C0000}"/>
    <cellStyle name="20% - Accent6 10 5 2 3" xfId="18747" xr:uid="{00000000-0005-0000-0000-00009B3C0000}"/>
    <cellStyle name="20% - Accent6 10 5 2 3 2" xfId="30439" xr:uid="{00000000-0005-0000-0000-00009C3C0000}"/>
    <cellStyle name="20% - Accent6 10 5 2 4" xfId="22793" xr:uid="{00000000-0005-0000-0000-00009D3C0000}"/>
    <cellStyle name="20% - Accent6 10 5 3" xfId="3579" xr:uid="{00000000-0005-0000-0000-00009E3C0000}"/>
    <cellStyle name="20% - Accent6 10 5 3 2" xfId="14797" xr:uid="{00000000-0005-0000-0000-00009F3C0000}"/>
    <cellStyle name="20% - Accent6 10 5 3 2 2" xfId="26654" xr:uid="{00000000-0005-0000-0000-0000A03C0000}"/>
    <cellStyle name="20% - Accent6 10 5 3 3" xfId="18748" xr:uid="{00000000-0005-0000-0000-0000A13C0000}"/>
    <cellStyle name="20% - Accent6 10 5 3 3 2" xfId="30440" xr:uid="{00000000-0005-0000-0000-0000A23C0000}"/>
    <cellStyle name="20% - Accent6 10 5 3 4" xfId="22794" xr:uid="{00000000-0005-0000-0000-0000A33C0000}"/>
    <cellStyle name="20% - Accent6 10 5 4" xfId="14795" xr:uid="{00000000-0005-0000-0000-0000A43C0000}"/>
    <cellStyle name="20% - Accent6 10 5 4 2" xfId="26652" xr:uid="{00000000-0005-0000-0000-0000A53C0000}"/>
    <cellStyle name="20% - Accent6 10 5 5" xfId="18746" xr:uid="{00000000-0005-0000-0000-0000A63C0000}"/>
    <cellStyle name="20% - Accent6 10 5 5 2" xfId="30438" xr:uid="{00000000-0005-0000-0000-0000A73C0000}"/>
    <cellStyle name="20% - Accent6 10 5 6" xfId="22792" xr:uid="{00000000-0005-0000-0000-0000A83C0000}"/>
    <cellStyle name="20% - Accent6 10 6" xfId="3580" xr:uid="{00000000-0005-0000-0000-0000A93C0000}"/>
    <cellStyle name="20% - Accent6 10 6 2" xfId="3581" xr:uid="{00000000-0005-0000-0000-0000AA3C0000}"/>
    <cellStyle name="20% - Accent6 10 6 2 2" xfId="14799" xr:uid="{00000000-0005-0000-0000-0000AB3C0000}"/>
    <cellStyle name="20% - Accent6 10 6 2 2 2" xfId="26656" xr:uid="{00000000-0005-0000-0000-0000AC3C0000}"/>
    <cellStyle name="20% - Accent6 10 6 2 3" xfId="18750" xr:uid="{00000000-0005-0000-0000-0000AD3C0000}"/>
    <cellStyle name="20% - Accent6 10 6 2 3 2" xfId="30442" xr:uid="{00000000-0005-0000-0000-0000AE3C0000}"/>
    <cellStyle name="20% - Accent6 10 6 2 4" xfId="22796" xr:uid="{00000000-0005-0000-0000-0000AF3C0000}"/>
    <cellStyle name="20% - Accent6 10 6 3" xfId="3582" xr:uid="{00000000-0005-0000-0000-0000B03C0000}"/>
    <cellStyle name="20% - Accent6 10 6 3 2" xfId="14800" xr:uid="{00000000-0005-0000-0000-0000B13C0000}"/>
    <cellStyle name="20% - Accent6 10 6 3 2 2" xfId="26657" xr:uid="{00000000-0005-0000-0000-0000B23C0000}"/>
    <cellStyle name="20% - Accent6 10 6 3 3" xfId="18751" xr:uid="{00000000-0005-0000-0000-0000B33C0000}"/>
    <cellStyle name="20% - Accent6 10 6 3 3 2" xfId="30443" xr:uid="{00000000-0005-0000-0000-0000B43C0000}"/>
    <cellStyle name="20% - Accent6 10 6 3 4" xfId="22797" xr:uid="{00000000-0005-0000-0000-0000B53C0000}"/>
    <cellStyle name="20% - Accent6 10 6 4" xfId="14798" xr:uid="{00000000-0005-0000-0000-0000B63C0000}"/>
    <cellStyle name="20% - Accent6 10 6 4 2" xfId="26655" xr:uid="{00000000-0005-0000-0000-0000B73C0000}"/>
    <cellStyle name="20% - Accent6 10 6 5" xfId="18749" xr:uid="{00000000-0005-0000-0000-0000B83C0000}"/>
    <cellStyle name="20% - Accent6 10 6 5 2" xfId="30441" xr:uid="{00000000-0005-0000-0000-0000B93C0000}"/>
    <cellStyle name="20% - Accent6 10 6 6" xfId="22795" xr:uid="{00000000-0005-0000-0000-0000BA3C0000}"/>
    <cellStyle name="20% - Accent6 10 7" xfId="3583" xr:uid="{00000000-0005-0000-0000-0000BB3C0000}"/>
    <cellStyle name="20% - Accent6 10 7 2" xfId="14801" xr:uid="{00000000-0005-0000-0000-0000BC3C0000}"/>
    <cellStyle name="20% - Accent6 10 7 2 2" xfId="26658" xr:uid="{00000000-0005-0000-0000-0000BD3C0000}"/>
    <cellStyle name="20% - Accent6 10 7 3" xfId="18752" xr:uid="{00000000-0005-0000-0000-0000BE3C0000}"/>
    <cellStyle name="20% - Accent6 10 7 3 2" xfId="30444" xr:uid="{00000000-0005-0000-0000-0000BF3C0000}"/>
    <cellStyle name="20% - Accent6 10 7 4" xfId="22798" xr:uid="{00000000-0005-0000-0000-0000C03C0000}"/>
    <cellStyle name="20% - Accent6 10 8" xfId="3584" xr:uid="{00000000-0005-0000-0000-0000C13C0000}"/>
    <cellStyle name="20% - Accent6 10 8 2" xfId="14802" xr:uid="{00000000-0005-0000-0000-0000C23C0000}"/>
    <cellStyle name="20% - Accent6 10 8 2 2" xfId="26659" xr:uid="{00000000-0005-0000-0000-0000C33C0000}"/>
    <cellStyle name="20% - Accent6 10 8 3" xfId="18753" xr:uid="{00000000-0005-0000-0000-0000C43C0000}"/>
    <cellStyle name="20% - Accent6 10 8 3 2" xfId="30445" xr:uid="{00000000-0005-0000-0000-0000C53C0000}"/>
    <cellStyle name="20% - Accent6 10 8 4" xfId="22799" xr:uid="{00000000-0005-0000-0000-0000C63C0000}"/>
    <cellStyle name="20% - Accent6 10 9" xfId="14770" xr:uid="{00000000-0005-0000-0000-0000C73C0000}"/>
    <cellStyle name="20% - Accent6 10 9 2" xfId="26627" xr:uid="{00000000-0005-0000-0000-0000C83C0000}"/>
    <cellStyle name="20% - Accent6 10_Volatility" xfId="3585" xr:uid="{00000000-0005-0000-0000-0000C93C0000}"/>
    <cellStyle name="20% - Accent6 11" xfId="3586" xr:uid="{00000000-0005-0000-0000-0000CA3C0000}"/>
    <cellStyle name="20% - Accent6 11 10" xfId="18754" xr:uid="{00000000-0005-0000-0000-0000CB3C0000}"/>
    <cellStyle name="20% - Accent6 11 10 2" xfId="30446" xr:uid="{00000000-0005-0000-0000-0000CC3C0000}"/>
    <cellStyle name="20% - Accent6 11 11" xfId="22800" xr:uid="{00000000-0005-0000-0000-0000CD3C0000}"/>
    <cellStyle name="20% - Accent6 11 2" xfId="3587" xr:uid="{00000000-0005-0000-0000-0000CE3C0000}"/>
    <cellStyle name="20% - Accent6 11 2 2" xfId="3588" xr:uid="{00000000-0005-0000-0000-0000CF3C0000}"/>
    <cellStyle name="20% - Accent6 11 2 2 2" xfId="3589" xr:uid="{00000000-0005-0000-0000-0000D03C0000}"/>
    <cellStyle name="20% - Accent6 11 2 2 2 2" xfId="14806" xr:uid="{00000000-0005-0000-0000-0000D13C0000}"/>
    <cellStyle name="20% - Accent6 11 2 2 2 2 2" xfId="26663" xr:uid="{00000000-0005-0000-0000-0000D23C0000}"/>
    <cellStyle name="20% - Accent6 11 2 2 2 3" xfId="18757" xr:uid="{00000000-0005-0000-0000-0000D33C0000}"/>
    <cellStyle name="20% - Accent6 11 2 2 2 3 2" xfId="30449" xr:uid="{00000000-0005-0000-0000-0000D43C0000}"/>
    <cellStyle name="20% - Accent6 11 2 2 2 4" xfId="22803" xr:uid="{00000000-0005-0000-0000-0000D53C0000}"/>
    <cellStyle name="20% - Accent6 11 2 2 3" xfId="3590" xr:uid="{00000000-0005-0000-0000-0000D63C0000}"/>
    <cellStyle name="20% - Accent6 11 2 2 3 2" xfId="14807" xr:uid="{00000000-0005-0000-0000-0000D73C0000}"/>
    <cellStyle name="20% - Accent6 11 2 2 3 2 2" xfId="26664" xr:uid="{00000000-0005-0000-0000-0000D83C0000}"/>
    <cellStyle name="20% - Accent6 11 2 2 3 3" xfId="18758" xr:uid="{00000000-0005-0000-0000-0000D93C0000}"/>
    <cellStyle name="20% - Accent6 11 2 2 3 3 2" xfId="30450" xr:uid="{00000000-0005-0000-0000-0000DA3C0000}"/>
    <cellStyle name="20% - Accent6 11 2 2 3 4" xfId="22804" xr:uid="{00000000-0005-0000-0000-0000DB3C0000}"/>
    <cellStyle name="20% - Accent6 11 2 2 4" xfId="14805" xr:uid="{00000000-0005-0000-0000-0000DC3C0000}"/>
    <cellStyle name="20% - Accent6 11 2 2 4 2" xfId="26662" xr:uid="{00000000-0005-0000-0000-0000DD3C0000}"/>
    <cellStyle name="20% - Accent6 11 2 2 5" xfId="18756" xr:uid="{00000000-0005-0000-0000-0000DE3C0000}"/>
    <cellStyle name="20% - Accent6 11 2 2 5 2" xfId="30448" xr:uid="{00000000-0005-0000-0000-0000DF3C0000}"/>
    <cellStyle name="20% - Accent6 11 2 2 6" xfId="22802" xr:uid="{00000000-0005-0000-0000-0000E03C0000}"/>
    <cellStyle name="20% - Accent6 11 2 3" xfId="3591" xr:uid="{00000000-0005-0000-0000-0000E13C0000}"/>
    <cellStyle name="20% - Accent6 11 2 3 2" xfId="3592" xr:uid="{00000000-0005-0000-0000-0000E23C0000}"/>
    <cellStyle name="20% - Accent6 11 2 3 2 2" xfId="14809" xr:uid="{00000000-0005-0000-0000-0000E33C0000}"/>
    <cellStyle name="20% - Accent6 11 2 3 2 2 2" xfId="26666" xr:uid="{00000000-0005-0000-0000-0000E43C0000}"/>
    <cellStyle name="20% - Accent6 11 2 3 2 3" xfId="18760" xr:uid="{00000000-0005-0000-0000-0000E53C0000}"/>
    <cellStyle name="20% - Accent6 11 2 3 2 3 2" xfId="30452" xr:uid="{00000000-0005-0000-0000-0000E63C0000}"/>
    <cellStyle name="20% - Accent6 11 2 3 2 4" xfId="22806" xr:uid="{00000000-0005-0000-0000-0000E73C0000}"/>
    <cellStyle name="20% - Accent6 11 2 3 3" xfId="3593" xr:uid="{00000000-0005-0000-0000-0000E83C0000}"/>
    <cellStyle name="20% - Accent6 11 2 3 3 2" xfId="14810" xr:uid="{00000000-0005-0000-0000-0000E93C0000}"/>
    <cellStyle name="20% - Accent6 11 2 3 3 2 2" xfId="26667" xr:uid="{00000000-0005-0000-0000-0000EA3C0000}"/>
    <cellStyle name="20% - Accent6 11 2 3 3 3" xfId="18761" xr:uid="{00000000-0005-0000-0000-0000EB3C0000}"/>
    <cellStyle name="20% - Accent6 11 2 3 3 3 2" xfId="30453" xr:uid="{00000000-0005-0000-0000-0000EC3C0000}"/>
    <cellStyle name="20% - Accent6 11 2 3 3 4" xfId="22807" xr:uid="{00000000-0005-0000-0000-0000ED3C0000}"/>
    <cellStyle name="20% - Accent6 11 2 3 4" xfId="14808" xr:uid="{00000000-0005-0000-0000-0000EE3C0000}"/>
    <cellStyle name="20% - Accent6 11 2 3 4 2" xfId="26665" xr:uid="{00000000-0005-0000-0000-0000EF3C0000}"/>
    <cellStyle name="20% - Accent6 11 2 3 5" xfId="18759" xr:uid="{00000000-0005-0000-0000-0000F03C0000}"/>
    <cellStyle name="20% - Accent6 11 2 3 5 2" xfId="30451" xr:uid="{00000000-0005-0000-0000-0000F13C0000}"/>
    <cellStyle name="20% - Accent6 11 2 3 6" xfId="22805" xr:uid="{00000000-0005-0000-0000-0000F23C0000}"/>
    <cellStyle name="20% - Accent6 11 2 4" xfId="3594" xr:uid="{00000000-0005-0000-0000-0000F33C0000}"/>
    <cellStyle name="20% - Accent6 11 2 4 2" xfId="3595" xr:uid="{00000000-0005-0000-0000-0000F43C0000}"/>
    <cellStyle name="20% - Accent6 11 2 4 2 2" xfId="14812" xr:uid="{00000000-0005-0000-0000-0000F53C0000}"/>
    <cellStyle name="20% - Accent6 11 2 4 2 2 2" xfId="26669" xr:uid="{00000000-0005-0000-0000-0000F63C0000}"/>
    <cellStyle name="20% - Accent6 11 2 4 2 3" xfId="18763" xr:uid="{00000000-0005-0000-0000-0000F73C0000}"/>
    <cellStyle name="20% - Accent6 11 2 4 2 3 2" xfId="30455" xr:uid="{00000000-0005-0000-0000-0000F83C0000}"/>
    <cellStyle name="20% - Accent6 11 2 4 2 4" xfId="22809" xr:uid="{00000000-0005-0000-0000-0000F93C0000}"/>
    <cellStyle name="20% - Accent6 11 2 4 3" xfId="3596" xr:uid="{00000000-0005-0000-0000-0000FA3C0000}"/>
    <cellStyle name="20% - Accent6 11 2 4 3 2" xfId="14813" xr:uid="{00000000-0005-0000-0000-0000FB3C0000}"/>
    <cellStyle name="20% - Accent6 11 2 4 3 2 2" xfId="26670" xr:uid="{00000000-0005-0000-0000-0000FC3C0000}"/>
    <cellStyle name="20% - Accent6 11 2 4 3 3" xfId="18764" xr:uid="{00000000-0005-0000-0000-0000FD3C0000}"/>
    <cellStyle name="20% - Accent6 11 2 4 3 3 2" xfId="30456" xr:uid="{00000000-0005-0000-0000-0000FE3C0000}"/>
    <cellStyle name="20% - Accent6 11 2 4 3 4" xfId="22810" xr:uid="{00000000-0005-0000-0000-0000FF3C0000}"/>
    <cellStyle name="20% - Accent6 11 2 4 4" xfId="14811" xr:uid="{00000000-0005-0000-0000-0000003D0000}"/>
    <cellStyle name="20% - Accent6 11 2 4 4 2" xfId="26668" xr:uid="{00000000-0005-0000-0000-0000013D0000}"/>
    <cellStyle name="20% - Accent6 11 2 4 5" xfId="18762" xr:uid="{00000000-0005-0000-0000-0000023D0000}"/>
    <cellStyle name="20% - Accent6 11 2 4 5 2" xfId="30454" xr:uid="{00000000-0005-0000-0000-0000033D0000}"/>
    <cellStyle name="20% - Accent6 11 2 4 6" xfId="22808" xr:uid="{00000000-0005-0000-0000-0000043D0000}"/>
    <cellStyle name="20% - Accent6 11 2 5" xfId="3597" xr:uid="{00000000-0005-0000-0000-0000053D0000}"/>
    <cellStyle name="20% - Accent6 11 2 5 2" xfId="14814" xr:uid="{00000000-0005-0000-0000-0000063D0000}"/>
    <cellStyle name="20% - Accent6 11 2 5 2 2" xfId="26671" xr:uid="{00000000-0005-0000-0000-0000073D0000}"/>
    <cellStyle name="20% - Accent6 11 2 5 3" xfId="18765" xr:uid="{00000000-0005-0000-0000-0000083D0000}"/>
    <cellStyle name="20% - Accent6 11 2 5 3 2" xfId="30457" xr:uid="{00000000-0005-0000-0000-0000093D0000}"/>
    <cellStyle name="20% - Accent6 11 2 5 4" xfId="22811" xr:uid="{00000000-0005-0000-0000-00000A3D0000}"/>
    <cellStyle name="20% - Accent6 11 2 6" xfId="3598" xr:uid="{00000000-0005-0000-0000-00000B3D0000}"/>
    <cellStyle name="20% - Accent6 11 2 6 2" xfId="14815" xr:uid="{00000000-0005-0000-0000-00000C3D0000}"/>
    <cellStyle name="20% - Accent6 11 2 6 2 2" xfId="26672" xr:uid="{00000000-0005-0000-0000-00000D3D0000}"/>
    <cellStyle name="20% - Accent6 11 2 6 3" xfId="18766" xr:uid="{00000000-0005-0000-0000-00000E3D0000}"/>
    <cellStyle name="20% - Accent6 11 2 6 3 2" xfId="30458" xr:uid="{00000000-0005-0000-0000-00000F3D0000}"/>
    <cellStyle name="20% - Accent6 11 2 6 4" xfId="22812" xr:uid="{00000000-0005-0000-0000-0000103D0000}"/>
    <cellStyle name="20% - Accent6 11 2 7" xfId="14804" xr:uid="{00000000-0005-0000-0000-0000113D0000}"/>
    <cellStyle name="20% - Accent6 11 2 7 2" xfId="26661" xr:uid="{00000000-0005-0000-0000-0000123D0000}"/>
    <cellStyle name="20% - Accent6 11 2 8" xfId="18755" xr:uid="{00000000-0005-0000-0000-0000133D0000}"/>
    <cellStyle name="20% - Accent6 11 2 8 2" xfId="30447" xr:uid="{00000000-0005-0000-0000-0000143D0000}"/>
    <cellStyle name="20% - Accent6 11 2 9" xfId="22801" xr:uid="{00000000-0005-0000-0000-0000153D0000}"/>
    <cellStyle name="20% - Accent6 11 2_Volatility" xfId="3599" xr:uid="{00000000-0005-0000-0000-0000163D0000}"/>
    <cellStyle name="20% - Accent6 11 3" xfId="3600" xr:uid="{00000000-0005-0000-0000-0000173D0000}"/>
    <cellStyle name="20% - Accent6 11 3 2" xfId="3601" xr:uid="{00000000-0005-0000-0000-0000183D0000}"/>
    <cellStyle name="20% - Accent6 11 3 2 2" xfId="3602" xr:uid="{00000000-0005-0000-0000-0000193D0000}"/>
    <cellStyle name="20% - Accent6 11 3 2 2 2" xfId="14818" xr:uid="{00000000-0005-0000-0000-00001A3D0000}"/>
    <cellStyle name="20% - Accent6 11 3 2 2 2 2" xfId="26675" xr:uid="{00000000-0005-0000-0000-00001B3D0000}"/>
    <cellStyle name="20% - Accent6 11 3 2 2 3" xfId="18769" xr:uid="{00000000-0005-0000-0000-00001C3D0000}"/>
    <cellStyle name="20% - Accent6 11 3 2 2 3 2" xfId="30461" xr:uid="{00000000-0005-0000-0000-00001D3D0000}"/>
    <cellStyle name="20% - Accent6 11 3 2 2 4" xfId="22815" xr:uid="{00000000-0005-0000-0000-00001E3D0000}"/>
    <cellStyle name="20% - Accent6 11 3 2 3" xfId="3603" xr:uid="{00000000-0005-0000-0000-00001F3D0000}"/>
    <cellStyle name="20% - Accent6 11 3 2 3 2" xfId="14819" xr:uid="{00000000-0005-0000-0000-0000203D0000}"/>
    <cellStyle name="20% - Accent6 11 3 2 3 2 2" xfId="26676" xr:uid="{00000000-0005-0000-0000-0000213D0000}"/>
    <cellStyle name="20% - Accent6 11 3 2 3 3" xfId="18770" xr:uid="{00000000-0005-0000-0000-0000223D0000}"/>
    <cellStyle name="20% - Accent6 11 3 2 3 3 2" xfId="30462" xr:uid="{00000000-0005-0000-0000-0000233D0000}"/>
    <cellStyle name="20% - Accent6 11 3 2 3 4" xfId="22816" xr:uid="{00000000-0005-0000-0000-0000243D0000}"/>
    <cellStyle name="20% - Accent6 11 3 2 4" xfId="14817" xr:uid="{00000000-0005-0000-0000-0000253D0000}"/>
    <cellStyle name="20% - Accent6 11 3 2 4 2" xfId="26674" xr:uid="{00000000-0005-0000-0000-0000263D0000}"/>
    <cellStyle name="20% - Accent6 11 3 2 5" xfId="18768" xr:uid="{00000000-0005-0000-0000-0000273D0000}"/>
    <cellStyle name="20% - Accent6 11 3 2 5 2" xfId="30460" xr:uid="{00000000-0005-0000-0000-0000283D0000}"/>
    <cellStyle name="20% - Accent6 11 3 2 6" xfId="22814" xr:uid="{00000000-0005-0000-0000-0000293D0000}"/>
    <cellStyle name="20% - Accent6 11 3 3" xfId="3604" xr:uid="{00000000-0005-0000-0000-00002A3D0000}"/>
    <cellStyle name="20% - Accent6 11 3 3 2" xfId="3605" xr:uid="{00000000-0005-0000-0000-00002B3D0000}"/>
    <cellStyle name="20% - Accent6 11 3 3 2 2" xfId="14821" xr:uid="{00000000-0005-0000-0000-00002C3D0000}"/>
    <cellStyle name="20% - Accent6 11 3 3 2 2 2" xfId="26678" xr:uid="{00000000-0005-0000-0000-00002D3D0000}"/>
    <cellStyle name="20% - Accent6 11 3 3 2 3" xfId="18772" xr:uid="{00000000-0005-0000-0000-00002E3D0000}"/>
    <cellStyle name="20% - Accent6 11 3 3 2 3 2" xfId="30464" xr:uid="{00000000-0005-0000-0000-00002F3D0000}"/>
    <cellStyle name="20% - Accent6 11 3 3 2 4" xfId="22818" xr:uid="{00000000-0005-0000-0000-0000303D0000}"/>
    <cellStyle name="20% - Accent6 11 3 3 3" xfId="3606" xr:uid="{00000000-0005-0000-0000-0000313D0000}"/>
    <cellStyle name="20% - Accent6 11 3 3 3 2" xfId="14822" xr:uid="{00000000-0005-0000-0000-0000323D0000}"/>
    <cellStyle name="20% - Accent6 11 3 3 3 2 2" xfId="26679" xr:uid="{00000000-0005-0000-0000-0000333D0000}"/>
    <cellStyle name="20% - Accent6 11 3 3 3 3" xfId="18773" xr:uid="{00000000-0005-0000-0000-0000343D0000}"/>
    <cellStyle name="20% - Accent6 11 3 3 3 3 2" xfId="30465" xr:uid="{00000000-0005-0000-0000-0000353D0000}"/>
    <cellStyle name="20% - Accent6 11 3 3 3 4" xfId="22819" xr:uid="{00000000-0005-0000-0000-0000363D0000}"/>
    <cellStyle name="20% - Accent6 11 3 3 4" xfId="14820" xr:uid="{00000000-0005-0000-0000-0000373D0000}"/>
    <cellStyle name="20% - Accent6 11 3 3 4 2" xfId="26677" xr:uid="{00000000-0005-0000-0000-0000383D0000}"/>
    <cellStyle name="20% - Accent6 11 3 3 5" xfId="18771" xr:uid="{00000000-0005-0000-0000-0000393D0000}"/>
    <cellStyle name="20% - Accent6 11 3 3 5 2" xfId="30463" xr:uid="{00000000-0005-0000-0000-00003A3D0000}"/>
    <cellStyle name="20% - Accent6 11 3 3 6" xfId="22817" xr:uid="{00000000-0005-0000-0000-00003B3D0000}"/>
    <cellStyle name="20% - Accent6 11 3 4" xfId="3607" xr:uid="{00000000-0005-0000-0000-00003C3D0000}"/>
    <cellStyle name="20% - Accent6 11 3 4 2" xfId="14823" xr:uid="{00000000-0005-0000-0000-00003D3D0000}"/>
    <cellStyle name="20% - Accent6 11 3 4 2 2" xfId="26680" xr:uid="{00000000-0005-0000-0000-00003E3D0000}"/>
    <cellStyle name="20% - Accent6 11 3 4 3" xfId="18774" xr:uid="{00000000-0005-0000-0000-00003F3D0000}"/>
    <cellStyle name="20% - Accent6 11 3 4 3 2" xfId="30466" xr:uid="{00000000-0005-0000-0000-0000403D0000}"/>
    <cellStyle name="20% - Accent6 11 3 4 4" xfId="22820" xr:uid="{00000000-0005-0000-0000-0000413D0000}"/>
    <cellStyle name="20% - Accent6 11 3 5" xfId="3608" xr:uid="{00000000-0005-0000-0000-0000423D0000}"/>
    <cellStyle name="20% - Accent6 11 3 5 2" xfId="14824" xr:uid="{00000000-0005-0000-0000-0000433D0000}"/>
    <cellStyle name="20% - Accent6 11 3 5 2 2" xfId="26681" xr:uid="{00000000-0005-0000-0000-0000443D0000}"/>
    <cellStyle name="20% - Accent6 11 3 5 3" xfId="18775" xr:uid="{00000000-0005-0000-0000-0000453D0000}"/>
    <cellStyle name="20% - Accent6 11 3 5 3 2" xfId="30467" xr:uid="{00000000-0005-0000-0000-0000463D0000}"/>
    <cellStyle name="20% - Accent6 11 3 5 4" xfId="22821" xr:uid="{00000000-0005-0000-0000-0000473D0000}"/>
    <cellStyle name="20% - Accent6 11 3 6" xfId="14816" xr:uid="{00000000-0005-0000-0000-0000483D0000}"/>
    <cellStyle name="20% - Accent6 11 3 6 2" xfId="26673" xr:uid="{00000000-0005-0000-0000-0000493D0000}"/>
    <cellStyle name="20% - Accent6 11 3 7" xfId="18767" xr:uid="{00000000-0005-0000-0000-00004A3D0000}"/>
    <cellStyle name="20% - Accent6 11 3 7 2" xfId="30459" xr:uid="{00000000-0005-0000-0000-00004B3D0000}"/>
    <cellStyle name="20% - Accent6 11 3 8" xfId="22813" xr:uid="{00000000-0005-0000-0000-00004C3D0000}"/>
    <cellStyle name="20% - Accent6 11 3_Volatility" xfId="3609" xr:uid="{00000000-0005-0000-0000-00004D3D0000}"/>
    <cellStyle name="20% - Accent6 11 4" xfId="3610" xr:uid="{00000000-0005-0000-0000-00004E3D0000}"/>
    <cellStyle name="20% - Accent6 11 4 2" xfId="3611" xr:uid="{00000000-0005-0000-0000-00004F3D0000}"/>
    <cellStyle name="20% - Accent6 11 4 2 2" xfId="14826" xr:uid="{00000000-0005-0000-0000-0000503D0000}"/>
    <cellStyle name="20% - Accent6 11 4 2 2 2" xfId="26683" xr:uid="{00000000-0005-0000-0000-0000513D0000}"/>
    <cellStyle name="20% - Accent6 11 4 2 3" xfId="18777" xr:uid="{00000000-0005-0000-0000-0000523D0000}"/>
    <cellStyle name="20% - Accent6 11 4 2 3 2" xfId="30469" xr:uid="{00000000-0005-0000-0000-0000533D0000}"/>
    <cellStyle name="20% - Accent6 11 4 2 4" xfId="22823" xr:uid="{00000000-0005-0000-0000-0000543D0000}"/>
    <cellStyle name="20% - Accent6 11 4 3" xfId="3612" xr:uid="{00000000-0005-0000-0000-0000553D0000}"/>
    <cellStyle name="20% - Accent6 11 4 3 2" xfId="14827" xr:uid="{00000000-0005-0000-0000-0000563D0000}"/>
    <cellStyle name="20% - Accent6 11 4 3 2 2" xfId="26684" xr:uid="{00000000-0005-0000-0000-0000573D0000}"/>
    <cellStyle name="20% - Accent6 11 4 3 3" xfId="18778" xr:uid="{00000000-0005-0000-0000-0000583D0000}"/>
    <cellStyle name="20% - Accent6 11 4 3 3 2" xfId="30470" xr:uid="{00000000-0005-0000-0000-0000593D0000}"/>
    <cellStyle name="20% - Accent6 11 4 3 4" xfId="22824" xr:uid="{00000000-0005-0000-0000-00005A3D0000}"/>
    <cellStyle name="20% - Accent6 11 4 4" xfId="14825" xr:uid="{00000000-0005-0000-0000-00005B3D0000}"/>
    <cellStyle name="20% - Accent6 11 4 4 2" xfId="26682" xr:uid="{00000000-0005-0000-0000-00005C3D0000}"/>
    <cellStyle name="20% - Accent6 11 4 5" xfId="18776" xr:uid="{00000000-0005-0000-0000-00005D3D0000}"/>
    <cellStyle name="20% - Accent6 11 4 5 2" xfId="30468" xr:uid="{00000000-0005-0000-0000-00005E3D0000}"/>
    <cellStyle name="20% - Accent6 11 4 6" xfId="22822" xr:uid="{00000000-0005-0000-0000-00005F3D0000}"/>
    <cellStyle name="20% - Accent6 11 5" xfId="3613" xr:uid="{00000000-0005-0000-0000-0000603D0000}"/>
    <cellStyle name="20% - Accent6 11 5 2" xfId="3614" xr:uid="{00000000-0005-0000-0000-0000613D0000}"/>
    <cellStyle name="20% - Accent6 11 5 2 2" xfId="14829" xr:uid="{00000000-0005-0000-0000-0000623D0000}"/>
    <cellStyle name="20% - Accent6 11 5 2 2 2" xfId="26686" xr:uid="{00000000-0005-0000-0000-0000633D0000}"/>
    <cellStyle name="20% - Accent6 11 5 2 3" xfId="18780" xr:uid="{00000000-0005-0000-0000-0000643D0000}"/>
    <cellStyle name="20% - Accent6 11 5 2 3 2" xfId="30472" xr:uid="{00000000-0005-0000-0000-0000653D0000}"/>
    <cellStyle name="20% - Accent6 11 5 2 4" xfId="22826" xr:uid="{00000000-0005-0000-0000-0000663D0000}"/>
    <cellStyle name="20% - Accent6 11 5 3" xfId="3615" xr:uid="{00000000-0005-0000-0000-0000673D0000}"/>
    <cellStyle name="20% - Accent6 11 5 3 2" xfId="14830" xr:uid="{00000000-0005-0000-0000-0000683D0000}"/>
    <cellStyle name="20% - Accent6 11 5 3 2 2" xfId="26687" xr:uid="{00000000-0005-0000-0000-0000693D0000}"/>
    <cellStyle name="20% - Accent6 11 5 3 3" xfId="18781" xr:uid="{00000000-0005-0000-0000-00006A3D0000}"/>
    <cellStyle name="20% - Accent6 11 5 3 3 2" xfId="30473" xr:uid="{00000000-0005-0000-0000-00006B3D0000}"/>
    <cellStyle name="20% - Accent6 11 5 3 4" xfId="22827" xr:uid="{00000000-0005-0000-0000-00006C3D0000}"/>
    <cellStyle name="20% - Accent6 11 5 4" xfId="14828" xr:uid="{00000000-0005-0000-0000-00006D3D0000}"/>
    <cellStyle name="20% - Accent6 11 5 4 2" xfId="26685" xr:uid="{00000000-0005-0000-0000-00006E3D0000}"/>
    <cellStyle name="20% - Accent6 11 5 5" xfId="18779" xr:uid="{00000000-0005-0000-0000-00006F3D0000}"/>
    <cellStyle name="20% - Accent6 11 5 5 2" xfId="30471" xr:uid="{00000000-0005-0000-0000-0000703D0000}"/>
    <cellStyle name="20% - Accent6 11 5 6" xfId="22825" xr:uid="{00000000-0005-0000-0000-0000713D0000}"/>
    <cellStyle name="20% - Accent6 11 6" xfId="3616" xr:uid="{00000000-0005-0000-0000-0000723D0000}"/>
    <cellStyle name="20% - Accent6 11 6 2" xfId="3617" xr:uid="{00000000-0005-0000-0000-0000733D0000}"/>
    <cellStyle name="20% - Accent6 11 6 2 2" xfId="14832" xr:uid="{00000000-0005-0000-0000-0000743D0000}"/>
    <cellStyle name="20% - Accent6 11 6 2 2 2" xfId="26689" xr:uid="{00000000-0005-0000-0000-0000753D0000}"/>
    <cellStyle name="20% - Accent6 11 6 2 3" xfId="18783" xr:uid="{00000000-0005-0000-0000-0000763D0000}"/>
    <cellStyle name="20% - Accent6 11 6 2 3 2" xfId="30475" xr:uid="{00000000-0005-0000-0000-0000773D0000}"/>
    <cellStyle name="20% - Accent6 11 6 2 4" xfId="22829" xr:uid="{00000000-0005-0000-0000-0000783D0000}"/>
    <cellStyle name="20% - Accent6 11 6 3" xfId="3618" xr:uid="{00000000-0005-0000-0000-0000793D0000}"/>
    <cellStyle name="20% - Accent6 11 6 3 2" xfId="14833" xr:uid="{00000000-0005-0000-0000-00007A3D0000}"/>
    <cellStyle name="20% - Accent6 11 6 3 2 2" xfId="26690" xr:uid="{00000000-0005-0000-0000-00007B3D0000}"/>
    <cellStyle name="20% - Accent6 11 6 3 3" xfId="18784" xr:uid="{00000000-0005-0000-0000-00007C3D0000}"/>
    <cellStyle name="20% - Accent6 11 6 3 3 2" xfId="30476" xr:uid="{00000000-0005-0000-0000-00007D3D0000}"/>
    <cellStyle name="20% - Accent6 11 6 3 4" xfId="22830" xr:uid="{00000000-0005-0000-0000-00007E3D0000}"/>
    <cellStyle name="20% - Accent6 11 6 4" xfId="14831" xr:uid="{00000000-0005-0000-0000-00007F3D0000}"/>
    <cellStyle name="20% - Accent6 11 6 4 2" xfId="26688" xr:uid="{00000000-0005-0000-0000-0000803D0000}"/>
    <cellStyle name="20% - Accent6 11 6 5" xfId="18782" xr:uid="{00000000-0005-0000-0000-0000813D0000}"/>
    <cellStyle name="20% - Accent6 11 6 5 2" xfId="30474" xr:uid="{00000000-0005-0000-0000-0000823D0000}"/>
    <cellStyle name="20% - Accent6 11 6 6" xfId="22828" xr:uid="{00000000-0005-0000-0000-0000833D0000}"/>
    <cellStyle name="20% - Accent6 11 7" xfId="3619" xr:uid="{00000000-0005-0000-0000-0000843D0000}"/>
    <cellStyle name="20% - Accent6 11 7 2" xfId="14834" xr:uid="{00000000-0005-0000-0000-0000853D0000}"/>
    <cellStyle name="20% - Accent6 11 7 2 2" xfId="26691" xr:uid="{00000000-0005-0000-0000-0000863D0000}"/>
    <cellStyle name="20% - Accent6 11 7 3" xfId="18785" xr:uid="{00000000-0005-0000-0000-0000873D0000}"/>
    <cellStyle name="20% - Accent6 11 7 3 2" xfId="30477" xr:uid="{00000000-0005-0000-0000-0000883D0000}"/>
    <cellStyle name="20% - Accent6 11 7 4" xfId="22831" xr:uid="{00000000-0005-0000-0000-0000893D0000}"/>
    <cellStyle name="20% - Accent6 11 8" xfId="3620" xr:uid="{00000000-0005-0000-0000-00008A3D0000}"/>
    <cellStyle name="20% - Accent6 11 8 2" xfId="14835" xr:uid="{00000000-0005-0000-0000-00008B3D0000}"/>
    <cellStyle name="20% - Accent6 11 8 2 2" xfId="26692" xr:uid="{00000000-0005-0000-0000-00008C3D0000}"/>
    <cellStyle name="20% - Accent6 11 8 3" xfId="18786" xr:uid="{00000000-0005-0000-0000-00008D3D0000}"/>
    <cellStyle name="20% - Accent6 11 8 3 2" xfId="30478" xr:uid="{00000000-0005-0000-0000-00008E3D0000}"/>
    <cellStyle name="20% - Accent6 11 8 4" xfId="22832" xr:uid="{00000000-0005-0000-0000-00008F3D0000}"/>
    <cellStyle name="20% - Accent6 11 9" xfId="14803" xr:uid="{00000000-0005-0000-0000-0000903D0000}"/>
    <cellStyle name="20% - Accent6 11 9 2" xfId="26660" xr:uid="{00000000-0005-0000-0000-0000913D0000}"/>
    <cellStyle name="20% - Accent6 11_Volatility" xfId="3621" xr:uid="{00000000-0005-0000-0000-0000923D0000}"/>
    <cellStyle name="20% - Accent6 12" xfId="3622" xr:uid="{00000000-0005-0000-0000-0000933D0000}"/>
    <cellStyle name="20% - Accent6 12 10" xfId="18787" xr:uid="{00000000-0005-0000-0000-0000943D0000}"/>
    <cellStyle name="20% - Accent6 12 10 2" xfId="30479" xr:uid="{00000000-0005-0000-0000-0000953D0000}"/>
    <cellStyle name="20% - Accent6 12 11" xfId="22833" xr:uid="{00000000-0005-0000-0000-0000963D0000}"/>
    <cellStyle name="20% - Accent6 12 2" xfId="3623" xr:uid="{00000000-0005-0000-0000-0000973D0000}"/>
    <cellStyle name="20% - Accent6 12 2 2" xfId="3624" xr:uid="{00000000-0005-0000-0000-0000983D0000}"/>
    <cellStyle name="20% - Accent6 12 2 2 2" xfId="3625" xr:uid="{00000000-0005-0000-0000-0000993D0000}"/>
    <cellStyle name="20% - Accent6 12 2 2 2 2" xfId="14839" xr:uid="{00000000-0005-0000-0000-00009A3D0000}"/>
    <cellStyle name="20% - Accent6 12 2 2 2 2 2" xfId="26696" xr:uid="{00000000-0005-0000-0000-00009B3D0000}"/>
    <cellStyle name="20% - Accent6 12 2 2 2 3" xfId="18790" xr:uid="{00000000-0005-0000-0000-00009C3D0000}"/>
    <cellStyle name="20% - Accent6 12 2 2 2 3 2" xfId="30482" xr:uid="{00000000-0005-0000-0000-00009D3D0000}"/>
    <cellStyle name="20% - Accent6 12 2 2 2 4" xfId="22836" xr:uid="{00000000-0005-0000-0000-00009E3D0000}"/>
    <cellStyle name="20% - Accent6 12 2 2 3" xfId="3626" xr:uid="{00000000-0005-0000-0000-00009F3D0000}"/>
    <cellStyle name="20% - Accent6 12 2 2 3 2" xfId="14840" xr:uid="{00000000-0005-0000-0000-0000A03D0000}"/>
    <cellStyle name="20% - Accent6 12 2 2 3 2 2" xfId="26697" xr:uid="{00000000-0005-0000-0000-0000A13D0000}"/>
    <cellStyle name="20% - Accent6 12 2 2 3 3" xfId="18791" xr:uid="{00000000-0005-0000-0000-0000A23D0000}"/>
    <cellStyle name="20% - Accent6 12 2 2 3 3 2" xfId="30483" xr:uid="{00000000-0005-0000-0000-0000A33D0000}"/>
    <cellStyle name="20% - Accent6 12 2 2 3 4" xfId="22837" xr:uid="{00000000-0005-0000-0000-0000A43D0000}"/>
    <cellStyle name="20% - Accent6 12 2 2 4" xfId="14838" xr:uid="{00000000-0005-0000-0000-0000A53D0000}"/>
    <cellStyle name="20% - Accent6 12 2 2 4 2" xfId="26695" xr:uid="{00000000-0005-0000-0000-0000A63D0000}"/>
    <cellStyle name="20% - Accent6 12 2 2 5" xfId="18789" xr:uid="{00000000-0005-0000-0000-0000A73D0000}"/>
    <cellStyle name="20% - Accent6 12 2 2 5 2" xfId="30481" xr:uid="{00000000-0005-0000-0000-0000A83D0000}"/>
    <cellStyle name="20% - Accent6 12 2 2 6" xfId="22835" xr:uid="{00000000-0005-0000-0000-0000A93D0000}"/>
    <cellStyle name="20% - Accent6 12 2 3" xfId="3627" xr:uid="{00000000-0005-0000-0000-0000AA3D0000}"/>
    <cellStyle name="20% - Accent6 12 2 3 2" xfId="3628" xr:uid="{00000000-0005-0000-0000-0000AB3D0000}"/>
    <cellStyle name="20% - Accent6 12 2 3 2 2" xfId="14842" xr:uid="{00000000-0005-0000-0000-0000AC3D0000}"/>
    <cellStyle name="20% - Accent6 12 2 3 2 2 2" xfId="26699" xr:uid="{00000000-0005-0000-0000-0000AD3D0000}"/>
    <cellStyle name="20% - Accent6 12 2 3 2 3" xfId="18793" xr:uid="{00000000-0005-0000-0000-0000AE3D0000}"/>
    <cellStyle name="20% - Accent6 12 2 3 2 3 2" xfId="30485" xr:uid="{00000000-0005-0000-0000-0000AF3D0000}"/>
    <cellStyle name="20% - Accent6 12 2 3 2 4" xfId="22839" xr:uid="{00000000-0005-0000-0000-0000B03D0000}"/>
    <cellStyle name="20% - Accent6 12 2 3 3" xfId="3629" xr:uid="{00000000-0005-0000-0000-0000B13D0000}"/>
    <cellStyle name="20% - Accent6 12 2 3 3 2" xfId="14843" xr:uid="{00000000-0005-0000-0000-0000B23D0000}"/>
    <cellStyle name="20% - Accent6 12 2 3 3 2 2" xfId="26700" xr:uid="{00000000-0005-0000-0000-0000B33D0000}"/>
    <cellStyle name="20% - Accent6 12 2 3 3 3" xfId="18794" xr:uid="{00000000-0005-0000-0000-0000B43D0000}"/>
    <cellStyle name="20% - Accent6 12 2 3 3 3 2" xfId="30486" xr:uid="{00000000-0005-0000-0000-0000B53D0000}"/>
    <cellStyle name="20% - Accent6 12 2 3 3 4" xfId="22840" xr:uid="{00000000-0005-0000-0000-0000B63D0000}"/>
    <cellStyle name="20% - Accent6 12 2 3 4" xfId="14841" xr:uid="{00000000-0005-0000-0000-0000B73D0000}"/>
    <cellStyle name="20% - Accent6 12 2 3 4 2" xfId="26698" xr:uid="{00000000-0005-0000-0000-0000B83D0000}"/>
    <cellStyle name="20% - Accent6 12 2 3 5" xfId="18792" xr:uid="{00000000-0005-0000-0000-0000B93D0000}"/>
    <cellStyle name="20% - Accent6 12 2 3 5 2" xfId="30484" xr:uid="{00000000-0005-0000-0000-0000BA3D0000}"/>
    <cellStyle name="20% - Accent6 12 2 3 6" xfId="22838" xr:uid="{00000000-0005-0000-0000-0000BB3D0000}"/>
    <cellStyle name="20% - Accent6 12 2 4" xfId="3630" xr:uid="{00000000-0005-0000-0000-0000BC3D0000}"/>
    <cellStyle name="20% - Accent6 12 2 4 2" xfId="3631" xr:uid="{00000000-0005-0000-0000-0000BD3D0000}"/>
    <cellStyle name="20% - Accent6 12 2 4 2 2" xfId="14845" xr:uid="{00000000-0005-0000-0000-0000BE3D0000}"/>
    <cellStyle name="20% - Accent6 12 2 4 2 2 2" xfId="26702" xr:uid="{00000000-0005-0000-0000-0000BF3D0000}"/>
    <cellStyle name="20% - Accent6 12 2 4 2 3" xfId="18796" xr:uid="{00000000-0005-0000-0000-0000C03D0000}"/>
    <cellStyle name="20% - Accent6 12 2 4 2 3 2" xfId="30488" xr:uid="{00000000-0005-0000-0000-0000C13D0000}"/>
    <cellStyle name="20% - Accent6 12 2 4 2 4" xfId="22842" xr:uid="{00000000-0005-0000-0000-0000C23D0000}"/>
    <cellStyle name="20% - Accent6 12 2 4 3" xfId="3632" xr:uid="{00000000-0005-0000-0000-0000C33D0000}"/>
    <cellStyle name="20% - Accent6 12 2 4 3 2" xfId="14846" xr:uid="{00000000-0005-0000-0000-0000C43D0000}"/>
    <cellStyle name="20% - Accent6 12 2 4 3 2 2" xfId="26703" xr:uid="{00000000-0005-0000-0000-0000C53D0000}"/>
    <cellStyle name="20% - Accent6 12 2 4 3 3" xfId="18797" xr:uid="{00000000-0005-0000-0000-0000C63D0000}"/>
    <cellStyle name="20% - Accent6 12 2 4 3 3 2" xfId="30489" xr:uid="{00000000-0005-0000-0000-0000C73D0000}"/>
    <cellStyle name="20% - Accent6 12 2 4 3 4" xfId="22843" xr:uid="{00000000-0005-0000-0000-0000C83D0000}"/>
    <cellStyle name="20% - Accent6 12 2 4 4" xfId="14844" xr:uid="{00000000-0005-0000-0000-0000C93D0000}"/>
    <cellStyle name="20% - Accent6 12 2 4 4 2" xfId="26701" xr:uid="{00000000-0005-0000-0000-0000CA3D0000}"/>
    <cellStyle name="20% - Accent6 12 2 4 5" xfId="18795" xr:uid="{00000000-0005-0000-0000-0000CB3D0000}"/>
    <cellStyle name="20% - Accent6 12 2 4 5 2" xfId="30487" xr:uid="{00000000-0005-0000-0000-0000CC3D0000}"/>
    <cellStyle name="20% - Accent6 12 2 4 6" xfId="22841" xr:uid="{00000000-0005-0000-0000-0000CD3D0000}"/>
    <cellStyle name="20% - Accent6 12 2 5" xfId="3633" xr:uid="{00000000-0005-0000-0000-0000CE3D0000}"/>
    <cellStyle name="20% - Accent6 12 2 5 2" xfId="14847" xr:uid="{00000000-0005-0000-0000-0000CF3D0000}"/>
    <cellStyle name="20% - Accent6 12 2 5 2 2" xfId="26704" xr:uid="{00000000-0005-0000-0000-0000D03D0000}"/>
    <cellStyle name="20% - Accent6 12 2 5 3" xfId="18798" xr:uid="{00000000-0005-0000-0000-0000D13D0000}"/>
    <cellStyle name="20% - Accent6 12 2 5 3 2" xfId="30490" xr:uid="{00000000-0005-0000-0000-0000D23D0000}"/>
    <cellStyle name="20% - Accent6 12 2 5 4" xfId="22844" xr:uid="{00000000-0005-0000-0000-0000D33D0000}"/>
    <cellStyle name="20% - Accent6 12 2 6" xfId="3634" xr:uid="{00000000-0005-0000-0000-0000D43D0000}"/>
    <cellStyle name="20% - Accent6 12 2 6 2" xfId="14848" xr:uid="{00000000-0005-0000-0000-0000D53D0000}"/>
    <cellStyle name="20% - Accent6 12 2 6 2 2" xfId="26705" xr:uid="{00000000-0005-0000-0000-0000D63D0000}"/>
    <cellStyle name="20% - Accent6 12 2 6 3" xfId="18799" xr:uid="{00000000-0005-0000-0000-0000D73D0000}"/>
    <cellStyle name="20% - Accent6 12 2 6 3 2" xfId="30491" xr:uid="{00000000-0005-0000-0000-0000D83D0000}"/>
    <cellStyle name="20% - Accent6 12 2 6 4" xfId="22845" xr:uid="{00000000-0005-0000-0000-0000D93D0000}"/>
    <cellStyle name="20% - Accent6 12 2 7" xfId="14837" xr:uid="{00000000-0005-0000-0000-0000DA3D0000}"/>
    <cellStyle name="20% - Accent6 12 2 7 2" xfId="26694" xr:uid="{00000000-0005-0000-0000-0000DB3D0000}"/>
    <cellStyle name="20% - Accent6 12 2 8" xfId="18788" xr:uid="{00000000-0005-0000-0000-0000DC3D0000}"/>
    <cellStyle name="20% - Accent6 12 2 8 2" xfId="30480" xr:uid="{00000000-0005-0000-0000-0000DD3D0000}"/>
    <cellStyle name="20% - Accent6 12 2 9" xfId="22834" xr:uid="{00000000-0005-0000-0000-0000DE3D0000}"/>
    <cellStyle name="20% - Accent6 12 2_Volatility" xfId="3635" xr:uid="{00000000-0005-0000-0000-0000DF3D0000}"/>
    <cellStyle name="20% - Accent6 12 3" xfId="3636" xr:uid="{00000000-0005-0000-0000-0000E03D0000}"/>
    <cellStyle name="20% - Accent6 12 3 2" xfId="3637" xr:uid="{00000000-0005-0000-0000-0000E13D0000}"/>
    <cellStyle name="20% - Accent6 12 3 2 2" xfId="3638" xr:uid="{00000000-0005-0000-0000-0000E23D0000}"/>
    <cellStyle name="20% - Accent6 12 3 2 2 2" xfId="14851" xr:uid="{00000000-0005-0000-0000-0000E33D0000}"/>
    <cellStyle name="20% - Accent6 12 3 2 2 2 2" xfId="26708" xr:uid="{00000000-0005-0000-0000-0000E43D0000}"/>
    <cellStyle name="20% - Accent6 12 3 2 2 3" xfId="18802" xr:uid="{00000000-0005-0000-0000-0000E53D0000}"/>
    <cellStyle name="20% - Accent6 12 3 2 2 3 2" xfId="30494" xr:uid="{00000000-0005-0000-0000-0000E63D0000}"/>
    <cellStyle name="20% - Accent6 12 3 2 2 4" xfId="22848" xr:uid="{00000000-0005-0000-0000-0000E73D0000}"/>
    <cellStyle name="20% - Accent6 12 3 2 3" xfId="3639" xr:uid="{00000000-0005-0000-0000-0000E83D0000}"/>
    <cellStyle name="20% - Accent6 12 3 2 3 2" xfId="14852" xr:uid="{00000000-0005-0000-0000-0000E93D0000}"/>
    <cellStyle name="20% - Accent6 12 3 2 3 2 2" xfId="26709" xr:uid="{00000000-0005-0000-0000-0000EA3D0000}"/>
    <cellStyle name="20% - Accent6 12 3 2 3 3" xfId="18803" xr:uid="{00000000-0005-0000-0000-0000EB3D0000}"/>
    <cellStyle name="20% - Accent6 12 3 2 3 3 2" xfId="30495" xr:uid="{00000000-0005-0000-0000-0000EC3D0000}"/>
    <cellStyle name="20% - Accent6 12 3 2 3 4" xfId="22849" xr:uid="{00000000-0005-0000-0000-0000ED3D0000}"/>
    <cellStyle name="20% - Accent6 12 3 2 4" xfId="14850" xr:uid="{00000000-0005-0000-0000-0000EE3D0000}"/>
    <cellStyle name="20% - Accent6 12 3 2 4 2" xfId="26707" xr:uid="{00000000-0005-0000-0000-0000EF3D0000}"/>
    <cellStyle name="20% - Accent6 12 3 2 5" xfId="18801" xr:uid="{00000000-0005-0000-0000-0000F03D0000}"/>
    <cellStyle name="20% - Accent6 12 3 2 5 2" xfId="30493" xr:uid="{00000000-0005-0000-0000-0000F13D0000}"/>
    <cellStyle name="20% - Accent6 12 3 2 6" xfId="22847" xr:uid="{00000000-0005-0000-0000-0000F23D0000}"/>
    <cellStyle name="20% - Accent6 12 3 3" xfId="3640" xr:uid="{00000000-0005-0000-0000-0000F33D0000}"/>
    <cellStyle name="20% - Accent6 12 3 3 2" xfId="3641" xr:uid="{00000000-0005-0000-0000-0000F43D0000}"/>
    <cellStyle name="20% - Accent6 12 3 3 2 2" xfId="14854" xr:uid="{00000000-0005-0000-0000-0000F53D0000}"/>
    <cellStyle name="20% - Accent6 12 3 3 2 2 2" xfId="26711" xr:uid="{00000000-0005-0000-0000-0000F63D0000}"/>
    <cellStyle name="20% - Accent6 12 3 3 2 3" xfId="18805" xr:uid="{00000000-0005-0000-0000-0000F73D0000}"/>
    <cellStyle name="20% - Accent6 12 3 3 2 3 2" xfId="30497" xr:uid="{00000000-0005-0000-0000-0000F83D0000}"/>
    <cellStyle name="20% - Accent6 12 3 3 2 4" xfId="22851" xr:uid="{00000000-0005-0000-0000-0000F93D0000}"/>
    <cellStyle name="20% - Accent6 12 3 3 3" xfId="3642" xr:uid="{00000000-0005-0000-0000-0000FA3D0000}"/>
    <cellStyle name="20% - Accent6 12 3 3 3 2" xfId="14855" xr:uid="{00000000-0005-0000-0000-0000FB3D0000}"/>
    <cellStyle name="20% - Accent6 12 3 3 3 2 2" xfId="26712" xr:uid="{00000000-0005-0000-0000-0000FC3D0000}"/>
    <cellStyle name="20% - Accent6 12 3 3 3 3" xfId="18806" xr:uid="{00000000-0005-0000-0000-0000FD3D0000}"/>
    <cellStyle name="20% - Accent6 12 3 3 3 3 2" xfId="30498" xr:uid="{00000000-0005-0000-0000-0000FE3D0000}"/>
    <cellStyle name="20% - Accent6 12 3 3 3 4" xfId="22852" xr:uid="{00000000-0005-0000-0000-0000FF3D0000}"/>
    <cellStyle name="20% - Accent6 12 3 3 4" xfId="14853" xr:uid="{00000000-0005-0000-0000-0000003E0000}"/>
    <cellStyle name="20% - Accent6 12 3 3 4 2" xfId="26710" xr:uid="{00000000-0005-0000-0000-0000013E0000}"/>
    <cellStyle name="20% - Accent6 12 3 3 5" xfId="18804" xr:uid="{00000000-0005-0000-0000-0000023E0000}"/>
    <cellStyle name="20% - Accent6 12 3 3 5 2" xfId="30496" xr:uid="{00000000-0005-0000-0000-0000033E0000}"/>
    <cellStyle name="20% - Accent6 12 3 3 6" xfId="22850" xr:uid="{00000000-0005-0000-0000-0000043E0000}"/>
    <cellStyle name="20% - Accent6 12 3 4" xfId="3643" xr:uid="{00000000-0005-0000-0000-0000053E0000}"/>
    <cellStyle name="20% - Accent6 12 3 4 2" xfId="14856" xr:uid="{00000000-0005-0000-0000-0000063E0000}"/>
    <cellStyle name="20% - Accent6 12 3 4 2 2" xfId="26713" xr:uid="{00000000-0005-0000-0000-0000073E0000}"/>
    <cellStyle name="20% - Accent6 12 3 4 3" xfId="18807" xr:uid="{00000000-0005-0000-0000-0000083E0000}"/>
    <cellStyle name="20% - Accent6 12 3 4 3 2" xfId="30499" xr:uid="{00000000-0005-0000-0000-0000093E0000}"/>
    <cellStyle name="20% - Accent6 12 3 4 4" xfId="22853" xr:uid="{00000000-0005-0000-0000-00000A3E0000}"/>
    <cellStyle name="20% - Accent6 12 3 5" xfId="3644" xr:uid="{00000000-0005-0000-0000-00000B3E0000}"/>
    <cellStyle name="20% - Accent6 12 3 5 2" xfId="14857" xr:uid="{00000000-0005-0000-0000-00000C3E0000}"/>
    <cellStyle name="20% - Accent6 12 3 5 2 2" xfId="26714" xr:uid="{00000000-0005-0000-0000-00000D3E0000}"/>
    <cellStyle name="20% - Accent6 12 3 5 3" xfId="18808" xr:uid="{00000000-0005-0000-0000-00000E3E0000}"/>
    <cellStyle name="20% - Accent6 12 3 5 3 2" xfId="30500" xr:uid="{00000000-0005-0000-0000-00000F3E0000}"/>
    <cellStyle name="20% - Accent6 12 3 5 4" xfId="22854" xr:uid="{00000000-0005-0000-0000-0000103E0000}"/>
    <cellStyle name="20% - Accent6 12 3 6" xfId="14849" xr:uid="{00000000-0005-0000-0000-0000113E0000}"/>
    <cellStyle name="20% - Accent6 12 3 6 2" xfId="26706" xr:uid="{00000000-0005-0000-0000-0000123E0000}"/>
    <cellStyle name="20% - Accent6 12 3 7" xfId="18800" xr:uid="{00000000-0005-0000-0000-0000133E0000}"/>
    <cellStyle name="20% - Accent6 12 3 7 2" xfId="30492" xr:uid="{00000000-0005-0000-0000-0000143E0000}"/>
    <cellStyle name="20% - Accent6 12 3 8" xfId="22846" xr:uid="{00000000-0005-0000-0000-0000153E0000}"/>
    <cellStyle name="20% - Accent6 12 3_Volatility" xfId="3645" xr:uid="{00000000-0005-0000-0000-0000163E0000}"/>
    <cellStyle name="20% - Accent6 12 4" xfId="3646" xr:uid="{00000000-0005-0000-0000-0000173E0000}"/>
    <cellStyle name="20% - Accent6 12 4 2" xfId="3647" xr:uid="{00000000-0005-0000-0000-0000183E0000}"/>
    <cellStyle name="20% - Accent6 12 4 2 2" xfId="14859" xr:uid="{00000000-0005-0000-0000-0000193E0000}"/>
    <cellStyle name="20% - Accent6 12 4 2 2 2" xfId="26716" xr:uid="{00000000-0005-0000-0000-00001A3E0000}"/>
    <cellStyle name="20% - Accent6 12 4 2 3" xfId="18810" xr:uid="{00000000-0005-0000-0000-00001B3E0000}"/>
    <cellStyle name="20% - Accent6 12 4 2 3 2" xfId="30502" xr:uid="{00000000-0005-0000-0000-00001C3E0000}"/>
    <cellStyle name="20% - Accent6 12 4 2 4" xfId="22856" xr:uid="{00000000-0005-0000-0000-00001D3E0000}"/>
    <cellStyle name="20% - Accent6 12 4 3" xfId="3648" xr:uid="{00000000-0005-0000-0000-00001E3E0000}"/>
    <cellStyle name="20% - Accent6 12 4 3 2" xfId="14860" xr:uid="{00000000-0005-0000-0000-00001F3E0000}"/>
    <cellStyle name="20% - Accent6 12 4 3 2 2" xfId="26717" xr:uid="{00000000-0005-0000-0000-0000203E0000}"/>
    <cellStyle name="20% - Accent6 12 4 3 3" xfId="18811" xr:uid="{00000000-0005-0000-0000-0000213E0000}"/>
    <cellStyle name="20% - Accent6 12 4 3 3 2" xfId="30503" xr:uid="{00000000-0005-0000-0000-0000223E0000}"/>
    <cellStyle name="20% - Accent6 12 4 3 4" xfId="22857" xr:uid="{00000000-0005-0000-0000-0000233E0000}"/>
    <cellStyle name="20% - Accent6 12 4 4" xfId="14858" xr:uid="{00000000-0005-0000-0000-0000243E0000}"/>
    <cellStyle name="20% - Accent6 12 4 4 2" xfId="26715" xr:uid="{00000000-0005-0000-0000-0000253E0000}"/>
    <cellStyle name="20% - Accent6 12 4 5" xfId="18809" xr:uid="{00000000-0005-0000-0000-0000263E0000}"/>
    <cellStyle name="20% - Accent6 12 4 5 2" xfId="30501" xr:uid="{00000000-0005-0000-0000-0000273E0000}"/>
    <cellStyle name="20% - Accent6 12 4 6" xfId="22855" xr:uid="{00000000-0005-0000-0000-0000283E0000}"/>
    <cellStyle name="20% - Accent6 12 5" xfId="3649" xr:uid="{00000000-0005-0000-0000-0000293E0000}"/>
    <cellStyle name="20% - Accent6 12 5 2" xfId="3650" xr:uid="{00000000-0005-0000-0000-00002A3E0000}"/>
    <cellStyle name="20% - Accent6 12 5 2 2" xfId="14862" xr:uid="{00000000-0005-0000-0000-00002B3E0000}"/>
    <cellStyle name="20% - Accent6 12 5 2 2 2" xfId="26719" xr:uid="{00000000-0005-0000-0000-00002C3E0000}"/>
    <cellStyle name="20% - Accent6 12 5 2 3" xfId="18813" xr:uid="{00000000-0005-0000-0000-00002D3E0000}"/>
    <cellStyle name="20% - Accent6 12 5 2 3 2" xfId="30505" xr:uid="{00000000-0005-0000-0000-00002E3E0000}"/>
    <cellStyle name="20% - Accent6 12 5 2 4" xfId="22859" xr:uid="{00000000-0005-0000-0000-00002F3E0000}"/>
    <cellStyle name="20% - Accent6 12 5 3" xfId="3651" xr:uid="{00000000-0005-0000-0000-0000303E0000}"/>
    <cellStyle name="20% - Accent6 12 5 3 2" xfId="14863" xr:uid="{00000000-0005-0000-0000-0000313E0000}"/>
    <cellStyle name="20% - Accent6 12 5 3 2 2" xfId="26720" xr:uid="{00000000-0005-0000-0000-0000323E0000}"/>
    <cellStyle name="20% - Accent6 12 5 3 3" xfId="18814" xr:uid="{00000000-0005-0000-0000-0000333E0000}"/>
    <cellStyle name="20% - Accent6 12 5 3 3 2" xfId="30506" xr:uid="{00000000-0005-0000-0000-0000343E0000}"/>
    <cellStyle name="20% - Accent6 12 5 3 4" xfId="22860" xr:uid="{00000000-0005-0000-0000-0000353E0000}"/>
    <cellStyle name="20% - Accent6 12 5 4" xfId="14861" xr:uid="{00000000-0005-0000-0000-0000363E0000}"/>
    <cellStyle name="20% - Accent6 12 5 4 2" xfId="26718" xr:uid="{00000000-0005-0000-0000-0000373E0000}"/>
    <cellStyle name="20% - Accent6 12 5 5" xfId="18812" xr:uid="{00000000-0005-0000-0000-0000383E0000}"/>
    <cellStyle name="20% - Accent6 12 5 5 2" xfId="30504" xr:uid="{00000000-0005-0000-0000-0000393E0000}"/>
    <cellStyle name="20% - Accent6 12 5 6" xfId="22858" xr:uid="{00000000-0005-0000-0000-00003A3E0000}"/>
    <cellStyle name="20% - Accent6 12 6" xfId="3652" xr:uid="{00000000-0005-0000-0000-00003B3E0000}"/>
    <cellStyle name="20% - Accent6 12 6 2" xfId="3653" xr:uid="{00000000-0005-0000-0000-00003C3E0000}"/>
    <cellStyle name="20% - Accent6 12 6 2 2" xfId="14865" xr:uid="{00000000-0005-0000-0000-00003D3E0000}"/>
    <cellStyle name="20% - Accent6 12 6 2 2 2" xfId="26722" xr:uid="{00000000-0005-0000-0000-00003E3E0000}"/>
    <cellStyle name="20% - Accent6 12 6 2 3" xfId="18816" xr:uid="{00000000-0005-0000-0000-00003F3E0000}"/>
    <cellStyle name="20% - Accent6 12 6 2 3 2" xfId="30508" xr:uid="{00000000-0005-0000-0000-0000403E0000}"/>
    <cellStyle name="20% - Accent6 12 6 2 4" xfId="22862" xr:uid="{00000000-0005-0000-0000-0000413E0000}"/>
    <cellStyle name="20% - Accent6 12 6 3" xfId="3654" xr:uid="{00000000-0005-0000-0000-0000423E0000}"/>
    <cellStyle name="20% - Accent6 12 6 3 2" xfId="14866" xr:uid="{00000000-0005-0000-0000-0000433E0000}"/>
    <cellStyle name="20% - Accent6 12 6 3 2 2" xfId="26723" xr:uid="{00000000-0005-0000-0000-0000443E0000}"/>
    <cellStyle name="20% - Accent6 12 6 3 3" xfId="18817" xr:uid="{00000000-0005-0000-0000-0000453E0000}"/>
    <cellStyle name="20% - Accent6 12 6 3 3 2" xfId="30509" xr:uid="{00000000-0005-0000-0000-0000463E0000}"/>
    <cellStyle name="20% - Accent6 12 6 3 4" xfId="22863" xr:uid="{00000000-0005-0000-0000-0000473E0000}"/>
    <cellStyle name="20% - Accent6 12 6 4" xfId="14864" xr:uid="{00000000-0005-0000-0000-0000483E0000}"/>
    <cellStyle name="20% - Accent6 12 6 4 2" xfId="26721" xr:uid="{00000000-0005-0000-0000-0000493E0000}"/>
    <cellStyle name="20% - Accent6 12 6 5" xfId="18815" xr:uid="{00000000-0005-0000-0000-00004A3E0000}"/>
    <cellStyle name="20% - Accent6 12 6 5 2" xfId="30507" xr:uid="{00000000-0005-0000-0000-00004B3E0000}"/>
    <cellStyle name="20% - Accent6 12 6 6" xfId="22861" xr:uid="{00000000-0005-0000-0000-00004C3E0000}"/>
    <cellStyle name="20% - Accent6 12 7" xfId="3655" xr:uid="{00000000-0005-0000-0000-00004D3E0000}"/>
    <cellStyle name="20% - Accent6 12 7 2" xfId="14867" xr:uid="{00000000-0005-0000-0000-00004E3E0000}"/>
    <cellStyle name="20% - Accent6 12 7 2 2" xfId="26724" xr:uid="{00000000-0005-0000-0000-00004F3E0000}"/>
    <cellStyle name="20% - Accent6 12 7 3" xfId="18818" xr:uid="{00000000-0005-0000-0000-0000503E0000}"/>
    <cellStyle name="20% - Accent6 12 7 3 2" xfId="30510" xr:uid="{00000000-0005-0000-0000-0000513E0000}"/>
    <cellStyle name="20% - Accent6 12 7 4" xfId="22864" xr:uid="{00000000-0005-0000-0000-0000523E0000}"/>
    <cellStyle name="20% - Accent6 12 8" xfId="3656" xr:uid="{00000000-0005-0000-0000-0000533E0000}"/>
    <cellStyle name="20% - Accent6 12 8 2" xfId="14868" xr:uid="{00000000-0005-0000-0000-0000543E0000}"/>
    <cellStyle name="20% - Accent6 12 8 2 2" xfId="26725" xr:uid="{00000000-0005-0000-0000-0000553E0000}"/>
    <cellStyle name="20% - Accent6 12 8 3" xfId="18819" xr:uid="{00000000-0005-0000-0000-0000563E0000}"/>
    <cellStyle name="20% - Accent6 12 8 3 2" xfId="30511" xr:uid="{00000000-0005-0000-0000-0000573E0000}"/>
    <cellStyle name="20% - Accent6 12 8 4" xfId="22865" xr:uid="{00000000-0005-0000-0000-0000583E0000}"/>
    <cellStyle name="20% - Accent6 12 9" xfId="14836" xr:uid="{00000000-0005-0000-0000-0000593E0000}"/>
    <cellStyle name="20% - Accent6 12 9 2" xfId="26693" xr:uid="{00000000-0005-0000-0000-00005A3E0000}"/>
    <cellStyle name="20% - Accent6 12_Volatility" xfId="3657" xr:uid="{00000000-0005-0000-0000-00005B3E0000}"/>
    <cellStyle name="20% - Accent6 13" xfId="3658" xr:uid="{00000000-0005-0000-0000-00005C3E0000}"/>
    <cellStyle name="20% - Accent6 13 10" xfId="18820" xr:uid="{00000000-0005-0000-0000-00005D3E0000}"/>
    <cellStyle name="20% - Accent6 13 10 2" xfId="30512" xr:uid="{00000000-0005-0000-0000-00005E3E0000}"/>
    <cellStyle name="20% - Accent6 13 11" xfId="22866" xr:uid="{00000000-0005-0000-0000-00005F3E0000}"/>
    <cellStyle name="20% - Accent6 13 2" xfId="3659" xr:uid="{00000000-0005-0000-0000-0000603E0000}"/>
    <cellStyle name="20% - Accent6 13 2 2" xfId="3660" xr:uid="{00000000-0005-0000-0000-0000613E0000}"/>
    <cellStyle name="20% - Accent6 13 2 2 2" xfId="3661" xr:uid="{00000000-0005-0000-0000-0000623E0000}"/>
    <cellStyle name="20% - Accent6 13 2 2 2 2" xfId="14872" xr:uid="{00000000-0005-0000-0000-0000633E0000}"/>
    <cellStyle name="20% - Accent6 13 2 2 2 2 2" xfId="26729" xr:uid="{00000000-0005-0000-0000-0000643E0000}"/>
    <cellStyle name="20% - Accent6 13 2 2 2 3" xfId="18823" xr:uid="{00000000-0005-0000-0000-0000653E0000}"/>
    <cellStyle name="20% - Accent6 13 2 2 2 3 2" xfId="30515" xr:uid="{00000000-0005-0000-0000-0000663E0000}"/>
    <cellStyle name="20% - Accent6 13 2 2 2 4" xfId="22869" xr:uid="{00000000-0005-0000-0000-0000673E0000}"/>
    <cellStyle name="20% - Accent6 13 2 2 3" xfId="3662" xr:uid="{00000000-0005-0000-0000-0000683E0000}"/>
    <cellStyle name="20% - Accent6 13 2 2 3 2" xfId="14873" xr:uid="{00000000-0005-0000-0000-0000693E0000}"/>
    <cellStyle name="20% - Accent6 13 2 2 3 2 2" xfId="26730" xr:uid="{00000000-0005-0000-0000-00006A3E0000}"/>
    <cellStyle name="20% - Accent6 13 2 2 3 3" xfId="18824" xr:uid="{00000000-0005-0000-0000-00006B3E0000}"/>
    <cellStyle name="20% - Accent6 13 2 2 3 3 2" xfId="30516" xr:uid="{00000000-0005-0000-0000-00006C3E0000}"/>
    <cellStyle name="20% - Accent6 13 2 2 3 4" xfId="22870" xr:uid="{00000000-0005-0000-0000-00006D3E0000}"/>
    <cellStyle name="20% - Accent6 13 2 2 4" xfId="14871" xr:uid="{00000000-0005-0000-0000-00006E3E0000}"/>
    <cellStyle name="20% - Accent6 13 2 2 4 2" xfId="26728" xr:uid="{00000000-0005-0000-0000-00006F3E0000}"/>
    <cellStyle name="20% - Accent6 13 2 2 5" xfId="18822" xr:uid="{00000000-0005-0000-0000-0000703E0000}"/>
    <cellStyle name="20% - Accent6 13 2 2 5 2" xfId="30514" xr:uid="{00000000-0005-0000-0000-0000713E0000}"/>
    <cellStyle name="20% - Accent6 13 2 2 6" xfId="22868" xr:uid="{00000000-0005-0000-0000-0000723E0000}"/>
    <cellStyle name="20% - Accent6 13 2 3" xfId="3663" xr:uid="{00000000-0005-0000-0000-0000733E0000}"/>
    <cellStyle name="20% - Accent6 13 2 3 2" xfId="3664" xr:uid="{00000000-0005-0000-0000-0000743E0000}"/>
    <cellStyle name="20% - Accent6 13 2 3 2 2" xfId="14875" xr:uid="{00000000-0005-0000-0000-0000753E0000}"/>
    <cellStyle name="20% - Accent6 13 2 3 2 2 2" xfId="26732" xr:uid="{00000000-0005-0000-0000-0000763E0000}"/>
    <cellStyle name="20% - Accent6 13 2 3 2 3" xfId="18826" xr:uid="{00000000-0005-0000-0000-0000773E0000}"/>
    <cellStyle name="20% - Accent6 13 2 3 2 3 2" xfId="30518" xr:uid="{00000000-0005-0000-0000-0000783E0000}"/>
    <cellStyle name="20% - Accent6 13 2 3 2 4" xfId="22872" xr:uid="{00000000-0005-0000-0000-0000793E0000}"/>
    <cellStyle name="20% - Accent6 13 2 3 3" xfId="3665" xr:uid="{00000000-0005-0000-0000-00007A3E0000}"/>
    <cellStyle name="20% - Accent6 13 2 3 3 2" xfId="14876" xr:uid="{00000000-0005-0000-0000-00007B3E0000}"/>
    <cellStyle name="20% - Accent6 13 2 3 3 2 2" xfId="26733" xr:uid="{00000000-0005-0000-0000-00007C3E0000}"/>
    <cellStyle name="20% - Accent6 13 2 3 3 3" xfId="18827" xr:uid="{00000000-0005-0000-0000-00007D3E0000}"/>
    <cellStyle name="20% - Accent6 13 2 3 3 3 2" xfId="30519" xr:uid="{00000000-0005-0000-0000-00007E3E0000}"/>
    <cellStyle name="20% - Accent6 13 2 3 3 4" xfId="22873" xr:uid="{00000000-0005-0000-0000-00007F3E0000}"/>
    <cellStyle name="20% - Accent6 13 2 3 4" xfId="14874" xr:uid="{00000000-0005-0000-0000-0000803E0000}"/>
    <cellStyle name="20% - Accent6 13 2 3 4 2" xfId="26731" xr:uid="{00000000-0005-0000-0000-0000813E0000}"/>
    <cellStyle name="20% - Accent6 13 2 3 5" xfId="18825" xr:uid="{00000000-0005-0000-0000-0000823E0000}"/>
    <cellStyle name="20% - Accent6 13 2 3 5 2" xfId="30517" xr:uid="{00000000-0005-0000-0000-0000833E0000}"/>
    <cellStyle name="20% - Accent6 13 2 3 6" xfId="22871" xr:uid="{00000000-0005-0000-0000-0000843E0000}"/>
    <cellStyle name="20% - Accent6 13 2 4" xfId="3666" xr:uid="{00000000-0005-0000-0000-0000853E0000}"/>
    <cellStyle name="20% - Accent6 13 2 4 2" xfId="3667" xr:uid="{00000000-0005-0000-0000-0000863E0000}"/>
    <cellStyle name="20% - Accent6 13 2 4 2 2" xfId="14878" xr:uid="{00000000-0005-0000-0000-0000873E0000}"/>
    <cellStyle name="20% - Accent6 13 2 4 2 2 2" xfId="26735" xr:uid="{00000000-0005-0000-0000-0000883E0000}"/>
    <cellStyle name="20% - Accent6 13 2 4 2 3" xfId="18829" xr:uid="{00000000-0005-0000-0000-0000893E0000}"/>
    <cellStyle name="20% - Accent6 13 2 4 2 3 2" xfId="30521" xr:uid="{00000000-0005-0000-0000-00008A3E0000}"/>
    <cellStyle name="20% - Accent6 13 2 4 2 4" xfId="22875" xr:uid="{00000000-0005-0000-0000-00008B3E0000}"/>
    <cellStyle name="20% - Accent6 13 2 4 3" xfId="3668" xr:uid="{00000000-0005-0000-0000-00008C3E0000}"/>
    <cellStyle name="20% - Accent6 13 2 4 3 2" xfId="14879" xr:uid="{00000000-0005-0000-0000-00008D3E0000}"/>
    <cellStyle name="20% - Accent6 13 2 4 3 2 2" xfId="26736" xr:uid="{00000000-0005-0000-0000-00008E3E0000}"/>
    <cellStyle name="20% - Accent6 13 2 4 3 3" xfId="18830" xr:uid="{00000000-0005-0000-0000-00008F3E0000}"/>
    <cellStyle name="20% - Accent6 13 2 4 3 3 2" xfId="30522" xr:uid="{00000000-0005-0000-0000-0000903E0000}"/>
    <cellStyle name="20% - Accent6 13 2 4 3 4" xfId="22876" xr:uid="{00000000-0005-0000-0000-0000913E0000}"/>
    <cellStyle name="20% - Accent6 13 2 4 4" xfId="14877" xr:uid="{00000000-0005-0000-0000-0000923E0000}"/>
    <cellStyle name="20% - Accent6 13 2 4 4 2" xfId="26734" xr:uid="{00000000-0005-0000-0000-0000933E0000}"/>
    <cellStyle name="20% - Accent6 13 2 4 5" xfId="18828" xr:uid="{00000000-0005-0000-0000-0000943E0000}"/>
    <cellStyle name="20% - Accent6 13 2 4 5 2" xfId="30520" xr:uid="{00000000-0005-0000-0000-0000953E0000}"/>
    <cellStyle name="20% - Accent6 13 2 4 6" xfId="22874" xr:uid="{00000000-0005-0000-0000-0000963E0000}"/>
    <cellStyle name="20% - Accent6 13 2 5" xfId="3669" xr:uid="{00000000-0005-0000-0000-0000973E0000}"/>
    <cellStyle name="20% - Accent6 13 2 5 2" xfId="14880" xr:uid="{00000000-0005-0000-0000-0000983E0000}"/>
    <cellStyle name="20% - Accent6 13 2 5 2 2" xfId="26737" xr:uid="{00000000-0005-0000-0000-0000993E0000}"/>
    <cellStyle name="20% - Accent6 13 2 5 3" xfId="18831" xr:uid="{00000000-0005-0000-0000-00009A3E0000}"/>
    <cellStyle name="20% - Accent6 13 2 5 3 2" xfId="30523" xr:uid="{00000000-0005-0000-0000-00009B3E0000}"/>
    <cellStyle name="20% - Accent6 13 2 5 4" xfId="22877" xr:uid="{00000000-0005-0000-0000-00009C3E0000}"/>
    <cellStyle name="20% - Accent6 13 2 6" xfId="3670" xr:uid="{00000000-0005-0000-0000-00009D3E0000}"/>
    <cellStyle name="20% - Accent6 13 2 6 2" xfId="14881" xr:uid="{00000000-0005-0000-0000-00009E3E0000}"/>
    <cellStyle name="20% - Accent6 13 2 6 2 2" xfId="26738" xr:uid="{00000000-0005-0000-0000-00009F3E0000}"/>
    <cellStyle name="20% - Accent6 13 2 6 3" xfId="18832" xr:uid="{00000000-0005-0000-0000-0000A03E0000}"/>
    <cellStyle name="20% - Accent6 13 2 6 3 2" xfId="30524" xr:uid="{00000000-0005-0000-0000-0000A13E0000}"/>
    <cellStyle name="20% - Accent6 13 2 6 4" xfId="22878" xr:uid="{00000000-0005-0000-0000-0000A23E0000}"/>
    <cellStyle name="20% - Accent6 13 2 7" xfId="14870" xr:uid="{00000000-0005-0000-0000-0000A33E0000}"/>
    <cellStyle name="20% - Accent6 13 2 7 2" xfId="26727" xr:uid="{00000000-0005-0000-0000-0000A43E0000}"/>
    <cellStyle name="20% - Accent6 13 2 8" xfId="18821" xr:uid="{00000000-0005-0000-0000-0000A53E0000}"/>
    <cellStyle name="20% - Accent6 13 2 8 2" xfId="30513" xr:uid="{00000000-0005-0000-0000-0000A63E0000}"/>
    <cellStyle name="20% - Accent6 13 2 9" xfId="22867" xr:uid="{00000000-0005-0000-0000-0000A73E0000}"/>
    <cellStyle name="20% - Accent6 13 2_Volatility" xfId="3671" xr:uid="{00000000-0005-0000-0000-0000A83E0000}"/>
    <cellStyle name="20% - Accent6 13 3" xfId="3672" xr:uid="{00000000-0005-0000-0000-0000A93E0000}"/>
    <cellStyle name="20% - Accent6 13 3 2" xfId="3673" xr:uid="{00000000-0005-0000-0000-0000AA3E0000}"/>
    <cellStyle name="20% - Accent6 13 3 2 2" xfId="3674" xr:uid="{00000000-0005-0000-0000-0000AB3E0000}"/>
    <cellStyle name="20% - Accent6 13 3 2 2 2" xfId="14884" xr:uid="{00000000-0005-0000-0000-0000AC3E0000}"/>
    <cellStyle name="20% - Accent6 13 3 2 2 2 2" xfId="26741" xr:uid="{00000000-0005-0000-0000-0000AD3E0000}"/>
    <cellStyle name="20% - Accent6 13 3 2 2 3" xfId="18835" xr:uid="{00000000-0005-0000-0000-0000AE3E0000}"/>
    <cellStyle name="20% - Accent6 13 3 2 2 3 2" xfId="30527" xr:uid="{00000000-0005-0000-0000-0000AF3E0000}"/>
    <cellStyle name="20% - Accent6 13 3 2 2 4" xfId="22881" xr:uid="{00000000-0005-0000-0000-0000B03E0000}"/>
    <cellStyle name="20% - Accent6 13 3 2 3" xfId="3675" xr:uid="{00000000-0005-0000-0000-0000B13E0000}"/>
    <cellStyle name="20% - Accent6 13 3 2 3 2" xfId="14885" xr:uid="{00000000-0005-0000-0000-0000B23E0000}"/>
    <cellStyle name="20% - Accent6 13 3 2 3 2 2" xfId="26742" xr:uid="{00000000-0005-0000-0000-0000B33E0000}"/>
    <cellStyle name="20% - Accent6 13 3 2 3 3" xfId="18836" xr:uid="{00000000-0005-0000-0000-0000B43E0000}"/>
    <cellStyle name="20% - Accent6 13 3 2 3 3 2" xfId="30528" xr:uid="{00000000-0005-0000-0000-0000B53E0000}"/>
    <cellStyle name="20% - Accent6 13 3 2 3 4" xfId="22882" xr:uid="{00000000-0005-0000-0000-0000B63E0000}"/>
    <cellStyle name="20% - Accent6 13 3 2 4" xfId="14883" xr:uid="{00000000-0005-0000-0000-0000B73E0000}"/>
    <cellStyle name="20% - Accent6 13 3 2 4 2" xfId="26740" xr:uid="{00000000-0005-0000-0000-0000B83E0000}"/>
    <cellStyle name="20% - Accent6 13 3 2 5" xfId="18834" xr:uid="{00000000-0005-0000-0000-0000B93E0000}"/>
    <cellStyle name="20% - Accent6 13 3 2 5 2" xfId="30526" xr:uid="{00000000-0005-0000-0000-0000BA3E0000}"/>
    <cellStyle name="20% - Accent6 13 3 2 6" xfId="22880" xr:uid="{00000000-0005-0000-0000-0000BB3E0000}"/>
    <cellStyle name="20% - Accent6 13 3 3" xfId="3676" xr:uid="{00000000-0005-0000-0000-0000BC3E0000}"/>
    <cellStyle name="20% - Accent6 13 3 3 2" xfId="3677" xr:uid="{00000000-0005-0000-0000-0000BD3E0000}"/>
    <cellStyle name="20% - Accent6 13 3 3 2 2" xfId="14887" xr:uid="{00000000-0005-0000-0000-0000BE3E0000}"/>
    <cellStyle name="20% - Accent6 13 3 3 2 2 2" xfId="26744" xr:uid="{00000000-0005-0000-0000-0000BF3E0000}"/>
    <cellStyle name="20% - Accent6 13 3 3 2 3" xfId="18838" xr:uid="{00000000-0005-0000-0000-0000C03E0000}"/>
    <cellStyle name="20% - Accent6 13 3 3 2 3 2" xfId="30530" xr:uid="{00000000-0005-0000-0000-0000C13E0000}"/>
    <cellStyle name="20% - Accent6 13 3 3 2 4" xfId="22884" xr:uid="{00000000-0005-0000-0000-0000C23E0000}"/>
    <cellStyle name="20% - Accent6 13 3 3 3" xfId="3678" xr:uid="{00000000-0005-0000-0000-0000C33E0000}"/>
    <cellStyle name="20% - Accent6 13 3 3 3 2" xfId="14888" xr:uid="{00000000-0005-0000-0000-0000C43E0000}"/>
    <cellStyle name="20% - Accent6 13 3 3 3 2 2" xfId="26745" xr:uid="{00000000-0005-0000-0000-0000C53E0000}"/>
    <cellStyle name="20% - Accent6 13 3 3 3 3" xfId="18839" xr:uid="{00000000-0005-0000-0000-0000C63E0000}"/>
    <cellStyle name="20% - Accent6 13 3 3 3 3 2" xfId="30531" xr:uid="{00000000-0005-0000-0000-0000C73E0000}"/>
    <cellStyle name="20% - Accent6 13 3 3 3 4" xfId="22885" xr:uid="{00000000-0005-0000-0000-0000C83E0000}"/>
    <cellStyle name="20% - Accent6 13 3 3 4" xfId="14886" xr:uid="{00000000-0005-0000-0000-0000C93E0000}"/>
    <cellStyle name="20% - Accent6 13 3 3 4 2" xfId="26743" xr:uid="{00000000-0005-0000-0000-0000CA3E0000}"/>
    <cellStyle name="20% - Accent6 13 3 3 5" xfId="18837" xr:uid="{00000000-0005-0000-0000-0000CB3E0000}"/>
    <cellStyle name="20% - Accent6 13 3 3 5 2" xfId="30529" xr:uid="{00000000-0005-0000-0000-0000CC3E0000}"/>
    <cellStyle name="20% - Accent6 13 3 3 6" xfId="22883" xr:uid="{00000000-0005-0000-0000-0000CD3E0000}"/>
    <cellStyle name="20% - Accent6 13 3 4" xfId="3679" xr:uid="{00000000-0005-0000-0000-0000CE3E0000}"/>
    <cellStyle name="20% - Accent6 13 3 4 2" xfId="14889" xr:uid="{00000000-0005-0000-0000-0000CF3E0000}"/>
    <cellStyle name="20% - Accent6 13 3 4 2 2" xfId="26746" xr:uid="{00000000-0005-0000-0000-0000D03E0000}"/>
    <cellStyle name="20% - Accent6 13 3 4 3" xfId="18840" xr:uid="{00000000-0005-0000-0000-0000D13E0000}"/>
    <cellStyle name="20% - Accent6 13 3 4 3 2" xfId="30532" xr:uid="{00000000-0005-0000-0000-0000D23E0000}"/>
    <cellStyle name="20% - Accent6 13 3 4 4" xfId="22886" xr:uid="{00000000-0005-0000-0000-0000D33E0000}"/>
    <cellStyle name="20% - Accent6 13 3 5" xfId="3680" xr:uid="{00000000-0005-0000-0000-0000D43E0000}"/>
    <cellStyle name="20% - Accent6 13 3 5 2" xfId="14890" xr:uid="{00000000-0005-0000-0000-0000D53E0000}"/>
    <cellStyle name="20% - Accent6 13 3 5 2 2" xfId="26747" xr:uid="{00000000-0005-0000-0000-0000D63E0000}"/>
    <cellStyle name="20% - Accent6 13 3 5 3" xfId="18841" xr:uid="{00000000-0005-0000-0000-0000D73E0000}"/>
    <cellStyle name="20% - Accent6 13 3 5 3 2" xfId="30533" xr:uid="{00000000-0005-0000-0000-0000D83E0000}"/>
    <cellStyle name="20% - Accent6 13 3 5 4" xfId="22887" xr:uid="{00000000-0005-0000-0000-0000D93E0000}"/>
    <cellStyle name="20% - Accent6 13 3 6" xfId="14882" xr:uid="{00000000-0005-0000-0000-0000DA3E0000}"/>
    <cellStyle name="20% - Accent6 13 3 6 2" xfId="26739" xr:uid="{00000000-0005-0000-0000-0000DB3E0000}"/>
    <cellStyle name="20% - Accent6 13 3 7" xfId="18833" xr:uid="{00000000-0005-0000-0000-0000DC3E0000}"/>
    <cellStyle name="20% - Accent6 13 3 7 2" xfId="30525" xr:uid="{00000000-0005-0000-0000-0000DD3E0000}"/>
    <cellStyle name="20% - Accent6 13 3 8" xfId="22879" xr:uid="{00000000-0005-0000-0000-0000DE3E0000}"/>
    <cellStyle name="20% - Accent6 13 3_Volatility" xfId="3681" xr:uid="{00000000-0005-0000-0000-0000DF3E0000}"/>
    <cellStyle name="20% - Accent6 13 4" xfId="3682" xr:uid="{00000000-0005-0000-0000-0000E03E0000}"/>
    <cellStyle name="20% - Accent6 13 4 2" xfId="3683" xr:uid="{00000000-0005-0000-0000-0000E13E0000}"/>
    <cellStyle name="20% - Accent6 13 4 2 2" xfId="14892" xr:uid="{00000000-0005-0000-0000-0000E23E0000}"/>
    <cellStyle name="20% - Accent6 13 4 2 2 2" xfId="26749" xr:uid="{00000000-0005-0000-0000-0000E33E0000}"/>
    <cellStyle name="20% - Accent6 13 4 2 3" xfId="18843" xr:uid="{00000000-0005-0000-0000-0000E43E0000}"/>
    <cellStyle name="20% - Accent6 13 4 2 3 2" xfId="30535" xr:uid="{00000000-0005-0000-0000-0000E53E0000}"/>
    <cellStyle name="20% - Accent6 13 4 2 4" xfId="22889" xr:uid="{00000000-0005-0000-0000-0000E63E0000}"/>
    <cellStyle name="20% - Accent6 13 4 3" xfId="3684" xr:uid="{00000000-0005-0000-0000-0000E73E0000}"/>
    <cellStyle name="20% - Accent6 13 4 3 2" xfId="14893" xr:uid="{00000000-0005-0000-0000-0000E83E0000}"/>
    <cellStyle name="20% - Accent6 13 4 3 2 2" xfId="26750" xr:uid="{00000000-0005-0000-0000-0000E93E0000}"/>
    <cellStyle name="20% - Accent6 13 4 3 3" xfId="18844" xr:uid="{00000000-0005-0000-0000-0000EA3E0000}"/>
    <cellStyle name="20% - Accent6 13 4 3 3 2" xfId="30536" xr:uid="{00000000-0005-0000-0000-0000EB3E0000}"/>
    <cellStyle name="20% - Accent6 13 4 3 4" xfId="22890" xr:uid="{00000000-0005-0000-0000-0000EC3E0000}"/>
    <cellStyle name="20% - Accent6 13 4 4" xfId="14891" xr:uid="{00000000-0005-0000-0000-0000ED3E0000}"/>
    <cellStyle name="20% - Accent6 13 4 4 2" xfId="26748" xr:uid="{00000000-0005-0000-0000-0000EE3E0000}"/>
    <cellStyle name="20% - Accent6 13 4 5" xfId="18842" xr:uid="{00000000-0005-0000-0000-0000EF3E0000}"/>
    <cellStyle name="20% - Accent6 13 4 5 2" xfId="30534" xr:uid="{00000000-0005-0000-0000-0000F03E0000}"/>
    <cellStyle name="20% - Accent6 13 4 6" xfId="22888" xr:uid="{00000000-0005-0000-0000-0000F13E0000}"/>
    <cellStyle name="20% - Accent6 13 5" xfId="3685" xr:uid="{00000000-0005-0000-0000-0000F23E0000}"/>
    <cellStyle name="20% - Accent6 13 5 2" xfId="3686" xr:uid="{00000000-0005-0000-0000-0000F33E0000}"/>
    <cellStyle name="20% - Accent6 13 5 2 2" xfId="14895" xr:uid="{00000000-0005-0000-0000-0000F43E0000}"/>
    <cellStyle name="20% - Accent6 13 5 2 2 2" xfId="26752" xr:uid="{00000000-0005-0000-0000-0000F53E0000}"/>
    <cellStyle name="20% - Accent6 13 5 2 3" xfId="18846" xr:uid="{00000000-0005-0000-0000-0000F63E0000}"/>
    <cellStyle name="20% - Accent6 13 5 2 3 2" xfId="30538" xr:uid="{00000000-0005-0000-0000-0000F73E0000}"/>
    <cellStyle name="20% - Accent6 13 5 2 4" xfId="22892" xr:uid="{00000000-0005-0000-0000-0000F83E0000}"/>
    <cellStyle name="20% - Accent6 13 5 3" xfId="3687" xr:uid="{00000000-0005-0000-0000-0000F93E0000}"/>
    <cellStyle name="20% - Accent6 13 5 3 2" xfId="14896" xr:uid="{00000000-0005-0000-0000-0000FA3E0000}"/>
    <cellStyle name="20% - Accent6 13 5 3 2 2" xfId="26753" xr:uid="{00000000-0005-0000-0000-0000FB3E0000}"/>
    <cellStyle name="20% - Accent6 13 5 3 3" xfId="18847" xr:uid="{00000000-0005-0000-0000-0000FC3E0000}"/>
    <cellStyle name="20% - Accent6 13 5 3 3 2" xfId="30539" xr:uid="{00000000-0005-0000-0000-0000FD3E0000}"/>
    <cellStyle name="20% - Accent6 13 5 3 4" xfId="22893" xr:uid="{00000000-0005-0000-0000-0000FE3E0000}"/>
    <cellStyle name="20% - Accent6 13 5 4" xfId="14894" xr:uid="{00000000-0005-0000-0000-0000FF3E0000}"/>
    <cellStyle name="20% - Accent6 13 5 4 2" xfId="26751" xr:uid="{00000000-0005-0000-0000-0000003F0000}"/>
    <cellStyle name="20% - Accent6 13 5 5" xfId="18845" xr:uid="{00000000-0005-0000-0000-0000013F0000}"/>
    <cellStyle name="20% - Accent6 13 5 5 2" xfId="30537" xr:uid="{00000000-0005-0000-0000-0000023F0000}"/>
    <cellStyle name="20% - Accent6 13 5 6" xfId="22891" xr:uid="{00000000-0005-0000-0000-0000033F0000}"/>
    <cellStyle name="20% - Accent6 13 6" xfId="3688" xr:uid="{00000000-0005-0000-0000-0000043F0000}"/>
    <cellStyle name="20% - Accent6 13 6 2" xfId="3689" xr:uid="{00000000-0005-0000-0000-0000053F0000}"/>
    <cellStyle name="20% - Accent6 13 6 2 2" xfId="14898" xr:uid="{00000000-0005-0000-0000-0000063F0000}"/>
    <cellStyle name="20% - Accent6 13 6 2 2 2" xfId="26755" xr:uid="{00000000-0005-0000-0000-0000073F0000}"/>
    <cellStyle name="20% - Accent6 13 6 2 3" xfId="18849" xr:uid="{00000000-0005-0000-0000-0000083F0000}"/>
    <cellStyle name="20% - Accent6 13 6 2 3 2" xfId="30541" xr:uid="{00000000-0005-0000-0000-0000093F0000}"/>
    <cellStyle name="20% - Accent6 13 6 2 4" xfId="22895" xr:uid="{00000000-0005-0000-0000-00000A3F0000}"/>
    <cellStyle name="20% - Accent6 13 6 3" xfId="3690" xr:uid="{00000000-0005-0000-0000-00000B3F0000}"/>
    <cellStyle name="20% - Accent6 13 6 3 2" xfId="14899" xr:uid="{00000000-0005-0000-0000-00000C3F0000}"/>
    <cellStyle name="20% - Accent6 13 6 3 2 2" xfId="26756" xr:uid="{00000000-0005-0000-0000-00000D3F0000}"/>
    <cellStyle name="20% - Accent6 13 6 3 3" xfId="18850" xr:uid="{00000000-0005-0000-0000-00000E3F0000}"/>
    <cellStyle name="20% - Accent6 13 6 3 3 2" xfId="30542" xr:uid="{00000000-0005-0000-0000-00000F3F0000}"/>
    <cellStyle name="20% - Accent6 13 6 3 4" xfId="22896" xr:uid="{00000000-0005-0000-0000-0000103F0000}"/>
    <cellStyle name="20% - Accent6 13 6 4" xfId="14897" xr:uid="{00000000-0005-0000-0000-0000113F0000}"/>
    <cellStyle name="20% - Accent6 13 6 4 2" xfId="26754" xr:uid="{00000000-0005-0000-0000-0000123F0000}"/>
    <cellStyle name="20% - Accent6 13 6 5" xfId="18848" xr:uid="{00000000-0005-0000-0000-0000133F0000}"/>
    <cellStyle name="20% - Accent6 13 6 5 2" xfId="30540" xr:uid="{00000000-0005-0000-0000-0000143F0000}"/>
    <cellStyle name="20% - Accent6 13 6 6" xfId="22894" xr:uid="{00000000-0005-0000-0000-0000153F0000}"/>
    <cellStyle name="20% - Accent6 13 7" xfId="3691" xr:uid="{00000000-0005-0000-0000-0000163F0000}"/>
    <cellStyle name="20% - Accent6 13 7 2" xfId="14900" xr:uid="{00000000-0005-0000-0000-0000173F0000}"/>
    <cellStyle name="20% - Accent6 13 7 2 2" xfId="26757" xr:uid="{00000000-0005-0000-0000-0000183F0000}"/>
    <cellStyle name="20% - Accent6 13 7 3" xfId="18851" xr:uid="{00000000-0005-0000-0000-0000193F0000}"/>
    <cellStyle name="20% - Accent6 13 7 3 2" xfId="30543" xr:uid="{00000000-0005-0000-0000-00001A3F0000}"/>
    <cellStyle name="20% - Accent6 13 7 4" xfId="22897" xr:uid="{00000000-0005-0000-0000-00001B3F0000}"/>
    <cellStyle name="20% - Accent6 13 8" xfId="3692" xr:uid="{00000000-0005-0000-0000-00001C3F0000}"/>
    <cellStyle name="20% - Accent6 13 8 2" xfId="14901" xr:uid="{00000000-0005-0000-0000-00001D3F0000}"/>
    <cellStyle name="20% - Accent6 13 8 2 2" xfId="26758" xr:uid="{00000000-0005-0000-0000-00001E3F0000}"/>
    <cellStyle name="20% - Accent6 13 8 3" xfId="18852" xr:uid="{00000000-0005-0000-0000-00001F3F0000}"/>
    <cellStyle name="20% - Accent6 13 8 3 2" xfId="30544" xr:uid="{00000000-0005-0000-0000-0000203F0000}"/>
    <cellStyle name="20% - Accent6 13 8 4" xfId="22898" xr:uid="{00000000-0005-0000-0000-0000213F0000}"/>
    <cellStyle name="20% - Accent6 13 9" xfId="14869" xr:uid="{00000000-0005-0000-0000-0000223F0000}"/>
    <cellStyle name="20% - Accent6 13 9 2" xfId="26726" xr:uid="{00000000-0005-0000-0000-0000233F0000}"/>
    <cellStyle name="20% - Accent6 13_Volatility" xfId="3693" xr:uid="{00000000-0005-0000-0000-0000243F0000}"/>
    <cellStyle name="20% - Accent6 14" xfId="3694" xr:uid="{00000000-0005-0000-0000-0000253F0000}"/>
    <cellStyle name="20% - Accent6 14 10" xfId="18853" xr:uid="{00000000-0005-0000-0000-0000263F0000}"/>
    <cellStyle name="20% - Accent6 14 10 2" xfId="30545" xr:uid="{00000000-0005-0000-0000-0000273F0000}"/>
    <cellStyle name="20% - Accent6 14 11" xfId="22899" xr:uid="{00000000-0005-0000-0000-0000283F0000}"/>
    <cellStyle name="20% - Accent6 14 2" xfId="3695" xr:uid="{00000000-0005-0000-0000-0000293F0000}"/>
    <cellStyle name="20% - Accent6 14 2 2" xfId="3696" xr:uid="{00000000-0005-0000-0000-00002A3F0000}"/>
    <cellStyle name="20% - Accent6 14 2 2 2" xfId="3697" xr:uid="{00000000-0005-0000-0000-00002B3F0000}"/>
    <cellStyle name="20% - Accent6 14 2 2 2 2" xfId="14905" xr:uid="{00000000-0005-0000-0000-00002C3F0000}"/>
    <cellStyle name="20% - Accent6 14 2 2 2 2 2" xfId="26762" xr:uid="{00000000-0005-0000-0000-00002D3F0000}"/>
    <cellStyle name="20% - Accent6 14 2 2 2 3" xfId="18856" xr:uid="{00000000-0005-0000-0000-00002E3F0000}"/>
    <cellStyle name="20% - Accent6 14 2 2 2 3 2" xfId="30548" xr:uid="{00000000-0005-0000-0000-00002F3F0000}"/>
    <cellStyle name="20% - Accent6 14 2 2 2 4" xfId="22902" xr:uid="{00000000-0005-0000-0000-0000303F0000}"/>
    <cellStyle name="20% - Accent6 14 2 2 3" xfId="3698" xr:uid="{00000000-0005-0000-0000-0000313F0000}"/>
    <cellStyle name="20% - Accent6 14 2 2 3 2" xfId="14906" xr:uid="{00000000-0005-0000-0000-0000323F0000}"/>
    <cellStyle name="20% - Accent6 14 2 2 3 2 2" xfId="26763" xr:uid="{00000000-0005-0000-0000-0000333F0000}"/>
    <cellStyle name="20% - Accent6 14 2 2 3 3" xfId="18857" xr:uid="{00000000-0005-0000-0000-0000343F0000}"/>
    <cellStyle name="20% - Accent6 14 2 2 3 3 2" xfId="30549" xr:uid="{00000000-0005-0000-0000-0000353F0000}"/>
    <cellStyle name="20% - Accent6 14 2 2 3 4" xfId="22903" xr:uid="{00000000-0005-0000-0000-0000363F0000}"/>
    <cellStyle name="20% - Accent6 14 2 2 4" xfId="14904" xr:uid="{00000000-0005-0000-0000-0000373F0000}"/>
    <cellStyle name="20% - Accent6 14 2 2 4 2" xfId="26761" xr:uid="{00000000-0005-0000-0000-0000383F0000}"/>
    <cellStyle name="20% - Accent6 14 2 2 5" xfId="18855" xr:uid="{00000000-0005-0000-0000-0000393F0000}"/>
    <cellStyle name="20% - Accent6 14 2 2 5 2" xfId="30547" xr:uid="{00000000-0005-0000-0000-00003A3F0000}"/>
    <cellStyle name="20% - Accent6 14 2 2 6" xfId="22901" xr:uid="{00000000-0005-0000-0000-00003B3F0000}"/>
    <cellStyle name="20% - Accent6 14 2 3" xfId="3699" xr:uid="{00000000-0005-0000-0000-00003C3F0000}"/>
    <cellStyle name="20% - Accent6 14 2 3 2" xfId="3700" xr:uid="{00000000-0005-0000-0000-00003D3F0000}"/>
    <cellStyle name="20% - Accent6 14 2 3 2 2" xfId="14908" xr:uid="{00000000-0005-0000-0000-00003E3F0000}"/>
    <cellStyle name="20% - Accent6 14 2 3 2 2 2" xfId="26765" xr:uid="{00000000-0005-0000-0000-00003F3F0000}"/>
    <cellStyle name="20% - Accent6 14 2 3 2 3" xfId="18859" xr:uid="{00000000-0005-0000-0000-0000403F0000}"/>
    <cellStyle name="20% - Accent6 14 2 3 2 3 2" xfId="30551" xr:uid="{00000000-0005-0000-0000-0000413F0000}"/>
    <cellStyle name="20% - Accent6 14 2 3 2 4" xfId="22905" xr:uid="{00000000-0005-0000-0000-0000423F0000}"/>
    <cellStyle name="20% - Accent6 14 2 3 3" xfId="3701" xr:uid="{00000000-0005-0000-0000-0000433F0000}"/>
    <cellStyle name="20% - Accent6 14 2 3 3 2" xfId="14909" xr:uid="{00000000-0005-0000-0000-0000443F0000}"/>
    <cellStyle name="20% - Accent6 14 2 3 3 2 2" xfId="26766" xr:uid="{00000000-0005-0000-0000-0000453F0000}"/>
    <cellStyle name="20% - Accent6 14 2 3 3 3" xfId="18860" xr:uid="{00000000-0005-0000-0000-0000463F0000}"/>
    <cellStyle name="20% - Accent6 14 2 3 3 3 2" xfId="30552" xr:uid="{00000000-0005-0000-0000-0000473F0000}"/>
    <cellStyle name="20% - Accent6 14 2 3 3 4" xfId="22906" xr:uid="{00000000-0005-0000-0000-0000483F0000}"/>
    <cellStyle name="20% - Accent6 14 2 3 4" xfId="14907" xr:uid="{00000000-0005-0000-0000-0000493F0000}"/>
    <cellStyle name="20% - Accent6 14 2 3 4 2" xfId="26764" xr:uid="{00000000-0005-0000-0000-00004A3F0000}"/>
    <cellStyle name="20% - Accent6 14 2 3 5" xfId="18858" xr:uid="{00000000-0005-0000-0000-00004B3F0000}"/>
    <cellStyle name="20% - Accent6 14 2 3 5 2" xfId="30550" xr:uid="{00000000-0005-0000-0000-00004C3F0000}"/>
    <cellStyle name="20% - Accent6 14 2 3 6" xfId="22904" xr:uid="{00000000-0005-0000-0000-00004D3F0000}"/>
    <cellStyle name="20% - Accent6 14 2 4" xfId="3702" xr:uid="{00000000-0005-0000-0000-00004E3F0000}"/>
    <cellStyle name="20% - Accent6 14 2 4 2" xfId="3703" xr:uid="{00000000-0005-0000-0000-00004F3F0000}"/>
    <cellStyle name="20% - Accent6 14 2 4 2 2" xfId="14911" xr:uid="{00000000-0005-0000-0000-0000503F0000}"/>
    <cellStyle name="20% - Accent6 14 2 4 2 2 2" xfId="26768" xr:uid="{00000000-0005-0000-0000-0000513F0000}"/>
    <cellStyle name="20% - Accent6 14 2 4 2 3" xfId="18862" xr:uid="{00000000-0005-0000-0000-0000523F0000}"/>
    <cellStyle name="20% - Accent6 14 2 4 2 3 2" xfId="30554" xr:uid="{00000000-0005-0000-0000-0000533F0000}"/>
    <cellStyle name="20% - Accent6 14 2 4 2 4" xfId="22908" xr:uid="{00000000-0005-0000-0000-0000543F0000}"/>
    <cellStyle name="20% - Accent6 14 2 4 3" xfId="3704" xr:uid="{00000000-0005-0000-0000-0000553F0000}"/>
    <cellStyle name="20% - Accent6 14 2 4 3 2" xfId="14912" xr:uid="{00000000-0005-0000-0000-0000563F0000}"/>
    <cellStyle name="20% - Accent6 14 2 4 3 2 2" xfId="26769" xr:uid="{00000000-0005-0000-0000-0000573F0000}"/>
    <cellStyle name="20% - Accent6 14 2 4 3 3" xfId="18863" xr:uid="{00000000-0005-0000-0000-0000583F0000}"/>
    <cellStyle name="20% - Accent6 14 2 4 3 3 2" xfId="30555" xr:uid="{00000000-0005-0000-0000-0000593F0000}"/>
    <cellStyle name="20% - Accent6 14 2 4 3 4" xfId="22909" xr:uid="{00000000-0005-0000-0000-00005A3F0000}"/>
    <cellStyle name="20% - Accent6 14 2 4 4" xfId="14910" xr:uid="{00000000-0005-0000-0000-00005B3F0000}"/>
    <cellStyle name="20% - Accent6 14 2 4 4 2" xfId="26767" xr:uid="{00000000-0005-0000-0000-00005C3F0000}"/>
    <cellStyle name="20% - Accent6 14 2 4 5" xfId="18861" xr:uid="{00000000-0005-0000-0000-00005D3F0000}"/>
    <cellStyle name="20% - Accent6 14 2 4 5 2" xfId="30553" xr:uid="{00000000-0005-0000-0000-00005E3F0000}"/>
    <cellStyle name="20% - Accent6 14 2 4 6" xfId="22907" xr:uid="{00000000-0005-0000-0000-00005F3F0000}"/>
    <cellStyle name="20% - Accent6 14 2 5" xfId="3705" xr:uid="{00000000-0005-0000-0000-0000603F0000}"/>
    <cellStyle name="20% - Accent6 14 2 5 2" xfId="14913" xr:uid="{00000000-0005-0000-0000-0000613F0000}"/>
    <cellStyle name="20% - Accent6 14 2 5 2 2" xfId="26770" xr:uid="{00000000-0005-0000-0000-0000623F0000}"/>
    <cellStyle name="20% - Accent6 14 2 5 3" xfId="18864" xr:uid="{00000000-0005-0000-0000-0000633F0000}"/>
    <cellStyle name="20% - Accent6 14 2 5 3 2" xfId="30556" xr:uid="{00000000-0005-0000-0000-0000643F0000}"/>
    <cellStyle name="20% - Accent6 14 2 5 4" xfId="22910" xr:uid="{00000000-0005-0000-0000-0000653F0000}"/>
    <cellStyle name="20% - Accent6 14 2 6" xfId="3706" xr:uid="{00000000-0005-0000-0000-0000663F0000}"/>
    <cellStyle name="20% - Accent6 14 2 6 2" xfId="14914" xr:uid="{00000000-0005-0000-0000-0000673F0000}"/>
    <cellStyle name="20% - Accent6 14 2 6 2 2" xfId="26771" xr:uid="{00000000-0005-0000-0000-0000683F0000}"/>
    <cellStyle name="20% - Accent6 14 2 6 3" xfId="18865" xr:uid="{00000000-0005-0000-0000-0000693F0000}"/>
    <cellStyle name="20% - Accent6 14 2 6 3 2" xfId="30557" xr:uid="{00000000-0005-0000-0000-00006A3F0000}"/>
    <cellStyle name="20% - Accent6 14 2 6 4" xfId="22911" xr:uid="{00000000-0005-0000-0000-00006B3F0000}"/>
    <cellStyle name="20% - Accent6 14 2 7" xfId="14903" xr:uid="{00000000-0005-0000-0000-00006C3F0000}"/>
    <cellStyle name="20% - Accent6 14 2 7 2" xfId="26760" xr:uid="{00000000-0005-0000-0000-00006D3F0000}"/>
    <cellStyle name="20% - Accent6 14 2 8" xfId="18854" xr:uid="{00000000-0005-0000-0000-00006E3F0000}"/>
    <cellStyle name="20% - Accent6 14 2 8 2" xfId="30546" xr:uid="{00000000-0005-0000-0000-00006F3F0000}"/>
    <cellStyle name="20% - Accent6 14 2 9" xfId="22900" xr:uid="{00000000-0005-0000-0000-0000703F0000}"/>
    <cellStyle name="20% - Accent6 14 2_Volatility" xfId="3707" xr:uid="{00000000-0005-0000-0000-0000713F0000}"/>
    <cellStyle name="20% - Accent6 14 3" xfId="3708" xr:uid="{00000000-0005-0000-0000-0000723F0000}"/>
    <cellStyle name="20% - Accent6 14 3 2" xfId="3709" xr:uid="{00000000-0005-0000-0000-0000733F0000}"/>
    <cellStyle name="20% - Accent6 14 3 2 2" xfId="3710" xr:uid="{00000000-0005-0000-0000-0000743F0000}"/>
    <cellStyle name="20% - Accent6 14 3 2 2 2" xfId="14917" xr:uid="{00000000-0005-0000-0000-0000753F0000}"/>
    <cellStyle name="20% - Accent6 14 3 2 2 2 2" xfId="26774" xr:uid="{00000000-0005-0000-0000-0000763F0000}"/>
    <cellStyle name="20% - Accent6 14 3 2 2 3" xfId="18868" xr:uid="{00000000-0005-0000-0000-0000773F0000}"/>
    <cellStyle name="20% - Accent6 14 3 2 2 3 2" xfId="30560" xr:uid="{00000000-0005-0000-0000-0000783F0000}"/>
    <cellStyle name="20% - Accent6 14 3 2 2 4" xfId="22914" xr:uid="{00000000-0005-0000-0000-0000793F0000}"/>
    <cellStyle name="20% - Accent6 14 3 2 3" xfId="3711" xr:uid="{00000000-0005-0000-0000-00007A3F0000}"/>
    <cellStyle name="20% - Accent6 14 3 2 3 2" xfId="14918" xr:uid="{00000000-0005-0000-0000-00007B3F0000}"/>
    <cellStyle name="20% - Accent6 14 3 2 3 2 2" xfId="26775" xr:uid="{00000000-0005-0000-0000-00007C3F0000}"/>
    <cellStyle name="20% - Accent6 14 3 2 3 3" xfId="18869" xr:uid="{00000000-0005-0000-0000-00007D3F0000}"/>
    <cellStyle name="20% - Accent6 14 3 2 3 3 2" xfId="30561" xr:uid="{00000000-0005-0000-0000-00007E3F0000}"/>
    <cellStyle name="20% - Accent6 14 3 2 3 4" xfId="22915" xr:uid="{00000000-0005-0000-0000-00007F3F0000}"/>
    <cellStyle name="20% - Accent6 14 3 2 4" xfId="14916" xr:uid="{00000000-0005-0000-0000-0000803F0000}"/>
    <cellStyle name="20% - Accent6 14 3 2 4 2" xfId="26773" xr:uid="{00000000-0005-0000-0000-0000813F0000}"/>
    <cellStyle name="20% - Accent6 14 3 2 5" xfId="18867" xr:uid="{00000000-0005-0000-0000-0000823F0000}"/>
    <cellStyle name="20% - Accent6 14 3 2 5 2" xfId="30559" xr:uid="{00000000-0005-0000-0000-0000833F0000}"/>
    <cellStyle name="20% - Accent6 14 3 2 6" xfId="22913" xr:uid="{00000000-0005-0000-0000-0000843F0000}"/>
    <cellStyle name="20% - Accent6 14 3 3" xfId="3712" xr:uid="{00000000-0005-0000-0000-0000853F0000}"/>
    <cellStyle name="20% - Accent6 14 3 3 2" xfId="3713" xr:uid="{00000000-0005-0000-0000-0000863F0000}"/>
    <cellStyle name="20% - Accent6 14 3 3 2 2" xfId="14920" xr:uid="{00000000-0005-0000-0000-0000873F0000}"/>
    <cellStyle name="20% - Accent6 14 3 3 2 2 2" xfId="26777" xr:uid="{00000000-0005-0000-0000-0000883F0000}"/>
    <cellStyle name="20% - Accent6 14 3 3 2 3" xfId="18871" xr:uid="{00000000-0005-0000-0000-0000893F0000}"/>
    <cellStyle name="20% - Accent6 14 3 3 2 3 2" xfId="30563" xr:uid="{00000000-0005-0000-0000-00008A3F0000}"/>
    <cellStyle name="20% - Accent6 14 3 3 2 4" xfId="22917" xr:uid="{00000000-0005-0000-0000-00008B3F0000}"/>
    <cellStyle name="20% - Accent6 14 3 3 3" xfId="3714" xr:uid="{00000000-0005-0000-0000-00008C3F0000}"/>
    <cellStyle name="20% - Accent6 14 3 3 3 2" xfId="14921" xr:uid="{00000000-0005-0000-0000-00008D3F0000}"/>
    <cellStyle name="20% - Accent6 14 3 3 3 2 2" xfId="26778" xr:uid="{00000000-0005-0000-0000-00008E3F0000}"/>
    <cellStyle name="20% - Accent6 14 3 3 3 3" xfId="18872" xr:uid="{00000000-0005-0000-0000-00008F3F0000}"/>
    <cellStyle name="20% - Accent6 14 3 3 3 3 2" xfId="30564" xr:uid="{00000000-0005-0000-0000-0000903F0000}"/>
    <cellStyle name="20% - Accent6 14 3 3 3 4" xfId="22918" xr:uid="{00000000-0005-0000-0000-0000913F0000}"/>
    <cellStyle name="20% - Accent6 14 3 3 4" xfId="14919" xr:uid="{00000000-0005-0000-0000-0000923F0000}"/>
    <cellStyle name="20% - Accent6 14 3 3 4 2" xfId="26776" xr:uid="{00000000-0005-0000-0000-0000933F0000}"/>
    <cellStyle name="20% - Accent6 14 3 3 5" xfId="18870" xr:uid="{00000000-0005-0000-0000-0000943F0000}"/>
    <cellStyle name="20% - Accent6 14 3 3 5 2" xfId="30562" xr:uid="{00000000-0005-0000-0000-0000953F0000}"/>
    <cellStyle name="20% - Accent6 14 3 3 6" xfId="22916" xr:uid="{00000000-0005-0000-0000-0000963F0000}"/>
    <cellStyle name="20% - Accent6 14 3 4" xfId="3715" xr:uid="{00000000-0005-0000-0000-0000973F0000}"/>
    <cellStyle name="20% - Accent6 14 3 4 2" xfId="14922" xr:uid="{00000000-0005-0000-0000-0000983F0000}"/>
    <cellStyle name="20% - Accent6 14 3 4 2 2" xfId="26779" xr:uid="{00000000-0005-0000-0000-0000993F0000}"/>
    <cellStyle name="20% - Accent6 14 3 4 3" xfId="18873" xr:uid="{00000000-0005-0000-0000-00009A3F0000}"/>
    <cellStyle name="20% - Accent6 14 3 4 3 2" xfId="30565" xr:uid="{00000000-0005-0000-0000-00009B3F0000}"/>
    <cellStyle name="20% - Accent6 14 3 4 4" xfId="22919" xr:uid="{00000000-0005-0000-0000-00009C3F0000}"/>
    <cellStyle name="20% - Accent6 14 3 5" xfId="3716" xr:uid="{00000000-0005-0000-0000-00009D3F0000}"/>
    <cellStyle name="20% - Accent6 14 3 5 2" xfId="14923" xr:uid="{00000000-0005-0000-0000-00009E3F0000}"/>
    <cellStyle name="20% - Accent6 14 3 5 2 2" xfId="26780" xr:uid="{00000000-0005-0000-0000-00009F3F0000}"/>
    <cellStyle name="20% - Accent6 14 3 5 3" xfId="18874" xr:uid="{00000000-0005-0000-0000-0000A03F0000}"/>
    <cellStyle name="20% - Accent6 14 3 5 3 2" xfId="30566" xr:uid="{00000000-0005-0000-0000-0000A13F0000}"/>
    <cellStyle name="20% - Accent6 14 3 5 4" xfId="22920" xr:uid="{00000000-0005-0000-0000-0000A23F0000}"/>
    <cellStyle name="20% - Accent6 14 3 6" xfId="14915" xr:uid="{00000000-0005-0000-0000-0000A33F0000}"/>
    <cellStyle name="20% - Accent6 14 3 6 2" xfId="26772" xr:uid="{00000000-0005-0000-0000-0000A43F0000}"/>
    <cellStyle name="20% - Accent6 14 3 7" xfId="18866" xr:uid="{00000000-0005-0000-0000-0000A53F0000}"/>
    <cellStyle name="20% - Accent6 14 3 7 2" xfId="30558" xr:uid="{00000000-0005-0000-0000-0000A63F0000}"/>
    <cellStyle name="20% - Accent6 14 3 8" xfId="22912" xr:uid="{00000000-0005-0000-0000-0000A73F0000}"/>
    <cellStyle name="20% - Accent6 14 3_Volatility" xfId="3717" xr:uid="{00000000-0005-0000-0000-0000A83F0000}"/>
    <cellStyle name="20% - Accent6 14 4" xfId="3718" xr:uid="{00000000-0005-0000-0000-0000A93F0000}"/>
    <cellStyle name="20% - Accent6 14 4 2" xfId="3719" xr:uid="{00000000-0005-0000-0000-0000AA3F0000}"/>
    <cellStyle name="20% - Accent6 14 4 2 2" xfId="14925" xr:uid="{00000000-0005-0000-0000-0000AB3F0000}"/>
    <cellStyle name="20% - Accent6 14 4 2 2 2" xfId="26782" xr:uid="{00000000-0005-0000-0000-0000AC3F0000}"/>
    <cellStyle name="20% - Accent6 14 4 2 3" xfId="18876" xr:uid="{00000000-0005-0000-0000-0000AD3F0000}"/>
    <cellStyle name="20% - Accent6 14 4 2 3 2" xfId="30568" xr:uid="{00000000-0005-0000-0000-0000AE3F0000}"/>
    <cellStyle name="20% - Accent6 14 4 2 4" xfId="22922" xr:uid="{00000000-0005-0000-0000-0000AF3F0000}"/>
    <cellStyle name="20% - Accent6 14 4 3" xfId="3720" xr:uid="{00000000-0005-0000-0000-0000B03F0000}"/>
    <cellStyle name="20% - Accent6 14 4 3 2" xfId="14926" xr:uid="{00000000-0005-0000-0000-0000B13F0000}"/>
    <cellStyle name="20% - Accent6 14 4 3 2 2" xfId="26783" xr:uid="{00000000-0005-0000-0000-0000B23F0000}"/>
    <cellStyle name="20% - Accent6 14 4 3 3" xfId="18877" xr:uid="{00000000-0005-0000-0000-0000B33F0000}"/>
    <cellStyle name="20% - Accent6 14 4 3 3 2" xfId="30569" xr:uid="{00000000-0005-0000-0000-0000B43F0000}"/>
    <cellStyle name="20% - Accent6 14 4 3 4" xfId="22923" xr:uid="{00000000-0005-0000-0000-0000B53F0000}"/>
    <cellStyle name="20% - Accent6 14 4 4" xfId="14924" xr:uid="{00000000-0005-0000-0000-0000B63F0000}"/>
    <cellStyle name="20% - Accent6 14 4 4 2" xfId="26781" xr:uid="{00000000-0005-0000-0000-0000B73F0000}"/>
    <cellStyle name="20% - Accent6 14 4 5" xfId="18875" xr:uid="{00000000-0005-0000-0000-0000B83F0000}"/>
    <cellStyle name="20% - Accent6 14 4 5 2" xfId="30567" xr:uid="{00000000-0005-0000-0000-0000B93F0000}"/>
    <cellStyle name="20% - Accent6 14 4 6" xfId="22921" xr:uid="{00000000-0005-0000-0000-0000BA3F0000}"/>
    <cellStyle name="20% - Accent6 14 5" xfId="3721" xr:uid="{00000000-0005-0000-0000-0000BB3F0000}"/>
    <cellStyle name="20% - Accent6 14 5 2" xfId="3722" xr:uid="{00000000-0005-0000-0000-0000BC3F0000}"/>
    <cellStyle name="20% - Accent6 14 5 2 2" xfId="14928" xr:uid="{00000000-0005-0000-0000-0000BD3F0000}"/>
    <cellStyle name="20% - Accent6 14 5 2 2 2" xfId="26785" xr:uid="{00000000-0005-0000-0000-0000BE3F0000}"/>
    <cellStyle name="20% - Accent6 14 5 2 3" xfId="18879" xr:uid="{00000000-0005-0000-0000-0000BF3F0000}"/>
    <cellStyle name="20% - Accent6 14 5 2 3 2" xfId="30571" xr:uid="{00000000-0005-0000-0000-0000C03F0000}"/>
    <cellStyle name="20% - Accent6 14 5 2 4" xfId="22925" xr:uid="{00000000-0005-0000-0000-0000C13F0000}"/>
    <cellStyle name="20% - Accent6 14 5 3" xfId="3723" xr:uid="{00000000-0005-0000-0000-0000C23F0000}"/>
    <cellStyle name="20% - Accent6 14 5 3 2" xfId="14929" xr:uid="{00000000-0005-0000-0000-0000C33F0000}"/>
    <cellStyle name="20% - Accent6 14 5 3 2 2" xfId="26786" xr:uid="{00000000-0005-0000-0000-0000C43F0000}"/>
    <cellStyle name="20% - Accent6 14 5 3 3" xfId="18880" xr:uid="{00000000-0005-0000-0000-0000C53F0000}"/>
    <cellStyle name="20% - Accent6 14 5 3 3 2" xfId="30572" xr:uid="{00000000-0005-0000-0000-0000C63F0000}"/>
    <cellStyle name="20% - Accent6 14 5 3 4" xfId="22926" xr:uid="{00000000-0005-0000-0000-0000C73F0000}"/>
    <cellStyle name="20% - Accent6 14 5 4" xfId="14927" xr:uid="{00000000-0005-0000-0000-0000C83F0000}"/>
    <cellStyle name="20% - Accent6 14 5 4 2" xfId="26784" xr:uid="{00000000-0005-0000-0000-0000C93F0000}"/>
    <cellStyle name="20% - Accent6 14 5 5" xfId="18878" xr:uid="{00000000-0005-0000-0000-0000CA3F0000}"/>
    <cellStyle name="20% - Accent6 14 5 5 2" xfId="30570" xr:uid="{00000000-0005-0000-0000-0000CB3F0000}"/>
    <cellStyle name="20% - Accent6 14 5 6" xfId="22924" xr:uid="{00000000-0005-0000-0000-0000CC3F0000}"/>
    <cellStyle name="20% - Accent6 14 6" xfId="3724" xr:uid="{00000000-0005-0000-0000-0000CD3F0000}"/>
    <cellStyle name="20% - Accent6 14 6 2" xfId="3725" xr:uid="{00000000-0005-0000-0000-0000CE3F0000}"/>
    <cellStyle name="20% - Accent6 14 6 2 2" xfId="14931" xr:uid="{00000000-0005-0000-0000-0000CF3F0000}"/>
    <cellStyle name="20% - Accent6 14 6 2 2 2" xfId="26788" xr:uid="{00000000-0005-0000-0000-0000D03F0000}"/>
    <cellStyle name="20% - Accent6 14 6 2 3" xfId="18882" xr:uid="{00000000-0005-0000-0000-0000D13F0000}"/>
    <cellStyle name="20% - Accent6 14 6 2 3 2" xfId="30574" xr:uid="{00000000-0005-0000-0000-0000D23F0000}"/>
    <cellStyle name="20% - Accent6 14 6 2 4" xfId="22928" xr:uid="{00000000-0005-0000-0000-0000D33F0000}"/>
    <cellStyle name="20% - Accent6 14 6 3" xfId="3726" xr:uid="{00000000-0005-0000-0000-0000D43F0000}"/>
    <cellStyle name="20% - Accent6 14 6 3 2" xfId="14932" xr:uid="{00000000-0005-0000-0000-0000D53F0000}"/>
    <cellStyle name="20% - Accent6 14 6 3 2 2" xfId="26789" xr:uid="{00000000-0005-0000-0000-0000D63F0000}"/>
    <cellStyle name="20% - Accent6 14 6 3 3" xfId="18883" xr:uid="{00000000-0005-0000-0000-0000D73F0000}"/>
    <cellStyle name="20% - Accent6 14 6 3 3 2" xfId="30575" xr:uid="{00000000-0005-0000-0000-0000D83F0000}"/>
    <cellStyle name="20% - Accent6 14 6 3 4" xfId="22929" xr:uid="{00000000-0005-0000-0000-0000D93F0000}"/>
    <cellStyle name="20% - Accent6 14 6 4" xfId="14930" xr:uid="{00000000-0005-0000-0000-0000DA3F0000}"/>
    <cellStyle name="20% - Accent6 14 6 4 2" xfId="26787" xr:uid="{00000000-0005-0000-0000-0000DB3F0000}"/>
    <cellStyle name="20% - Accent6 14 6 5" xfId="18881" xr:uid="{00000000-0005-0000-0000-0000DC3F0000}"/>
    <cellStyle name="20% - Accent6 14 6 5 2" xfId="30573" xr:uid="{00000000-0005-0000-0000-0000DD3F0000}"/>
    <cellStyle name="20% - Accent6 14 6 6" xfId="22927" xr:uid="{00000000-0005-0000-0000-0000DE3F0000}"/>
    <cellStyle name="20% - Accent6 14 7" xfId="3727" xr:uid="{00000000-0005-0000-0000-0000DF3F0000}"/>
    <cellStyle name="20% - Accent6 14 7 2" xfId="14933" xr:uid="{00000000-0005-0000-0000-0000E03F0000}"/>
    <cellStyle name="20% - Accent6 14 7 2 2" xfId="26790" xr:uid="{00000000-0005-0000-0000-0000E13F0000}"/>
    <cellStyle name="20% - Accent6 14 7 3" xfId="18884" xr:uid="{00000000-0005-0000-0000-0000E23F0000}"/>
    <cellStyle name="20% - Accent6 14 7 3 2" xfId="30576" xr:uid="{00000000-0005-0000-0000-0000E33F0000}"/>
    <cellStyle name="20% - Accent6 14 7 4" xfId="22930" xr:uid="{00000000-0005-0000-0000-0000E43F0000}"/>
    <cellStyle name="20% - Accent6 14 8" xfId="3728" xr:uid="{00000000-0005-0000-0000-0000E53F0000}"/>
    <cellStyle name="20% - Accent6 14 8 2" xfId="14934" xr:uid="{00000000-0005-0000-0000-0000E63F0000}"/>
    <cellStyle name="20% - Accent6 14 8 2 2" xfId="26791" xr:uid="{00000000-0005-0000-0000-0000E73F0000}"/>
    <cellStyle name="20% - Accent6 14 8 3" xfId="18885" xr:uid="{00000000-0005-0000-0000-0000E83F0000}"/>
    <cellStyle name="20% - Accent6 14 8 3 2" xfId="30577" xr:uid="{00000000-0005-0000-0000-0000E93F0000}"/>
    <cellStyle name="20% - Accent6 14 8 4" xfId="22931" xr:uid="{00000000-0005-0000-0000-0000EA3F0000}"/>
    <cellStyle name="20% - Accent6 14 9" xfId="14902" xr:uid="{00000000-0005-0000-0000-0000EB3F0000}"/>
    <cellStyle name="20% - Accent6 14 9 2" xfId="26759" xr:uid="{00000000-0005-0000-0000-0000EC3F0000}"/>
    <cellStyle name="20% - Accent6 14_Volatility" xfId="3729" xr:uid="{00000000-0005-0000-0000-0000ED3F0000}"/>
    <cellStyle name="20% - Accent6 15" xfId="3730" xr:uid="{00000000-0005-0000-0000-0000EE3F0000}"/>
    <cellStyle name="20% - Accent6 15 10" xfId="18886" xr:uid="{00000000-0005-0000-0000-0000EF3F0000}"/>
    <cellStyle name="20% - Accent6 15 10 2" xfId="30578" xr:uid="{00000000-0005-0000-0000-0000F03F0000}"/>
    <cellStyle name="20% - Accent6 15 11" xfId="22932" xr:uid="{00000000-0005-0000-0000-0000F13F0000}"/>
    <cellStyle name="20% - Accent6 15 2" xfId="3731" xr:uid="{00000000-0005-0000-0000-0000F23F0000}"/>
    <cellStyle name="20% - Accent6 15 2 2" xfId="3732" xr:uid="{00000000-0005-0000-0000-0000F33F0000}"/>
    <cellStyle name="20% - Accent6 15 2 2 2" xfId="3733" xr:uid="{00000000-0005-0000-0000-0000F43F0000}"/>
    <cellStyle name="20% - Accent6 15 2 2 2 2" xfId="14938" xr:uid="{00000000-0005-0000-0000-0000F53F0000}"/>
    <cellStyle name="20% - Accent6 15 2 2 2 2 2" xfId="26795" xr:uid="{00000000-0005-0000-0000-0000F63F0000}"/>
    <cellStyle name="20% - Accent6 15 2 2 2 3" xfId="18889" xr:uid="{00000000-0005-0000-0000-0000F73F0000}"/>
    <cellStyle name="20% - Accent6 15 2 2 2 3 2" xfId="30581" xr:uid="{00000000-0005-0000-0000-0000F83F0000}"/>
    <cellStyle name="20% - Accent6 15 2 2 2 4" xfId="22935" xr:uid="{00000000-0005-0000-0000-0000F93F0000}"/>
    <cellStyle name="20% - Accent6 15 2 2 3" xfId="3734" xr:uid="{00000000-0005-0000-0000-0000FA3F0000}"/>
    <cellStyle name="20% - Accent6 15 2 2 3 2" xfId="14939" xr:uid="{00000000-0005-0000-0000-0000FB3F0000}"/>
    <cellStyle name="20% - Accent6 15 2 2 3 2 2" xfId="26796" xr:uid="{00000000-0005-0000-0000-0000FC3F0000}"/>
    <cellStyle name="20% - Accent6 15 2 2 3 3" xfId="18890" xr:uid="{00000000-0005-0000-0000-0000FD3F0000}"/>
    <cellStyle name="20% - Accent6 15 2 2 3 3 2" xfId="30582" xr:uid="{00000000-0005-0000-0000-0000FE3F0000}"/>
    <cellStyle name="20% - Accent6 15 2 2 3 4" xfId="22936" xr:uid="{00000000-0005-0000-0000-0000FF3F0000}"/>
    <cellStyle name="20% - Accent6 15 2 2 4" xfId="14937" xr:uid="{00000000-0005-0000-0000-000000400000}"/>
    <cellStyle name="20% - Accent6 15 2 2 4 2" xfId="26794" xr:uid="{00000000-0005-0000-0000-000001400000}"/>
    <cellStyle name="20% - Accent6 15 2 2 5" xfId="18888" xr:uid="{00000000-0005-0000-0000-000002400000}"/>
    <cellStyle name="20% - Accent6 15 2 2 5 2" xfId="30580" xr:uid="{00000000-0005-0000-0000-000003400000}"/>
    <cellStyle name="20% - Accent6 15 2 2 6" xfId="22934" xr:uid="{00000000-0005-0000-0000-000004400000}"/>
    <cellStyle name="20% - Accent6 15 2 3" xfId="3735" xr:uid="{00000000-0005-0000-0000-000005400000}"/>
    <cellStyle name="20% - Accent6 15 2 3 2" xfId="3736" xr:uid="{00000000-0005-0000-0000-000006400000}"/>
    <cellStyle name="20% - Accent6 15 2 3 2 2" xfId="14941" xr:uid="{00000000-0005-0000-0000-000007400000}"/>
    <cellStyle name="20% - Accent6 15 2 3 2 2 2" xfId="26798" xr:uid="{00000000-0005-0000-0000-000008400000}"/>
    <cellStyle name="20% - Accent6 15 2 3 2 3" xfId="18892" xr:uid="{00000000-0005-0000-0000-000009400000}"/>
    <cellStyle name="20% - Accent6 15 2 3 2 3 2" xfId="30584" xr:uid="{00000000-0005-0000-0000-00000A400000}"/>
    <cellStyle name="20% - Accent6 15 2 3 2 4" xfId="22938" xr:uid="{00000000-0005-0000-0000-00000B400000}"/>
    <cellStyle name="20% - Accent6 15 2 3 3" xfId="3737" xr:uid="{00000000-0005-0000-0000-00000C400000}"/>
    <cellStyle name="20% - Accent6 15 2 3 3 2" xfId="14942" xr:uid="{00000000-0005-0000-0000-00000D400000}"/>
    <cellStyle name="20% - Accent6 15 2 3 3 2 2" xfId="26799" xr:uid="{00000000-0005-0000-0000-00000E400000}"/>
    <cellStyle name="20% - Accent6 15 2 3 3 3" xfId="18893" xr:uid="{00000000-0005-0000-0000-00000F400000}"/>
    <cellStyle name="20% - Accent6 15 2 3 3 3 2" xfId="30585" xr:uid="{00000000-0005-0000-0000-000010400000}"/>
    <cellStyle name="20% - Accent6 15 2 3 3 4" xfId="22939" xr:uid="{00000000-0005-0000-0000-000011400000}"/>
    <cellStyle name="20% - Accent6 15 2 3 4" xfId="14940" xr:uid="{00000000-0005-0000-0000-000012400000}"/>
    <cellStyle name="20% - Accent6 15 2 3 4 2" xfId="26797" xr:uid="{00000000-0005-0000-0000-000013400000}"/>
    <cellStyle name="20% - Accent6 15 2 3 5" xfId="18891" xr:uid="{00000000-0005-0000-0000-000014400000}"/>
    <cellStyle name="20% - Accent6 15 2 3 5 2" xfId="30583" xr:uid="{00000000-0005-0000-0000-000015400000}"/>
    <cellStyle name="20% - Accent6 15 2 3 6" xfId="22937" xr:uid="{00000000-0005-0000-0000-000016400000}"/>
    <cellStyle name="20% - Accent6 15 2 4" xfId="3738" xr:uid="{00000000-0005-0000-0000-000017400000}"/>
    <cellStyle name="20% - Accent6 15 2 4 2" xfId="3739" xr:uid="{00000000-0005-0000-0000-000018400000}"/>
    <cellStyle name="20% - Accent6 15 2 4 2 2" xfId="14944" xr:uid="{00000000-0005-0000-0000-000019400000}"/>
    <cellStyle name="20% - Accent6 15 2 4 2 2 2" xfId="26801" xr:uid="{00000000-0005-0000-0000-00001A400000}"/>
    <cellStyle name="20% - Accent6 15 2 4 2 3" xfId="18895" xr:uid="{00000000-0005-0000-0000-00001B400000}"/>
    <cellStyle name="20% - Accent6 15 2 4 2 3 2" xfId="30587" xr:uid="{00000000-0005-0000-0000-00001C400000}"/>
    <cellStyle name="20% - Accent6 15 2 4 2 4" xfId="22941" xr:uid="{00000000-0005-0000-0000-00001D400000}"/>
    <cellStyle name="20% - Accent6 15 2 4 3" xfId="3740" xr:uid="{00000000-0005-0000-0000-00001E400000}"/>
    <cellStyle name="20% - Accent6 15 2 4 3 2" xfId="14945" xr:uid="{00000000-0005-0000-0000-00001F400000}"/>
    <cellStyle name="20% - Accent6 15 2 4 3 2 2" xfId="26802" xr:uid="{00000000-0005-0000-0000-000020400000}"/>
    <cellStyle name="20% - Accent6 15 2 4 3 3" xfId="18896" xr:uid="{00000000-0005-0000-0000-000021400000}"/>
    <cellStyle name="20% - Accent6 15 2 4 3 3 2" xfId="30588" xr:uid="{00000000-0005-0000-0000-000022400000}"/>
    <cellStyle name="20% - Accent6 15 2 4 3 4" xfId="22942" xr:uid="{00000000-0005-0000-0000-000023400000}"/>
    <cellStyle name="20% - Accent6 15 2 4 4" xfId="14943" xr:uid="{00000000-0005-0000-0000-000024400000}"/>
    <cellStyle name="20% - Accent6 15 2 4 4 2" xfId="26800" xr:uid="{00000000-0005-0000-0000-000025400000}"/>
    <cellStyle name="20% - Accent6 15 2 4 5" xfId="18894" xr:uid="{00000000-0005-0000-0000-000026400000}"/>
    <cellStyle name="20% - Accent6 15 2 4 5 2" xfId="30586" xr:uid="{00000000-0005-0000-0000-000027400000}"/>
    <cellStyle name="20% - Accent6 15 2 4 6" xfId="22940" xr:uid="{00000000-0005-0000-0000-000028400000}"/>
    <cellStyle name="20% - Accent6 15 2 5" xfId="3741" xr:uid="{00000000-0005-0000-0000-000029400000}"/>
    <cellStyle name="20% - Accent6 15 2 5 2" xfId="14946" xr:uid="{00000000-0005-0000-0000-00002A400000}"/>
    <cellStyle name="20% - Accent6 15 2 5 2 2" xfId="26803" xr:uid="{00000000-0005-0000-0000-00002B400000}"/>
    <cellStyle name="20% - Accent6 15 2 5 3" xfId="18897" xr:uid="{00000000-0005-0000-0000-00002C400000}"/>
    <cellStyle name="20% - Accent6 15 2 5 3 2" xfId="30589" xr:uid="{00000000-0005-0000-0000-00002D400000}"/>
    <cellStyle name="20% - Accent6 15 2 5 4" xfId="22943" xr:uid="{00000000-0005-0000-0000-00002E400000}"/>
    <cellStyle name="20% - Accent6 15 2 6" xfId="3742" xr:uid="{00000000-0005-0000-0000-00002F400000}"/>
    <cellStyle name="20% - Accent6 15 2 6 2" xfId="14947" xr:uid="{00000000-0005-0000-0000-000030400000}"/>
    <cellStyle name="20% - Accent6 15 2 6 2 2" xfId="26804" xr:uid="{00000000-0005-0000-0000-000031400000}"/>
    <cellStyle name="20% - Accent6 15 2 6 3" xfId="18898" xr:uid="{00000000-0005-0000-0000-000032400000}"/>
    <cellStyle name="20% - Accent6 15 2 6 3 2" xfId="30590" xr:uid="{00000000-0005-0000-0000-000033400000}"/>
    <cellStyle name="20% - Accent6 15 2 6 4" xfId="22944" xr:uid="{00000000-0005-0000-0000-000034400000}"/>
    <cellStyle name="20% - Accent6 15 2 7" xfId="14936" xr:uid="{00000000-0005-0000-0000-000035400000}"/>
    <cellStyle name="20% - Accent6 15 2 7 2" xfId="26793" xr:uid="{00000000-0005-0000-0000-000036400000}"/>
    <cellStyle name="20% - Accent6 15 2 8" xfId="18887" xr:uid="{00000000-0005-0000-0000-000037400000}"/>
    <cellStyle name="20% - Accent6 15 2 8 2" xfId="30579" xr:uid="{00000000-0005-0000-0000-000038400000}"/>
    <cellStyle name="20% - Accent6 15 2 9" xfId="22933" xr:uid="{00000000-0005-0000-0000-000039400000}"/>
    <cellStyle name="20% - Accent6 15 2_Volatility" xfId="3743" xr:uid="{00000000-0005-0000-0000-00003A400000}"/>
    <cellStyle name="20% - Accent6 15 3" xfId="3744" xr:uid="{00000000-0005-0000-0000-00003B400000}"/>
    <cellStyle name="20% - Accent6 15 3 2" xfId="3745" xr:uid="{00000000-0005-0000-0000-00003C400000}"/>
    <cellStyle name="20% - Accent6 15 3 2 2" xfId="3746" xr:uid="{00000000-0005-0000-0000-00003D400000}"/>
    <cellStyle name="20% - Accent6 15 3 2 2 2" xfId="14950" xr:uid="{00000000-0005-0000-0000-00003E400000}"/>
    <cellStyle name="20% - Accent6 15 3 2 2 2 2" xfId="26807" xr:uid="{00000000-0005-0000-0000-00003F400000}"/>
    <cellStyle name="20% - Accent6 15 3 2 2 3" xfId="18901" xr:uid="{00000000-0005-0000-0000-000040400000}"/>
    <cellStyle name="20% - Accent6 15 3 2 2 3 2" xfId="30593" xr:uid="{00000000-0005-0000-0000-000041400000}"/>
    <cellStyle name="20% - Accent6 15 3 2 2 4" xfId="22947" xr:uid="{00000000-0005-0000-0000-000042400000}"/>
    <cellStyle name="20% - Accent6 15 3 2 3" xfId="3747" xr:uid="{00000000-0005-0000-0000-000043400000}"/>
    <cellStyle name="20% - Accent6 15 3 2 3 2" xfId="14951" xr:uid="{00000000-0005-0000-0000-000044400000}"/>
    <cellStyle name="20% - Accent6 15 3 2 3 2 2" xfId="26808" xr:uid="{00000000-0005-0000-0000-000045400000}"/>
    <cellStyle name="20% - Accent6 15 3 2 3 3" xfId="18902" xr:uid="{00000000-0005-0000-0000-000046400000}"/>
    <cellStyle name="20% - Accent6 15 3 2 3 3 2" xfId="30594" xr:uid="{00000000-0005-0000-0000-000047400000}"/>
    <cellStyle name="20% - Accent6 15 3 2 3 4" xfId="22948" xr:uid="{00000000-0005-0000-0000-000048400000}"/>
    <cellStyle name="20% - Accent6 15 3 2 4" xfId="14949" xr:uid="{00000000-0005-0000-0000-000049400000}"/>
    <cellStyle name="20% - Accent6 15 3 2 4 2" xfId="26806" xr:uid="{00000000-0005-0000-0000-00004A400000}"/>
    <cellStyle name="20% - Accent6 15 3 2 5" xfId="18900" xr:uid="{00000000-0005-0000-0000-00004B400000}"/>
    <cellStyle name="20% - Accent6 15 3 2 5 2" xfId="30592" xr:uid="{00000000-0005-0000-0000-00004C400000}"/>
    <cellStyle name="20% - Accent6 15 3 2 6" xfId="22946" xr:uid="{00000000-0005-0000-0000-00004D400000}"/>
    <cellStyle name="20% - Accent6 15 3 3" xfId="3748" xr:uid="{00000000-0005-0000-0000-00004E400000}"/>
    <cellStyle name="20% - Accent6 15 3 3 2" xfId="3749" xr:uid="{00000000-0005-0000-0000-00004F400000}"/>
    <cellStyle name="20% - Accent6 15 3 3 2 2" xfId="14953" xr:uid="{00000000-0005-0000-0000-000050400000}"/>
    <cellStyle name="20% - Accent6 15 3 3 2 2 2" xfId="26810" xr:uid="{00000000-0005-0000-0000-000051400000}"/>
    <cellStyle name="20% - Accent6 15 3 3 2 3" xfId="18904" xr:uid="{00000000-0005-0000-0000-000052400000}"/>
    <cellStyle name="20% - Accent6 15 3 3 2 3 2" xfId="30596" xr:uid="{00000000-0005-0000-0000-000053400000}"/>
    <cellStyle name="20% - Accent6 15 3 3 2 4" xfId="22950" xr:uid="{00000000-0005-0000-0000-000054400000}"/>
    <cellStyle name="20% - Accent6 15 3 3 3" xfId="3750" xr:uid="{00000000-0005-0000-0000-000055400000}"/>
    <cellStyle name="20% - Accent6 15 3 3 3 2" xfId="14954" xr:uid="{00000000-0005-0000-0000-000056400000}"/>
    <cellStyle name="20% - Accent6 15 3 3 3 2 2" xfId="26811" xr:uid="{00000000-0005-0000-0000-000057400000}"/>
    <cellStyle name="20% - Accent6 15 3 3 3 3" xfId="18905" xr:uid="{00000000-0005-0000-0000-000058400000}"/>
    <cellStyle name="20% - Accent6 15 3 3 3 3 2" xfId="30597" xr:uid="{00000000-0005-0000-0000-000059400000}"/>
    <cellStyle name="20% - Accent6 15 3 3 3 4" xfId="22951" xr:uid="{00000000-0005-0000-0000-00005A400000}"/>
    <cellStyle name="20% - Accent6 15 3 3 4" xfId="14952" xr:uid="{00000000-0005-0000-0000-00005B400000}"/>
    <cellStyle name="20% - Accent6 15 3 3 4 2" xfId="26809" xr:uid="{00000000-0005-0000-0000-00005C400000}"/>
    <cellStyle name="20% - Accent6 15 3 3 5" xfId="18903" xr:uid="{00000000-0005-0000-0000-00005D400000}"/>
    <cellStyle name="20% - Accent6 15 3 3 5 2" xfId="30595" xr:uid="{00000000-0005-0000-0000-00005E400000}"/>
    <cellStyle name="20% - Accent6 15 3 3 6" xfId="22949" xr:uid="{00000000-0005-0000-0000-00005F400000}"/>
    <cellStyle name="20% - Accent6 15 3 4" xfId="3751" xr:uid="{00000000-0005-0000-0000-000060400000}"/>
    <cellStyle name="20% - Accent6 15 3 4 2" xfId="14955" xr:uid="{00000000-0005-0000-0000-000061400000}"/>
    <cellStyle name="20% - Accent6 15 3 4 2 2" xfId="26812" xr:uid="{00000000-0005-0000-0000-000062400000}"/>
    <cellStyle name="20% - Accent6 15 3 4 3" xfId="18906" xr:uid="{00000000-0005-0000-0000-000063400000}"/>
    <cellStyle name="20% - Accent6 15 3 4 3 2" xfId="30598" xr:uid="{00000000-0005-0000-0000-000064400000}"/>
    <cellStyle name="20% - Accent6 15 3 4 4" xfId="22952" xr:uid="{00000000-0005-0000-0000-000065400000}"/>
    <cellStyle name="20% - Accent6 15 3 5" xfId="3752" xr:uid="{00000000-0005-0000-0000-000066400000}"/>
    <cellStyle name="20% - Accent6 15 3 5 2" xfId="14956" xr:uid="{00000000-0005-0000-0000-000067400000}"/>
    <cellStyle name="20% - Accent6 15 3 5 2 2" xfId="26813" xr:uid="{00000000-0005-0000-0000-000068400000}"/>
    <cellStyle name="20% - Accent6 15 3 5 3" xfId="18907" xr:uid="{00000000-0005-0000-0000-000069400000}"/>
    <cellStyle name="20% - Accent6 15 3 5 3 2" xfId="30599" xr:uid="{00000000-0005-0000-0000-00006A400000}"/>
    <cellStyle name="20% - Accent6 15 3 5 4" xfId="22953" xr:uid="{00000000-0005-0000-0000-00006B400000}"/>
    <cellStyle name="20% - Accent6 15 3 6" xfId="14948" xr:uid="{00000000-0005-0000-0000-00006C400000}"/>
    <cellStyle name="20% - Accent6 15 3 6 2" xfId="26805" xr:uid="{00000000-0005-0000-0000-00006D400000}"/>
    <cellStyle name="20% - Accent6 15 3 7" xfId="18899" xr:uid="{00000000-0005-0000-0000-00006E400000}"/>
    <cellStyle name="20% - Accent6 15 3 7 2" xfId="30591" xr:uid="{00000000-0005-0000-0000-00006F400000}"/>
    <cellStyle name="20% - Accent6 15 3 8" xfId="22945" xr:uid="{00000000-0005-0000-0000-000070400000}"/>
    <cellStyle name="20% - Accent6 15 3_Volatility" xfId="3753" xr:uid="{00000000-0005-0000-0000-000071400000}"/>
    <cellStyle name="20% - Accent6 15 4" xfId="3754" xr:uid="{00000000-0005-0000-0000-000072400000}"/>
    <cellStyle name="20% - Accent6 15 4 2" xfId="3755" xr:uid="{00000000-0005-0000-0000-000073400000}"/>
    <cellStyle name="20% - Accent6 15 4 2 2" xfId="14958" xr:uid="{00000000-0005-0000-0000-000074400000}"/>
    <cellStyle name="20% - Accent6 15 4 2 2 2" xfId="26815" xr:uid="{00000000-0005-0000-0000-000075400000}"/>
    <cellStyle name="20% - Accent6 15 4 2 3" xfId="18909" xr:uid="{00000000-0005-0000-0000-000076400000}"/>
    <cellStyle name="20% - Accent6 15 4 2 3 2" xfId="30601" xr:uid="{00000000-0005-0000-0000-000077400000}"/>
    <cellStyle name="20% - Accent6 15 4 2 4" xfId="22955" xr:uid="{00000000-0005-0000-0000-000078400000}"/>
    <cellStyle name="20% - Accent6 15 4 3" xfId="3756" xr:uid="{00000000-0005-0000-0000-000079400000}"/>
    <cellStyle name="20% - Accent6 15 4 3 2" xfId="14959" xr:uid="{00000000-0005-0000-0000-00007A400000}"/>
    <cellStyle name="20% - Accent6 15 4 3 2 2" xfId="26816" xr:uid="{00000000-0005-0000-0000-00007B400000}"/>
    <cellStyle name="20% - Accent6 15 4 3 3" xfId="18910" xr:uid="{00000000-0005-0000-0000-00007C400000}"/>
    <cellStyle name="20% - Accent6 15 4 3 3 2" xfId="30602" xr:uid="{00000000-0005-0000-0000-00007D400000}"/>
    <cellStyle name="20% - Accent6 15 4 3 4" xfId="22956" xr:uid="{00000000-0005-0000-0000-00007E400000}"/>
    <cellStyle name="20% - Accent6 15 4 4" xfId="14957" xr:uid="{00000000-0005-0000-0000-00007F400000}"/>
    <cellStyle name="20% - Accent6 15 4 4 2" xfId="26814" xr:uid="{00000000-0005-0000-0000-000080400000}"/>
    <cellStyle name="20% - Accent6 15 4 5" xfId="18908" xr:uid="{00000000-0005-0000-0000-000081400000}"/>
    <cellStyle name="20% - Accent6 15 4 5 2" xfId="30600" xr:uid="{00000000-0005-0000-0000-000082400000}"/>
    <cellStyle name="20% - Accent6 15 4 6" xfId="22954" xr:uid="{00000000-0005-0000-0000-000083400000}"/>
    <cellStyle name="20% - Accent6 15 5" xfId="3757" xr:uid="{00000000-0005-0000-0000-000084400000}"/>
    <cellStyle name="20% - Accent6 15 5 2" xfId="3758" xr:uid="{00000000-0005-0000-0000-000085400000}"/>
    <cellStyle name="20% - Accent6 15 5 2 2" xfId="14961" xr:uid="{00000000-0005-0000-0000-000086400000}"/>
    <cellStyle name="20% - Accent6 15 5 2 2 2" xfId="26818" xr:uid="{00000000-0005-0000-0000-000087400000}"/>
    <cellStyle name="20% - Accent6 15 5 2 3" xfId="18912" xr:uid="{00000000-0005-0000-0000-000088400000}"/>
    <cellStyle name="20% - Accent6 15 5 2 3 2" xfId="30604" xr:uid="{00000000-0005-0000-0000-000089400000}"/>
    <cellStyle name="20% - Accent6 15 5 2 4" xfId="22958" xr:uid="{00000000-0005-0000-0000-00008A400000}"/>
    <cellStyle name="20% - Accent6 15 5 3" xfId="3759" xr:uid="{00000000-0005-0000-0000-00008B400000}"/>
    <cellStyle name="20% - Accent6 15 5 3 2" xfId="14962" xr:uid="{00000000-0005-0000-0000-00008C400000}"/>
    <cellStyle name="20% - Accent6 15 5 3 2 2" xfId="26819" xr:uid="{00000000-0005-0000-0000-00008D400000}"/>
    <cellStyle name="20% - Accent6 15 5 3 3" xfId="18913" xr:uid="{00000000-0005-0000-0000-00008E400000}"/>
    <cellStyle name="20% - Accent6 15 5 3 3 2" xfId="30605" xr:uid="{00000000-0005-0000-0000-00008F400000}"/>
    <cellStyle name="20% - Accent6 15 5 3 4" xfId="22959" xr:uid="{00000000-0005-0000-0000-000090400000}"/>
    <cellStyle name="20% - Accent6 15 5 4" xfId="14960" xr:uid="{00000000-0005-0000-0000-000091400000}"/>
    <cellStyle name="20% - Accent6 15 5 4 2" xfId="26817" xr:uid="{00000000-0005-0000-0000-000092400000}"/>
    <cellStyle name="20% - Accent6 15 5 5" xfId="18911" xr:uid="{00000000-0005-0000-0000-000093400000}"/>
    <cellStyle name="20% - Accent6 15 5 5 2" xfId="30603" xr:uid="{00000000-0005-0000-0000-000094400000}"/>
    <cellStyle name="20% - Accent6 15 5 6" xfId="22957" xr:uid="{00000000-0005-0000-0000-000095400000}"/>
    <cellStyle name="20% - Accent6 15 6" xfId="3760" xr:uid="{00000000-0005-0000-0000-000096400000}"/>
    <cellStyle name="20% - Accent6 15 6 2" xfId="3761" xr:uid="{00000000-0005-0000-0000-000097400000}"/>
    <cellStyle name="20% - Accent6 15 6 2 2" xfId="14964" xr:uid="{00000000-0005-0000-0000-000098400000}"/>
    <cellStyle name="20% - Accent6 15 6 2 2 2" xfId="26821" xr:uid="{00000000-0005-0000-0000-000099400000}"/>
    <cellStyle name="20% - Accent6 15 6 2 3" xfId="18915" xr:uid="{00000000-0005-0000-0000-00009A400000}"/>
    <cellStyle name="20% - Accent6 15 6 2 3 2" xfId="30607" xr:uid="{00000000-0005-0000-0000-00009B400000}"/>
    <cellStyle name="20% - Accent6 15 6 2 4" xfId="22961" xr:uid="{00000000-0005-0000-0000-00009C400000}"/>
    <cellStyle name="20% - Accent6 15 6 3" xfId="3762" xr:uid="{00000000-0005-0000-0000-00009D400000}"/>
    <cellStyle name="20% - Accent6 15 6 3 2" xfId="14965" xr:uid="{00000000-0005-0000-0000-00009E400000}"/>
    <cellStyle name="20% - Accent6 15 6 3 2 2" xfId="26822" xr:uid="{00000000-0005-0000-0000-00009F400000}"/>
    <cellStyle name="20% - Accent6 15 6 3 3" xfId="18916" xr:uid="{00000000-0005-0000-0000-0000A0400000}"/>
    <cellStyle name="20% - Accent6 15 6 3 3 2" xfId="30608" xr:uid="{00000000-0005-0000-0000-0000A1400000}"/>
    <cellStyle name="20% - Accent6 15 6 3 4" xfId="22962" xr:uid="{00000000-0005-0000-0000-0000A2400000}"/>
    <cellStyle name="20% - Accent6 15 6 4" xfId="14963" xr:uid="{00000000-0005-0000-0000-0000A3400000}"/>
    <cellStyle name="20% - Accent6 15 6 4 2" xfId="26820" xr:uid="{00000000-0005-0000-0000-0000A4400000}"/>
    <cellStyle name="20% - Accent6 15 6 5" xfId="18914" xr:uid="{00000000-0005-0000-0000-0000A5400000}"/>
    <cellStyle name="20% - Accent6 15 6 5 2" xfId="30606" xr:uid="{00000000-0005-0000-0000-0000A6400000}"/>
    <cellStyle name="20% - Accent6 15 6 6" xfId="22960" xr:uid="{00000000-0005-0000-0000-0000A7400000}"/>
    <cellStyle name="20% - Accent6 15 7" xfId="3763" xr:uid="{00000000-0005-0000-0000-0000A8400000}"/>
    <cellStyle name="20% - Accent6 15 7 2" xfId="14966" xr:uid="{00000000-0005-0000-0000-0000A9400000}"/>
    <cellStyle name="20% - Accent6 15 7 2 2" xfId="26823" xr:uid="{00000000-0005-0000-0000-0000AA400000}"/>
    <cellStyle name="20% - Accent6 15 7 3" xfId="18917" xr:uid="{00000000-0005-0000-0000-0000AB400000}"/>
    <cellStyle name="20% - Accent6 15 7 3 2" xfId="30609" xr:uid="{00000000-0005-0000-0000-0000AC400000}"/>
    <cellStyle name="20% - Accent6 15 7 4" xfId="22963" xr:uid="{00000000-0005-0000-0000-0000AD400000}"/>
    <cellStyle name="20% - Accent6 15 8" xfId="3764" xr:uid="{00000000-0005-0000-0000-0000AE400000}"/>
    <cellStyle name="20% - Accent6 15 8 2" xfId="14967" xr:uid="{00000000-0005-0000-0000-0000AF400000}"/>
    <cellStyle name="20% - Accent6 15 8 2 2" xfId="26824" xr:uid="{00000000-0005-0000-0000-0000B0400000}"/>
    <cellStyle name="20% - Accent6 15 8 3" xfId="18918" xr:uid="{00000000-0005-0000-0000-0000B1400000}"/>
    <cellStyle name="20% - Accent6 15 8 3 2" xfId="30610" xr:uid="{00000000-0005-0000-0000-0000B2400000}"/>
    <cellStyle name="20% - Accent6 15 8 4" xfId="22964" xr:uid="{00000000-0005-0000-0000-0000B3400000}"/>
    <cellStyle name="20% - Accent6 15 9" xfId="14935" xr:uid="{00000000-0005-0000-0000-0000B4400000}"/>
    <cellStyle name="20% - Accent6 15 9 2" xfId="26792" xr:uid="{00000000-0005-0000-0000-0000B5400000}"/>
    <cellStyle name="20% - Accent6 15_Volatility" xfId="3765" xr:uid="{00000000-0005-0000-0000-0000B6400000}"/>
    <cellStyle name="20% - Accent6 16" xfId="3766" xr:uid="{00000000-0005-0000-0000-0000B7400000}"/>
    <cellStyle name="20% - Accent6 16 2" xfId="14968" xr:uid="{00000000-0005-0000-0000-0000B8400000}"/>
    <cellStyle name="20% - Accent6 16 2 2" xfId="26825" xr:uid="{00000000-0005-0000-0000-0000B9400000}"/>
    <cellStyle name="20% - Accent6 16 3" xfId="18919" xr:uid="{00000000-0005-0000-0000-0000BA400000}"/>
    <cellStyle name="20% - Accent6 16 3 2" xfId="30611" xr:uid="{00000000-0005-0000-0000-0000BB400000}"/>
    <cellStyle name="20% - Accent6 16 4" xfId="22965" xr:uid="{00000000-0005-0000-0000-0000BC400000}"/>
    <cellStyle name="20% - Accent6 17" xfId="3767" xr:uid="{00000000-0005-0000-0000-0000BD400000}"/>
    <cellStyle name="20% - Accent6 17 2" xfId="14969" xr:uid="{00000000-0005-0000-0000-0000BE400000}"/>
    <cellStyle name="20% - Accent6 17 2 2" xfId="26826" xr:uid="{00000000-0005-0000-0000-0000BF400000}"/>
    <cellStyle name="20% - Accent6 17 3" xfId="18920" xr:uid="{00000000-0005-0000-0000-0000C0400000}"/>
    <cellStyle name="20% - Accent6 17 3 2" xfId="30612" xr:uid="{00000000-0005-0000-0000-0000C1400000}"/>
    <cellStyle name="20% - Accent6 17 4" xfId="22966" xr:uid="{00000000-0005-0000-0000-0000C2400000}"/>
    <cellStyle name="20% - Accent6 18" xfId="3768" xr:uid="{00000000-0005-0000-0000-0000C3400000}"/>
    <cellStyle name="20% - Accent6 18 2" xfId="14970" xr:uid="{00000000-0005-0000-0000-0000C4400000}"/>
    <cellStyle name="20% - Accent6 18 2 2" xfId="26827" xr:uid="{00000000-0005-0000-0000-0000C5400000}"/>
    <cellStyle name="20% - Accent6 18 3" xfId="18921" xr:uid="{00000000-0005-0000-0000-0000C6400000}"/>
    <cellStyle name="20% - Accent6 18 3 2" xfId="30613" xr:uid="{00000000-0005-0000-0000-0000C7400000}"/>
    <cellStyle name="20% - Accent6 18 4" xfId="22967" xr:uid="{00000000-0005-0000-0000-0000C8400000}"/>
    <cellStyle name="20% - Accent6 19" xfId="3769" xr:uid="{00000000-0005-0000-0000-0000C9400000}"/>
    <cellStyle name="20% - Accent6 19 2" xfId="14971" xr:uid="{00000000-0005-0000-0000-0000CA400000}"/>
    <cellStyle name="20% - Accent6 19 2 2" xfId="26828" xr:uid="{00000000-0005-0000-0000-0000CB400000}"/>
    <cellStyle name="20% - Accent6 19 3" xfId="18922" xr:uid="{00000000-0005-0000-0000-0000CC400000}"/>
    <cellStyle name="20% - Accent6 19 3 2" xfId="30614" xr:uid="{00000000-0005-0000-0000-0000CD400000}"/>
    <cellStyle name="20% - Accent6 19 4" xfId="22968" xr:uid="{00000000-0005-0000-0000-0000CE400000}"/>
    <cellStyle name="20% - Accent6 2" xfId="3770" xr:uid="{00000000-0005-0000-0000-0000CF400000}"/>
    <cellStyle name="20% - Accent6 2 10" xfId="18923" xr:uid="{00000000-0005-0000-0000-0000D0400000}"/>
    <cellStyle name="20% - Accent6 2 10 2" xfId="30615" xr:uid="{00000000-0005-0000-0000-0000D1400000}"/>
    <cellStyle name="20% - Accent6 2 11" xfId="22969" xr:uid="{00000000-0005-0000-0000-0000D2400000}"/>
    <cellStyle name="20% - Accent6 2 2" xfId="3771" xr:uid="{00000000-0005-0000-0000-0000D3400000}"/>
    <cellStyle name="20% - Accent6 2 2 2" xfId="3772" xr:uid="{00000000-0005-0000-0000-0000D4400000}"/>
    <cellStyle name="20% - Accent6 2 2 2 2" xfId="3773" xr:uid="{00000000-0005-0000-0000-0000D5400000}"/>
    <cellStyle name="20% - Accent6 2 2 2 2 2" xfId="14975" xr:uid="{00000000-0005-0000-0000-0000D6400000}"/>
    <cellStyle name="20% - Accent6 2 2 2 2 2 2" xfId="26832" xr:uid="{00000000-0005-0000-0000-0000D7400000}"/>
    <cellStyle name="20% - Accent6 2 2 2 2 3" xfId="18926" xr:uid="{00000000-0005-0000-0000-0000D8400000}"/>
    <cellStyle name="20% - Accent6 2 2 2 2 3 2" xfId="30618" xr:uid="{00000000-0005-0000-0000-0000D9400000}"/>
    <cellStyle name="20% - Accent6 2 2 2 2 4" xfId="22972" xr:uid="{00000000-0005-0000-0000-0000DA400000}"/>
    <cellStyle name="20% - Accent6 2 2 2 3" xfId="3774" xr:uid="{00000000-0005-0000-0000-0000DB400000}"/>
    <cellStyle name="20% - Accent6 2 2 2 3 2" xfId="14976" xr:uid="{00000000-0005-0000-0000-0000DC400000}"/>
    <cellStyle name="20% - Accent6 2 2 2 3 2 2" xfId="26833" xr:uid="{00000000-0005-0000-0000-0000DD400000}"/>
    <cellStyle name="20% - Accent6 2 2 2 3 3" xfId="18927" xr:uid="{00000000-0005-0000-0000-0000DE400000}"/>
    <cellStyle name="20% - Accent6 2 2 2 3 3 2" xfId="30619" xr:uid="{00000000-0005-0000-0000-0000DF400000}"/>
    <cellStyle name="20% - Accent6 2 2 2 3 4" xfId="22973" xr:uid="{00000000-0005-0000-0000-0000E0400000}"/>
    <cellStyle name="20% - Accent6 2 2 2 4" xfId="14974" xr:uid="{00000000-0005-0000-0000-0000E1400000}"/>
    <cellStyle name="20% - Accent6 2 2 2 4 2" xfId="26831" xr:uid="{00000000-0005-0000-0000-0000E2400000}"/>
    <cellStyle name="20% - Accent6 2 2 2 5" xfId="18925" xr:uid="{00000000-0005-0000-0000-0000E3400000}"/>
    <cellStyle name="20% - Accent6 2 2 2 5 2" xfId="30617" xr:uid="{00000000-0005-0000-0000-0000E4400000}"/>
    <cellStyle name="20% - Accent6 2 2 2 6" xfId="22971" xr:uid="{00000000-0005-0000-0000-0000E5400000}"/>
    <cellStyle name="20% - Accent6 2 2 3" xfId="3775" xr:uid="{00000000-0005-0000-0000-0000E6400000}"/>
    <cellStyle name="20% - Accent6 2 2 3 2" xfId="3776" xr:uid="{00000000-0005-0000-0000-0000E7400000}"/>
    <cellStyle name="20% - Accent6 2 2 3 2 2" xfId="14978" xr:uid="{00000000-0005-0000-0000-0000E8400000}"/>
    <cellStyle name="20% - Accent6 2 2 3 2 2 2" xfId="26835" xr:uid="{00000000-0005-0000-0000-0000E9400000}"/>
    <cellStyle name="20% - Accent6 2 2 3 2 3" xfId="18929" xr:uid="{00000000-0005-0000-0000-0000EA400000}"/>
    <cellStyle name="20% - Accent6 2 2 3 2 3 2" xfId="30621" xr:uid="{00000000-0005-0000-0000-0000EB400000}"/>
    <cellStyle name="20% - Accent6 2 2 3 2 4" xfId="22975" xr:uid="{00000000-0005-0000-0000-0000EC400000}"/>
    <cellStyle name="20% - Accent6 2 2 3 3" xfId="3777" xr:uid="{00000000-0005-0000-0000-0000ED400000}"/>
    <cellStyle name="20% - Accent6 2 2 3 3 2" xfId="14979" xr:uid="{00000000-0005-0000-0000-0000EE400000}"/>
    <cellStyle name="20% - Accent6 2 2 3 3 2 2" xfId="26836" xr:uid="{00000000-0005-0000-0000-0000EF400000}"/>
    <cellStyle name="20% - Accent6 2 2 3 3 3" xfId="18930" xr:uid="{00000000-0005-0000-0000-0000F0400000}"/>
    <cellStyle name="20% - Accent6 2 2 3 3 3 2" xfId="30622" xr:uid="{00000000-0005-0000-0000-0000F1400000}"/>
    <cellStyle name="20% - Accent6 2 2 3 3 4" xfId="22976" xr:uid="{00000000-0005-0000-0000-0000F2400000}"/>
    <cellStyle name="20% - Accent6 2 2 3 4" xfId="14977" xr:uid="{00000000-0005-0000-0000-0000F3400000}"/>
    <cellStyle name="20% - Accent6 2 2 3 4 2" xfId="26834" xr:uid="{00000000-0005-0000-0000-0000F4400000}"/>
    <cellStyle name="20% - Accent6 2 2 3 5" xfId="18928" xr:uid="{00000000-0005-0000-0000-0000F5400000}"/>
    <cellStyle name="20% - Accent6 2 2 3 5 2" xfId="30620" xr:uid="{00000000-0005-0000-0000-0000F6400000}"/>
    <cellStyle name="20% - Accent6 2 2 3 6" xfId="22974" xr:uid="{00000000-0005-0000-0000-0000F7400000}"/>
    <cellStyle name="20% - Accent6 2 2 4" xfId="3778" xr:uid="{00000000-0005-0000-0000-0000F8400000}"/>
    <cellStyle name="20% - Accent6 2 2 4 2" xfId="3779" xr:uid="{00000000-0005-0000-0000-0000F9400000}"/>
    <cellStyle name="20% - Accent6 2 2 4 2 2" xfId="14981" xr:uid="{00000000-0005-0000-0000-0000FA400000}"/>
    <cellStyle name="20% - Accent6 2 2 4 2 2 2" xfId="26838" xr:uid="{00000000-0005-0000-0000-0000FB400000}"/>
    <cellStyle name="20% - Accent6 2 2 4 2 3" xfId="18932" xr:uid="{00000000-0005-0000-0000-0000FC400000}"/>
    <cellStyle name="20% - Accent6 2 2 4 2 3 2" xfId="30624" xr:uid="{00000000-0005-0000-0000-0000FD400000}"/>
    <cellStyle name="20% - Accent6 2 2 4 2 4" xfId="22978" xr:uid="{00000000-0005-0000-0000-0000FE400000}"/>
    <cellStyle name="20% - Accent6 2 2 4 3" xfId="3780" xr:uid="{00000000-0005-0000-0000-0000FF400000}"/>
    <cellStyle name="20% - Accent6 2 2 4 3 2" xfId="14982" xr:uid="{00000000-0005-0000-0000-000000410000}"/>
    <cellStyle name="20% - Accent6 2 2 4 3 2 2" xfId="26839" xr:uid="{00000000-0005-0000-0000-000001410000}"/>
    <cellStyle name="20% - Accent6 2 2 4 3 3" xfId="18933" xr:uid="{00000000-0005-0000-0000-000002410000}"/>
    <cellStyle name="20% - Accent6 2 2 4 3 3 2" xfId="30625" xr:uid="{00000000-0005-0000-0000-000003410000}"/>
    <cellStyle name="20% - Accent6 2 2 4 3 4" xfId="22979" xr:uid="{00000000-0005-0000-0000-000004410000}"/>
    <cellStyle name="20% - Accent6 2 2 4 4" xfId="14980" xr:uid="{00000000-0005-0000-0000-000005410000}"/>
    <cellStyle name="20% - Accent6 2 2 4 4 2" xfId="26837" xr:uid="{00000000-0005-0000-0000-000006410000}"/>
    <cellStyle name="20% - Accent6 2 2 4 5" xfId="18931" xr:uid="{00000000-0005-0000-0000-000007410000}"/>
    <cellStyle name="20% - Accent6 2 2 4 5 2" xfId="30623" xr:uid="{00000000-0005-0000-0000-000008410000}"/>
    <cellStyle name="20% - Accent6 2 2 4 6" xfId="22977" xr:uid="{00000000-0005-0000-0000-000009410000}"/>
    <cellStyle name="20% - Accent6 2 2 5" xfId="3781" xr:uid="{00000000-0005-0000-0000-00000A410000}"/>
    <cellStyle name="20% - Accent6 2 2 5 2" xfId="14983" xr:uid="{00000000-0005-0000-0000-00000B410000}"/>
    <cellStyle name="20% - Accent6 2 2 5 2 2" xfId="26840" xr:uid="{00000000-0005-0000-0000-00000C410000}"/>
    <cellStyle name="20% - Accent6 2 2 5 3" xfId="18934" xr:uid="{00000000-0005-0000-0000-00000D410000}"/>
    <cellStyle name="20% - Accent6 2 2 5 3 2" xfId="30626" xr:uid="{00000000-0005-0000-0000-00000E410000}"/>
    <cellStyle name="20% - Accent6 2 2 5 4" xfId="22980" xr:uid="{00000000-0005-0000-0000-00000F410000}"/>
    <cellStyle name="20% - Accent6 2 2 6" xfId="3782" xr:uid="{00000000-0005-0000-0000-000010410000}"/>
    <cellStyle name="20% - Accent6 2 2 6 2" xfId="14984" xr:uid="{00000000-0005-0000-0000-000011410000}"/>
    <cellStyle name="20% - Accent6 2 2 6 2 2" xfId="26841" xr:uid="{00000000-0005-0000-0000-000012410000}"/>
    <cellStyle name="20% - Accent6 2 2 6 3" xfId="18935" xr:uid="{00000000-0005-0000-0000-000013410000}"/>
    <cellStyle name="20% - Accent6 2 2 6 3 2" xfId="30627" xr:uid="{00000000-0005-0000-0000-000014410000}"/>
    <cellStyle name="20% - Accent6 2 2 6 4" xfId="22981" xr:uid="{00000000-0005-0000-0000-000015410000}"/>
    <cellStyle name="20% - Accent6 2 2 7" xfId="14973" xr:uid="{00000000-0005-0000-0000-000016410000}"/>
    <cellStyle name="20% - Accent6 2 2 7 2" xfId="26830" xr:uid="{00000000-0005-0000-0000-000017410000}"/>
    <cellStyle name="20% - Accent6 2 2 8" xfId="18924" xr:uid="{00000000-0005-0000-0000-000018410000}"/>
    <cellStyle name="20% - Accent6 2 2 8 2" xfId="30616" xr:uid="{00000000-0005-0000-0000-000019410000}"/>
    <cellStyle name="20% - Accent6 2 2 9" xfId="22970" xr:uid="{00000000-0005-0000-0000-00001A410000}"/>
    <cellStyle name="20% - Accent6 2 2_Volatility" xfId="3783" xr:uid="{00000000-0005-0000-0000-00001B410000}"/>
    <cellStyle name="20% - Accent6 2 3" xfId="3784" xr:uid="{00000000-0005-0000-0000-00001C410000}"/>
    <cellStyle name="20% - Accent6 2 3 2" xfId="3785" xr:uid="{00000000-0005-0000-0000-00001D410000}"/>
    <cellStyle name="20% - Accent6 2 3 2 2" xfId="3786" xr:uid="{00000000-0005-0000-0000-00001E410000}"/>
    <cellStyle name="20% - Accent6 2 3 2 2 2" xfId="14987" xr:uid="{00000000-0005-0000-0000-00001F410000}"/>
    <cellStyle name="20% - Accent6 2 3 2 2 2 2" xfId="26844" xr:uid="{00000000-0005-0000-0000-000020410000}"/>
    <cellStyle name="20% - Accent6 2 3 2 2 3" xfId="18938" xr:uid="{00000000-0005-0000-0000-000021410000}"/>
    <cellStyle name="20% - Accent6 2 3 2 2 3 2" xfId="30630" xr:uid="{00000000-0005-0000-0000-000022410000}"/>
    <cellStyle name="20% - Accent6 2 3 2 2 4" xfId="22984" xr:uid="{00000000-0005-0000-0000-000023410000}"/>
    <cellStyle name="20% - Accent6 2 3 2 3" xfId="3787" xr:uid="{00000000-0005-0000-0000-000024410000}"/>
    <cellStyle name="20% - Accent6 2 3 2 3 2" xfId="14988" xr:uid="{00000000-0005-0000-0000-000025410000}"/>
    <cellStyle name="20% - Accent6 2 3 2 3 2 2" xfId="26845" xr:uid="{00000000-0005-0000-0000-000026410000}"/>
    <cellStyle name="20% - Accent6 2 3 2 3 3" xfId="18939" xr:uid="{00000000-0005-0000-0000-000027410000}"/>
    <cellStyle name="20% - Accent6 2 3 2 3 3 2" xfId="30631" xr:uid="{00000000-0005-0000-0000-000028410000}"/>
    <cellStyle name="20% - Accent6 2 3 2 3 4" xfId="22985" xr:uid="{00000000-0005-0000-0000-000029410000}"/>
    <cellStyle name="20% - Accent6 2 3 2 4" xfId="14986" xr:uid="{00000000-0005-0000-0000-00002A410000}"/>
    <cellStyle name="20% - Accent6 2 3 2 4 2" xfId="26843" xr:uid="{00000000-0005-0000-0000-00002B410000}"/>
    <cellStyle name="20% - Accent6 2 3 2 5" xfId="18937" xr:uid="{00000000-0005-0000-0000-00002C410000}"/>
    <cellStyle name="20% - Accent6 2 3 2 5 2" xfId="30629" xr:uid="{00000000-0005-0000-0000-00002D410000}"/>
    <cellStyle name="20% - Accent6 2 3 2 6" xfId="22983" xr:uid="{00000000-0005-0000-0000-00002E410000}"/>
    <cellStyle name="20% - Accent6 2 3 3" xfId="3788" xr:uid="{00000000-0005-0000-0000-00002F410000}"/>
    <cellStyle name="20% - Accent6 2 3 3 2" xfId="3789" xr:uid="{00000000-0005-0000-0000-000030410000}"/>
    <cellStyle name="20% - Accent6 2 3 3 2 2" xfId="14990" xr:uid="{00000000-0005-0000-0000-000031410000}"/>
    <cellStyle name="20% - Accent6 2 3 3 2 2 2" xfId="26847" xr:uid="{00000000-0005-0000-0000-000032410000}"/>
    <cellStyle name="20% - Accent6 2 3 3 2 3" xfId="18941" xr:uid="{00000000-0005-0000-0000-000033410000}"/>
    <cellStyle name="20% - Accent6 2 3 3 2 3 2" xfId="30633" xr:uid="{00000000-0005-0000-0000-000034410000}"/>
    <cellStyle name="20% - Accent6 2 3 3 2 4" xfId="22987" xr:uid="{00000000-0005-0000-0000-000035410000}"/>
    <cellStyle name="20% - Accent6 2 3 3 3" xfId="3790" xr:uid="{00000000-0005-0000-0000-000036410000}"/>
    <cellStyle name="20% - Accent6 2 3 3 3 2" xfId="14991" xr:uid="{00000000-0005-0000-0000-000037410000}"/>
    <cellStyle name="20% - Accent6 2 3 3 3 2 2" xfId="26848" xr:uid="{00000000-0005-0000-0000-000038410000}"/>
    <cellStyle name="20% - Accent6 2 3 3 3 3" xfId="18942" xr:uid="{00000000-0005-0000-0000-000039410000}"/>
    <cellStyle name="20% - Accent6 2 3 3 3 3 2" xfId="30634" xr:uid="{00000000-0005-0000-0000-00003A410000}"/>
    <cellStyle name="20% - Accent6 2 3 3 3 4" xfId="22988" xr:uid="{00000000-0005-0000-0000-00003B410000}"/>
    <cellStyle name="20% - Accent6 2 3 3 4" xfId="14989" xr:uid="{00000000-0005-0000-0000-00003C410000}"/>
    <cellStyle name="20% - Accent6 2 3 3 4 2" xfId="26846" xr:uid="{00000000-0005-0000-0000-00003D410000}"/>
    <cellStyle name="20% - Accent6 2 3 3 5" xfId="18940" xr:uid="{00000000-0005-0000-0000-00003E410000}"/>
    <cellStyle name="20% - Accent6 2 3 3 5 2" xfId="30632" xr:uid="{00000000-0005-0000-0000-00003F410000}"/>
    <cellStyle name="20% - Accent6 2 3 3 6" xfId="22986" xr:uid="{00000000-0005-0000-0000-000040410000}"/>
    <cellStyle name="20% - Accent6 2 3 4" xfId="3791" xr:uid="{00000000-0005-0000-0000-000041410000}"/>
    <cellStyle name="20% - Accent6 2 3 4 2" xfId="14992" xr:uid="{00000000-0005-0000-0000-000042410000}"/>
    <cellStyle name="20% - Accent6 2 3 4 2 2" xfId="26849" xr:uid="{00000000-0005-0000-0000-000043410000}"/>
    <cellStyle name="20% - Accent6 2 3 4 3" xfId="18943" xr:uid="{00000000-0005-0000-0000-000044410000}"/>
    <cellStyle name="20% - Accent6 2 3 4 3 2" xfId="30635" xr:uid="{00000000-0005-0000-0000-000045410000}"/>
    <cellStyle name="20% - Accent6 2 3 4 4" xfId="22989" xr:uid="{00000000-0005-0000-0000-000046410000}"/>
    <cellStyle name="20% - Accent6 2 3 5" xfId="3792" xr:uid="{00000000-0005-0000-0000-000047410000}"/>
    <cellStyle name="20% - Accent6 2 3 5 2" xfId="14993" xr:uid="{00000000-0005-0000-0000-000048410000}"/>
    <cellStyle name="20% - Accent6 2 3 5 2 2" xfId="26850" xr:uid="{00000000-0005-0000-0000-000049410000}"/>
    <cellStyle name="20% - Accent6 2 3 5 3" xfId="18944" xr:uid="{00000000-0005-0000-0000-00004A410000}"/>
    <cellStyle name="20% - Accent6 2 3 5 3 2" xfId="30636" xr:uid="{00000000-0005-0000-0000-00004B410000}"/>
    <cellStyle name="20% - Accent6 2 3 5 4" xfId="22990" xr:uid="{00000000-0005-0000-0000-00004C410000}"/>
    <cellStyle name="20% - Accent6 2 3 6" xfId="14985" xr:uid="{00000000-0005-0000-0000-00004D410000}"/>
    <cellStyle name="20% - Accent6 2 3 6 2" xfId="26842" xr:uid="{00000000-0005-0000-0000-00004E410000}"/>
    <cellStyle name="20% - Accent6 2 3 7" xfId="18936" xr:uid="{00000000-0005-0000-0000-00004F410000}"/>
    <cellStyle name="20% - Accent6 2 3 7 2" xfId="30628" xr:uid="{00000000-0005-0000-0000-000050410000}"/>
    <cellStyle name="20% - Accent6 2 3 8" xfId="22982" xr:uid="{00000000-0005-0000-0000-000051410000}"/>
    <cellStyle name="20% - Accent6 2 3_Volatility" xfId="3793" xr:uid="{00000000-0005-0000-0000-000052410000}"/>
    <cellStyle name="20% - Accent6 2 4" xfId="3794" xr:uid="{00000000-0005-0000-0000-000053410000}"/>
    <cellStyle name="20% - Accent6 2 4 2" xfId="3795" xr:uid="{00000000-0005-0000-0000-000054410000}"/>
    <cellStyle name="20% - Accent6 2 4 2 2" xfId="14995" xr:uid="{00000000-0005-0000-0000-000055410000}"/>
    <cellStyle name="20% - Accent6 2 4 2 2 2" xfId="26852" xr:uid="{00000000-0005-0000-0000-000056410000}"/>
    <cellStyle name="20% - Accent6 2 4 2 3" xfId="18946" xr:uid="{00000000-0005-0000-0000-000057410000}"/>
    <cellStyle name="20% - Accent6 2 4 2 3 2" xfId="30638" xr:uid="{00000000-0005-0000-0000-000058410000}"/>
    <cellStyle name="20% - Accent6 2 4 2 4" xfId="22992" xr:uid="{00000000-0005-0000-0000-000059410000}"/>
    <cellStyle name="20% - Accent6 2 4 3" xfId="3796" xr:uid="{00000000-0005-0000-0000-00005A410000}"/>
    <cellStyle name="20% - Accent6 2 4 3 2" xfId="14996" xr:uid="{00000000-0005-0000-0000-00005B410000}"/>
    <cellStyle name="20% - Accent6 2 4 3 2 2" xfId="26853" xr:uid="{00000000-0005-0000-0000-00005C410000}"/>
    <cellStyle name="20% - Accent6 2 4 3 3" xfId="18947" xr:uid="{00000000-0005-0000-0000-00005D410000}"/>
    <cellStyle name="20% - Accent6 2 4 3 3 2" xfId="30639" xr:uid="{00000000-0005-0000-0000-00005E410000}"/>
    <cellStyle name="20% - Accent6 2 4 3 4" xfId="22993" xr:uid="{00000000-0005-0000-0000-00005F410000}"/>
    <cellStyle name="20% - Accent6 2 4 4" xfId="14994" xr:uid="{00000000-0005-0000-0000-000060410000}"/>
    <cellStyle name="20% - Accent6 2 4 4 2" xfId="26851" xr:uid="{00000000-0005-0000-0000-000061410000}"/>
    <cellStyle name="20% - Accent6 2 4 5" xfId="18945" xr:uid="{00000000-0005-0000-0000-000062410000}"/>
    <cellStyle name="20% - Accent6 2 4 5 2" xfId="30637" xr:uid="{00000000-0005-0000-0000-000063410000}"/>
    <cellStyle name="20% - Accent6 2 4 6" xfId="22991" xr:uid="{00000000-0005-0000-0000-000064410000}"/>
    <cellStyle name="20% - Accent6 2 5" xfId="3797" xr:uid="{00000000-0005-0000-0000-000065410000}"/>
    <cellStyle name="20% - Accent6 2 5 2" xfId="3798" xr:uid="{00000000-0005-0000-0000-000066410000}"/>
    <cellStyle name="20% - Accent6 2 5 2 2" xfId="14998" xr:uid="{00000000-0005-0000-0000-000067410000}"/>
    <cellStyle name="20% - Accent6 2 5 2 2 2" xfId="26855" xr:uid="{00000000-0005-0000-0000-000068410000}"/>
    <cellStyle name="20% - Accent6 2 5 2 3" xfId="18949" xr:uid="{00000000-0005-0000-0000-000069410000}"/>
    <cellStyle name="20% - Accent6 2 5 2 3 2" xfId="30641" xr:uid="{00000000-0005-0000-0000-00006A410000}"/>
    <cellStyle name="20% - Accent6 2 5 2 4" xfId="22995" xr:uid="{00000000-0005-0000-0000-00006B410000}"/>
    <cellStyle name="20% - Accent6 2 5 3" xfId="3799" xr:uid="{00000000-0005-0000-0000-00006C410000}"/>
    <cellStyle name="20% - Accent6 2 5 3 2" xfId="14999" xr:uid="{00000000-0005-0000-0000-00006D410000}"/>
    <cellStyle name="20% - Accent6 2 5 3 2 2" xfId="26856" xr:uid="{00000000-0005-0000-0000-00006E410000}"/>
    <cellStyle name="20% - Accent6 2 5 3 3" xfId="18950" xr:uid="{00000000-0005-0000-0000-00006F410000}"/>
    <cellStyle name="20% - Accent6 2 5 3 3 2" xfId="30642" xr:uid="{00000000-0005-0000-0000-000070410000}"/>
    <cellStyle name="20% - Accent6 2 5 3 4" xfId="22996" xr:uid="{00000000-0005-0000-0000-000071410000}"/>
    <cellStyle name="20% - Accent6 2 5 4" xfId="14997" xr:uid="{00000000-0005-0000-0000-000072410000}"/>
    <cellStyle name="20% - Accent6 2 5 4 2" xfId="26854" xr:uid="{00000000-0005-0000-0000-000073410000}"/>
    <cellStyle name="20% - Accent6 2 5 5" xfId="18948" xr:uid="{00000000-0005-0000-0000-000074410000}"/>
    <cellStyle name="20% - Accent6 2 5 5 2" xfId="30640" xr:uid="{00000000-0005-0000-0000-000075410000}"/>
    <cellStyle name="20% - Accent6 2 5 6" xfId="22994" xr:uid="{00000000-0005-0000-0000-000076410000}"/>
    <cellStyle name="20% - Accent6 2 6" xfId="3800" xr:uid="{00000000-0005-0000-0000-000077410000}"/>
    <cellStyle name="20% - Accent6 2 6 2" xfId="3801" xr:uid="{00000000-0005-0000-0000-000078410000}"/>
    <cellStyle name="20% - Accent6 2 6 2 2" xfId="15001" xr:uid="{00000000-0005-0000-0000-000079410000}"/>
    <cellStyle name="20% - Accent6 2 6 2 2 2" xfId="26858" xr:uid="{00000000-0005-0000-0000-00007A410000}"/>
    <cellStyle name="20% - Accent6 2 6 2 3" xfId="18952" xr:uid="{00000000-0005-0000-0000-00007B410000}"/>
    <cellStyle name="20% - Accent6 2 6 2 3 2" xfId="30644" xr:uid="{00000000-0005-0000-0000-00007C410000}"/>
    <cellStyle name="20% - Accent6 2 6 2 4" xfId="22998" xr:uid="{00000000-0005-0000-0000-00007D410000}"/>
    <cellStyle name="20% - Accent6 2 6 3" xfId="3802" xr:uid="{00000000-0005-0000-0000-00007E410000}"/>
    <cellStyle name="20% - Accent6 2 6 3 2" xfId="15002" xr:uid="{00000000-0005-0000-0000-00007F410000}"/>
    <cellStyle name="20% - Accent6 2 6 3 2 2" xfId="26859" xr:uid="{00000000-0005-0000-0000-000080410000}"/>
    <cellStyle name="20% - Accent6 2 6 3 3" xfId="18953" xr:uid="{00000000-0005-0000-0000-000081410000}"/>
    <cellStyle name="20% - Accent6 2 6 3 3 2" xfId="30645" xr:uid="{00000000-0005-0000-0000-000082410000}"/>
    <cellStyle name="20% - Accent6 2 6 3 4" xfId="22999" xr:uid="{00000000-0005-0000-0000-000083410000}"/>
    <cellStyle name="20% - Accent6 2 6 4" xfId="15000" xr:uid="{00000000-0005-0000-0000-000084410000}"/>
    <cellStyle name="20% - Accent6 2 6 4 2" xfId="26857" xr:uid="{00000000-0005-0000-0000-000085410000}"/>
    <cellStyle name="20% - Accent6 2 6 5" xfId="18951" xr:uid="{00000000-0005-0000-0000-000086410000}"/>
    <cellStyle name="20% - Accent6 2 6 5 2" xfId="30643" xr:uid="{00000000-0005-0000-0000-000087410000}"/>
    <cellStyle name="20% - Accent6 2 6 6" xfId="22997" xr:uid="{00000000-0005-0000-0000-000088410000}"/>
    <cellStyle name="20% - Accent6 2 7" xfId="3803" xr:uid="{00000000-0005-0000-0000-000089410000}"/>
    <cellStyle name="20% - Accent6 2 7 2" xfId="15003" xr:uid="{00000000-0005-0000-0000-00008A410000}"/>
    <cellStyle name="20% - Accent6 2 7 2 2" xfId="26860" xr:uid="{00000000-0005-0000-0000-00008B410000}"/>
    <cellStyle name="20% - Accent6 2 7 3" xfId="18954" xr:uid="{00000000-0005-0000-0000-00008C410000}"/>
    <cellStyle name="20% - Accent6 2 7 3 2" xfId="30646" xr:uid="{00000000-0005-0000-0000-00008D410000}"/>
    <cellStyle name="20% - Accent6 2 7 4" xfId="23000" xr:uid="{00000000-0005-0000-0000-00008E410000}"/>
    <cellStyle name="20% - Accent6 2 8" xfId="3804" xr:uid="{00000000-0005-0000-0000-00008F410000}"/>
    <cellStyle name="20% - Accent6 2 8 2" xfId="15004" xr:uid="{00000000-0005-0000-0000-000090410000}"/>
    <cellStyle name="20% - Accent6 2 8 2 2" xfId="26861" xr:uid="{00000000-0005-0000-0000-000091410000}"/>
    <cellStyle name="20% - Accent6 2 8 3" xfId="18955" xr:uid="{00000000-0005-0000-0000-000092410000}"/>
    <cellStyle name="20% - Accent6 2 8 3 2" xfId="30647" xr:uid="{00000000-0005-0000-0000-000093410000}"/>
    <cellStyle name="20% - Accent6 2 8 4" xfId="23001" xr:uid="{00000000-0005-0000-0000-000094410000}"/>
    <cellStyle name="20% - Accent6 2 9" xfId="14972" xr:uid="{00000000-0005-0000-0000-000095410000}"/>
    <cellStyle name="20% - Accent6 2 9 2" xfId="26829" xr:uid="{00000000-0005-0000-0000-000096410000}"/>
    <cellStyle name="20% - Accent6 2_Volatility" xfId="3805" xr:uid="{00000000-0005-0000-0000-000097410000}"/>
    <cellStyle name="20% - Accent6 3" xfId="3806" xr:uid="{00000000-0005-0000-0000-000098410000}"/>
    <cellStyle name="20% - Accent6 3 10" xfId="18956" xr:uid="{00000000-0005-0000-0000-000099410000}"/>
    <cellStyle name="20% - Accent6 3 10 2" xfId="30648" xr:uid="{00000000-0005-0000-0000-00009A410000}"/>
    <cellStyle name="20% - Accent6 3 11" xfId="23002" xr:uid="{00000000-0005-0000-0000-00009B410000}"/>
    <cellStyle name="20% - Accent6 3 2" xfId="3807" xr:uid="{00000000-0005-0000-0000-00009C410000}"/>
    <cellStyle name="20% - Accent6 3 2 2" xfId="3808" xr:uid="{00000000-0005-0000-0000-00009D410000}"/>
    <cellStyle name="20% - Accent6 3 2 2 2" xfId="3809" xr:uid="{00000000-0005-0000-0000-00009E410000}"/>
    <cellStyle name="20% - Accent6 3 2 2 2 2" xfId="15008" xr:uid="{00000000-0005-0000-0000-00009F410000}"/>
    <cellStyle name="20% - Accent6 3 2 2 2 2 2" xfId="26865" xr:uid="{00000000-0005-0000-0000-0000A0410000}"/>
    <cellStyle name="20% - Accent6 3 2 2 2 3" xfId="18959" xr:uid="{00000000-0005-0000-0000-0000A1410000}"/>
    <cellStyle name="20% - Accent6 3 2 2 2 3 2" xfId="30651" xr:uid="{00000000-0005-0000-0000-0000A2410000}"/>
    <cellStyle name="20% - Accent6 3 2 2 2 4" xfId="23005" xr:uid="{00000000-0005-0000-0000-0000A3410000}"/>
    <cellStyle name="20% - Accent6 3 2 2 3" xfId="3810" xr:uid="{00000000-0005-0000-0000-0000A4410000}"/>
    <cellStyle name="20% - Accent6 3 2 2 3 2" xfId="15009" xr:uid="{00000000-0005-0000-0000-0000A5410000}"/>
    <cellStyle name="20% - Accent6 3 2 2 3 2 2" xfId="26866" xr:uid="{00000000-0005-0000-0000-0000A6410000}"/>
    <cellStyle name="20% - Accent6 3 2 2 3 3" xfId="18960" xr:uid="{00000000-0005-0000-0000-0000A7410000}"/>
    <cellStyle name="20% - Accent6 3 2 2 3 3 2" xfId="30652" xr:uid="{00000000-0005-0000-0000-0000A8410000}"/>
    <cellStyle name="20% - Accent6 3 2 2 3 4" xfId="23006" xr:uid="{00000000-0005-0000-0000-0000A9410000}"/>
    <cellStyle name="20% - Accent6 3 2 2 4" xfId="15007" xr:uid="{00000000-0005-0000-0000-0000AA410000}"/>
    <cellStyle name="20% - Accent6 3 2 2 4 2" xfId="26864" xr:uid="{00000000-0005-0000-0000-0000AB410000}"/>
    <cellStyle name="20% - Accent6 3 2 2 5" xfId="18958" xr:uid="{00000000-0005-0000-0000-0000AC410000}"/>
    <cellStyle name="20% - Accent6 3 2 2 5 2" xfId="30650" xr:uid="{00000000-0005-0000-0000-0000AD410000}"/>
    <cellStyle name="20% - Accent6 3 2 2 6" xfId="23004" xr:uid="{00000000-0005-0000-0000-0000AE410000}"/>
    <cellStyle name="20% - Accent6 3 2 3" xfId="3811" xr:uid="{00000000-0005-0000-0000-0000AF410000}"/>
    <cellStyle name="20% - Accent6 3 2 3 2" xfId="3812" xr:uid="{00000000-0005-0000-0000-0000B0410000}"/>
    <cellStyle name="20% - Accent6 3 2 3 2 2" xfId="15011" xr:uid="{00000000-0005-0000-0000-0000B1410000}"/>
    <cellStyle name="20% - Accent6 3 2 3 2 2 2" xfId="26868" xr:uid="{00000000-0005-0000-0000-0000B2410000}"/>
    <cellStyle name="20% - Accent6 3 2 3 2 3" xfId="18962" xr:uid="{00000000-0005-0000-0000-0000B3410000}"/>
    <cellStyle name="20% - Accent6 3 2 3 2 3 2" xfId="30654" xr:uid="{00000000-0005-0000-0000-0000B4410000}"/>
    <cellStyle name="20% - Accent6 3 2 3 2 4" xfId="23008" xr:uid="{00000000-0005-0000-0000-0000B5410000}"/>
    <cellStyle name="20% - Accent6 3 2 3 3" xfId="3813" xr:uid="{00000000-0005-0000-0000-0000B6410000}"/>
    <cellStyle name="20% - Accent6 3 2 3 3 2" xfId="15012" xr:uid="{00000000-0005-0000-0000-0000B7410000}"/>
    <cellStyle name="20% - Accent6 3 2 3 3 2 2" xfId="26869" xr:uid="{00000000-0005-0000-0000-0000B8410000}"/>
    <cellStyle name="20% - Accent6 3 2 3 3 3" xfId="18963" xr:uid="{00000000-0005-0000-0000-0000B9410000}"/>
    <cellStyle name="20% - Accent6 3 2 3 3 3 2" xfId="30655" xr:uid="{00000000-0005-0000-0000-0000BA410000}"/>
    <cellStyle name="20% - Accent6 3 2 3 3 4" xfId="23009" xr:uid="{00000000-0005-0000-0000-0000BB410000}"/>
    <cellStyle name="20% - Accent6 3 2 3 4" xfId="15010" xr:uid="{00000000-0005-0000-0000-0000BC410000}"/>
    <cellStyle name="20% - Accent6 3 2 3 4 2" xfId="26867" xr:uid="{00000000-0005-0000-0000-0000BD410000}"/>
    <cellStyle name="20% - Accent6 3 2 3 5" xfId="18961" xr:uid="{00000000-0005-0000-0000-0000BE410000}"/>
    <cellStyle name="20% - Accent6 3 2 3 5 2" xfId="30653" xr:uid="{00000000-0005-0000-0000-0000BF410000}"/>
    <cellStyle name="20% - Accent6 3 2 3 6" xfId="23007" xr:uid="{00000000-0005-0000-0000-0000C0410000}"/>
    <cellStyle name="20% - Accent6 3 2 4" xfId="3814" xr:uid="{00000000-0005-0000-0000-0000C1410000}"/>
    <cellStyle name="20% - Accent6 3 2 4 2" xfId="3815" xr:uid="{00000000-0005-0000-0000-0000C2410000}"/>
    <cellStyle name="20% - Accent6 3 2 4 2 2" xfId="15014" xr:uid="{00000000-0005-0000-0000-0000C3410000}"/>
    <cellStyle name="20% - Accent6 3 2 4 2 2 2" xfId="26871" xr:uid="{00000000-0005-0000-0000-0000C4410000}"/>
    <cellStyle name="20% - Accent6 3 2 4 2 3" xfId="18965" xr:uid="{00000000-0005-0000-0000-0000C5410000}"/>
    <cellStyle name="20% - Accent6 3 2 4 2 3 2" xfId="30657" xr:uid="{00000000-0005-0000-0000-0000C6410000}"/>
    <cellStyle name="20% - Accent6 3 2 4 2 4" xfId="23011" xr:uid="{00000000-0005-0000-0000-0000C7410000}"/>
    <cellStyle name="20% - Accent6 3 2 4 3" xfId="3816" xr:uid="{00000000-0005-0000-0000-0000C8410000}"/>
    <cellStyle name="20% - Accent6 3 2 4 3 2" xfId="15015" xr:uid="{00000000-0005-0000-0000-0000C9410000}"/>
    <cellStyle name="20% - Accent6 3 2 4 3 2 2" xfId="26872" xr:uid="{00000000-0005-0000-0000-0000CA410000}"/>
    <cellStyle name="20% - Accent6 3 2 4 3 3" xfId="18966" xr:uid="{00000000-0005-0000-0000-0000CB410000}"/>
    <cellStyle name="20% - Accent6 3 2 4 3 3 2" xfId="30658" xr:uid="{00000000-0005-0000-0000-0000CC410000}"/>
    <cellStyle name="20% - Accent6 3 2 4 3 4" xfId="23012" xr:uid="{00000000-0005-0000-0000-0000CD410000}"/>
    <cellStyle name="20% - Accent6 3 2 4 4" xfId="15013" xr:uid="{00000000-0005-0000-0000-0000CE410000}"/>
    <cellStyle name="20% - Accent6 3 2 4 4 2" xfId="26870" xr:uid="{00000000-0005-0000-0000-0000CF410000}"/>
    <cellStyle name="20% - Accent6 3 2 4 5" xfId="18964" xr:uid="{00000000-0005-0000-0000-0000D0410000}"/>
    <cellStyle name="20% - Accent6 3 2 4 5 2" xfId="30656" xr:uid="{00000000-0005-0000-0000-0000D1410000}"/>
    <cellStyle name="20% - Accent6 3 2 4 6" xfId="23010" xr:uid="{00000000-0005-0000-0000-0000D2410000}"/>
    <cellStyle name="20% - Accent6 3 2 5" xfId="3817" xr:uid="{00000000-0005-0000-0000-0000D3410000}"/>
    <cellStyle name="20% - Accent6 3 2 5 2" xfId="15016" xr:uid="{00000000-0005-0000-0000-0000D4410000}"/>
    <cellStyle name="20% - Accent6 3 2 5 2 2" xfId="26873" xr:uid="{00000000-0005-0000-0000-0000D5410000}"/>
    <cellStyle name="20% - Accent6 3 2 5 3" xfId="18967" xr:uid="{00000000-0005-0000-0000-0000D6410000}"/>
    <cellStyle name="20% - Accent6 3 2 5 3 2" xfId="30659" xr:uid="{00000000-0005-0000-0000-0000D7410000}"/>
    <cellStyle name="20% - Accent6 3 2 5 4" xfId="23013" xr:uid="{00000000-0005-0000-0000-0000D8410000}"/>
    <cellStyle name="20% - Accent6 3 2 6" xfId="3818" xr:uid="{00000000-0005-0000-0000-0000D9410000}"/>
    <cellStyle name="20% - Accent6 3 2 6 2" xfId="15017" xr:uid="{00000000-0005-0000-0000-0000DA410000}"/>
    <cellStyle name="20% - Accent6 3 2 6 2 2" xfId="26874" xr:uid="{00000000-0005-0000-0000-0000DB410000}"/>
    <cellStyle name="20% - Accent6 3 2 6 3" xfId="18968" xr:uid="{00000000-0005-0000-0000-0000DC410000}"/>
    <cellStyle name="20% - Accent6 3 2 6 3 2" xfId="30660" xr:uid="{00000000-0005-0000-0000-0000DD410000}"/>
    <cellStyle name="20% - Accent6 3 2 6 4" xfId="23014" xr:uid="{00000000-0005-0000-0000-0000DE410000}"/>
    <cellStyle name="20% - Accent6 3 2 7" xfId="15006" xr:uid="{00000000-0005-0000-0000-0000DF410000}"/>
    <cellStyle name="20% - Accent6 3 2 7 2" xfId="26863" xr:uid="{00000000-0005-0000-0000-0000E0410000}"/>
    <cellStyle name="20% - Accent6 3 2 8" xfId="18957" xr:uid="{00000000-0005-0000-0000-0000E1410000}"/>
    <cellStyle name="20% - Accent6 3 2 8 2" xfId="30649" xr:uid="{00000000-0005-0000-0000-0000E2410000}"/>
    <cellStyle name="20% - Accent6 3 2 9" xfId="23003" xr:uid="{00000000-0005-0000-0000-0000E3410000}"/>
    <cellStyle name="20% - Accent6 3 2_Volatility" xfId="3819" xr:uid="{00000000-0005-0000-0000-0000E4410000}"/>
    <cellStyle name="20% - Accent6 3 3" xfId="3820" xr:uid="{00000000-0005-0000-0000-0000E5410000}"/>
    <cellStyle name="20% - Accent6 3 3 2" xfId="3821" xr:uid="{00000000-0005-0000-0000-0000E6410000}"/>
    <cellStyle name="20% - Accent6 3 3 2 2" xfId="3822" xr:uid="{00000000-0005-0000-0000-0000E7410000}"/>
    <cellStyle name="20% - Accent6 3 3 2 2 2" xfId="15020" xr:uid="{00000000-0005-0000-0000-0000E8410000}"/>
    <cellStyle name="20% - Accent6 3 3 2 2 2 2" xfId="26877" xr:uid="{00000000-0005-0000-0000-0000E9410000}"/>
    <cellStyle name="20% - Accent6 3 3 2 2 3" xfId="18971" xr:uid="{00000000-0005-0000-0000-0000EA410000}"/>
    <cellStyle name="20% - Accent6 3 3 2 2 3 2" xfId="30663" xr:uid="{00000000-0005-0000-0000-0000EB410000}"/>
    <cellStyle name="20% - Accent6 3 3 2 2 4" xfId="23017" xr:uid="{00000000-0005-0000-0000-0000EC410000}"/>
    <cellStyle name="20% - Accent6 3 3 2 3" xfId="3823" xr:uid="{00000000-0005-0000-0000-0000ED410000}"/>
    <cellStyle name="20% - Accent6 3 3 2 3 2" xfId="15021" xr:uid="{00000000-0005-0000-0000-0000EE410000}"/>
    <cellStyle name="20% - Accent6 3 3 2 3 2 2" xfId="26878" xr:uid="{00000000-0005-0000-0000-0000EF410000}"/>
    <cellStyle name="20% - Accent6 3 3 2 3 3" xfId="18972" xr:uid="{00000000-0005-0000-0000-0000F0410000}"/>
    <cellStyle name="20% - Accent6 3 3 2 3 3 2" xfId="30664" xr:uid="{00000000-0005-0000-0000-0000F1410000}"/>
    <cellStyle name="20% - Accent6 3 3 2 3 4" xfId="23018" xr:uid="{00000000-0005-0000-0000-0000F2410000}"/>
    <cellStyle name="20% - Accent6 3 3 2 4" xfId="15019" xr:uid="{00000000-0005-0000-0000-0000F3410000}"/>
    <cellStyle name="20% - Accent6 3 3 2 4 2" xfId="26876" xr:uid="{00000000-0005-0000-0000-0000F4410000}"/>
    <cellStyle name="20% - Accent6 3 3 2 5" xfId="18970" xr:uid="{00000000-0005-0000-0000-0000F5410000}"/>
    <cellStyle name="20% - Accent6 3 3 2 5 2" xfId="30662" xr:uid="{00000000-0005-0000-0000-0000F6410000}"/>
    <cellStyle name="20% - Accent6 3 3 2 6" xfId="23016" xr:uid="{00000000-0005-0000-0000-0000F7410000}"/>
    <cellStyle name="20% - Accent6 3 3 3" xfId="3824" xr:uid="{00000000-0005-0000-0000-0000F8410000}"/>
    <cellStyle name="20% - Accent6 3 3 3 2" xfId="3825" xr:uid="{00000000-0005-0000-0000-0000F9410000}"/>
    <cellStyle name="20% - Accent6 3 3 3 2 2" xfId="15023" xr:uid="{00000000-0005-0000-0000-0000FA410000}"/>
    <cellStyle name="20% - Accent6 3 3 3 2 2 2" xfId="26880" xr:uid="{00000000-0005-0000-0000-0000FB410000}"/>
    <cellStyle name="20% - Accent6 3 3 3 2 3" xfId="18974" xr:uid="{00000000-0005-0000-0000-0000FC410000}"/>
    <cellStyle name="20% - Accent6 3 3 3 2 3 2" xfId="30666" xr:uid="{00000000-0005-0000-0000-0000FD410000}"/>
    <cellStyle name="20% - Accent6 3 3 3 2 4" xfId="23020" xr:uid="{00000000-0005-0000-0000-0000FE410000}"/>
    <cellStyle name="20% - Accent6 3 3 3 3" xfId="3826" xr:uid="{00000000-0005-0000-0000-0000FF410000}"/>
    <cellStyle name="20% - Accent6 3 3 3 3 2" xfId="15024" xr:uid="{00000000-0005-0000-0000-000000420000}"/>
    <cellStyle name="20% - Accent6 3 3 3 3 2 2" xfId="26881" xr:uid="{00000000-0005-0000-0000-000001420000}"/>
    <cellStyle name="20% - Accent6 3 3 3 3 3" xfId="18975" xr:uid="{00000000-0005-0000-0000-000002420000}"/>
    <cellStyle name="20% - Accent6 3 3 3 3 3 2" xfId="30667" xr:uid="{00000000-0005-0000-0000-000003420000}"/>
    <cellStyle name="20% - Accent6 3 3 3 3 4" xfId="23021" xr:uid="{00000000-0005-0000-0000-000004420000}"/>
    <cellStyle name="20% - Accent6 3 3 3 4" xfId="15022" xr:uid="{00000000-0005-0000-0000-000005420000}"/>
    <cellStyle name="20% - Accent6 3 3 3 4 2" xfId="26879" xr:uid="{00000000-0005-0000-0000-000006420000}"/>
    <cellStyle name="20% - Accent6 3 3 3 5" xfId="18973" xr:uid="{00000000-0005-0000-0000-000007420000}"/>
    <cellStyle name="20% - Accent6 3 3 3 5 2" xfId="30665" xr:uid="{00000000-0005-0000-0000-000008420000}"/>
    <cellStyle name="20% - Accent6 3 3 3 6" xfId="23019" xr:uid="{00000000-0005-0000-0000-000009420000}"/>
    <cellStyle name="20% - Accent6 3 3 4" xfId="3827" xr:uid="{00000000-0005-0000-0000-00000A420000}"/>
    <cellStyle name="20% - Accent6 3 3 4 2" xfId="15025" xr:uid="{00000000-0005-0000-0000-00000B420000}"/>
    <cellStyle name="20% - Accent6 3 3 4 2 2" xfId="26882" xr:uid="{00000000-0005-0000-0000-00000C420000}"/>
    <cellStyle name="20% - Accent6 3 3 4 3" xfId="18976" xr:uid="{00000000-0005-0000-0000-00000D420000}"/>
    <cellStyle name="20% - Accent6 3 3 4 3 2" xfId="30668" xr:uid="{00000000-0005-0000-0000-00000E420000}"/>
    <cellStyle name="20% - Accent6 3 3 4 4" xfId="23022" xr:uid="{00000000-0005-0000-0000-00000F420000}"/>
    <cellStyle name="20% - Accent6 3 3 5" xfId="3828" xr:uid="{00000000-0005-0000-0000-000010420000}"/>
    <cellStyle name="20% - Accent6 3 3 5 2" xfId="15026" xr:uid="{00000000-0005-0000-0000-000011420000}"/>
    <cellStyle name="20% - Accent6 3 3 5 2 2" xfId="26883" xr:uid="{00000000-0005-0000-0000-000012420000}"/>
    <cellStyle name="20% - Accent6 3 3 5 3" xfId="18977" xr:uid="{00000000-0005-0000-0000-000013420000}"/>
    <cellStyle name="20% - Accent6 3 3 5 3 2" xfId="30669" xr:uid="{00000000-0005-0000-0000-000014420000}"/>
    <cellStyle name="20% - Accent6 3 3 5 4" xfId="23023" xr:uid="{00000000-0005-0000-0000-000015420000}"/>
    <cellStyle name="20% - Accent6 3 3 6" xfId="15018" xr:uid="{00000000-0005-0000-0000-000016420000}"/>
    <cellStyle name="20% - Accent6 3 3 6 2" xfId="26875" xr:uid="{00000000-0005-0000-0000-000017420000}"/>
    <cellStyle name="20% - Accent6 3 3 7" xfId="18969" xr:uid="{00000000-0005-0000-0000-000018420000}"/>
    <cellStyle name="20% - Accent6 3 3 7 2" xfId="30661" xr:uid="{00000000-0005-0000-0000-000019420000}"/>
    <cellStyle name="20% - Accent6 3 3 8" xfId="23015" xr:uid="{00000000-0005-0000-0000-00001A420000}"/>
    <cellStyle name="20% - Accent6 3 3_Volatility" xfId="3829" xr:uid="{00000000-0005-0000-0000-00001B420000}"/>
    <cellStyle name="20% - Accent6 3 4" xfId="3830" xr:uid="{00000000-0005-0000-0000-00001C420000}"/>
    <cellStyle name="20% - Accent6 3 4 2" xfId="3831" xr:uid="{00000000-0005-0000-0000-00001D420000}"/>
    <cellStyle name="20% - Accent6 3 4 2 2" xfId="15028" xr:uid="{00000000-0005-0000-0000-00001E420000}"/>
    <cellStyle name="20% - Accent6 3 4 2 2 2" xfId="26885" xr:uid="{00000000-0005-0000-0000-00001F420000}"/>
    <cellStyle name="20% - Accent6 3 4 2 3" xfId="18979" xr:uid="{00000000-0005-0000-0000-000020420000}"/>
    <cellStyle name="20% - Accent6 3 4 2 3 2" xfId="30671" xr:uid="{00000000-0005-0000-0000-000021420000}"/>
    <cellStyle name="20% - Accent6 3 4 2 4" xfId="23025" xr:uid="{00000000-0005-0000-0000-000022420000}"/>
    <cellStyle name="20% - Accent6 3 4 3" xfId="3832" xr:uid="{00000000-0005-0000-0000-000023420000}"/>
    <cellStyle name="20% - Accent6 3 4 3 2" xfId="15029" xr:uid="{00000000-0005-0000-0000-000024420000}"/>
    <cellStyle name="20% - Accent6 3 4 3 2 2" xfId="26886" xr:uid="{00000000-0005-0000-0000-000025420000}"/>
    <cellStyle name="20% - Accent6 3 4 3 3" xfId="18980" xr:uid="{00000000-0005-0000-0000-000026420000}"/>
    <cellStyle name="20% - Accent6 3 4 3 3 2" xfId="30672" xr:uid="{00000000-0005-0000-0000-000027420000}"/>
    <cellStyle name="20% - Accent6 3 4 3 4" xfId="23026" xr:uid="{00000000-0005-0000-0000-000028420000}"/>
    <cellStyle name="20% - Accent6 3 4 4" xfId="15027" xr:uid="{00000000-0005-0000-0000-000029420000}"/>
    <cellStyle name="20% - Accent6 3 4 4 2" xfId="26884" xr:uid="{00000000-0005-0000-0000-00002A420000}"/>
    <cellStyle name="20% - Accent6 3 4 5" xfId="18978" xr:uid="{00000000-0005-0000-0000-00002B420000}"/>
    <cellStyle name="20% - Accent6 3 4 5 2" xfId="30670" xr:uid="{00000000-0005-0000-0000-00002C420000}"/>
    <cellStyle name="20% - Accent6 3 4 6" xfId="23024" xr:uid="{00000000-0005-0000-0000-00002D420000}"/>
    <cellStyle name="20% - Accent6 3 5" xfId="3833" xr:uid="{00000000-0005-0000-0000-00002E420000}"/>
    <cellStyle name="20% - Accent6 3 5 2" xfId="3834" xr:uid="{00000000-0005-0000-0000-00002F420000}"/>
    <cellStyle name="20% - Accent6 3 5 2 2" xfId="15031" xr:uid="{00000000-0005-0000-0000-000030420000}"/>
    <cellStyle name="20% - Accent6 3 5 2 2 2" xfId="26888" xr:uid="{00000000-0005-0000-0000-000031420000}"/>
    <cellStyle name="20% - Accent6 3 5 2 3" xfId="18982" xr:uid="{00000000-0005-0000-0000-000032420000}"/>
    <cellStyle name="20% - Accent6 3 5 2 3 2" xfId="30674" xr:uid="{00000000-0005-0000-0000-000033420000}"/>
    <cellStyle name="20% - Accent6 3 5 2 4" xfId="23028" xr:uid="{00000000-0005-0000-0000-000034420000}"/>
    <cellStyle name="20% - Accent6 3 5 3" xfId="3835" xr:uid="{00000000-0005-0000-0000-000035420000}"/>
    <cellStyle name="20% - Accent6 3 5 3 2" xfId="15032" xr:uid="{00000000-0005-0000-0000-000036420000}"/>
    <cellStyle name="20% - Accent6 3 5 3 2 2" xfId="26889" xr:uid="{00000000-0005-0000-0000-000037420000}"/>
    <cellStyle name="20% - Accent6 3 5 3 3" xfId="18983" xr:uid="{00000000-0005-0000-0000-000038420000}"/>
    <cellStyle name="20% - Accent6 3 5 3 3 2" xfId="30675" xr:uid="{00000000-0005-0000-0000-000039420000}"/>
    <cellStyle name="20% - Accent6 3 5 3 4" xfId="23029" xr:uid="{00000000-0005-0000-0000-00003A420000}"/>
    <cellStyle name="20% - Accent6 3 5 4" xfId="15030" xr:uid="{00000000-0005-0000-0000-00003B420000}"/>
    <cellStyle name="20% - Accent6 3 5 4 2" xfId="26887" xr:uid="{00000000-0005-0000-0000-00003C420000}"/>
    <cellStyle name="20% - Accent6 3 5 5" xfId="18981" xr:uid="{00000000-0005-0000-0000-00003D420000}"/>
    <cellStyle name="20% - Accent6 3 5 5 2" xfId="30673" xr:uid="{00000000-0005-0000-0000-00003E420000}"/>
    <cellStyle name="20% - Accent6 3 5 6" xfId="23027" xr:uid="{00000000-0005-0000-0000-00003F420000}"/>
    <cellStyle name="20% - Accent6 3 6" xfId="3836" xr:uid="{00000000-0005-0000-0000-000040420000}"/>
    <cellStyle name="20% - Accent6 3 6 2" xfId="3837" xr:uid="{00000000-0005-0000-0000-000041420000}"/>
    <cellStyle name="20% - Accent6 3 6 2 2" xfId="15034" xr:uid="{00000000-0005-0000-0000-000042420000}"/>
    <cellStyle name="20% - Accent6 3 6 2 2 2" xfId="26891" xr:uid="{00000000-0005-0000-0000-000043420000}"/>
    <cellStyle name="20% - Accent6 3 6 2 3" xfId="18985" xr:uid="{00000000-0005-0000-0000-000044420000}"/>
    <cellStyle name="20% - Accent6 3 6 2 3 2" xfId="30677" xr:uid="{00000000-0005-0000-0000-000045420000}"/>
    <cellStyle name="20% - Accent6 3 6 2 4" xfId="23031" xr:uid="{00000000-0005-0000-0000-000046420000}"/>
    <cellStyle name="20% - Accent6 3 6 3" xfId="3838" xr:uid="{00000000-0005-0000-0000-000047420000}"/>
    <cellStyle name="20% - Accent6 3 6 3 2" xfId="15035" xr:uid="{00000000-0005-0000-0000-000048420000}"/>
    <cellStyle name="20% - Accent6 3 6 3 2 2" xfId="26892" xr:uid="{00000000-0005-0000-0000-000049420000}"/>
    <cellStyle name="20% - Accent6 3 6 3 3" xfId="18986" xr:uid="{00000000-0005-0000-0000-00004A420000}"/>
    <cellStyle name="20% - Accent6 3 6 3 3 2" xfId="30678" xr:uid="{00000000-0005-0000-0000-00004B420000}"/>
    <cellStyle name="20% - Accent6 3 6 3 4" xfId="23032" xr:uid="{00000000-0005-0000-0000-00004C420000}"/>
    <cellStyle name="20% - Accent6 3 6 4" xfId="15033" xr:uid="{00000000-0005-0000-0000-00004D420000}"/>
    <cellStyle name="20% - Accent6 3 6 4 2" xfId="26890" xr:uid="{00000000-0005-0000-0000-00004E420000}"/>
    <cellStyle name="20% - Accent6 3 6 5" xfId="18984" xr:uid="{00000000-0005-0000-0000-00004F420000}"/>
    <cellStyle name="20% - Accent6 3 6 5 2" xfId="30676" xr:uid="{00000000-0005-0000-0000-000050420000}"/>
    <cellStyle name="20% - Accent6 3 6 6" xfId="23030" xr:uid="{00000000-0005-0000-0000-000051420000}"/>
    <cellStyle name="20% - Accent6 3 7" xfId="3839" xr:uid="{00000000-0005-0000-0000-000052420000}"/>
    <cellStyle name="20% - Accent6 3 7 2" xfId="15036" xr:uid="{00000000-0005-0000-0000-000053420000}"/>
    <cellStyle name="20% - Accent6 3 7 2 2" xfId="26893" xr:uid="{00000000-0005-0000-0000-000054420000}"/>
    <cellStyle name="20% - Accent6 3 7 3" xfId="18987" xr:uid="{00000000-0005-0000-0000-000055420000}"/>
    <cellStyle name="20% - Accent6 3 7 3 2" xfId="30679" xr:uid="{00000000-0005-0000-0000-000056420000}"/>
    <cellStyle name="20% - Accent6 3 7 4" xfId="23033" xr:uid="{00000000-0005-0000-0000-000057420000}"/>
    <cellStyle name="20% - Accent6 3 8" xfId="3840" xr:uid="{00000000-0005-0000-0000-000058420000}"/>
    <cellStyle name="20% - Accent6 3 8 2" xfId="15037" xr:uid="{00000000-0005-0000-0000-000059420000}"/>
    <cellStyle name="20% - Accent6 3 8 2 2" xfId="26894" xr:uid="{00000000-0005-0000-0000-00005A420000}"/>
    <cellStyle name="20% - Accent6 3 8 3" xfId="18988" xr:uid="{00000000-0005-0000-0000-00005B420000}"/>
    <cellStyle name="20% - Accent6 3 8 3 2" xfId="30680" xr:uid="{00000000-0005-0000-0000-00005C420000}"/>
    <cellStyle name="20% - Accent6 3 8 4" xfId="23034" xr:uid="{00000000-0005-0000-0000-00005D420000}"/>
    <cellStyle name="20% - Accent6 3 9" xfId="15005" xr:uid="{00000000-0005-0000-0000-00005E420000}"/>
    <cellStyle name="20% - Accent6 3 9 2" xfId="26862" xr:uid="{00000000-0005-0000-0000-00005F420000}"/>
    <cellStyle name="20% - Accent6 3_Volatility" xfId="3841" xr:uid="{00000000-0005-0000-0000-000060420000}"/>
    <cellStyle name="20% - Accent6 4" xfId="3842" xr:uid="{00000000-0005-0000-0000-000061420000}"/>
    <cellStyle name="20% - Accent6 4 10" xfId="18989" xr:uid="{00000000-0005-0000-0000-000062420000}"/>
    <cellStyle name="20% - Accent6 4 10 2" xfId="30681" xr:uid="{00000000-0005-0000-0000-000063420000}"/>
    <cellStyle name="20% - Accent6 4 11" xfId="23035" xr:uid="{00000000-0005-0000-0000-000064420000}"/>
    <cellStyle name="20% - Accent6 4 2" xfId="3843" xr:uid="{00000000-0005-0000-0000-000065420000}"/>
    <cellStyle name="20% - Accent6 4 2 2" xfId="3844" xr:uid="{00000000-0005-0000-0000-000066420000}"/>
    <cellStyle name="20% - Accent6 4 2 2 2" xfId="3845" xr:uid="{00000000-0005-0000-0000-000067420000}"/>
    <cellStyle name="20% - Accent6 4 2 2 2 2" xfId="15041" xr:uid="{00000000-0005-0000-0000-000068420000}"/>
    <cellStyle name="20% - Accent6 4 2 2 2 2 2" xfId="26898" xr:uid="{00000000-0005-0000-0000-000069420000}"/>
    <cellStyle name="20% - Accent6 4 2 2 2 3" xfId="18992" xr:uid="{00000000-0005-0000-0000-00006A420000}"/>
    <cellStyle name="20% - Accent6 4 2 2 2 3 2" xfId="30684" xr:uid="{00000000-0005-0000-0000-00006B420000}"/>
    <cellStyle name="20% - Accent6 4 2 2 2 4" xfId="23038" xr:uid="{00000000-0005-0000-0000-00006C420000}"/>
    <cellStyle name="20% - Accent6 4 2 2 3" xfId="3846" xr:uid="{00000000-0005-0000-0000-00006D420000}"/>
    <cellStyle name="20% - Accent6 4 2 2 3 2" xfId="15042" xr:uid="{00000000-0005-0000-0000-00006E420000}"/>
    <cellStyle name="20% - Accent6 4 2 2 3 2 2" xfId="26899" xr:uid="{00000000-0005-0000-0000-00006F420000}"/>
    <cellStyle name="20% - Accent6 4 2 2 3 3" xfId="18993" xr:uid="{00000000-0005-0000-0000-000070420000}"/>
    <cellStyle name="20% - Accent6 4 2 2 3 3 2" xfId="30685" xr:uid="{00000000-0005-0000-0000-000071420000}"/>
    <cellStyle name="20% - Accent6 4 2 2 3 4" xfId="23039" xr:uid="{00000000-0005-0000-0000-000072420000}"/>
    <cellStyle name="20% - Accent6 4 2 2 4" xfId="15040" xr:uid="{00000000-0005-0000-0000-000073420000}"/>
    <cellStyle name="20% - Accent6 4 2 2 4 2" xfId="26897" xr:uid="{00000000-0005-0000-0000-000074420000}"/>
    <cellStyle name="20% - Accent6 4 2 2 5" xfId="18991" xr:uid="{00000000-0005-0000-0000-000075420000}"/>
    <cellStyle name="20% - Accent6 4 2 2 5 2" xfId="30683" xr:uid="{00000000-0005-0000-0000-000076420000}"/>
    <cellStyle name="20% - Accent6 4 2 2 6" xfId="23037" xr:uid="{00000000-0005-0000-0000-000077420000}"/>
    <cellStyle name="20% - Accent6 4 2 3" xfId="3847" xr:uid="{00000000-0005-0000-0000-000078420000}"/>
    <cellStyle name="20% - Accent6 4 2 3 2" xfId="3848" xr:uid="{00000000-0005-0000-0000-000079420000}"/>
    <cellStyle name="20% - Accent6 4 2 3 2 2" xfId="15044" xr:uid="{00000000-0005-0000-0000-00007A420000}"/>
    <cellStyle name="20% - Accent6 4 2 3 2 2 2" xfId="26901" xr:uid="{00000000-0005-0000-0000-00007B420000}"/>
    <cellStyle name="20% - Accent6 4 2 3 2 3" xfId="18995" xr:uid="{00000000-0005-0000-0000-00007C420000}"/>
    <cellStyle name="20% - Accent6 4 2 3 2 3 2" xfId="30687" xr:uid="{00000000-0005-0000-0000-00007D420000}"/>
    <cellStyle name="20% - Accent6 4 2 3 2 4" xfId="23041" xr:uid="{00000000-0005-0000-0000-00007E420000}"/>
    <cellStyle name="20% - Accent6 4 2 3 3" xfId="3849" xr:uid="{00000000-0005-0000-0000-00007F420000}"/>
    <cellStyle name="20% - Accent6 4 2 3 3 2" xfId="15045" xr:uid="{00000000-0005-0000-0000-000080420000}"/>
    <cellStyle name="20% - Accent6 4 2 3 3 2 2" xfId="26902" xr:uid="{00000000-0005-0000-0000-000081420000}"/>
    <cellStyle name="20% - Accent6 4 2 3 3 3" xfId="18996" xr:uid="{00000000-0005-0000-0000-000082420000}"/>
    <cellStyle name="20% - Accent6 4 2 3 3 3 2" xfId="30688" xr:uid="{00000000-0005-0000-0000-000083420000}"/>
    <cellStyle name="20% - Accent6 4 2 3 3 4" xfId="23042" xr:uid="{00000000-0005-0000-0000-000084420000}"/>
    <cellStyle name="20% - Accent6 4 2 3 4" xfId="15043" xr:uid="{00000000-0005-0000-0000-000085420000}"/>
    <cellStyle name="20% - Accent6 4 2 3 4 2" xfId="26900" xr:uid="{00000000-0005-0000-0000-000086420000}"/>
    <cellStyle name="20% - Accent6 4 2 3 5" xfId="18994" xr:uid="{00000000-0005-0000-0000-000087420000}"/>
    <cellStyle name="20% - Accent6 4 2 3 5 2" xfId="30686" xr:uid="{00000000-0005-0000-0000-000088420000}"/>
    <cellStyle name="20% - Accent6 4 2 3 6" xfId="23040" xr:uid="{00000000-0005-0000-0000-000089420000}"/>
    <cellStyle name="20% - Accent6 4 2 4" xfId="3850" xr:uid="{00000000-0005-0000-0000-00008A420000}"/>
    <cellStyle name="20% - Accent6 4 2 4 2" xfId="3851" xr:uid="{00000000-0005-0000-0000-00008B420000}"/>
    <cellStyle name="20% - Accent6 4 2 4 2 2" xfId="15047" xr:uid="{00000000-0005-0000-0000-00008C420000}"/>
    <cellStyle name="20% - Accent6 4 2 4 2 2 2" xfId="26904" xr:uid="{00000000-0005-0000-0000-00008D420000}"/>
    <cellStyle name="20% - Accent6 4 2 4 2 3" xfId="18998" xr:uid="{00000000-0005-0000-0000-00008E420000}"/>
    <cellStyle name="20% - Accent6 4 2 4 2 3 2" xfId="30690" xr:uid="{00000000-0005-0000-0000-00008F420000}"/>
    <cellStyle name="20% - Accent6 4 2 4 2 4" xfId="23044" xr:uid="{00000000-0005-0000-0000-000090420000}"/>
    <cellStyle name="20% - Accent6 4 2 4 3" xfId="3852" xr:uid="{00000000-0005-0000-0000-000091420000}"/>
    <cellStyle name="20% - Accent6 4 2 4 3 2" xfId="15048" xr:uid="{00000000-0005-0000-0000-000092420000}"/>
    <cellStyle name="20% - Accent6 4 2 4 3 2 2" xfId="26905" xr:uid="{00000000-0005-0000-0000-000093420000}"/>
    <cellStyle name="20% - Accent6 4 2 4 3 3" xfId="18999" xr:uid="{00000000-0005-0000-0000-000094420000}"/>
    <cellStyle name="20% - Accent6 4 2 4 3 3 2" xfId="30691" xr:uid="{00000000-0005-0000-0000-000095420000}"/>
    <cellStyle name="20% - Accent6 4 2 4 3 4" xfId="23045" xr:uid="{00000000-0005-0000-0000-000096420000}"/>
    <cellStyle name="20% - Accent6 4 2 4 4" xfId="15046" xr:uid="{00000000-0005-0000-0000-000097420000}"/>
    <cellStyle name="20% - Accent6 4 2 4 4 2" xfId="26903" xr:uid="{00000000-0005-0000-0000-000098420000}"/>
    <cellStyle name="20% - Accent6 4 2 4 5" xfId="18997" xr:uid="{00000000-0005-0000-0000-000099420000}"/>
    <cellStyle name="20% - Accent6 4 2 4 5 2" xfId="30689" xr:uid="{00000000-0005-0000-0000-00009A420000}"/>
    <cellStyle name="20% - Accent6 4 2 4 6" xfId="23043" xr:uid="{00000000-0005-0000-0000-00009B420000}"/>
    <cellStyle name="20% - Accent6 4 2 5" xfId="3853" xr:uid="{00000000-0005-0000-0000-00009C420000}"/>
    <cellStyle name="20% - Accent6 4 2 5 2" xfId="15049" xr:uid="{00000000-0005-0000-0000-00009D420000}"/>
    <cellStyle name="20% - Accent6 4 2 5 2 2" xfId="26906" xr:uid="{00000000-0005-0000-0000-00009E420000}"/>
    <cellStyle name="20% - Accent6 4 2 5 3" xfId="19000" xr:uid="{00000000-0005-0000-0000-00009F420000}"/>
    <cellStyle name="20% - Accent6 4 2 5 3 2" xfId="30692" xr:uid="{00000000-0005-0000-0000-0000A0420000}"/>
    <cellStyle name="20% - Accent6 4 2 5 4" xfId="23046" xr:uid="{00000000-0005-0000-0000-0000A1420000}"/>
    <cellStyle name="20% - Accent6 4 2 6" xfId="3854" xr:uid="{00000000-0005-0000-0000-0000A2420000}"/>
    <cellStyle name="20% - Accent6 4 2 6 2" xfId="15050" xr:uid="{00000000-0005-0000-0000-0000A3420000}"/>
    <cellStyle name="20% - Accent6 4 2 6 2 2" xfId="26907" xr:uid="{00000000-0005-0000-0000-0000A4420000}"/>
    <cellStyle name="20% - Accent6 4 2 6 3" xfId="19001" xr:uid="{00000000-0005-0000-0000-0000A5420000}"/>
    <cellStyle name="20% - Accent6 4 2 6 3 2" xfId="30693" xr:uid="{00000000-0005-0000-0000-0000A6420000}"/>
    <cellStyle name="20% - Accent6 4 2 6 4" xfId="23047" xr:uid="{00000000-0005-0000-0000-0000A7420000}"/>
    <cellStyle name="20% - Accent6 4 2 7" xfId="15039" xr:uid="{00000000-0005-0000-0000-0000A8420000}"/>
    <cellStyle name="20% - Accent6 4 2 7 2" xfId="26896" xr:uid="{00000000-0005-0000-0000-0000A9420000}"/>
    <cellStyle name="20% - Accent6 4 2 8" xfId="18990" xr:uid="{00000000-0005-0000-0000-0000AA420000}"/>
    <cellStyle name="20% - Accent6 4 2 8 2" xfId="30682" xr:uid="{00000000-0005-0000-0000-0000AB420000}"/>
    <cellStyle name="20% - Accent6 4 2 9" xfId="23036" xr:uid="{00000000-0005-0000-0000-0000AC420000}"/>
    <cellStyle name="20% - Accent6 4 2_Volatility" xfId="3855" xr:uid="{00000000-0005-0000-0000-0000AD420000}"/>
    <cellStyle name="20% - Accent6 4 3" xfId="3856" xr:uid="{00000000-0005-0000-0000-0000AE420000}"/>
    <cellStyle name="20% - Accent6 4 3 2" xfId="3857" xr:uid="{00000000-0005-0000-0000-0000AF420000}"/>
    <cellStyle name="20% - Accent6 4 3 2 2" xfId="3858" xr:uid="{00000000-0005-0000-0000-0000B0420000}"/>
    <cellStyle name="20% - Accent6 4 3 2 2 2" xfId="15053" xr:uid="{00000000-0005-0000-0000-0000B1420000}"/>
    <cellStyle name="20% - Accent6 4 3 2 2 2 2" xfId="26910" xr:uid="{00000000-0005-0000-0000-0000B2420000}"/>
    <cellStyle name="20% - Accent6 4 3 2 2 3" xfId="19004" xr:uid="{00000000-0005-0000-0000-0000B3420000}"/>
    <cellStyle name="20% - Accent6 4 3 2 2 3 2" xfId="30696" xr:uid="{00000000-0005-0000-0000-0000B4420000}"/>
    <cellStyle name="20% - Accent6 4 3 2 2 4" xfId="23050" xr:uid="{00000000-0005-0000-0000-0000B5420000}"/>
    <cellStyle name="20% - Accent6 4 3 2 3" xfId="3859" xr:uid="{00000000-0005-0000-0000-0000B6420000}"/>
    <cellStyle name="20% - Accent6 4 3 2 3 2" xfId="15054" xr:uid="{00000000-0005-0000-0000-0000B7420000}"/>
    <cellStyle name="20% - Accent6 4 3 2 3 2 2" xfId="26911" xr:uid="{00000000-0005-0000-0000-0000B8420000}"/>
    <cellStyle name="20% - Accent6 4 3 2 3 3" xfId="19005" xr:uid="{00000000-0005-0000-0000-0000B9420000}"/>
    <cellStyle name="20% - Accent6 4 3 2 3 3 2" xfId="30697" xr:uid="{00000000-0005-0000-0000-0000BA420000}"/>
    <cellStyle name="20% - Accent6 4 3 2 3 4" xfId="23051" xr:uid="{00000000-0005-0000-0000-0000BB420000}"/>
    <cellStyle name="20% - Accent6 4 3 2 4" xfId="15052" xr:uid="{00000000-0005-0000-0000-0000BC420000}"/>
    <cellStyle name="20% - Accent6 4 3 2 4 2" xfId="26909" xr:uid="{00000000-0005-0000-0000-0000BD420000}"/>
    <cellStyle name="20% - Accent6 4 3 2 5" xfId="19003" xr:uid="{00000000-0005-0000-0000-0000BE420000}"/>
    <cellStyle name="20% - Accent6 4 3 2 5 2" xfId="30695" xr:uid="{00000000-0005-0000-0000-0000BF420000}"/>
    <cellStyle name="20% - Accent6 4 3 2 6" xfId="23049" xr:uid="{00000000-0005-0000-0000-0000C0420000}"/>
    <cellStyle name="20% - Accent6 4 3 3" xfId="3860" xr:uid="{00000000-0005-0000-0000-0000C1420000}"/>
    <cellStyle name="20% - Accent6 4 3 3 2" xfId="3861" xr:uid="{00000000-0005-0000-0000-0000C2420000}"/>
    <cellStyle name="20% - Accent6 4 3 3 2 2" xfId="15056" xr:uid="{00000000-0005-0000-0000-0000C3420000}"/>
    <cellStyle name="20% - Accent6 4 3 3 2 2 2" xfId="26913" xr:uid="{00000000-0005-0000-0000-0000C4420000}"/>
    <cellStyle name="20% - Accent6 4 3 3 2 3" xfId="19007" xr:uid="{00000000-0005-0000-0000-0000C5420000}"/>
    <cellStyle name="20% - Accent6 4 3 3 2 3 2" xfId="30699" xr:uid="{00000000-0005-0000-0000-0000C6420000}"/>
    <cellStyle name="20% - Accent6 4 3 3 2 4" xfId="23053" xr:uid="{00000000-0005-0000-0000-0000C7420000}"/>
    <cellStyle name="20% - Accent6 4 3 3 3" xfId="3862" xr:uid="{00000000-0005-0000-0000-0000C8420000}"/>
    <cellStyle name="20% - Accent6 4 3 3 3 2" xfId="15057" xr:uid="{00000000-0005-0000-0000-0000C9420000}"/>
    <cellStyle name="20% - Accent6 4 3 3 3 2 2" xfId="26914" xr:uid="{00000000-0005-0000-0000-0000CA420000}"/>
    <cellStyle name="20% - Accent6 4 3 3 3 3" xfId="19008" xr:uid="{00000000-0005-0000-0000-0000CB420000}"/>
    <cellStyle name="20% - Accent6 4 3 3 3 3 2" xfId="30700" xr:uid="{00000000-0005-0000-0000-0000CC420000}"/>
    <cellStyle name="20% - Accent6 4 3 3 3 4" xfId="23054" xr:uid="{00000000-0005-0000-0000-0000CD420000}"/>
    <cellStyle name="20% - Accent6 4 3 3 4" xfId="15055" xr:uid="{00000000-0005-0000-0000-0000CE420000}"/>
    <cellStyle name="20% - Accent6 4 3 3 4 2" xfId="26912" xr:uid="{00000000-0005-0000-0000-0000CF420000}"/>
    <cellStyle name="20% - Accent6 4 3 3 5" xfId="19006" xr:uid="{00000000-0005-0000-0000-0000D0420000}"/>
    <cellStyle name="20% - Accent6 4 3 3 5 2" xfId="30698" xr:uid="{00000000-0005-0000-0000-0000D1420000}"/>
    <cellStyle name="20% - Accent6 4 3 3 6" xfId="23052" xr:uid="{00000000-0005-0000-0000-0000D2420000}"/>
    <cellStyle name="20% - Accent6 4 3 4" xfId="3863" xr:uid="{00000000-0005-0000-0000-0000D3420000}"/>
    <cellStyle name="20% - Accent6 4 3 4 2" xfId="15058" xr:uid="{00000000-0005-0000-0000-0000D4420000}"/>
    <cellStyle name="20% - Accent6 4 3 4 2 2" xfId="26915" xr:uid="{00000000-0005-0000-0000-0000D5420000}"/>
    <cellStyle name="20% - Accent6 4 3 4 3" xfId="19009" xr:uid="{00000000-0005-0000-0000-0000D6420000}"/>
    <cellStyle name="20% - Accent6 4 3 4 3 2" xfId="30701" xr:uid="{00000000-0005-0000-0000-0000D7420000}"/>
    <cellStyle name="20% - Accent6 4 3 4 4" xfId="23055" xr:uid="{00000000-0005-0000-0000-0000D8420000}"/>
    <cellStyle name="20% - Accent6 4 3 5" xfId="3864" xr:uid="{00000000-0005-0000-0000-0000D9420000}"/>
    <cellStyle name="20% - Accent6 4 3 5 2" xfId="15059" xr:uid="{00000000-0005-0000-0000-0000DA420000}"/>
    <cellStyle name="20% - Accent6 4 3 5 2 2" xfId="26916" xr:uid="{00000000-0005-0000-0000-0000DB420000}"/>
    <cellStyle name="20% - Accent6 4 3 5 3" xfId="19010" xr:uid="{00000000-0005-0000-0000-0000DC420000}"/>
    <cellStyle name="20% - Accent6 4 3 5 3 2" xfId="30702" xr:uid="{00000000-0005-0000-0000-0000DD420000}"/>
    <cellStyle name="20% - Accent6 4 3 5 4" xfId="23056" xr:uid="{00000000-0005-0000-0000-0000DE420000}"/>
    <cellStyle name="20% - Accent6 4 3 6" xfId="15051" xr:uid="{00000000-0005-0000-0000-0000DF420000}"/>
    <cellStyle name="20% - Accent6 4 3 6 2" xfId="26908" xr:uid="{00000000-0005-0000-0000-0000E0420000}"/>
    <cellStyle name="20% - Accent6 4 3 7" xfId="19002" xr:uid="{00000000-0005-0000-0000-0000E1420000}"/>
    <cellStyle name="20% - Accent6 4 3 7 2" xfId="30694" xr:uid="{00000000-0005-0000-0000-0000E2420000}"/>
    <cellStyle name="20% - Accent6 4 3 8" xfId="23048" xr:uid="{00000000-0005-0000-0000-0000E3420000}"/>
    <cellStyle name="20% - Accent6 4 3_Volatility" xfId="3865" xr:uid="{00000000-0005-0000-0000-0000E4420000}"/>
    <cellStyle name="20% - Accent6 4 4" xfId="3866" xr:uid="{00000000-0005-0000-0000-0000E5420000}"/>
    <cellStyle name="20% - Accent6 4 4 2" xfId="3867" xr:uid="{00000000-0005-0000-0000-0000E6420000}"/>
    <cellStyle name="20% - Accent6 4 4 2 2" xfId="15061" xr:uid="{00000000-0005-0000-0000-0000E7420000}"/>
    <cellStyle name="20% - Accent6 4 4 2 2 2" xfId="26918" xr:uid="{00000000-0005-0000-0000-0000E8420000}"/>
    <cellStyle name="20% - Accent6 4 4 2 3" xfId="19012" xr:uid="{00000000-0005-0000-0000-0000E9420000}"/>
    <cellStyle name="20% - Accent6 4 4 2 3 2" xfId="30704" xr:uid="{00000000-0005-0000-0000-0000EA420000}"/>
    <cellStyle name="20% - Accent6 4 4 2 4" xfId="23058" xr:uid="{00000000-0005-0000-0000-0000EB420000}"/>
    <cellStyle name="20% - Accent6 4 4 3" xfId="3868" xr:uid="{00000000-0005-0000-0000-0000EC420000}"/>
    <cellStyle name="20% - Accent6 4 4 3 2" xfId="15062" xr:uid="{00000000-0005-0000-0000-0000ED420000}"/>
    <cellStyle name="20% - Accent6 4 4 3 2 2" xfId="26919" xr:uid="{00000000-0005-0000-0000-0000EE420000}"/>
    <cellStyle name="20% - Accent6 4 4 3 3" xfId="19013" xr:uid="{00000000-0005-0000-0000-0000EF420000}"/>
    <cellStyle name="20% - Accent6 4 4 3 3 2" xfId="30705" xr:uid="{00000000-0005-0000-0000-0000F0420000}"/>
    <cellStyle name="20% - Accent6 4 4 3 4" xfId="23059" xr:uid="{00000000-0005-0000-0000-0000F1420000}"/>
    <cellStyle name="20% - Accent6 4 4 4" xfId="15060" xr:uid="{00000000-0005-0000-0000-0000F2420000}"/>
    <cellStyle name="20% - Accent6 4 4 4 2" xfId="26917" xr:uid="{00000000-0005-0000-0000-0000F3420000}"/>
    <cellStyle name="20% - Accent6 4 4 5" xfId="19011" xr:uid="{00000000-0005-0000-0000-0000F4420000}"/>
    <cellStyle name="20% - Accent6 4 4 5 2" xfId="30703" xr:uid="{00000000-0005-0000-0000-0000F5420000}"/>
    <cellStyle name="20% - Accent6 4 4 6" xfId="23057" xr:uid="{00000000-0005-0000-0000-0000F6420000}"/>
    <cellStyle name="20% - Accent6 4 5" xfId="3869" xr:uid="{00000000-0005-0000-0000-0000F7420000}"/>
    <cellStyle name="20% - Accent6 4 5 2" xfId="3870" xr:uid="{00000000-0005-0000-0000-0000F8420000}"/>
    <cellStyle name="20% - Accent6 4 5 2 2" xfId="15064" xr:uid="{00000000-0005-0000-0000-0000F9420000}"/>
    <cellStyle name="20% - Accent6 4 5 2 2 2" xfId="26921" xr:uid="{00000000-0005-0000-0000-0000FA420000}"/>
    <cellStyle name="20% - Accent6 4 5 2 3" xfId="19015" xr:uid="{00000000-0005-0000-0000-0000FB420000}"/>
    <cellStyle name="20% - Accent6 4 5 2 3 2" xfId="30707" xr:uid="{00000000-0005-0000-0000-0000FC420000}"/>
    <cellStyle name="20% - Accent6 4 5 2 4" xfId="23061" xr:uid="{00000000-0005-0000-0000-0000FD420000}"/>
    <cellStyle name="20% - Accent6 4 5 3" xfId="3871" xr:uid="{00000000-0005-0000-0000-0000FE420000}"/>
    <cellStyle name="20% - Accent6 4 5 3 2" xfId="15065" xr:uid="{00000000-0005-0000-0000-0000FF420000}"/>
    <cellStyle name="20% - Accent6 4 5 3 2 2" xfId="26922" xr:uid="{00000000-0005-0000-0000-000000430000}"/>
    <cellStyle name="20% - Accent6 4 5 3 3" xfId="19016" xr:uid="{00000000-0005-0000-0000-000001430000}"/>
    <cellStyle name="20% - Accent6 4 5 3 3 2" xfId="30708" xr:uid="{00000000-0005-0000-0000-000002430000}"/>
    <cellStyle name="20% - Accent6 4 5 3 4" xfId="23062" xr:uid="{00000000-0005-0000-0000-000003430000}"/>
    <cellStyle name="20% - Accent6 4 5 4" xfId="15063" xr:uid="{00000000-0005-0000-0000-000004430000}"/>
    <cellStyle name="20% - Accent6 4 5 4 2" xfId="26920" xr:uid="{00000000-0005-0000-0000-000005430000}"/>
    <cellStyle name="20% - Accent6 4 5 5" xfId="19014" xr:uid="{00000000-0005-0000-0000-000006430000}"/>
    <cellStyle name="20% - Accent6 4 5 5 2" xfId="30706" xr:uid="{00000000-0005-0000-0000-000007430000}"/>
    <cellStyle name="20% - Accent6 4 5 6" xfId="23060" xr:uid="{00000000-0005-0000-0000-000008430000}"/>
    <cellStyle name="20% - Accent6 4 6" xfId="3872" xr:uid="{00000000-0005-0000-0000-000009430000}"/>
    <cellStyle name="20% - Accent6 4 6 2" xfId="3873" xr:uid="{00000000-0005-0000-0000-00000A430000}"/>
    <cellStyle name="20% - Accent6 4 6 2 2" xfId="15067" xr:uid="{00000000-0005-0000-0000-00000B430000}"/>
    <cellStyle name="20% - Accent6 4 6 2 2 2" xfId="26924" xr:uid="{00000000-0005-0000-0000-00000C430000}"/>
    <cellStyle name="20% - Accent6 4 6 2 3" xfId="19018" xr:uid="{00000000-0005-0000-0000-00000D430000}"/>
    <cellStyle name="20% - Accent6 4 6 2 3 2" xfId="30710" xr:uid="{00000000-0005-0000-0000-00000E430000}"/>
    <cellStyle name="20% - Accent6 4 6 2 4" xfId="23064" xr:uid="{00000000-0005-0000-0000-00000F430000}"/>
    <cellStyle name="20% - Accent6 4 6 3" xfId="3874" xr:uid="{00000000-0005-0000-0000-000010430000}"/>
    <cellStyle name="20% - Accent6 4 6 3 2" xfId="15068" xr:uid="{00000000-0005-0000-0000-000011430000}"/>
    <cellStyle name="20% - Accent6 4 6 3 2 2" xfId="26925" xr:uid="{00000000-0005-0000-0000-000012430000}"/>
    <cellStyle name="20% - Accent6 4 6 3 3" xfId="19019" xr:uid="{00000000-0005-0000-0000-000013430000}"/>
    <cellStyle name="20% - Accent6 4 6 3 3 2" xfId="30711" xr:uid="{00000000-0005-0000-0000-000014430000}"/>
    <cellStyle name="20% - Accent6 4 6 3 4" xfId="23065" xr:uid="{00000000-0005-0000-0000-000015430000}"/>
    <cellStyle name="20% - Accent6 4 6 4" xfId="15066" xr:uid="{00000000-0005-0000-0000-000016430000}"/>
    <cellStyle name="20% - Accent6 4 6 4 2" xfId="26923" xr:uid="{00000000-0005-0000-0000-000017430000}"/>
    <cellStyle name="20% - Accent6 4 6 5" xfId="19017" xr:uid="{00000000-0005-0000-0000-000018430000}"/>
    <cellStyle name="20% - Accent6 4 6 5 2" xfId="30709" xr:uid="{00000000-0005-0000-0000-000019430000}"/>
    <cellStyle name="20% - Accent6 4 6 6" xfId="23063" xr:uid="{00000000-0005-0000-0000-00001A430000}"/>
    <cellStyle name="20% - Accent6 4 7" xfId="3875" xr:uid="{00000000-0005-0000-0000-00001B430000}"/>
    <cellStyle name="20% - Accent6 4 7 2" xfId="15069" xr:uid="{00000000-0005-0000-0000-00001C430000}"/>
    <cellStyle name="20% - Accent6 4 7 2 2" xfId="26926" xr:uid="{00000000-0005-0000-0000-00001D430000}"/>
    <cellStyle name="20% - Accent6 4 7 3" xfId="19020" xr:uid="{00000000-0005-0000-0000-00001E430000}"/>
    <cellStyle name="20% - Accent6 4 7 3 2" xfId="30712" xr:uid="{00000000-0005-0000-0000-00001F430000}"/>
    <cellStyle name="20% - Accent6 4 7 4" xfId="23066" xr:uid="{00000000-0005-0000-0000-000020430000}"/>
    <cellStyle name="20% - Accent6 4 8" xfId="3876" xr:uid="{00000000-0005-0000-0000-000021430000}"/>
    <cellStyle name="20% - Accent6 4 8 2" xfId="15070" xr:uid="{00000000-0005-0000-0000-000022430000}"/>
    <cellStyle name="20% - Accent6 4 8 2 2" xfId="26927" xr:uid="{00000000-0005-0000-0000-000023430000}"/>
    <cellStyle name="20% - Accent6 4 8 3" xfId="19021" xr:uid="{00000000-0005-0000-0000-000024430000}"/>
    <cellStyle name="20% - Accent6 4 8 3 2" xfId="30713" xr:uid="{00000000-0005-0000-0000-000025430000}"/>
    <cellStyle name="20% - Accent6 4 8 4" xfId="23067" xr:uid="{00000000-0005-0000-0000-000026430000}"/>
    <cellStyle name="20% - Accent6 4 9" xfId="15038" xr:uid="{00000000-0005-0000-0000-000027430000}"/>
    <cellStyle name="20% - Accent6 4 9 2" xfId="26895" xr:uid="{00000000-0005-0000-0000-000028430000}"/>
    <cellStyle name="20% - Accent6 4_Volatility" xfId="3877" xr:uid="{00000000-0005-0000-0000-000029430000}"/>
    <cellStyle name="20% - Accent6 5" xfId="3878" xr:uid="{00000000-0005-0000-0000-00002A430000}"/>
    <cellStyle name="20% - Accent6 5 10" xfId="19022" xr:uid="{00000000-0005-0000-0000-00002B430000}"/>
    <cellStyle name="20% - Accent6 5 10 2" xfId="30714" xr:uid="{00000000-0005-0000-0000-00002C430000}"/>
    <cellStyle name="20% - Accent6 5 11" xfId="23068" xr:uid="{00000000-0005-0000-0000-00002D430000}"/>
    <cellStyle name="20% - Accent6 5 2" xfId="3879" xr:uid="{00000000-0005-0000-0000-00002E430000}"/>
    <cellStyle name="20% - Accent6 5 2 2" xfId="3880" xr:uid="{00000000-0005-0000-0000-00002F430000}"/>
    <cellStyle name="20% - Accent6 5 2 2 2" xfId="3881" xr:uid="{00000000-0005-0000-0000-000030430000}"/>
    <cellStyle name="20% - Accent6 5 2 2 2 2" xfId="15074" xr:uid="{00000000-0005-0000-0000-000031430000}"/>
    <cellStyle name="20% - Accent6 5 2 2 2 2 2" xfId="26931" xr:uid="{00000000-0005-0000-0000-000032430000}"/>
    <cellStyle name="20% - Accent6 5 2 2 2 3" xfId="19025" xr:uid="{00000000-0005-0000-0000-000033430000}"/>
    <cellStyle name="20% - Accent6 5 2 2 2 3 2" xfId="30717" xr:uid="{00000000-0005-0000-0000-000034430000}"/>
    <cellStyle name="20% - Accent6 5 2 2 2 4" xfId="23071" xr:uid="{00000000-0005-0000-0000-000035430000}"/>
    <cellStyle name="20% - Accent6 5 2 2 3" xfId="3882" xr:uid="{00000000-0005-0000-0000-000036430000}"/>
    <cellStyle name="20% - Accent6 5 2 2 3 2" xfId="15075" xr:uid="{00000000-0005-0000-0000-000037430000}"/>
    <cellStyle name="20% - Accent6 5 2 2 3 2 2" xfId="26932" xr:uid="{00000000-0005-0000-0000-000038430000}"/>
    <cellStyle name="20% - Accent6 5 2 2 3 3" xfId="19026" xr:uid="{00000000-0005-0000-0000-000039430000}"/>
    <cellStyle name="20% - Accent6 5 2 2 3 3 2" xfId="30718" xr:uid="{00000000-0005-0000-0000-00003A430000}"/>
    <cellStyle name="20% - Accent6 5 2 2 3 4" xfId="23072" xr:uid="{00000000-0005-0000-0000-00003B430000}"/>
    <cellStyle name="20% - Accent6 5 2 2 4" xfId="15073" xr:uid="{00000000-0005-0000-0000-00003C430000}"/>
    <cellStyle name="20% - Accent6 5 2 2 4 2" xfId="26930" xr:uid="{00000000-0005-0000-0000-00003D430000}"/>
    <cellStyle name="20% - Accent6 5 2 2 5" xfId="19024" xr:uid="{00000000-0005-0000-0000-00003E430000}"/>
    <cellStyle name="20% - Accent6 5 2 2 5 2" xfId="30716" xr:uid="{00000000-0005-0000-0000-00003F430000}"/>
    <cellStyle name="20% - Accent6 5 2 2 6" xfId="23070" xr:uid="{00000000-0005-0000-0000-000040430000}"/>
    <cellStyle name="20% - Accent6 5 2 3" xfId="3883" xr:uid="{00000000-0005-0000-0000-000041430000}"/>
    <cellStyle name="20% - Accent6 5 2 3 2" xfId="3884" xr:uid="{00000000-0005-0000-0000-000042430000}"/>
    <cellStyle name="20% - Accent6 5 2 3 2 2" xfId="15077" xr:uid="{00000000-0005-0000-0000-000043430000}"/>
    <cellStyle name="20% - Accent6 5 2 3 2 2 2" xfId="26934" xr:uid="{00000000-0005-0000-0000-000044430000}"/>
    <cellStyle name="20% - Accent6 5 2 3 2 3" xfId="19028" xr:uid="{00000000-0005-0000-0000-000045430000}"/>
    <cellStyle name="20% - Accent6 5 2 3 2 3 2" xfId="30720" xr:uid="{00000000-0005-0000-0000-000046430000}"/>
    <cellStyle name="20% - Accent6 5 2 3 2 4" xfId="23074" xr:uid="{00000000-0005-0000-0000-000047430000}"/>
    <cellStyle name="20% - Accent6 5 2 3 3" xfId="3885" xr:uid="{00000000-0005-0000-0000-000048430000}"/>
    <cellStyle name="20% - Accent6 5 2 3 3 2" xfId="15078" xr:uid="{00000000-0005-0000-0000-000049430000}"/>
    <cellStyle name="20% - Accent6 5 2 3 3 2 2" xfId="26935" xr:uid="{00000000-0005-0000-0000-00004A430000}"/>
    <cellStyle name="20% - Accent6 5 2 3 3 3" xfId="19029" xr:uid="{00000000-0005-0000-0000-00004B430000}"/>
    <cellStyle name="20% - Accent6 5 2 3 3 3 2" xfId="30721" xr:uid="{00000000-0005-0000-0000-00004C430000}"/>
    <cellStyle name="20% - Accent6 5 2 3 3 4" xfId="23075" xr:uid="{00000000-0005-0000-0000-00004D430000}"/>
    <cellStyle name="20% - Accent6 5 2 3 4" xfId="15076" xr:uid="{00000000-0005-0000-0000-00004E430000}"/>
    <cellStyle name="20% - Accent6 5 2 3 4 2" xfId="26933" xr:uid="{00000000-0005-0000-0000-00004F430000}"/>
    <cellStyle name="20% - Accent6 5 2 3 5" xfId="19027" xr:uid="{00000000-0005-0000-0000-000050430000}"/>
    <cellStyle name="20% - Accent6 5 2 3 5 2" xfId="30719" xr:uid="{00000000-0005-0000-0000-000051430000}"/>
    <cellStyle name="20% - Accent6 5 2 3 6" xfId="23073" xr:uid="{00000000-0005-0000-0000-000052430000}"/>
    <cellStyle name="20% - Accent6 5 2 4" xfId="3886" xr:uid="{00000000-0005-0000-0000-000053430000}"/>
    <cellStyle name="20% - Accent6 5 2 4 2" xfId="3887" xr:uid="{00000000-0005-0000-0000-000054430000}"/>
    <cellStyle name="20% - Accent6 5 2 4 2 2" xfId="15080" xr:uid="{00000000-0005-0000-0000-000055430000}"/>
    <cellStyle name="20% - Accent6 5 2 4 2 2 2" xfId="26937" xr:uid="{00000000-0005-0000-0000-000056430000}"/>
    <cellStyle name="20% - Accent6 5 2 4 2 3" xfId="19031" xr:uid="{00000000-0005-0000-0000-000057430000}"/>
    <cellStyle name="20% - Accent6 5 2 4 2 3 2" xfId="30723" xr:uid="{00000000-0005-0000-0000-000058430000}"/>
    <cellStyle name="20% - Accent6 5 2 4 2 4" xfId="23077" xr:uid="{00000000-0005-0000-0000-000059430000}"/>
    <cellStyle name="20% - Accent6 5 2 4 3" xfId="3888" xr:uid="{00000000-0005-0000-0000-00005A430000}"/>
    <cellStyle name="20% - Accent6 5 2 4 3 2" xfId="15081" xr:uid="{00000000-0005-0000-0000-00005B430000}"/>
    <cellStyle name="20% - Accent6 5 2 4 3 2 2" xfId="26938" xr:uid="{00000000-0005-0000-0000-00005C430000}"/>
    <cellStyle name="20% - Accent6 5 2 4 3 3" xfId="19032" xr:uid="{00000000-0005-0000-0000-00005D430000}"/>
    <cellStyle name="20% - Accent6 5 2 4 3 3 2" xfId="30724" xr:uid="{00000000-0005-0000-0000-00005E430000}"/>
    <cellStyle name="20% - Accent6 5 2 4 3 4" xfId="23078" xr:uid="{00000000-0005-0000-0000-00005F430000}"/>
    <cellStyle name="20% - Accent6 5 2 4 4" xfId="15079" xr:uid="{00000000-0005-0000-0000-000060430000}"/>
    <cellStyle name="20% - Accent6 5 2 4 4 2" xfId="26936" xr:uid="{00000000-0005-0000-0000-000061430000}"/>
    <cellStyle name="20% - Accent6 5 2 4 5" xfId="19030" xr:uid="{00000000-0005-0000-0000-000062430000}"/>
    <cellStyle name="20% - Accent6 5 2 4 5 2" xfId="30722" xr:uid="{00000000-0005-0000-0000-000063430000}"/>
    <cellStyle name="20% - Accent6 5 2 4 6" xfId="23076" xr:uid="{00000000-0005-0000-0000-000064430000}"/>
    <cellStyle name="20% - Accent6 5 2 5" xfId="3889" xr:uid="{00000000-0005-0000-0000-000065430000}"/>
    <cellStyle name="20% - Accent6 5 2 5 2" xfId="15082" xr:uid="{00000000-0005-0000-0000-000066430000}"/>
    <cellStyle name="20% - Accent6 5 2 5 2 2" xfId="26939" xr:uid="{00000000-0005-0000-0000-000067430000}"/>
    <cellStyle name="20% - Accent6 5 2 5 3" xfId="19033" xr:uid="{00000000-0005-0000-0000-000068430000}"/>
    <cellStyle name="20% - Accent6 5 2 5 3 2" xfId="30725" xr:uid="{00000000-0005-0000-0000-000069430000}"/>
    <cellStyle name="20% - Accent6 5 2 5 4" xfId="23079" xr:uid="{00000000-0005-0000-0000-00006A430000}"/>
    <cellStyle name="20% - Accent6 5 2 6" xfId="3890" xr:uid="{00000000-0005-0000-0000-00006B430000}"/>
    <cellStyle name="20% - Accent6 5 2 6 2" xfId="15083" xr:uid="{00000000-0005-0000-0000-00006C430000}"/>
    <cellStyle name="20% - Accent6 5 2 6 2 2" xfId="26940" xr:uid="{00000000-0005-0000-0000-00006D430000}"/>
    <cellStyle name="20% - Accent6 5 2 6 3" xfId="19034" xr:uid="{00000000-0005-0000-0000-00006E430000}"/>
    <cellStyle name="20% - Accent6 5 2 6 3 2" xfId="30726" xr:uid="{00000000-0005-0000-0000-00006F430000}"/>
    <cellStyle name="20% - Accent6 5 2 6 4" xfId="23080" xr:uid="{00000000-0005-0000-0000-000070430000}"/>
    <cellStyle name="20% - Accent6 5 2 7" xfId="15072" xr:uid="{00000000-0005-0000-0000-000071430000}"/>
    <cellStyle name="20% - Accent6 5 2 7 2" xfId="26929" xr:uid="{00000000-0005-0000-0000-000072430000}"/>
    <cellStyle name="20% - Accent6 5 2 8" xfId="19023" xr:uid="{00000000-0005-0000-0000-000073430000}"/>
    <cellStyle name="20% - Accent6 5 2 8 2" xfId="30715" xr:uid="{00000000-0005-0000-0000-000074430000}"/>
    <cellStyle name="20% - Accent6 5 2 9" xfId="23069" xr:uid="{00000000-0005-0000-0000-000075430000}"/>
    <cellStyle name="20% - Accent6 5 2_Volatility" xfId="3891" xr:uid="{00000000-0005-0000-0000-000076430000}"/>
    <cellStyle name="20% - Accent6 5 3" xfId="3892" xr:uid="{00000000-0005-0000-0000-000077430000}"/>
    <cellStyle name="20% - Accent6 5 3 2" xfId="3893" xr:uid="{00000000-0005-0000-0000-000078430000}"/>
    <cellStyle name="20% - Accent6 5 3 2 2" xfId="3894" xr:uid="{00000000-0005-0000-0000-000079430000}"/>
    <cellStyle name="20% - Accent6 5 3 2 2 2" xfId="15086" xr:uid="{00000000-0005-0000-0000-00007A430000}"/>
    <cellStyle name="20% - Accent6 5 3 2 2 2 2" xfId="26943" xr:uid="{00000000-0005-0000-0000-00007B430000}"/>
    <cellStyle name="20% - Accent6 5 3 2 2 3" xfId="19037" xr:uid="{00000000-0005-0000-0000-00007C430000}"/>
    <cellStyle name="20% - Accent6 5 3 2 2 3 2" xfId="30729" xr:uid="{00000000-0005-0000-0000-00007D430000}"/>
    <cellStyle name="20% - Accent6 5 3 2 2 4" xfId="23083" xr:uid="{00000000-0005-0000-0000-00007E430000}"/>
    <cellStyle name="20% - Accent6 5 3 2 3" xfId="3895" xr:uid="{00000000-0005-0000-0000-00007F430000}"/>
    <cellStyle name="20% - Accent6 5 3 2 3 2" xfId="15087" xr:uid="{00000000-0005-0000-0000-000080430000}"/>
    <cellStyle name="20% - Accent6 5 3 2 3 2 2" xfId="26944" xr:uid="{00000000-0005-0000-0000-000081430000}"/>
    <cellStyle name="20% - Accent6 5 3 2 3 3" xfId="19038" xr:uid="{00000000-0005-0000-0000-000082430000}"/>
    <cellStyle name="20% - Accent6 5 3 2 3 3 2" xfId="30730" xr:uid="{00000000-0005-0000-0000-000083430000}"/>
    <cellStyle name="20% - Accent6 5 3 2 3 4" xfId="23084" xr:uid="{00000000-0005-0000-0000-000084430000}"/>
    <cellStyle name="20% - Accent6 5 3 2 4" xfId="15085" xr:uid="{00000000-0005-0000-0000-000085430000}"/>
    <cellStyle name="20% - Accent6 5 3 2 4 2" xfId="26942" xr:uid="{00000000-0005-0000-0000-000086430000}"/>
    <cellStyle name="20% - Accent6 5 3 2 5" xfId="19036" xr:uid="{00000000-0005-0000-0000-000087430000}"/>
    <cellStyle name="20% - Accent6 5 3 2 5 2" xfId="30728" xr:uid="{00000000-0005-0000-0000-000088430000}"/>
    <cellStyle name="20% - Accent6 5 3 2 6" xfId="23082" xr:uid="{00000000-0005-0000-0000-000089430000}"/>
    <cellStyle name="20% - Accent6 5 3 3" xfId="3896" xr:uid="{00000000-0005-0000-0000-00008A430000}"/>
    <cellStyle name="20% - Accent6 5 3 3 2" xfId="3897" xr:uid="{00000000-0005-0000-0000-00008B430000}"/>
    <cellStyle name="20% - Accent6 5 3 3 2 2" xfId="15089" xr:uid="{00000000-0005-0000-0000-00008C430000}"/>
    <cellStyle name="20% - Accent6 5 3 3 2 2 2" xfId="26946" xr:uid="{00000000-0005-0000-0000-00008D430000}"/>
    <cellStyle name="20% - Accent6 5 3 3 2 3" xfId="19040" xr:uid="{00000000-0005-0000-0000-00008E430000}"/>
    <cellStyle name="20% - Accent6 5 3 3 2 3 2" xfId="30732" xr:uid="{00000000-0005-0000-0000-00008F430000}"/>
    <cellStyle name="20% - Accent6 5 3 3 2 4" xfId="23086" xr:uid="{00000000-0005-0000-0000-000090430000}"/>
    <cellStyle name="20% - Accent6 5 3 3 3" xfId="3898" xr:uid="{00000000-0005-0000-0000-000091430000}"/>
    <cellStyle name="20% - Accent6 5 3 3 3 2" xfId="15090" xr:uid="{00000000-0005-0000-0000-000092430000}"/>
    <cellStyle name="20% - Accent6 5 3 3 3 2 2" xfId="26947" xr:uid="{00000000-0005-0000-0000-000093430000}"/>
    <cellStyle name="20% - Accent6 5 3 3 3 3" xfId="19041" xr:uid="{00000000-0005-0000-0000-000094430000}"/>
    <cellStyle name="20% - Accent6 5 3 3 3 3 2" xfId="30733" xr:uid="{00000000-0005-0000-0000-000095430000}"/>
    <cellStyle name="20% - Accent6 5 3 3 3 4" xfId="23087" xr:uid="{00000000-0005-0000-0000-000096430000}"/>
    <cellStyle name="20% - Accent6 5 3 3 4" xfId="15088" xr:uid="{00000000-0005-0000-0000-000097430000}"/>
    <cellStyle name="20% - Accent6 5 3 3 4 2" xfId="26945" xr:uid="{00000000-0005-0000-0000-000098430000}"/>
    <cellStyle name="20% - Accent6 5 3 3 5" xfId="19039" xr:uid="{00000000-0005-0000-0000-000099430000}"/>
    <cellStyle name="20% - Accent6 5 3 3 5 2" xfId="30731" xr:uid="{00000000-0005-0000-0000-00009A430000}"/>
    <cellStyle name="20% - Accent6 5 3 3 6" xfId="23085" xr:uid="{00000000-0005-0000-0000-00009B430000}"/>
    <cellStyle name="20% - Accent6 5 3 4" xfId="3899" xr:uid="{00000000-0005-0000-0000-00009C430000}"/>
    <cellStyle name="20% - Accent6 5 3 4 2" xfId="15091" xr:uid="{00000000-0005-0000-0000-00009D430000}"/>
    <cellStyle name="20% - Accent6 5 3 4 2 2" xfId="26948" xr:uid="{00000000-0005-0000-0000-00009E430000}"/>
    <cellStyle name="20% - Accent6 5 3 4 3" xfId="19042" xr:uid="{00000000-0005-0000-0000-00009F430000}"/>
    <cellStyle name="20% - Accent6 5 3 4 3 2" xfId="30734" xr:uid="{00000000-0005-0000-0000-0000A0430000}"/>
    <cellStyle name="20% - Accent6 5 3 4 4" xfId="23088" xr:uid="{00000000-0005-0000-0000-0000A1430000}"/>
    <cellStyle name="20% - Accent6 5 3 5" xfId="3900" xr:uid="{00000000-0005-0000-0000-0000A2430000}"/>
    <cellStyle name="20% - Accent6 5 3 5 2" xfId="15092" xr:uid="{00000000-0005-0000-0000-0000A3430000}"/>
    <cellStyle name="20% - Accent6 5 3 5 2 2" xfId="26949" xr:uid="{00000000-0005-0000-0000-0000A4430000}"/>
    <cellStyle name="20% - Accent6 5 3 5 3" xfId="19043" xr:uid="{00000000-0005-0000-0000-0000A5430000}"/>
    <cellStyle name="20% - Accent6 5 3 5 3 2" xfId="30735" xr:uid="{00000000-0005-0000-0000-0000A6430000}"/>
    <cellStyle name="20% - Accent6 5 3 5 4" xfId="23089" xr:uid="{00000000-0005-0000-0000-0000A7430000}"/>
    <cellStyle name="20% - Accent6 5 3 6" xfId="15084" xr:uid="{00000000-0005-0000-0000-0000A8430000}"/>
    <cellStyle name="20% - Accent6 5 3 6 2" xfId="26941" xr:uid="{00000000-0005-0000-0000-0000A9430000}"/>
    <cellStyle name="20% - Accent6 5 3 7" xfId="19035" xr:uid="{00000000-0005-0000-0000-0000AA430000}"/>
    <cellStyle name="20% - Accent6 5 3 7 2" xfId="30727" xr:uid="{00000000-0005-0000-0000-0000AB430000}"/>
    <cellStyle name="20% - Accent6 5 3 8" xfId="23081" xr:uid="{00000000-0005-0000-0000-0000AC430000}"/>
    <cellStyle name="20% - Accent6 5 3_Volatility" xfId="3901" xr:uid="{00000000-0005-0000-0000-0000AD430000}"/>
    <cellStyle name="20% - Accent6 5 4" xfId="3902" xr:uid="{00000000-0005-0000-0000-0000AE430000}"/>
    <cellStyle name="20% - Accent6 5 4 2" xfId="3903" xr:uid="{00000000-0005-0000-0000-0000AF430000}"/>
    <cellStyle name="20% - Accent6 5 4 2 2" xfId="15094" xr:uid="{00000000-0005-0000-0000-0000B0430000}"/>
    <cellStyle name="20% - Accent6 5 4 2 2 2" xfId="26951" xr:uid="{00000000-0005-0000-0000-0000B1430000}"/>
    <cellStyle name="20% - Accent6 5 4 2 3" xfId="19045" xr:uid="{00000000-0005-0000-0000-0000B2430000}"/>
    <cellStyle name="20% - Accent6 5 4 2 3 2" xfId="30737" xr:uid="{00000000-0005-0000-0000-0000B3430000}"/>
    <cellStyle name="20% - Accent6 5 4 2 4" xfId="23091" xr:uid="{00000000-0005-0000-0000-0000B4430000}"/>
    <cellStyle name="20% - Accent6 5 4 3" xfId="3904" xr:uid="{00000000-0005-0000-0000-0000B5430000}"/>
    <cellStyle name="20% - Accent6 5 4 3 2" xfId="15095" xr:uid="{00000000-0005-0000-0000-0000B6430000}"/>
    <cellStyle name="20% - Accent6 5 4 3 2 2" xfId="26952" xr:uid="{00000000-0005-0000-0000-0000B7430000}"/>
    <cellStyle name="20% - Accent6 5 4 3 3" xfId="19046" xr:uid="{00000000-0005-0000-0000-0000B8430000}"/>
    <cellStyle name="20% - Accent6 5 4 3 3 2" xfId="30738" xr:uid="{00000000-0005-0000-0000-0000B9430000}"/>
    <cellStyle name="20% - Accent6 5 4 3 4" xfId="23092" xr:uid="{00000000-0005-0000-0000-0000BA430000}"/>
    <cellStyle name="20% - Accent6 5 4 4" xfId="15093" xr:uid="{00000000-0005-0000-0000-0000BB430000}"/>
    <cellStyle name="20% - Accent6 5 4 4 2" xfId="26950" xr:uid="{00000000-0005-0000-0000-0000BC430000}"/>
    <cellStyle name="20% - Accent6 5 4 5" xfId="19044" xr:uid="{00000000-0005-0000-0000-0000BD430000}"/>
    <cellStyle name="20% - Accent6 5 4 5 2" xfId="30736" xr:uid="{00000000-0005-0000-0000-0000BE430000}"/>
    <cellStyle name="20% - Accent6 5 4 6" xfId="23090" xr:uid="{00000000-0005-0000-0000-0000BF430000}"/>
    <cellStyle name="20% - Accent6 5 5" xfId="3905" xr:uid="{00000000-0005-0000-0000-0000C0430000}"/>
    <cellStyle name="20% - Accent6 5 5 2" xfId="3906" xr:uid="{00000000-0005-0000-0000-0000C1430000}"/>
    <cellStyle name="20% - Accent6 5 5 2 2" xfId="15097" xr:uid="{00000000-0005-0000-0000-0000C2430000}"/>
    <cellStyle name="20% - Accent6 5 5 2 2 2" xfId="26954" xr:uid="{00000000-0005-0000-0000-0000C3430000}"/>
    <cellStyle name="20% - Accent6 5 5 2 3" xfId="19048" xr:uid="{00000000-0005-0000-0000-0000C4430000}"/>
    <cellStyle name="20% - Accent6 5 5 2 3 2" xfId="30740" xr:uid="{00000000-0005-0000-0000-0000C5430000}"/>
    <cellStyle name="20% - Accent6 5 5 2 4" xfId="23094" xr:uid="{00000000-0005-0000-0000-0000C6430000}"/>
    <cellStyle name="20% - Accent6 5 5 3" xfId="3907" xr:uid="{00000000-0005-0000-0000-0000C7430000}"/>
    <cellStyle name="20% - Accent6 5 5 3 2" xfId="15098" xr:uid="{00000000-0005-0000-0000-0000C8430000}"/>
    <cellStyle name="20% - Accent6 5 5 3 2 2" xfId="26955" xr:uid="{00000000-0005-0000-0000-0000C9430000}"/>
    <cellStyle name="20% - Accent6 5 5 3 3" xfId="19049" xr:uid="{00000000-0005-0000-0000-0000CA430000}"/>
    <cellStyle name="20% - Accent6 5 5 3 3 2" xfId="30741" xr:uid="{00000000-0005-0000-0000-0000CB430000}"/>
    <cellStyle name="20% - Accent6 5 5 3 4" xfId="23095" xr:uid="{00000000-0005-0000-0000-0000CC430000}"/>
    <cellStyle name="20% - Accent6 5 5 4" xfId="15096" xr:uid="{00000000-0005-0000-0000-0000CD430000}"/>
    <cellStyle name="20% - Accent6 5 5 4 2" xfId="26953" xr:uid="{00000000-0005-0000-0000-0000CE430000}"/>
    <cellStyle name="20% - Accent6 5 5 5" xfId="19047" xr:uid="{00000000-0005-0000-0000-0000CF430000}"/>
    <cellStyle name="20% - Accent6 5 5 5 2" xfId="30739" xr:uid="{00000000-0005-0000-0000-0000D0430000}"/>
    <cellStyle name="20% - Accent6 5 5 6" xfId="23093" xr:uid="{00000000-0005-0000-0000-0000D1430000}"/>
    <cellStyle name="20% - Accent6 5 6" xfId="3908" xr:uid="{00000000-0005-0000-0000-0000D2430000}"/>
    <cellStyle name="20% - Accent6 5 6 2" xfId="3909" xr:uid="{00000000-0005-0000-0000-0000D3430000}"/>
    <cellStyle name="20% - Accent6 5 6 2 2" xfId="15100" xr:uid="{00000000-0005-0000-0000-0000D4430000}"/>
    <cellStyle name="20% - Accent6 5 6 2 2 2" xfId="26957" xr:uid="{00000000-0005-0000-0000-0000D5430000}"/>
    <cellStyle name="20% - Accent6 5 6 2 3" xfId="19051" xr:uid="{00000000-0005-0000-0000-0000D6430000}"/>
    <cellStyle name="20% - Accent6 5 6 2 3 2" xfId="30743" xr:uid="{00000000-0005-0000-0000-0000D7430000}"/>
    <cellStyle name="20% - Accent6 5 6 2 4" xfId="23097" xr:uid="{00000000-0005-0000-0000-0000D8430000}"/>
    <cellStyle name="20% - Accent6 5 6 3" xfId="3910" xr:uid="{00000000-0005-0000-0000-0000D9430000}"/>
    <cellStyle name="20% - Accent6 5 6 3 2" xfId="15101" xr:uid="{00000000-0005-0000-0000-0000DA430000}"/>
    <cellStyle name="20% - Accent6 5 6 3 2 2" xfId="26958" xr:uid="{00000000-0005-0000-0000-0000DB430000}"/>
    <cellStyle name="20% - Accent6 5 6 3 3" xfId="19052" xr:uid="{00000000-0005-0000-0000-0000DC430000}"/>
    <cellStyle name="20% - Accent6 5 6 3 3 2" xfId="30744" xr:uid="{00000000-0005-0000-0000-0000DD430000}"/>
    <cellStyle name="20% - Accent6 5 6 3 4" xfId="23098" xr:uid="{00000000-0005-0000-0000-0000DE430000}"/>
    <cellStyle name="20% - Accent6 5 6 4" xfId="15099" xr:uid="{00000000-0005-0000-0000-0000DF430000}"/>
    <cellStyle name="20% - Accent6 5 6 4 2" xfId="26956" xr:uid="{00000000-0005-0000-0000-0000E0430000}"/>
    <cellStyle name="20% - Accent6 5 6 5" xfId="19050" xr:uid="{00000000-0005-0000-0000-0000E1430000}"/>
    <cellStyle name="20% - Accent6 5 6 5 2" xfId="30742" xr:uid="{00000000-0005-0000-0000-0000E2430000}"/>
    <cellStyle name="20% - Accent6 5 6 6" xfId="23096" xr:uid="{00000000-0005-0000-0000-0000E3430000}"/>
    <cellStyle name="20% - Accent6 5 7" xfId="3911" xr:uid="{00000000-0005-0000-0000-0000E4430000}"/>
    <cellStyle name="20% - Accent6 5 7 2" xfId="15102" xr:uid="{00000000-0005-0000-0000-0000E5430000}"/>
    <cellStyle name="20% - Accent6 5 7 2 2" xfId="26959" xr:uid="{00000000-0005-0000-0000-0000E6430000}"/>
    <cellStyle name="20% - Accent6 5 7 3" xfId="19053" xr:uid="{00000000-0005-0000-0000-0000E7430000}"/>
    <cellStyle name="20% - Accent6 5 7 3 2" xfId="30745" xr:uid="{00000000-0005-0000-0000-0000E8430000}"/>
    <cellStyle name="20% - Accent6 5 7 4" xfId="23099" xr:uid="{00000000-0005-0000-0000-0000E9430000}"/>
    <cellStyle name="20% - Accent6 5 8" xfId="3912" xr:uid="{00000000-0005-0000-0000-0000EA430000}"/>
    <cellStyle name="20% - Accent6 5 8 2" xfId="15103" xr:uid="{00000000-0005-0000-0000-0000EB430000}"/>
    <cellStyle name="20% - Accent6 5 8 2 2" xfId="26960" xr:uid="{00000000-0005-0000-0000-0000EC430000}"/>
    <cellStyle name="20% - Accent6 5 8 3" xfId="19054" xr:uid="{00000000-0005-0000-0000-0000ED430000}"/>
    <cellStyle name="20% - Accent6 5 8 3 2" xfId="30746" xr:uid="{00000000-0005-0000-0000-0000EE430000}"/>
    <cellStyle name="20% - Accent6 5 8 4" xfId="23100" xr:uid="{00000000-0005-0000-0000-0000EF430000}"/>
    <cellStyle name="20% - Accent6 5 9" xfId="15071" xr:uid="{00000000-0005-0000-0000-0000F0430000}"/>
    <cellStyle name="20% - Accent6 5 9 2" xfId="26928" xr:uid="{00000000-0005-0000-0000-0000F1430000}"/>
    <cellStyle name="20% - Accent6 5_Volatility" xfId="3913" xr:uid="{00000000-0005-0000-0000-0000F2430000}"/>
    <cellStyle name="20% - Accent6 6" xfId="3914" xr:uid="{00000000-0005-0000-0000-0000F3430000}"/>
    <cellStyle name="20% - Accent6 6 10" xfId="19055" xr:uid="{00000000-0005-0000-0000-0000F4430000}"/>
    <cellStyle name="20% - Accent6 6 10 2" xfId="30747" xr:uid="{00000000-0005-0000-0000-0000F5430000}"/>
    <cellStyle name="20% - Accent6 6 11" xfId="23101" xr:uid="{00000000-0005-0000-0000-0000F6430000}"/>
    <cellStyle name="20% - Accent6 6 2" xfId="3915" xr:uid="{00000000-0005-0000-0000-0000F7430000}"/>
    <cellStyle name="20% - Accent6 6 2 2" xfId="3916" xr:uid="{00000000-0005-0000-0000-0000F8430000}"/>
    <cellStyle name="20% - Accent6 6 2 2 2" xfId="3917" xr:uid="{00000000-0005-0000-0000-0000F9430000}"/>
    <cellStyle name="20% - Accent6 6 2 2 2 2" xfId="15107" xr:uid="{00000000-0005-0000-0000-0000FA430000}"/>
    <cellStyle name="20% - Accent6 6 2 2 2 2 2" xfId="26964" xr:uid="{00000000-0005-0000-0000-0000FB430000}"/>
    <cellStyle name="20% - Accent6 6 2 2 2 3" xfId="19058" xr:uid="{00000000-0005-0000-0000-0000FC430000}"/>
    <cellStyle name="20% - Accent6 6 2 2 2 3 2" xfId="30750" xr:uid="{00000000-0005-0000-0000-0000FD430000}"/>
    <cellStyle name="20% - Accent6 6 2 2 2 4" xfId="23104" xr:uid="{00000000-0005-0000-0000-0000FE430000}"/>
    <cellStyle name="20% - Accent6 6 2 2 3" xfId="3918" xr:uid="{00000000-0005-0000-0000-0000FF430000}"/>
    <cellStyle name="20% - Accent6 6 2 2 3 2" xfId="15108" xr:uid="{00000000-0005-0000-0000-000000440000}"/>
    <cellStyle name="20% - Accent6 6 2 2 3 2 2" xfId="26965" xr:uid="{00000000-0005-0000-0000-000001440000}"/>
    <cellStyle name="20% - Accent6 6 2 2 3 3" xfId="19059" xr:uid="{00000000-0005-0000-0000-000002440000}"/>
    <cellStyle name="20% - Accent6 6 2 2 3 3 2" xfId="30751" xr:uid="{00000000-0005-0000-0000-000003440000}"/>
    <cellStyle name="20% - Accent6 6 2 2 3 4" xfId="23105" xr:uid="{00000000-0005-0000-0000-000004440000}"/>
    <cellStyle name="20% - Accent6 6 2 2 4" xfId="15106" xr:uid="{00000000-0005-0000-0000-000005440000}"/>
    <cellStyle name="20% - Accent6 6 2 2 4 2" xfId="26963" xr:uid="{00000000-0005-0000-0000-000006440000}"/>
    <cellStyle name="20% - Accent6 6 2 2 5" xfId="19057" xr:uid="{00000000-0005-0000-0000-000007440000}"/>
    <cellStyle name="20% - Accent6 6 2 2 5 2" xfId="30749" xr:uid="{00000000-0005-0000-0000-000008440000}"/>
    <cellStyle name="20% - Accent6 6 2 2 6" xfId="23103" xr:uid="{00000000-0005-0000-0000-000009440000}"/>
    <cellStyle name="20% - Accent6 6 2 3" xfId="3919" xr:uid="{00000000-0005-0000-0000-00000A440000}"/>
    <cellStyle name="20% - Accent6 6 2 3 2" xfId="3920" xr:uid="{00000000-0005-0000-0000-00000B440000}"/>
    <cellStyle name="20% - Accent6 6 2 3 2 2" xfId="15110" xr:uid="{00000000-0005-0000-0000-00000C440000}"/>
    <cellStyle name="20% - Accent6 6 2 3 2 2 2" xfId="26967" xr:uid="{00000000-0005-0000-0000-00000D440000}"/>
    <cellStyle name="20% - Accent6 6 2 3 2 3" xfId="19061" xr:uid="{00000000-0005-0000-0000-00000E440000}"/>
    <cellStyle name="20% - Accent6 6 2 3 2 3 2" xfId="30753" xr:uid="{00000000-0005-0000-0000-00000F440000}"/>
    <cellStyle name="20% - Accent6 6 2 3 2 4" xfId="23107" xr:uid="{00000000-0005-0000-0000-000010440000}"/>
    <cellStyle name="20% - Accent6 6 2 3 3" xfId="3921" xr:uid="{00000000-0005-0000-0000-000011440000}"/>
    <cellStyle name="20% - Accent6 6 2 3 3 2" xfId="15111" xr:uid="{00000000-0005-0000-0000-000012440000}"/>
    <cellStyle name="20% - Accent6 6 2 3 3 2 2" xfId="26968" xr:uid="{00000000-0005-0000-0000-000013440000}"/>
    <cellStyle name="20% - Accent6 6 2 3 3 3" xfId="19062" xr:uid="{00000000-0005-0000-0000-000014440000}"/>
    <cellStyle name="20% - Accent6 6 2 3 3 3 2" xfId="30754" xr:uid="{00000000-0005-0000-0000-000015440000}"/>
    <cellStyle name="20% - Accent6 6 2 3 3 4" xfId="23108" xr:uid="{00000000-0005-0000-0000-000016440000}"/>
    <cellStyle name="20% - Accent6 6 2 3 4" xfId="15109" xr:uid="{00000000-0005-0000-0000-000017440000}"/>
    <cellStyle name="20% - Accent6 6 2 3 4 2" xfId="26966" xr:uid="{00000000-0005-0000-0000-000018440000}"/>
    <cellStyle name="20% - Accent6 6 2 3 5" xfId="19060" xr:uid="{00000000-0005-0000-0000-000019440000}"/>
    <cellStyle name="20% - Accent6 6 2 3 5 2" xfId="30752" xr:uid="{00000000-0005-0000-0000-00001A440000}"/>
    <cellStyle name="20% - Accent6 6 2 3 6" xfId="23106" xr:uid="{00000000-0005-0000-0000-00001B440000}"/>
    <cellStyle name="20% - Accent6 6 2 4" xfId="3922" xr:uid="{00000000-0005-0000-0000-00001C440000}"/>
    <cellStyle name="20% - Accent6 6 2 4 2" xfId="3923" xr:uid="{00000000-0005-0000-0000-00001D440000}"/>
    <cellStyle name="20% - Accent6 6 2 4 2 2" xfId="15113" xr:uid="{00000000-0005-0000-0000-00001E440000}"/>
    <cellStyle name="20% - Accent6 6 2 4 2 2 2" xfId="26970" xr:uid="{00000000-0005-0000-0000-00001F440000}"/>
    <cellStyle name="20% - Accent6 6 2 4 2 3" xfId="19064" xr:uid="{00000000-0005-0000-0000-000020440000}"/>
    <cellStyle name="20% - Accent6 6 2 4 2 3 2" xfId="30756" xr:uid="{00000000-0005-0000-0000-000021440000}"/>
    <cellStyle name="20% - Accent6 6 2 4 2 4" xfId="23110" xr:uid="{00000000-0005-0000-0000-000022440000}"/>
    <cellStyle name="20% - Accent6 6 2 4 3" xfId="3924" xr:uid="{00000000-0005-0000-0000-000023440000}"/>
    <cellStyle name="20% - Accent6 6 2 4 3 2" xfId="15114" xr:uid="{00000000-0005-0000-0000-000024440000}"/>
    <cellStyle name="20% - Accent6 6 2 4 3 2 2" xfId="26971" xr:uid="{00000000-0005-0000-0000-000025440000}"/>
    <cellStyle name="20% - Accent6 6 2 4 3 3" xfId="19065" xr:uid="{00000000-0005-0000-0000-000026440000}"/>
    <cellStyle name="20% - Accent6 6 2 4 3 3 2" xfId="30757" xr:uid="{00000000-0005-0000-0000-000027440000}"/>
    <cellStyle name="20% - Accent6 6 2 4 3 4" xfId="23111" xr:uid="{00000000-0005-0000-0000-000028440000}"/>
    <cellStyle name="20% - Accent6 6 2 4 4" xfId="15112" xr:uid="{00000000-0005-0000-0000-000029440000}"/>
    <cellStyle name="20% - Accent6 6 2 4 4 2" xfId="26969" xr:uid="{00000000-0005-0000-0000-00002A440000}"/>
    <cellStyle name="20% - Accent6 6 2 4 5" xfId="19063" xr:uid="{00000000-0005-0000-0000-00002B440000}"/>
    <cellStyle name="20% - Accent6 6 2 4 5 2" xfId="30755" xr:uid="{00000000-0005-0000-0000-00002C440000}"/>
    <cellStyle name="20% - Accent6 6 2 4 6" xfId="23109" xr:uid="{00000000-0005-0000-0000-00002D440000}"/>
    <cellStyle name="20% - Accent6 6 2 5" xfId="3925" xr:uid="{00000000-0005-0000-0000-00002E440000}"/>
    <cellStyle name="20% - Accent6 6 2 5 2" xfId="15115" xr:uid="{00000000-0005-0000-0000-00002F440000}"/>
    <cellStyle name="20% - Accent6 6 2 5 2 2" xfId="26972" xr:uid="{00000000-0005-0000-0000-000030440000}"/>
    <cellStyle name="20% - Accent6 6 2 5 3" xfId="19066" xr:uid="{00000000-0005-0000-0000-000031440000}"/>
    <cellStyle name="20% - Accent6 6 2 5 3 2" xfId="30758" xr:uid="{00000000-0005-0000-0000-000032440000}"/>
    <cellStyle name="20% - Accent6 6 2 5 4" xfId="23112" xr:uid="{00000000-0005-0000-0000-000033440000}"/>
    <cellStyle name="20% - Accent6 6 2 6" xfId="3926" xr:uid="{00000000-0005-0000-0000-000034440000}"/>
    <cellStyle name="20% - Accent6 6 2 6 2" xfId="15116" xr:uid="{00000000-0005-0000-0000-000035440000}"/>
    <cellStyle name="20% - Accent6 6 2 6 2 2" xfId="26973" xr:uid="{00000000-0005-0000-0000-000036440000}"/>
    <cellStyle name="20% - Accent6 6 2 6 3" xfId="19067" xr:uid="{00000000-0005-0000-0000-000037440000}"/>
    <cellStyle name="20% - Accent6 6 2 6 3 2" xfId="30759" xr:uid="{00000000-0005-0000-0000-000038440000}"/>
    <cellStyle name="20% - Accent6 6 2 6 4" xfId="23113" xr:uid="{00000000-0005-0000-0000-000039440000}"/>
    <cellStyle name="20% - Accent6 6 2 7" xfId="15105" xr:uid="{00000000-0005-0000-0000-00003A440000}"/>
    <cellStyle name="20% - Accent6 6 2 7 2" xfId="26962" xr:uid="{00000000-0005-0000-0000-00003B440000}"/>
    <cellStyle name="20% - Accent6 6 2 8" xfId="19056" xr:uid="{00000000-0005-0000-0000-00003C440000}"/>
    <cellStyle name="20% - Accent6 6 2 8 2" xfId="30748" xr:uid="{00000000-0005-0000-0000-00003D440000}"/>
    <cellStyle name="20% - Accent6 6 2 9" xfId="23102" xr:uid="{00000000-0005-0000-0000-00003E440000}"/>
    <cellStyle name="20% - Accent6 6 2_Volatility" xfId="3927" xr:uid="{00000000-0005-0000-0000-00003F440000}"/>
    <cellStyle name="20% - Accent6 6 3" xfId="3928" xr:uid="{00000000-0005-0000-0000-000040440000}"/>
    <cellStyle name="20% - Accent6 6 3 2" xfId="3929" xr:uid="{00000000-0005-0000-0000-000041440000}"/>
    <cellStyle name="20% - Accent6 6 3 2 2" xfId="3930" xr:uid="{00000000-0005-0000-0000-000042440000}"/>
    <cellStyle name="20% - Accent6 6 3 2 2 2" xfId="15119" xr:uid="{00000000-0005-0000-0000-000043440000}"/>
    <cellStyle name="20% - Accent6 6 3 2 2 2 2" xfId="26976" xr:uid="{00000000-0005-0000-0000-000044440000}"/>
    <cellStyle name="20% - Accent6 6 3 2 2 3" xfId="19070" xr:uid="{00000000-0005-0000-0000-000045440000}"/>
    <cellStyle name="20% - Accent6 6 3 2 2 3 2" xfId="30762" xr:uid="{00000000-0005-0000-0000-000046440000}"/>
    <cellStyle name="20% - Accent6 6 3 2 2 4" xfId="23116" xr:uid="{00000000-0005-0000-0000-000047440000}"/>
    <cellStyle name="20% - Accent6 6 3 2 3" xfId="3931" xr:uid="{00000000-0005-0000-0000-000048440000}"/>
    <cellStyle name="20% - Accent6 6 3 2 3 2" xfId="15120" xr:uid="{00000000-0005-0000-0000-000049440000}"/>
    <cellStyle name="20% - Accent6 6 3 2 3 2 2" xfId="26977" xr:uid="{00000000-0005-0000-0000-00004A440000}"/>
    <cellStyle name="20% - Accent6 6 3 2 3 3" xfId="19071" xr:uid="{00000000-0005-0000-0000-00004B440000}"/>
    <cellStyle name="20% - Accent6 6 3 2 3 3 2" xfId="30763" xr:uid="{00000000-0005-0000-0000-00004C440000}"/>
    <cellStyle name="20% - Accent6 6 3 2 3 4" xfId="23117" xr:uid="{00000000-0005-0000-0000-00004D440000}"/>
    <cellStyle name="20% - Accent6 6 3 2 4" xfId="15118" xr:uid="{00000000-0005-0000-0000-00004E440000}"/>
    <cellStyle name="20% - Accent6 6 3 2 4 2" xfId="26975" xr:uid="{00000000-0005-0000-0000-00004F440000}"/>
    <cellStyle name="20% - Accent6 6 3 2 5" xfId="19069" xr:uid="{00000000-0005-0000-0000-000050440000}"/>
    <cellStyle name="20% - Accent6 6 3 2 5 2" xfId="30761" xr:uid="{00000000-0005-0000-0000-000051440000}"/>
    <cellStyle name="20% - Accent6 6 3 2 6" xfId="23115" xr:uid="{00000000-0005-0000-0000-000052440000}"/>
    <cellStyle name="20% - Accent6 6 3 3" xfId="3932" xr:uid="{00000000-0005-0000-0000-000053440000}"/>
    <cellStyle name="20% - Accent6 6 3 3 2" xfId="3933" xr:uid="{00000000-0005-0000-0000-000054440000}"/>
    <cellStyle name="20% - Accent6 6 3 3 2 2" xfId="15122" xr:uid="{00000000-0005-0000-0000-000055440000}"/>
    <cellStyle name="20% - Accent6 6 3 3 2 2 2" xfId="26979" xr:uid="{00000000-0005-0000-0000-000056440000}"/>
    <cellStyle name="20% - Accent6 6 3 3 2 3" xfId="19073" xr:uid="{00000000-0005-0000-0000-000057440000}"/>
    <cellStyle name="20% - Accent6 6 3 3 2 3 2" xfId="30765" xr:uid="{00000000-0005-0000-0000-000058440000}"/>
    <cellStyle name="20% - Accent6 6 3 3 2 4" xfId="23119" xr:uid="{00000000-0005-0000-0000-000059440000}"/>
    <cellStyle name="20% - Accent6 6 3 3 3" xfId="3934" xr:uid="{00000000-0005-0000-0000-00005A440000}"/>
    <cellStyle name="20% - Accent6 6 3 3 3 2" xfId="15123" xr:uid="{00000000-0005-0000-0000-00005B440000}"/>
    <cellStyle name="20% - Accent6 6 3 3 3 2 2" xfId="26980" xr:uid="{00000000-0005-0000-0000-00005C440000}"/>
    <cellStyle name="20% - Accent6 6 3 3 3 3" xfId="19074" xr:uid="{00000000-0005-0000-0000-00005D440000}"/>
    <cellStyle name="20% - Accent6 6 3 3 3 3 2" xfId="30766" xr:uid="{00000000-0005-0000-0000-00005E440000}"/>
    <cellStyle name="20% - Accent6 6 3 3 3 4" xfId="23120" xr:uid="{00000000-0005-0000-0000-00005F440000}"/>
    <cellStyle name="20% - Accent6 6 3 3 4" xfId="15121" xr:uid="{00000000-0005-0000-0000-000060440000}"/>
    <cellStyle name="20% - Accent6 6 3 3 4 2" xfId="26978" xr:uid="{00000000-0005-0000-0000-000061440000}"/>
    <cellStyle name="20% - Accent6 6 3 3 5" xfId="19072" xr:uid="{00000000-0005-0000-0000-000062440000}"/>
    <cellStyle name="20% - Accent6 6 3 3 5 2" xfId="30764" xr:uid="{00000000-0005-0000-0000-000063440000}"/>
    <cellStyle name="20% - Accent6 6 3 3 6" xfId="23118" xr:uid="{00000000-0005-0000-0000-000064440000}"/>
    <cellStyle name="20% - Accent6 6 3 4" xfId="3935" xr:uid="{00000000-0005-0000-0000-000065440000}"/>
    <cellStyle name="20% - Accent6 6 3 4 2" xfId="15124" xr:uid="{00000000-0005-0000-0000-000066440000}"/>
    <cellStyle name="20% - Accent6 6 3 4 2 2" xfId="26981" xr:uid="{00000000-0005-0000-0000-000067440000}"/>
    <cellStyle name="20% - Accent6 6 3 4 3" xfId="19075" xr:uid="{00000000-0005-0000-0000-000068440000}"/>
    <cellStyle name="20% - Accent6 6 3 4 3 2" xfId="30767" xr:uid="{00000000-0005-0000-0000-000069440000}"/>
    <cellStyle name="20% - Accent6 6 3 4 4" xfId="23121" xr:uid="{00000000-0005-0000-0000-00006A440000}"/>
    <cellStyle name="20% - Accent6 6 3 5" xfId="3936" xr:uid="{00000000-0005-0000-0000-00006B440000}"/>
    <cellStyle name="20% - Accent6 6 3 5 2" xfId="15125" xr:uid="{00000000-0005-0000-0000-00006C440000}"/>
    <cellStyle name="20% - Accent6 6 3 5 2 2" xfId="26982" xr:uid="{00000000-0005-0000-0000-00006D440000}"/>
    <cellStyle name="20% - Accent6 6 3 5 3" xfId="19076" xr:uid="{00000000-0005-0000-0000-00006E440000}"/>
    <cellStyle name="20% - Accent6 6 3 5 3 2" xfId="30768" xr:uid="{00000000-0005-0000-0000-00006F440000}"/>
    <cellStyle name="20% - Accent6 6 3 5 4" xfId="23122" xr:uid="{00000000-0005-0000-0000-000070440000}"/>
    <cellStyle name="20% - Accent6 6 3 6" xfId="15117" xr:uid="{00000000-0005-0000-0000-000071440000}"/>
    <cellStyle name="20% - Accent6 6 3 6 2" xfId="26974" xr:uid="{00000000-0005-0000-0000-000072440000}"/>
    <cellStyle name="20% - Accent6 6 3 7" xfId="19068" xr:uid="{00000000-0005-0000-0000-000073440000}"/>
    <cellStyle name="20% - Accent6 6 3 7 2" xfId="30760" xr:uid="{00000000-0005-0000-0000-000074440000}"/>
    <cellStyle name="20% - Accent6 6 3 8" xfId="23114" xr:uid="{00000000-0005-0000-0000-000075440000}"/>
    <cellStyle name="20% - Accent6 6 3_Volatility" xfId="3937" xr:uid="{00000000-0005-0000-0000-000076440000}"/>
    <cellStyle name="20% - Accent6 6 4" xfId="3938" xr:uid="{00000000-0005-0000-0000-000077440000}"/>
    <cellStyle name="20% - Accent6 6 4 2" xfId="3939" xr:uid="{00000000-0005-0000-0000-000078440000}"/>
    <cellStyle name="20% - Accent6 6 4 2 2" xfId="15127" xr:uid="{00000000-0005-0000-0000-000079440000}"/>
    <cellStyle name="20% - Accent6 6 4 2 2 2" xfId="26984" xr:uid="{00000000-0005-0000-0000-00007A440000}"/>
    <cellStyle name="20% - Accent6 6 4 2 3" xfId="19078" xr:uid="{00000000-0005-0000-0000-00007B440000}"/>
    <cellStyle name="20% - Accent6 6 4 2 3 2" xfId="30770" xr:uid="{00000000-0005-0000-0000-00007C440000}"/>
    <cellStyle name="20% - Accent6 6 4 2 4" xfId="23124" xr:uid="{00000000-0005-0000-0000-00007D440000}"/>
    <cellStyle name="20% - Accent6 6 4 3" xfId="3940" xr:uid="{00000000-0005-0000-0000-00007E440000}"/>
    <cellStyle name="20% - Accent6 6 4 3 2" xfId="15128" xr:uid="{00000000-0005-0000-0000-00007F440000}"/>
    <cellStyle name="20% - Accent6 6 4 3 2 2" xfId="26985" xr:uid="{00000000-0005-0000-0000-000080440000}"/>
    <cellStyle name="20% - Accent6 6 4 3 3" xfId="19079" xr:uid="{00000000-0005-0000-0000-000081440000}"/>
    <cellStyle name="20% - Accent6 6 4 3 3 2" xfId="30771" xr:uid="{00000000-0005-0000-0000-000082440000}"/>
    <cellStyle name="20% - Accent6 6 4 3 4" xfId="23125" xr:uid="{00000000-0005-0000-0000-000083440000}"/>
    <cellStyle name="20% - Accent6 6 4 4" xfId="15126" xr:uid="{00000000-0005-0000-0000-000084440000}"/>
    <cellStyle name="20% - Accent6 6 4 4 2" xfId="26983" xr:uid="{00000000-0005-0000-0000-000085440000}"/>
    <cellStyle name="20% - Accent6 6 4 5" xfId="19077" xr:uid="{00000000-0005-0000-0000-000086440000}"/>
    <cellStyle name="20% - Accent6 6 4 5 2" xfId="30769" xr:uid="{00000000-0005-0000-0000-000087440000}"/>
    <cellStyle name="20% - Accent6 6 4 6" xfId="23123" xr:uid="{00000000-0005-0000-0000-000088440000}"/>
    <cellStyle name="20% - Accent6 6 5" xfId="3941" xr:uid="{00000000-0005-0000-0000-000089440000}"/>
    <cellStyle name="20% - Accent6 6 5 2" xfId="3942" xr:uid="{00000000-0005-0000-0000-00008A440000}"/>
    <cellStyle name="20% - Accent6 6 5 2 2" xfId="15130" xr:uid="{00000000-0005-0000-0000-00008B440000}"/>
    <cellStyle name="20% - Accent6 6 5 2 2 2" xfId="26987" xr:uid="{00000000-0005-0000-0000-00008C440000}"/>
    <cellStyle name="20% - Accent6 6 5 2 3" xfId="19081" xr:uid="{00000000-0005-0000-0000-00008D440000}"/>
    <cellStyle name="20% - Accent6 6 5 2 3 2" xfId="30773" xr:uid="{00000000-0005-0000-0000-00008E440000}"/>
    <cellStyle name="20% - Accent6 6 5 2 4" xfId="23127" xr:uid="{00000000-0005-0000-0000-00008F440000}"/>
    <cellStyle name="20% - Accent6 6 5 3" xfId="3943" xr:uid="{00000000-0005-0000-0000-000090440000}"/>
    <cellStyle name="20% - Accent6 6 5 3 2" xfId="15131" xr:uid="{00000000-0005-0000-0000-000091440000}"/>
    <cellStyle name="20% - Accent6 6 5 3 2 2" xfId="26988" xr:uid="{00000000-0005-0000-0000-000092440000}"/>
    <cellStyle name="20% - Accent6 6 5 3 3" xfId="19082" xr:uid="{00000000-0005-0000-0000-000093440000}"/>
    <cellStyle name="20% - Accent6 6 5 3 3 2" xfId="30774" xr:uid="{00000000-0005-0000-0000-000094440000}"/>
    <cellStyle name="20% - Accent6 6 5 3 4" xfId="23128" xr:uid="{00000000-0005-0000-0000-000095440000}"/>
    <cellStyle name="20% - Accent6 6 5 4" xfId="15129" xr:uid="{00000000-0005-0000-0000-000096440000}"/>
    <cellStyle name="20% - Accent6 6 5 4 2" xfId="26986" xr:uid="{00000000-0005-0000-0000-000097440000}"/>
    <cellStyle name="20% - Accent6 6 5 5" xfId="19080" xr:uid="{00000000-0005-0000-0000-000098440000}"/>
    <cellStyle name="20% - Accent6 6 5 5 2" xfId="30772" xr:uid="{00000000-0005-0000-0000-000099440000}"/>
    <cellStyle name="20% - Accent6 6 5 6" xfId="23126" xr:uid="{00000000-0005-0000-0000-00009A440000}"/>
    <cellStyle name="20% - Accent6 6 6" xfId="3944" xr:uid="{00000000-0005-0000-0000-00009B440000}"/>
    <cellStyle name="20% - Accent6 6 6 2" xfId="3945" xr:uid="{00000000-0005-0000-0000-00009C440000}"/>
    <cellStyle name="20% - Accent6 6 6 2 2" xfId="15133" xr:uid="{00000000-0005-0000-0000-00009D440000}"/>
    <cellStyle name="20% - Accent6 6 6 2 2 2" xfId="26990" xr:uid="{00000000-0005-0000-0000-00009E440000}"/>
    <cellStyle name="20% - Accent6 6 6 2 3" xfId="19084" xr:uid="{00000000-0005-0000-0000-00009F440000}"/>
    <cellStyle name="20% - Accent6 6 6 2 3 2" xfId="30776" xr:uid="{00000000-0005-0000-0000-0000A0440000}"/>
    <cellStyle name="20% - Accent6 6 6 2 4" xfId="23130" xr:uid="{00000000-0005-0000-0000-0000A1440000}"/>
    <cellStyle name="20% - Accent6 6 6 3" xfId="3946" xr:uid="{00000000-0005-0000-0000-0000A2440000}"/>
    <cellStyle name="20% - Accent6 6 6 3 2" xfId="15134" xr:uid="{00000000-0005-0000-0000-0000A3440000}"/>
    <cellStyle name="20% - Accent6 6 6 3 2 2" xfId="26991" xr:uid="{00000000-0005-0000-0000-0000A4440000}"/>
    <cellStyle name="20% - Accent6 6 6 3 3" xfId="19085" xr:uid="{00000000-0005-0000-0000-0000A5440000}"/>
    <cellStyle name="20% - Accent6 6 6 3 3 2" xfId="30777" xr:uid="{00000000-0005-0000-0000-0000A6440000}"/>
    <cellStyle name="20% - Accent6 6 6 3 4" xfId="23131" xr:uid="{00000000-0005-0000-0000-0000A7440000}"/>
    <cellStyle name="20% - Accent6 6 6 4" xfId="15132" xr:uid="{00000000-0005-0000-0000-0000A8440000}"/>
    <cellStyle name="20% - Accent6 6 6 4 2" xfId="26989" xr:uid="{00000000-0005-0000-0000-0000A9440000}"/>
    <cellStyle name="20% - Accent6 6 6 5" xfId="19083" xr:uid="{00000000-0005-0000-0000-0000AA440000}"/>
    <cellStyle name="20% - Accent6 6 6 5 2" xfId="30775" xr:uid="{00000000-0005-0000-0000-0000AB440000}"/>
    <cellStyle name="20% - Accent6 6 6 6" xfId="23129" xr:uid="{00000000-0005-0000-0000-0000AC440000}"/>
    <cellStyle name="20% - Accent6 6 7" xfId="3947" xr:uid="{00000000-0005-0000-0000-0000AD440000}"/>
    <cellStyle name="20% - Accent6 6 7 2" xfId="15135" xr:uid="{00000000-0005-0000-0000-0000AE440000}"/>
    <cellStyle name="20% - Accent6 6 7 2 2" xfId="26992" xr:uid="{00000000-0005-0000-0000-0000AF440000}"/>
    <cellStyle name="20% - Accent6 6 7 3" xfId="19086" xr:uid="{00000000-0005-0000-0000-0000B0440000}"/>
    <cellStyle name="20% - Accent6 6 7 3 2" xfId="30778" xr:uid="{00000000-0005-0000-0000-0000B1440000}"/>
    <cellStyle name="20% - Accent6 6 7 4" xfId="23132" xr:uid="{00000000-0005-0000-0000-0000B2440000}"/>
    <cellStyle name="20% - Accent6 6 8" xfId="3948" xr:uid="{00000000-0005-0000-0000-0000B3440000}"/>
    <cellStyle name="20% - Accent6 6 8 2" xfId="15136" xr:uid="{00000000-0005-0000-0000-0000B4440000}"/>
    <cellStyle name="20% - Accent6 6 8 2 2" xfId="26993" xr:uid="{00000000-0005-0000-0000-0000B5440000}"/>
    <cellStyle name="20% - Accent6 6 8 3" xfId="19087" xr:uid="{00000000-0005-0000-0000-0000B6440000}"/>
    <cellStyle name="20% - Accent6 6 8 3 2" xfId="30779" xr:uid="{00000000-0005-0000-0000-0000B7440000}"/>
    <cellStyle name="20% - Accent6 6 8 4" xfId="23133" xr:uid="{00000000-0005-0000-0000-0000B8440000}"/>
    <cellStyle name="20% - Accent6 6 9" xfId="15104" xr:uid="{00000000-0005-0000-0000-0000B9440000}"/>
    <cellStyle name="20% - Accent6 6 9 2" xfId="26961" xr:uid="{00000000-0005-0000-0000-0000BA440000}"/>
    <cellStyle name="20% - Accent6 6_Volatility" xfId="3949" xr:uid="{00000000-0005-0000-0000-0000BB440000}"/>
    <cellStyle name="20% - Accent6 7" xfId="3950" xr:uid="{00000000-0005-0000-0000-0000BC440000}"/>
    <cellStyle name="20% - Accent6 7 10" xfId="19088" xr:uid="{00000000-0005-0000-0000-0000BD440000}"/>
    <cellStyle name="20% - Accent6 7 10 2" xfId="30780" xr:uid="{00000000-0005-0000-0000-0000BE440000}"/>
    <cellStyle name="20% - Accent6 7 11" xfId="23134" xr:uid="{00000000-0005-0000-0000-0000BF440000}"/>
    <cellStyle name="20% - Accent6 7 2" xfId="3951" xr:uid="{00000000-0005-0000-0000-0000C0440000}"/>
    <cellStyle name="20% - Accent6 7 2 2" xfId="3952" xr:uid="{00000000-0005-0000-0000-0000C1440000}"/>
    <cellStyle name="20% - Accent6 7 2 2 2" xfId="3953" xr:uid="{00000000-0005-0000-0000-0000C2440000}"/>
    <cellStyle name="20% - Accent6 7 2 2 2 2" xfId="15140" xr:uid="{00000000-0005-0000-0000-0000C3440000}"/>
    <cellStyle name="20% - Accent6 7 2 2 2 2 2" xfId="26997" xr:uid="{00000000-0005-0000-0000-0000C4440000}"/>
    <cellStyle name="20% - Accent6 7 2 2 2 3" xfId="19091" xr:uid="{00000000-0005-0000-0000-0000C5440000}"/>
    <cellStyle name="20% - Accent6 7 2 2 2 3 2" xfId="30783" xr:uid="{00000000-0005-0000-0000-0000C6440000}"/>
    <cellStyle name="20% - Accent6 7 2 2 2 4" xfId="23137" xr:uid="{00000000-0005-0000-0000-0000C7440000}"/>
    <cellStyle name="20% - Accent6 7 2 2 3" xfId="3954" xr:uid="{00000000-0005-0000-0000-0000C8440000}"/>
    <cellStyle name="20% - Accent6 7 2 2 3 2" xfId="15141" xr:uid="{00000000-0005-0000-0000-0000C9440000}"/>
    <cellStyle name="20% - Accent6 7 2 2 3 2 2" xfId="26998" xr:uid="{00000000-0005-0000-0000-0000CA440000}"/>
    <cellStyle name="20% - Accent6 7 2 2 3 3" xfId="19092" xr:uid="{00000000-0005-0000-0000-0000CB440000}"/>
    <cellStyle name="20% - Accent6 7 2 2 3 3 2" xfId="30784" xr:uid="{00000000-0005-0000-0000-0000CC440000}"/>
    <cellStyle name="20% - Accent6 7 2 2 3 4" xfId="23138" xr:uid="{00000000-0005-0000-0000-0000CD440000}"/>
    <cellStyle name="20% - Accent6 7 2 2 4" xfId="15139" xr:uid="{00000000-0005-0000-0000-0000CE440000}"/>
    <cellStyle name="20% - Accent6 7 2 2 4 2" xfId="26996" xr:uid="{00000000-0005-0000-0000-0000CF440000}"/>
    <cellStyle name="20% - Accent6 7 2 2 5" xfId="19090" xr:uid="{00000000-0005-0000-0000-0000D0440000}"/>
    <cellStyle name="20% - Accent6 7 2 2 5 2" xfId="30782" xr:uid="{00000000-0005-0000-0000-0000D1440000}"/>
    <cellStyle name="20% - Accent6 7 2 2 6" xfId="23136" xr:uid="{00000000-0005-0000-0000-0000D2440000}"/>
    <cellStyle name="20% - Accent6 7 2 3" xfId="3955" xr:uid="{00000000-0005-0000-0000-0000D3440000}"/>
    <cellStyle name="20% - Accent6 7 2 3 2" xfId="3956" xr:uid="{00000000-0005-0000-0000-0000D4440000}"/>
    <cellStyle name="20% - Accent6 7 2 3 2 2" xfId="15143" xr:uid="{00000000-0005-0000-0000-0000D5440000}"/>
    <cellStyle name="20% - Accent6 7 2 3 2 2 2" xfId="27000" xr:uid="{00000000-0005-0000-0000-0000D6440000}"/>
    <cellStyle name="20% - Accent6 7 2 3 2 3" xfId="19094" xr:uid="{00000000-0005-0000-0000-0000D7440000}"/>
    <cellStyle name="20% - Accent6 7 2 3 2 3 2" xfId="30786" xr:uid="{00000000-0005-0000-0000-0000D8440000}"/>
    <cellStyle name="20% - Accent6 7 2 3 2 4" xfId="23140" xr:uid="{00000000-0005-0000-0000-0000D9440000}"/>
    <cellStyle name="20% - Accent6 7 2 3 3" xfId="3957" xr:uid="{00000000-0005-0000-0000-0000DA440000}"/>
    <cellStyle name="20% - Accent6 7 2 3 3 2" xfId="15144" xr:uid="{00000000-0005-0000-0000-0000DB440000}"/>
    <cellStyle name="20% - Accent6 7 2 3 3 2 2" xfId="27001" xr:uid="{00000000-0005-0000-0000-0000DC440000}"/>
    <cellStyle name="20% - Accent6 7 2 3 3 3" xfId="19095" xr:uid="{00000000-0005-0000-0000-0000DD440000}"/>
    <cellStyle name="20% - Accent6 7 2 3 3 3 2" xfId="30787" xr:uid="{00000000-0005-0000-0000-0000DE440000}"/>
    <cellStyle name="20% - Accent6 7 2 3 3 4" xfId="23141" xr:uid="{00000000-0005-0000-0000-0000DF440000}"/>
    <cellStyle name="20% - Accent6 7 2 3 4" xfId="15142" xr:uid="{00000000-0005-0000-0000-0000E0440000}"/>
    <cellStyle name="20% - Accent6 7 2 3 4 2" xfId="26999" xr:uid="{00000000-0005-0000-0000-0000E1440000}"/>
    <cellStyle name="20% - Accent6 7 2 3 5" xfId="19093" xr:uid="{00000000-0005-0000-0000-0000E2440000}"/>
    <cellStyle name="20% - Accent6 7 2 3 5 2" xfId="30785" xr:uid="{00000000-0005-0000-0000-0000E3440000}"/>
    <cellStyle name="20% - Accent6 7 2 3 6" xfId="23139" xr:uid="{00000000-0005-0000-0000-0000E4440000}"/>
    <cellStyle name="20% - Accent6 7 2 4" xfId="3958" xr:uid="{00000000-0005-0000-0000-0000E5440000}"/>
    <cellStyle name="20% - Accent6 7 2 4 2" xfId="3959" xr:uid="{00000000-0005-0000-0000-0000E6440000}"/>
    <cellStyle name="20% - Accent6 7 2 4 2 2" xfId="15146" xr:uid="{00000000-0005-0000-0000-0000E7440000}"/>
    <cellStyle name="20% - Accent6 7 2 4 2 2 2" xfId="27003" xr:uid="{00000000-0005-0000-0000-0000E8440000}"/>
    <cellStyle name="20% - Accent6 7 2 4 2 3" xfId="19097" xr:uid="{00000000-0005-0000-0000-0000E9440000}"/>
    <cellStyle name="20% - Accent6 7 2 4 2 3 2" xfId="30789" xr:uid="{00000000-0005-0000-0000-0000EA440000}"/>
    <cellStyle name="20% - Accent6 7 2 4 2 4" xfId="23143" xr:uid="{00000000-0005-0000-0000-0000EB440000}"/>
    <cellStyle name="20% - Accent6 7 2 4 3" xfId="3960" xr:uid="{00000000-0005-0000-0000-0000EC440000}"/>
    <cellStyle name="20% - Accent6 7 2 4 3 2" xfId="15147" xr:uid="{00000000-0005-0000-0000-0000ED440000}"/>
    <cellStyle name="20% - Accent6 7 2 4 3 2 2" xfId="27004" xr:uid="{00000000-0005-0000-0000-0000EE440000}"/>
    <cellStyle name="20% - Accent6 7 2 4 3 3" xfId="19098" xr:uid="{00000000-0005-0000-0000-0000EF440000}"/>
    <cellStyle name="20% - Accent6 7 2 4 3 3 2" xfId="30790" xr:uid="{00000000-0005-0000-0000-0000F0440000}"/>
    <cellStyle name="20% - Accent6 7 2 4 3 4" xfId="23144" xr:uid="{00000000-0005-0000-0000-0000F1440000}"/>
    <cellStyle name="20% - Accent6 7 2 4 4" xfId="15145" xr:uid="{00000000-0005-0000-0000-0000F2440000}"/>
    <cellStyle name="20% - Accent6 7 2 4 4 2" xfId="27002" xr:uid="{00000000-0005-0000-0000-0000F3440000}"/>
    <cellStyle name="20% - Accent6 7 2 4 5" xfId="19096" xr:uid="{00000000-0005-0000-0000-0000F4440000}"/>
    <cellStyle name="20% - Accent6 7 2 4 5 2" xfId="30788" xr:uid="{00000000-0005-0000-0000-0000F5440000}"/>
    <cellStyle name="20% - Accent6 7 2 4 6" xfId="23142" xr:uid="{00000000-0005-0000-0000-0000F6440000}"/>
    <cellStyle name="20% - Accent6 7 2 5" xfId="3961" xr:uid="{00000000-0005-0000-0000-0000F7440000}"/>
    <cellStyle name="20% - Accent6 7 2 5 2" xfId="15148" xr:uid="{00000000-0005-0000-0000-0000F8440000}"/>
    <cellStyle name="20% - Accent6 7 2 5 2 2" xfId="27005" xr:uid="{00000000-0005-0000-0000-0000F9440000}"/>
    <cellStyle name="20% - Accent6 7 2 5 3" xfId="19099" xr:uid="{00000000-0005-0000-0000-0000FA440000}"/>
    <cellStyle name="20% - Accent6 7 2 5 3 2" xfId="30791" xr:uid="{00000000-0005-0000-0000-0000FB440000}"/>
    <cellStyle name="20% - Accent6 7 2 5 4" xfId="23145" xr:uid="{00000000-0005-0000-0000-0000FC440000}"/>
    <cellStyle name="20% - Accent6 7 2 6" xfId="3962" xr:uid="{00000000-0005-0000-0000-0000FD440000}"/>
    <cellStyle name="20% - Accent6 7 2 6 2" xfId="15149" xr:uid="{00000000-0005-0000-0000-0000FE440000}"/>
    <cellStyle name="20% - Accent6 7 2 6 2 2" xfId="27006" xr:uid="{00000000-0005-0000-0000-0000FF440000}"/>
    <cellStyle name="20% - Accent6 7 2 6 3" xfId="19100" xr:uid="{00000000-0005-0000-0000-000000450000}"/>
    <cellStyle name="20% - Accent6 7 2 6 3 2" xfId="30792" xr:uid="{00000000-0005-0000-0000-000001450000}"/>
    <cellStyle name="20% - Accent6 7 2 6 4" xfId="23146" xr:uid="{00000000-0005-0000-0000-000002450000}"/>
    <cellStyle name="20% - Accent6 7 2 7" xfId="15138" xr:uid="{00000000-0005-0000-0000-000003450000}"/>
    <cellStyle name="20% - Accent6 7 2 7 2" xfId="26995" xr:uid="{00000000-0005-0000-0000-000004450000}"/>
    <cellStyle name="20% - Accent6 7 2 8" xfId="19089" xr:uid="{00000000-0005-0000-0000-000005450000}"/>
    <cellStyle name="20% - Accent6 7 2 8 2" xfId="30781" xr:uid="{00000000-0005-0000-0000-000006450000}"/>
    <cellStyle name="20% - Accent6 7 2 9" xfId="23135" xr:uid="{00000000-0005-0000-0000-000007450000}"/>
    <cellStyle name="20% - Accent6 7 2_Volatility" xfId="3963" xr:uid="{00000000-0005-0000-0000-000008450000}"/>
    <cellStyle name="20% - Accent6 7 3" xfId="3964" xr:uid="{00000000-0005-0000-0000-000009450000}"/>
    <cellStyle name="20% - Accent6 7 3 2" xfId="3965" xr:uid="{00000000-0005-0000-0000-00000A450000}"/>
    <cellStyle name="20% - Accent6 7 3 2 2" xfId="3966" xr:uid="{00000000-0005-0000-0000-00000B450000}"/>
    <cellStyle name="20% - Accent6 7 3 2 2 2" xfId="15152" xr:uid="{00000000-0005-0000-0000-00000C450000}"/>
    <cellStyle name="20% - Accent6 7 3 2 2 2 2" xfId="27009" xr:uid="{00000000-0005-0000-0000-00000D450000}"/>
    <cellStyle name="20% - Accent6 7 3 2 2 3" xfId="19103" xr:uid="{00000000-0005-0000-0000-00000E450000}"/>
    <cellStyle name="20% - Accent6 7 3 2 2 3 2" xfId="30795" xr:uid="{00000000-0005-0000-0000-00000F450000}"/>
    <cellStyle name="20% - Accent6 7 3 2 2 4" xfId="23149" xr:uid="{00000000-0005-0000-0000-000010450000}"/>
    <cellStyle name="20% - Accent6 7 3 2 3" xfId="3967" xr:uid="{00000000-0005-0000-0000-000011450000}"/>
    <cellStyle name="20% - Accent6 7 3 2 3 2" xfId="15153" xr:uid="{00000000-0005-0000-0000-000012450000}"/>
    <cellStyle name="20% - Accent6 7 3 2 3 2 2" xfId="27010" xr:uid="{00000000-0005-0000-0000-000013450000}"/>
    <cellStyle name="20% - Accent6 7 3 2 3 3" xfId="19104" xr:uid="{00000000-0005-0000-0000-000014450000}"/>
    <cellStyle name="20% - Accent6 7 3 2 3 3 2" xfId="30796" xr:uid="{00000000-0005-0000-0000-000015450000}"/>
    <cellStyle name="20% - Accent6 7 3 2 3 4" xfId="23150" xr:uid="{00000000-0005-0000-0000-000016450000}"/>
    <cellStyle name="20% - Accent6 7 3 2 4" xfId="15151" xr:uid="{00000000-0005-0000-0000-000017450000}"/>
    <cellStyle name="20% - Accent6 7 3 2 4 2" xfId="27008" xr:uid="{00000000-0005-0000-0000-000018450000}"/>
    <cellStyle name="20% - Accent6 7 3 2 5" xfId="19102" xr:uid="{00000000-0005-0000-0000-000019450000}"/>
    <cellStyle name="20% - Accent6 7 3 2 5 2" xfId="30794" xr:uid="{00000000-0005-0000-0000-00001A450000}"/>
    <cellStyle name="20% - Accent6 7 3 2 6" xfId="23148" xr:uid="{00000000-0005-0000-0000-00001B450000}"/>
    <cellStyle name="20% - Accent6 7 3 3" xfId="3968" xr:uid="{00000000-0005-0000-0000-00001C450000}"/>
    <cellStyle name="20% - Accent6 7 3 3 2" xfId="3969" xr:uid="{00000000-0005-0000-0000-00001D450000}"/>
    <cellStyle name="20% - Accent6 7 3 3 2 2" xfId="15155" xr:uid="{00000000-0005-0000-0000-00001E450000}"/>
    <cellStyle name="20% - Accent6 7 3 3 2 2 2" xfId="27012" xr:uid="{00000000-0005-0000-0000-00001F450000}"/>
    <cellStyle name="20% - Accent6 7 3 3 2 3" xfId="19106" xr:uid="{00000000-0005-0000-0000-000020450000}"/>
    <cellStyle name="20% - Accent6 7 3 3 2 3 2" xfId="30798" xr:uid="{00000000-0005-0000-0000-000021450000}"/>
    <cellStyle name="20% - Accent6 7 3 3 2 4" xfId="23152" xr:uid="{00000000-0005-0000-0000-000022450000}"/>
    <cellStyle name="20% - Accent6 7 3 3 3" xfId="3970" xr:uid="{00000000-0005-0000-0000-000023450000}"/>
    <cellStyle name="20% - Accent6 7 3 3 3 2" xfId="15156" xr:uid="{00000000-0005-0000-0000-000024450000}"/>
    <cellStyle name="20% - Accent6 7 3 3 3 2 2" xfId="27013" xr:uid="{00000000-0005-0000-0000-000025450000}"/>
    <cellStyle name="20% - Accent6 7 3 3 3 3" xfId="19107" xr:uid="{00000000-0005-0000-0000-000026450000}"/>
    <cellStyle name="20% - Accent6 7 3 3 3 3 2" xfId="30799" xr:uid="{00000000-0005-0000-0000-000027450000}"/>
    <cellStyle name="20% - Accent6 7 3 3 3 4" xfId="23153" xr:uid="{00000000-0005-0000-0000-000028450000}"/>
    <cellStyle name="20% - Accent6 7 3 3 4" xfId="15154" xr:uid="{00000000-0005-0000-0000-000029450000}"/>
    <cellStyle name="20% - Accent6 7 3 3 4 2" xfId="27011" xr:uid="{00000000-0005-0000-0000-00002A450000}"/>
    <cellStyle name="20% - Accent6 7 3 3 5" xfId="19105" xr:uid="{00000000-0005-0000-0000-00002B450000}"/>
    <cellStyle name="20% - Accent6 7 3 3 5 2" xfId="30797" xr:uid="{00000000-0005-0000-0000-00002C450000}"/>
    <cellStyle name="20% - Accent6 7 3 3 6" xfId="23151" xr:uid="{00000000-0005-0000-0000-00002D450000}"/>
    <cellStyle name="20% - Accent6 7 3 4" xfId="3971" xr:uid="{00000000-0005-0000-0000-00002E450000}"/>
    <cellStyle name="20% - Accent6 7 3 4 2" xfId="15157" xr:uid="{00000000-0005-0000-0000-00002F450000}"/>
    <cellStyle name="20% - Accent6 7 3 4 2 2" xfId="27014" xr:uid="{00000000-0005-0000-0000-000030450000}"/>
    <cellStyle name="20% - Accent6 7 3 4 3" xfId="19108" xr:uid="{00000000-0005-0000-0000-000031450000}"/>
    <cellStyle name="20% - Accent6 7 3 4 3 2" xfId="30800" xr:uid="{00000000-0005-0000-0000-000032450000}"/>
    <cellStyle name="20% - Accent6 7 3 4 4" xfId="23154" xr:uid="{00000000-0005-0000-0000-000033450000}"/>
    <cellStyle name="20% - Accent6 7 3 5" xfId="3972" xr:uid="{00000000-0005-0000-0000-000034450000}"/>
    <cellStyle name="20% - Accent6 7 3 5 2" xfId="15158" xr:uid="{00000000-0005-0000-0000-000035450000}"/>
    <cellStyle name="20% - Accent6 7 3 5 2 2" xfId="27015" xr:uid="{00000000-0005-0000-0000-000036450000}"/>
    <cellStyle name="20% - Accent6 7 3 5 3" xfId="19109" xr:uid="{00000000-0005-0000-0000-000037450000}"/>
    <cellStyle name="20% - Accent6 7 3 5 3 2" xfId="30801" xr:uid="{00000000-0005-0000-0000-000038450000}"/>
    <cellStyle name="20% - Accent6 7 3 5 4" xfId="23155" xr:uid="{00000000-0005-0000-0000-000039450000}"/>
    <cellStyle name="20% - Accent6 7 3 6" xfId="15150" xr:uid="{00000000-0005-0000-0000-00003A450000}"/>
    <cellStyle name="20% - Accent6 7 3 6 2" xfId="27007" xr:uid="{00000000-0005-0000-0000-00003B450000}"/>
    <cellStyle name="20% - Accent6 7 3 7" xfId="19101" xr:uid="{00000000-0005-0000-0000-00003C450000}"/>
    <cellStyle name="20% - Accent6 7 3 7 2" xfId="30793" xr:uid="{00000000-0005-0000-0000-00003D450000}"/>
    <cellStyle name="20% - Accent6 7 3 8" xfId="23147" xr:uid="{00000000-0005-0000-0000-00003E450000}"/>
    <cellStyle name="20% - Accent6 7 3_Volatility" xfId="3973" xr:uid="{00000000-0005-0000-0000-00003F450000}"/>
    <cellStyle name="20% - Accent6 7 4" xfId="3974" xr:uid="{00000000-0005-0000-0000-000040450000}"/>
    <cellStyle name="20% - Accent6 7 4 2" xfId="3975" xr:uid="{00000000-0005-0000-0000-000041450000}"/>
    <cellStyle name="20% - Accent6 7 4 2 2" xfId="15160" xr:uid="{00000000-0005-0000-0000-000042450000}"/>
    <cellStyle name="20% - Accent6 7 4 2 2 2" xfId="27017" xr:uid="{00000000-0005-0000-0000-000043450000}"/>
    <cellStyle name="20% - Accent6 7 4 2 3" xfId="19111" xr:uid="{00000000-0005-0000-0000-000044450000}"/>
    <cellStyle name="20% - Accent6 7 4 2 3 2" xfId="30803" xr:uid="{00000000-0005-0000-0000-000045450000}"/>
    <cellStyle name="20% - Accent6 7 4 2 4" xfId="23157" xr:uid="{00000000-0005-0000-0000-000046450000}"/>
    <cellStyle name="20% - Accent6 7 4 3" xfId="3976" xr:uid="{00000000-0005-0000-0000-000047450000}"/>
    <cellStyle name="20% - Accent6 7 4 3 2" xfId="15161" xr:uid="{00000000-0005-0000-0000-000048450000}"/>
    <cellStyle name="20% - Accent6 7 4 3 2 2" xfId="27018" xr:uid="{00000000-0005-0000-0000-000049450000}"/>
    <cellStyle name="20% - Accent6 7 4 3 3" xfId="19112" xr:uid="{00000000-0005-0000-0000-00004A450000}"/>
    <cellStyle name="20% - Accent6 7 4 3 3 2" xfId="30804" xr:uid="{00000000-0005-0000-0000-00004B450000}"/>
    <cellStyle name="20% - Accent6 7 4 3 4" xfId="23158" xr:uid="{00000000-0005-0000-0000-00004C450000}"/>
    <cellStyle name="20% - Accent6 7 4 4" xfId="15159" xr:uid="{00000000-0005-0000-0000-00004D450000}"/>
    <cellStyle name="20% - Accent6 7 4 4 2" xfId="27016" xr:uid="{00000000-0005-0000-0000-00004E450000}"/>
    <cellStyle name="20% - Accent6 7 4 5" xfId="19110" xr:uid="{00000000-0005-0000-0000-00004F450000}"/>
    <cellStyle name="20% - Accent6 7 4 5 2" xfId="30802" xr:uid="{00000000-0005-0000-0000-000050450000}"/>
    <cellStyle name="20% - Accent6 7 4 6" xfId="23156" xr:uid="{00000000-0005-0000-0000-000051450000}"/>
    <cellStyle name="20% - Accent6 7 5" xfId="3977" xr:uid="{00000000-0005-0000-0000-000052450000}"/>
    <cellStyle name="20% - Accent6 7 5 2" xfId="3978" xr:uid="{00000000-0005-0000-0000-000053450000}"/>
    <cellStyle name="20% - Accent6 7 5 2 2" xfId="15163" xr:uid="{00000000-0005-0000-0000-000054450000}"/>
    <cellStyle name="20% - Accent6 7 5 2 2 2" xfId="27020" xr:uid="{00000000-0005-0000-0000-000055450000}"/>
    <cellStyle name="20% - Accent6 7 5 2 3" xfId="19114" xr:uid="{00000000-0005-0000-0000-000056450000}"/>
    <cellStyle name="20% - Accent6 7 5 2 3 2" xfId="30806" xr:uid="{00000000-0005-0000-0000-000057450000}"/>
    <cellStyle name="20% - Accent6 7 5 2 4" xfId="23160" xr:uid="{00000000-0005-0000-0000-000058450000}"/>
    <cellStyle name="20% - Accent6 7 5 3" xfId="3979" xr:uid="{00000000-0005-0000-0000-000059450000}"/>
    <cellStyle name="20% - Accent6 7 5 3 2" xfId="15164" xr:uid="{00000000-0005-0000-0000-00005A450000}"/>
    <cellStyle name="20% - Accent6 7 5 3 2 2" xfId="27021" xr:uid="{00000000-0005-0000-0000-00005B450000}"/>
    <cellStyle name="20% - Accent6 7 5 3 3" xfId="19115" xr:uid="{00000000-0005-0000-0000-00005C450000}"/>
    <cellStyle name="20% - Accent6 7 5 3 3 2" xfId="30807" xr:uid="{00000000-0005-0000-0000-00005D450000}"/>
    <cellStyle name="20% - Accent6 7 5 3 4" xfId="23161" xr:uid="{00000000-0005-0000-0000-00005E450000}"/>
    <cellStyle name="20% - Accent6 7 5 4" xfId="15162" xr:uid="{00000000-0005-0000-0000-00005F450000}"/>
    <cellStyle name="20% - Accent6 7 5 4 2" xfId="27019" xr:uid="{00000000-0005-0000-0000-000060450000}"/>
    <cellStyle name="20% - Accent6 7 5 5" xfId="19113" xr:uid="{00000000-0005-0000-0000-000061450000}"/>
    <cellStyle name="20% - Accent6 7 5 5 2" xfId="30805" xr:uid="{00000000-0005-0000-0000-000062450000}"/>
    <cellStyle name="20% - Accent6 7 5 6" xfId="23159" xr:uid="{00000000-0005-0000-0000-000063450000}"/>
    <cellStyle name="20% - Accent6 7 6" xfId="3980" xr:uid="{00000000-0005-0000-0000-000064450000}"/>
    <cellStyle name="20% - Accent6 7 6 2" xfId="3981" xr:uid="{00000000-0005-0000-0000-000065450000}"/>
    <cellStyle name="20% - Accent6 7 6 2 2" xfId="15166" xr:uid="{00000000-0005-0000-0000-000066450000}"/>
    <cellStyle name="20% - Accent6 7 6 2 2 2" xfId="27023" xr:uid="{00000000-0005-0000-0000-000067450000}"/>
    <cellStyle name="20% - Accent6 7 6 2 3" xfId="19117" xr:uid="{00000000-0005-0000-0000-000068450000}"/>
    <cellStyle name="20% - Accent6 7 6 2 3 2" xfId="30809" xr:uid="{00000000-0005-0000-0000-000069450000}"/>
    <cellStyle name="20% - Accent6 7 6 2 4" xfId="23163" xr:uid="{00000000-0005-0000-0000-00006A450000}"/>
    <cellStyle name="20% - Accent6 7 6 3" xfId="3982" xr:uid="{00000000-0005-0000-0000-00006B450000}"/>
    <cellStyle name="20% - Accent6 7 6 3 2" xfId="15167" xr:uid="{00000000-0005-0000-0000-00006C450000}"/>
    <cellStyle name="20% - Accent6 7 6 3 2 2" xfId="27024" xr:uid="{00000000-0005-0000-0000-00006D450000}"/>
    <cellStyle name="20% - Accent6 7 6 3 3" xfId="19118" xr:uid="{00000000-0005-0000-0000-00006E450000}"/>
    <cellStyle name="20% - Accent6 7 6 3 3 2" xfId="30810" xr:uid="{00000000-0005-0000-0000-00006F450000}"/>
    <cellStyle name="20% - Accent6 7 6 3 4" xfId="23164" xr:uid="{00000000-0005-0000-0000-000070450000}"/>
    <cellStyle name="20% - Accent6 7 6 4" xfId="15165" xr:uid="{00000000-0005-0000-0000-000071450000}"/>
    <cellStyle name="20% - Accent6 7 6 4 2" xfId="27022" xr:uid="{00000000-0005-0000-0000-000072450000}"/>
    <cellStyle name="20% - Accent6 7 6 5" xfId="19116" xr:uid="{00000000-0005-0000-0000-000073450000}"/>
    <cellStyle name="20% - Accent6 7 6 5 2" xfId="30808" xr:uid="{00000000-0005-0000-0000-000074450000}"/>
    <cellStyle name="20% - Accent6 7 6 6" xfId="23162" xr:uid="{00000000-0005-0000-0000-000075450000}"/>
    <cellStyle name="20% - Accent6 7 7" xfId="3983" xr:uid="{00000000-0005-0000-0000-000076450000}"/>
    <cellStyle name="20% - Accent6 7 7 2" xfId="15168" xr:uid="{00000000-0005-0000-0000-000077450000}"/>
    <cellStyle name="20% - Accent6 7 7 2 2" xfId="27025" xr:uid="{00000000-0005-0000-0000-000078450000}"/>
    <cellStyle name="20% - Accent6 7 7 3" xfId="19119" xr:uid="{00000000-0005-0000-0000-000079450000}"/>
    <cellStyle name="20% - Accent6 7 7 3 2" xfId="30811" xr:uid="{00000000-0005-0000-0000-00007A450000}"/>
    <cellStyle name="20% - Accent6 7 7 4" xfId="23165" xr:uid="{00000000-0005-0000-0000-00007B450000}"/>
    <cellStyle name="20% - Accent6 7 8" xfId="3984" xr:uid="{00000000-0005-0000-0000-00007C450000}"/>
    <cellStyle name="20% - Accent6 7 8 2" xfId="15169" xr:uid="{00000000-0005-0000-0000-00007D450000}"/>
    <cellStyle name="20% - Accent6 7 8 2 2" xfId="27026" xr:uid="{00000000-0005-0000-0000-00007E450000}"/>
    <cellStyle name="20% - Accent6 7 8 3" xfId="19120" xr:uid="{00000000-0005-0000-0000-00007F450000}"/>
    <cellStyle name="20% - Accent6 7 8 3 2" xfId="30812" xr:uid="{00000000-0005-0000-0000-000080450000}"/>
    <cellStyle name="20% - Accent6 7 8 4" xfId="23166" xr:uid="{00000000-0005-0000-0000-000081450000}"/>
    <cellStyle name="20% - Accent6 7 9" xfId="15137" xr:uid="{00000000-0005-0000-0000-000082450000}"/>
    <cellStyle name="20% - Accent6 7 9 2" xfId="26994" xr:uid="{00000000-0005-0000-0000-000083450000}"/>
    <cellStyle name="20% - Accent6 7_Volatility" xfId="3985" xr:uid="{00000000-0005-0000-0000-000084450000}"/>
    <cellStyle name="20% - Accent6 8" xfId="3986" xr:uid="{00000000-0005-0000-0000-000085450000}"/>
    <cellStyle name="20% - Accent6 8 10" xfId="19121" xr:uid="{00000000-0005-0000-0000-000086450000}"/>
    <cellStyle name="20% - Accent6 8 10 2" xfId="30813" xr:uid="{00000000-0005-0000-0000-000087450000}"/>
    <cellStyle name="20% - Accent6 8 11" xfId="23167" xr:uid="{00000000-0005-0000-0000-000088450000}"/>
    <cellStyle name="20% - Accent6 8 2" xfId="3987" xr:uid="{00000000-0005-0000-0000-000089450000}"/>
    <cellStyle name="20% - Accent6 8 2 2" xfId="3988" xr:uid="{00000000-0005-0000-0000-00008A450000}"/>
    <cellStyle name="20% - Accent6 8 2 2 2" xfId="3989" xr:uid="{00000000-0005-0000-0000-00008B450000}"/>
    <cellStyle name="20% - Accent6 8 2 2 2 2" xfId="15173" xr:uid="{00000000-0005-0000-0000-00008C450000}"/>
    <cellStyle name="20% - Accent6 8 2 2 2 2 2" xfId="27030" xr:uid="{00000000-0005-0000-0000-00008D450000}"/>
    <cellStyle name="20% - Accent6 8 2 2 2 3" xfId="19124" xr:uid="{00000000-0005-0000-0000-00008E450000}"/>
    <cellStyle name="20% - Accent6 8 2 2 2 3 2" xfId="30816" xr:uid="{00000000-0005-0000-0000-00008F450000}"/>
    <cellStyle name="20% - Accent6 8 2 2 2 4" xfId="23170" xr:uid="{00000000-0005-0000-0000-000090450000}"/>
    <cellStyle name="20% - Accent6 8 2 2 3" xfId="3990" xr:uid="{00000000-0005-0000-0000-000091450000}"/>
    <cellStyle name="20% - Accent6 8 2 2 3 2" xfId="15174" xr:uid="{00000000-0005-0000-0000-000092450000}"/>
    <cellStyle name="20% - Accent6 8 2 2 3 2 2" xfId="27031" xr:uid="{00000000-0005-0000-0000-000093450000}"/>
    <cellStyle name="20% - Accent6 8 2 2 3 3" xfId="19125" xr:uid="{00000000-0005-0000-0000-000094450000}"/>
    <cellStyle name="20% - Accent6 8 2 2 3 3 2" xfId="30817" xr:uid="{00000000-0005-0000-0000-000095450000}"/>
    <cellStyle name="20% - Accent6 8 2 2 3 4" xfId="23171" xr:uid="{00000000-0005-0000-0000-000096450000}"/>
    <cellStyle name="20% - Accent6 8 2 2 4" xfId="15172" xr:uid="{00000000-0005-0000-0000-000097450000}"/>
    <cellStyle name="20% - Accent6 8 2 2 4 2" xfId="27029" xr:uid="{00000000-0005-0000-0000-000098450000}"/>
    <cellStyle name="20% - Accent6 8 2 2 5" xfId="19123" xr:uid="{00000000-0005-0000-0000-000099450000}"/>
    <cellStyle name="20% - Accent6 8 2 2 5 2" xfId="30815" xr:uid="{00000000-0005-0000-0000-00009A450000}"/>
    <cellStyle name="20% - Accent6 8 2 2 6" xfId="23169" xr:uid="{00000000-0005-0000-0000-00009B450000}"/>
    <cellStyle name="20% - Accent6 8 2 3" xfId="3991" xr:uid="{00000000-0005-0000-0000-00009C450000}"/>
    <cellStyle name="20% - Accent6 8 2 3 2" xfId="3992" xr:uid="{00000000-0005-0000-0000-00009D450000}"/>
    <cellStyle name="20% - Accent6 8 2 3 2 2" xfId="15176" xr:uid="{00000000-0005-0000-0000-00009E450000}"/>
    <cellStyle name="20% - Accent6 8 2 3 2 2 2" xfId="27033" xr:uid="{00000000-0005-0000-0000-00009F450000}"/>
    <cellStyle name="20% - Accent6 8 2 3 2 3" xfId="19127" xr:uid="{00000000-0005-0000-0000-0000A0450000}"/>
    <cellStyle name="20% - Accent6 8 2 3 2 3 2" xfId="30819" xr:uid="{00000000-0005-0000-0000-0000A1450000}"/>
    <cellStyle name="20% - Accent6 8 2 3 2 4" xfId="23173" xr:uid="{00000000-0005-0000-0000-0000A2450000}"/>
    <cellStyle name="20% - Accent6 8 2 3 3" xfId="3993" xr:uid="{00000000-0005-0000-0000-0000A3450000}"/>
    <cellStyle name="20% - Accent6 8 2 3 3 2" xfId="15177" xr:uid="{00000000-0005-0000-0000-0000A4450000}"/>
    <cellStyle name="20% - Accent6 8 2 3 3 2 2" xfId="27034" xr:uid="{00000000-0005-0000-0000-0000A5450000}"/>
    <cellStyle name="20% - Accent6 8 2 3 3 3" xfId="19128" xr:uid="{00000000-0005-0000-0000-0000A6450000}"/>
    <cellStyle name="20% - Accent6 8 2 3 3 3 2" xfId="30820" xr:uid="{00000000-0005-0000-0000-0000A7450000}"/>
    <cellStyle name="20% - Accent6 8 2 3 3 4" xfId="23174" xr:uid="{00000000-0005-0000-0000-0000A8450000}"/>
    <cellStyle name="20% - Accent6 8 2 3 4" xfId="15175" xr:uid="{00000000-0005-0000-0000-0000A9450000}"/>
    <cellStyle name="20% - Accent6 8 2 3 4 2" xfId="27032" xr:uid="{00000000-0005-0000-0000-0000AA450000}"/>
    <cellStyle name="20% - Accent6 8 2 3 5" xfId="19126" xr:uid="{00000000-0005-0000-0000-0000AB450000}"/>
    <cellStyle name="20% - Accent6 8 2 3 5 2" xfId="30818" xr:uid="{00000000-0005-0000-0000-0000AC450000}"/>
    <cellStyle name="20% - Accent6 8 2 3 6" xfId="23172" xr:uid="{00000000-0005-0000-0000-0000AD450000}"/>
    <cellStyle name="20% - Accent6 8 2 4" xfId="3994" xr:uid="{00000000-0005-0000-0000-0000AE450000}"/>
    <cellStyle name="20% - Accent6 8 2 4 2" xfId="3995" xr:uid="{00000000-0005-0000-0000-0000AF450000}"/>
    <cellStyle name="20% - Accent6 8 2 4 2 2" xfId="15179" xr:uid="{00000000-0005-0000-0000-0000B0450000}"/>
    <cellStyle name="20% - Accent6 8 2 4 2 2 2" xfId="27036" xr:uid="{00000000-0005-0000-0000-0000B1450000}"/>
    <cellStyle name="20% - Accent6 8 2 4 2 3" xfId="19130" xr:uid="{00000000-0005-0000-0000-0000B2450000}"/>
    <cellStyle name="20% - Accent6 8 2 4 2 3 2" xfId="30822" xr:uid="{00000000-0005-0000-0000-0000B3450000}"/>
    <cellStyle name="20% - Accent6 8 2 4 2 4" xfId="23176" xr:uid="{00000000-0005-0000-0000-0000B4450000}"/>
    <cellStyle name="20% - Accent6 8 2 4 3" xfId="3996" xr:uid="{00000000-0005-0000-0000-0000B5450000}"/>
    <cellStyle name="20% - Accent6 8 2 4 3 2" xfId="15180" xr:uid="{00000000-0005-0000-0000-0000B6450000}"/>
    <cellStyle name="20% - Accent6 8 2 4 3 2 2" xfId="27037" xr:uid="{00000000-0005-0000-0000-0000B7450000}"/>
    <cellStyle name="20% - Accent6 8 2 4 3 3" xfId="19131" xr:uid="{00000000-0005-0000-0000-0000B8450000}"/>
    <cellStyle name="20% - Accent6 8 2 4 3 3 2" xfId="30823" xr:uid="{00000000-0005-0000-0000-0000B9450000}"/>
    <cellStyle name="20% - Accent6 8 2 4 3 4" xfId="23177" xr:uid="{00000000-0005-0000-0000-0000BA450000}"/>
    <cellStyle name="20% - Accent6 8 2 4 4" xfId="15178" xr:uid="{00000000-0005-0000-0000-0000BB450000}"/>
    <cellStyle name="20% - Accent6 8 2 4 4 2" xfId="27035" xr:uid="{00000000-0005-0000-0000-0000BC450000}"/>
    <cellStyle name="20% - Accent6 8 2 4 5" xfId="19129" xr:uid="{00000000-0005-0000-0000-0000BD450000}"/>
    <cellStyle name="20% - Accent6 8 2 4 5 2" xfId="30821" xr:uid="{00000000-0005-0000-0000-0000BE450000}"/>
    <cellStyle name="20% - Accent6 8 2 4 6" xfId="23175" xr:uid="{00000000-0005-0000-0000-0000BF450000}"/>
    <cellStyle name="20% - Accent6 8 2 5" xfId="3997" xr:uid="{00000000-0005-0000-0000-0000C0450000}"/>
    <cellStyle name="20% - Accent6 8 2 5 2" xfId="15181" xr:uid="{00000000-0005-0000-0000-0000C1450000}"/>
    <cellStyle name="20% - Accent6 8 2 5 2 2" xfId="27038" xr:uid="{00000000-0005-0000-0000-0000C2450000}"/>
    <cellStyle name="20% - Accent6 8 2 5 3" xfId="19132" xr:uid="{00000000-0005-0000-0000-0000C3450000}"/>
    <cellStyle name="20% - Accent6 8 2 5 3 2" xfId="30824" xr:uid="{00000000-0005-0000-0000-0000C4450000}"/>
    <cellStyle name="20% - Accent6 8 2 5 4" xfId="23178" xr:uid="{00000000-0005-0000-0000-0000C5450000}"/>
    <cellStyle name="20% - Accent6 8 2 6" xfId="3998" xr:uid="{00000000-0005-0000-0000-0000C6450000}"/>
    <cellStyle name="20% - Accent6 8 2 6 2" xfId="15182" xr:uid="{00000000-0005-0000-0000-0000C7450000}"/>
    <cellStyle name="20% - Accent6 8 2 6 2 2" xfId="27039" xr:uid="{00000000-0005-0000-0000-0000C8450000}"/>
    <cellStyle name="20% - Accent6 8 2 6 3" xfId="19133" xr:uid="{00000000-0005-0000-0000-0000C9450000}"/>
    <cellStyle name="20% - Accent6 8 2 6 3 2" xfId="30825" xr:uid="{00000000-0005-0000-0000-0000CA450000}"/>
    <cellStyle name="20% - Accent6 8 2 6 4" xfId="23179" xr:uid="{00000000-0005-0000-0000-0000CB450000}"/>
    <cellStyle name="20% - Accent6 8 2 7" xfId="15171" xr:uid="{00000000-0005-0000-0000-0000CC450000}"/>
    <cellStyle name="20% - Accent6 8 2 7 2" xfId="27028" xr:uid="{00000000-0005-0000-0000-0000CD450000}"/>
    <cellStyle name="20% - Accent6 8 2 8" xfId="19122" xr:uid="{00000000-0005-0000-0000-0000CE450000}"/>
    <cellStyle name="20% - Accent6 8 2 8 2" xfId="30814" xr:uid="{00000000-0005-0000-0000-0000CF450000}"/>
    <cellStyle name="20% - Accent6 8 2 9" xfId="23168" xr:uid="{00000000-0005-0000-0000-0000D0450000}"/>
    <cellStyle name="20% - Accent6 8 2_Volatility" xfId="3999" xr:uid="{00000000-0005-0000-0000-0000D1450000}"/>
    <cellStyle name="20% - Accent6 8 3" xfId="4000" xr:uid="{00000000-0005-0000-0000-0000D2450000}"/>
    <cellStyle name="20% - Accent6 8 3 2" xfId="4001" xr:uid="{00000000-0005-0000-0000-0000D3450000}"/>
    <cellStyle name="20% - Accent6 8 3 2 2" xfId="4002" xr:uid="{00000000-0005-0000-0000-0000D4450000}"/>
    <cellStyle name="20% - Accent6 8 3 2 2 2" xfId="15185" xr:uid="{00000000-0005-0000-0000-0000D5450000}"/>
    <cellStyle name="20% - Accent6 8 3 2 2 2 2" xfId="27042" xr:uid="{00000000-0005-0000-0000-0000D6450000}"/>
    <cellStyle name="20% - Accent6 8 3 2 2 3" xfId="19136" xr:uid="{00000000-0005-0000-0000-0000D7450000}"/>
    <cellStyle name="20% - Accent6 8 3 2 2 3 2" xfId="30828" xr:uid="{00000000-0005-0000-0000-0000D8450000}"/>
    <cellStyle name="20% - Accent6 8 3 2 2 4" xfId="23182" xr:uid="{00000000-0005-0000-0000-0000D9450000}"/>
    <cellStyle name="20% - Accent6 8 3 2 3" xfId="4003" xr:uid="{00000000-0005-0000-0000-0000DA450000}"/>
    <cellStyle name="20% - Accent6 8 3 2 3 2" xfId="15186" xr:uid="{00000000-0005-0000-0000-0000DB450000}"/>
    <cellStyle name="20% - Accent6 8 3 2 3 2 2" xfId="27043" xr:uid="{00000000-0005-0000-0000-0000DC450000}"/>
    <cellStyle name="20% - Accent6 8 3 2 3 3" xfId="19137" xr:uid="{00000000-0005-0000-0000-0000DD450000}"/>
    <cellStyle name="20% - Accent6 8 3 2 3 3 2" xfId="30829" xr:uid="{00000000-0005-0000-0000-0000DE450000}"/>
    <cellStyle name="20% - Accent6 8 3 2 3 4" xfId="23183" xr:uid="{00000000-0005-0000-0000-0000DF450000}"/>
    <cellStyle name="20% - Accent6 8 3 2 4" xfId="15184" xr:uid="{00000000-0005-0000-0000-0000E0450000}"/>
    <cellStyle name="20% - Accent6 8 3 2 4 2" xfId="27041" xr:uid="{00000000-0005-0000-0000-0000E1450000}"/>
    <cellStyle name="20% - Accent6 8 3 2 5" xfId="19135" xr:uid="{00000000-0005-0000-0000-0000E2450000}"/>
    <cellStyle name="20% - Accent6 8 3 2 5 2" xfId="30827" xr:uid="{00000000-0005-0000-0000-0000E3450000}"/>
    <cellStyle name="20% - Accent6 8 3 2 6" xfId="23181" xr:uid="{00000000-0005-0000-0000-0000E4450000}"/>
    <cellStyle name="20% - Accent6 8 3 3" xfId="4004" xr:uid="{00000000-0005-0000-0000-0000E5450000}"/>
    <cellStyle name="20% - Accent6 8 3 3 2" xfId="4005" xr:uid="{00000000-0005-0000-0000-0000E6450000}"/>
    <cellStyle name="20% - Accent6 8 3 3 2 2" xfId="15188" xr:uid="{00000000-0005-0000-0000-0000E7450000}"/>
    <cellStyle name="20% - Accent6 8 3 3 2 2 2" xfId="27045" xr:uid="{00000000-0005-0000-0000-0000E8450000}"/>
    <cellStyle name="20% - Accent6 8 3 3 2 3" xfId="19139" xr:uid="{00000000-0005-0000-0000-0000E9450000}"/>
    <cellStyle name="20% - Accent6 8 3 3 2 3 2" xfId="30831" xr:uid="{00000000-0005-0000-0000-0000EA450000}"/>
    <cellStyle name="20% - Accent6 8 3 3 2 4" xfId="23185" xr:uid="{00000000-0005-0000-0000-0000EB450000}"/>
    <cellStyle name="20% - Accent6 8 3 3 3" xfId="4006" xr:uid="{00000000-0005-0000-0000-0000EC450000}"/>
    <cellStyle name="20% - Accent6 8 3 3 3 2" xfId="15189" xr:uid="{00000000-0005-0000-0000-0000ED450000}"/>
    <cellStyle name="20% - Accent6 8 3 3 3 2 2" xfId="27046" xr:uid="{00000000-0005-0000-0000-0000EE450000}"/>
    <cellStyle name="20% - Accent6 8 3 3 3 3" xfId="19140" xr:uid="{00000000-0005-0000-0000-0000EF450000}"/>
    <cellStyle name="20% - Accent6 8 3 3 3 3 2" xfId="30832" xr:uid="{00000000-0005-0000-0000-0000F0450000}"/>
    <cellStyle name="20% - Accent6 8 3 3 3 4" xfId="23186" xr:uid="{00000000-0005-0000-0000-0000F1450000}"/>
    <cellStyle name="20% - Accent6 8 3 3 4" xfId="15187" xr:uid="{00000000-0005-0000-0000-0000F2450000}"/>
    <cellStyle name="20% - Accent6 8 3 3 4 2" xfId="27044" xr:uid="{00000000-0005-0000-0000-0000F3450000}"/>
    <cellStyle name="20% - Accent6 8 3 3 5" xfId="19138" xr:uid="{00000000-0005-0000-0000-0000F4450000}"/>
    <cellStyle name="20% - Accent6 8 3 3 5 2" xfId="30830" xr:uid="{00000000-0005-0000-0000-0000F5450000}"/>
    <cellStyle name="20% - Accent6 8 3 3 6" xfId="23184" xr:uid="{00000000-0005-0000-0000-0000F6450000}"/>
    <cellStyle name="20% - Accent6 8 3 4" xfId="4007" xr:uid="{00000000-0005-0000-0000-0000F7450000}"/>
    <cellStyle name="20% - Accent6 8 3 4 2" xfId="15190" xr:uid="{00000000-0005-0000-0000-0000F8450000}"/>
    <cellStyle name="20% - Accent6 8 3 4 2 2" xfId="27047" xr:uid="{00000000-0005-0000-0000-0000F9450000}"/>
    <cellStyle name="20% - Accent6 8 3 4 3" xfId="19141" xr:uid="{00000000-0005-0000-0000-0000FA450000}"/>
    <cellStyle name="20% - Accent6 8 3 4 3 2" xfId="30833" xr:uid="{00000000-0005-0000-0000-0000FB450000}"/>
    <cellStyle name="20% - Accent6 8 3 4 4" xfId="23187" xr:uid="{00000000-0005-0000-0000-0000FC450000}"/>
    <cellStyle name="20% - Accent6 8 3 5" xfId="4008" xr:uid="{00000000-0005-0000-0000-0000FD450000}"/>
    <cellStyle name="20% - Accent6 8 3 5 2" xfId="15191" xr:uid="{00000000-0005-0000-0000-0000FE450000}"/>
    <cellStyle name="20% - Accent6 8 3 5 2 2" xfId="27048" xr:uid="{00000000-0005-0000-0000-0000FF450000}"/>
    <cellStyle name="20% - Accent6 8 3 5 3" xfId="19142" xr:uid="{00000000-0005-0000-0000-000000460000}"/>
    <cellStyle name="20% - Accent6 8 3 5 3 2" xfId="30834" xr:uid="{00000000-0005-0000-0000-000001460000}"/>
    <cellStyle name="20% - Accent6 8 3 5 4" xfId="23188" xr:uid="{00000000-0005-0000-0000-000002460000}"/>
    <cellStyle name="20% - Accent6 8 3 6" xfId="15183" xr:uid="{00000000-0005-0000-0000-000003460000}"/>
    <cellStyle name="20% - Accent6 8 3 6 2" xfId="27040" xr:uid="{00000000-0005-0000-0000-000004460000}"/>
    <cellStyle name="20% - Accent6 8 3 7" xfId="19134" xr:uid="{00000000-0005-0000-0000-000005460000}"/>
    <cellStyle name="20% - Accent6 8 3 7 2" xfId="30826" xr:uid="{00000000-0005-0000-0000-000006460000}"/>
    <cellStyle name="20% - Accent6 8 3 8" xfId="23180" xr:uid="{00000000-0005-0000-0000-000007460000}"/>
    <cellStyle name="20% - Accent6 8 3_Volatility" xfId="4009" xr:uid="{00000000-0005-0000-0000-000008460000}"/>
    <cellStyle name="20% - Accent6 8 4" xfId="4010" xr:uid="{00000000-0005-0000-0000-000009460000}"/>
    <cellStyle name="20% - Accent6 8 4 2" xfId="4011" xr:uid="{00000000-0005-0000-0000-00000A460000}"/>
    <cellStyle name="20% - Accent6 8 4 2 2" xfId="15193" xr:uid="{00000000-0005-0000-0000-00000B460000}"/>
    <cellStyle name="20% - Accent6 8 4 2 2 2" xfId="27050" xr:uid="{00000000-0005-0000-0000-00000C460000}"/>
    <cellStyle name="20% - Accent6 8 4 2 3" xfId="19144" xr:uid="{00000000-0005-0000-0000-00000D460000}"/>
    <cellStyle name="20% - Accent6 8 4 2 3 2" xfId="30836" xr:uid="{00000000-0005-0000-0000-00000E460000}"/>
    <cellStyle name="20% - Accent6 8 4 2 4" xfId="23190" xr:uid="{00000000-0005-0000-0000-00000F460000}"/>
    <cellStyle name="20% - Accent6 8 4 3" xfId="4012" xr:uid="{00000000-0005-0000-0000-000010460000}"/>
    <cellStyle name="20% - Accent6 8 4 3 2" xfId="15194" xr:uid="{00000000-0005-0000-0000-000011460000}"/>
    <cellStyle name="20% - Accent6 8 4 3 2 2" xfId="27051" xr:uid="{00000000-0005-0000-0000-000012460000}"/>
    <cellStyle name="20% - Accent6 8 4 3 3" xfId="19145" xr:uid="{00000000-0005-0000-0000-000013460000}"/>
    <cellStyle name="20% - Accent6 8 4 3 3 2" xfId="30837" xr:uid="{00000000-0005-0000-0000-000014460000}"/>
    <cellStyle name="20% - Accent6 8 4 3 4" xfId="23191" xr:uid="{00000000-0005-0000-0000-000015460000}"/>
    <cellStyle name="20% - Accent6 8 4 4" xfId="15192" xr:uid="{00000000-0005-0000-0000-000016460000}"/>
    <cellStyle name="20% - Accent6 8 4 4 2" xfId="27049" xr:uid="{00000000-0005-0000-0000-000017460000}"/>
    <cellStyle name="20% - Accent6 8 4 5" xfId="19143" xr:uid="{00000000-0005-0000-0000-000018460000}"/>
    <cellStyle name="20% - Accent6 8 4 5 2" xfId="30835" xr:uid="{00000000-0005-0000-0000-000019460000}"/>
    <cellStyle name="20% - Accent6 8 4 6" xfId="23189" xr:uid="{00000000-0005-0000-0000-00001A460000}"/>
    <cellStyle name="20% - Accent6 8 5" xfId="4013" xr:uid="{00000000-0005-0000-0000-00001B460000}"/>
    <cellStyle name="20% - Accent6 8 5 2" xfId="4014" xr:uid="{00000000-0005-0000-0000-00001C460000}"/>
    <cellStyle name="20% - Accent6 8 5 2 2" xfId="15196" xr:uid="{00000000-0005-0000-0000-00001D460000}"/>
    <cellStyle name="20% - Accent6 8 5 2 2 2" xfId="27053" xr:uid="{00000000-0005-0000-0000-00001E460000}"/>
    <cellStyle name="20% - Accent6 8 5 2 3" xfId="19147" xr:uid="{00000000-0005-0000-0000-00001F460000}"/>
    <cellStyle name="20% - Accent6 8 5 2 3 2" xfId="30839" xr:uid="{00000000-0005-0000-0000-000020460000}"/>
    <cellStyle name="20% - Accent6 8 5 2 4" xfId="23193" xr:uid="{00000000-0005-0000-0000-000021460000}"/>
    <cellStyle name="20% - Accent6 8 5 3" xfId="4015" xr:uid="{00000000-0005-0000-0000-000022460000}"/>
    <cellStyle name="20% - Accent6 8 5 3 2" xfId="15197" xr:uid="{00000000-0005-0000-0000-000023460000}"/>
    <cellStyle name="20% - Accent6 8 5 3 2 2" xfId="27054" xr:uid="{00000000-0005-0000-0000-000024460000}"/>
    <cellStyle name="20% - Accent6 8 5 3 3" xfId="19148" xr:uid="{00000000-0005-0000-0000-000025460000}"/>
    <cellStyle name="20% - Accent6 8 5 3 3 2" xfId="30840" xr:uid="{00000000-0005-0000-0000-000026460000}"/>
    <cellStyle name="20% - Accent6 8 5 3 4" xfId="23194" xr:uid="{00000000-0005-0000-0000-000027460000}"/>
    <cellStyle name="20% - Accent6 8 5 4" xfId="15195" xr:uid="{00000000-0005-0000-0000-000028460000}"/>
    <cellStyle name="20% - Accent6 8 5 4 2" xfId="27052" xr:uid="{00000000-0005-0000-0000-000029460000}"/>
    <cellStyle name="20% - Accent6 8 5 5" xfId="19146" xr:uid="{00000000-0005-0000-0000-00002A460000}"/>
    <cellStyle name="20% - Accent6 8 5 5 2" xfId="30838" xr:uid="{00000000-0005-0000-0000-00002B460000}"/>
    <cellStyle name="20% - Accent6 8 5 6" xfId="23192" xr:uid="{00000000-0005-0000-0000-00002C460000}"/>
    <cellStyle name="20% - Accent6 8 6" xfId="4016" xr:uid="{00000000-0005-0000-0000-00002D460000}"/>
    <cellStyle name="20% - Accent6 8 6 2" xfId="4017" xr:uid="{00000000-0005-0000-0000-00002E460000}"/>
    <cellStyle name="20% - Accent6 8 6 2 2" xfId="15199" xr:uid="{00000000-0005-0000-0000-00002F460000}"/>
    <cellStyle name="20% - Accent6 8 6 2 2 2" xfId="27056" xr:uid="{00000000-0005-0000-0000-000030460000}"/>
    <cellStyle name="20% - Accent6 8 6 2 3" xfId="19150" xr:uid="{00000000-0005-0000-0000-000031460000}"/>
    <cellStyle name="20% - Accent6 8 6 2 3 2" xfId="30842" xr:uid="{00000000-0005-0000-0000-000032460000}"/>
    <cellStyle name="20% - Accent6 8 6 2 4" xfId="23196" xr:uid="{00000000-0005-0000-0000-000033460000}"/>
    <cellStyle name="20% - Accent6 8 6 3" xfId="4018" xr:uid="{00000000-0005-0000-0000-000034460000}"/>
    <cellStyle name="20% - Accent6 8 6 3 2" xfId="15200" xr:uid="{00000000-0005-0000-0000-000035460000}"/>
    <cellStyle name="20% - Accent6 8 6 3 2 2" xfId="27057" xr:uid="{00000000-0005-0000-0000-000036460000}"/>
    <cellStyle name="20% - Accent6 8 6 3 3" xfId="19151" xr:uid="{00000000-0005-0000-0000-000037460000}"/>
    <cellStyle name="20% - Accent6 8 6 3 3 2" xfId="30843" xr:uid="{00000000-0005-0000-0000-000038460000}"/>
    <cellStyle name="20% - Accent6 8 6 3 4" xfId="23197" xr:uid="{00000000-0005-0000-0000-000039460000}"/>
    <cellStyle name="20% - Accent6 8 6 4" xfId="15198" xr:uid="{00000000-0005-0000-0000-00003A460000}"/>
    <cellStyle name="20% - Accent6 8 6 4 2" xfId="27055" xr:uid="{00000000-0005-0000-0000-00003B460000}"/>
    <cellStyle name="20% - Accent6 8 6 5" xfId="19149" xr:uid="{00000000-0005-0000-0000-00003C460000}"/>
    <cellStyle name="20% - Accent6 8 6 5 2" xfId="30841" xr:uid="{00000000-0005-0000-0000-00003D460000}"/>
    <cellStyle name="20% - Accent6 8 6 6" xfId="23195" xr:uid="{00000000-0005-0000-0000-00003E460000}"/>
    <cellStyle name="20% - Accent6 8 7" xfId="4019" xr:uid="{00000000-0005-0000-0000-00003F460000}"/>
    <cellStyle name="20% - Accent6 8 7 2" xfId="15201" xr:uid="{00000000-0005-0000-0000-000040460000}"/>
    <cellStyle name="20% - Accent6 8 7 2 2" xfId="27058" xr:uid="{00000000-0005-0000-0000-000041460000}"/>
    <cellStyle name="20% - Accent6 8 7 3" xfId="19152" xr:uid="{00000000-0005-0000-0000-000042460000}"/>
    <cellStyle name="20% - Accent6 8 7 3 2" xfId="30844" xr:uid="{00000000-0005-0000-0000-000043460000}"/>
    <cellStyle name="20% - Accent6 8 7 4" xfId="23198" xr:uid="{00000000-0005-0000-0000-000044460000}"/>
    <cellStyle name="20% - Accent6 8 8" xfId="4020" xr:uid="{00000000-0005-0000-0000-000045460000}"/>
    <cellStyle name="20% - Accent6 8 8 2" xfId="15202" xr:uid="{00000000-0005-0000-0000-000046460000}"/>
    <cellStyle name="20% - Accent6 8 8 2 2" xfId="27059" xr:uid="{00000000-0005-0000-0000-000047460000}"/>
    <cellStyle name="20% - Accent6 8 8 3" xfId="19153" xr:uid="{00000000-0005-0000-0000-000048460000}"/>
    <cellStyle name="20% - Accent6 8 8 3 2" xfId="30845" xr:uid="{00000000-0005-0000-0000-000049460000}"/>
    <cellStyle name="20% - Accent6 8 8 4" xfId="23199" xr:uid="{00000000-0005-0000-0000-00004A460000}"/>
    <cellStyle name="20% - Accent6 8 9" xfId="15170" xr:uid="{00000000-0005-0000-0000-00004B460000}"/>
    <cellStyle name="20% - Accent6 8 9 2" xfId="27027" xr:uid="{00000000-0005-0000-0000-00004C460000}"/>
    <cellStyle name="20% - Accent6 8_Volatility" xfId="4021" xr:uid="{00000000-0005-0000-0000-00004D460000}"/>
    <cellStyle name="20% - Accent6 9" xfId="4022" xr:uid="{00000000-0005-0000-0000-00004E460000}"/>
    <cellStyle name="20% - Accent6 9 10" xfId="19154" xr:uid="{00000000-0005-0000-0000-00004F460000}"/>
    <cellStyle name="20% - Accent6 9 10 2" xfId="30846" xr:uid="{00000000-0005-0000-0000-000050460000}"/>
    <cellStyle name="20% - Accent6 9 11" xfId="23200" xr:uid="{00000000-0005-0000-0000-000051460000}"/>
    <cellStyle name="20% - Accent6 9 2" xfId="4023" xr:uid="{00000000-0005-0000-0000-000052460000}"/>
    <cellStyle name="20% - Accent6 9 2 2" xfId="4024" xr:uid="{00000000-0005-0000-0000-000053460000}"/>
    <cellStyle name="20% - Accent6 9 2 2 2" xfId="4025" xr:uid="{00000000-0005-0000-0000-000054460000}"/>
    <cellStyle name="20% - Accent6 9 2 2 2 2" xfId="15206" xr:uid="{00000000-0005-0000-0000-000055460000}"/>
    <cellStyle name="20% - Accent6 9 2 2 2 2 2" xfId="27063" xr:uid="{00000000-0005-0000-0000-000056460000}"/>
    <cellStyle name="20% - Accent6 9 2 2 2 3" xfId="19157" xr:uid="{00000000-0005-0000-0000-000057460000}"/>
    <cellStyle name="20% - Accent6 9 2 2 2 3 2" xfId="30849" xr:uid="{00000000-0005-0000-0000-000058460000}"/>
    <cellStyle name="20% - Accent6 9 2 2 2 4" xfId="23203" xr:uid="{00000000-0005-0000-0000-000059460000}"/>
    <cellStyle name="20% - Accent6 9 2 2 3" xfId="4026" xr:uid="{00000000-0005-0000-0000-00005A460000}"/>
    <cellStyle name="20% - Accent6 9 2 2 3 2" xfId="15207" xr:uid="{00000000-0005-0000-0000-00005B460000}"/>
    <cellStyle name="20% - Accent6 9 2 2 3 2 2" xfId="27064" xr:uid="{00000000-0005-0000-0000-00005C460000}"/>
    <cellStyle name="20% - Accent6 9 2 2 3 3" xfId="19158" xr:uid="{00000000-0005-0000-0000-00005D460000}"/>
    <cellStyle name="20% - Accent6 9 2 2 3 3 2" xfId="30850" xr:uid="{00000000-0005-0000-0000-00005E460000}"/>
    <cellStyle name="20% - Accent6 9 2 2 3 4" xfId="23204" xr:uid="{00000000-0005-0000-0000-00005F460000}"/>
    <cellStyle name="20% - Accent6 9 2 2 4" xfId="15205" xr:uid="{00000000-0005-0000-0000-000060460000}"/>
    <cellStyle name="20% - Accent6 9 2 2 4 2" xfId="27062" xr:uid="{00000000-0005-0000-0000-000061460000}"/>
    <cellStyle name="20% - Accent6 9 2 2 5" xfId="19156" xr:uid="{00000000-0005-0000-0000-000062460000}"/>
    <cellStyle name="20% - Accent6 9 2 2 5 2" xfId="30848" xr:uid="{00000000-0005-0000-0000-000063460000}"/>
    <cellStyle name="20% - Accent6 9 2 2 6" xfId="23202" xr:uid="{00000000-0005-0000-0000-000064460000}"/>
    <cellStyle name="20% - Accent6 9 2 3" xfId="4027" xr:uid="{00000000-0005-0000-0000-000065460000}"/>
    <cellStyle name="20% - Accent6 9 2 3 2" xfId="4028" xr:uid="{00000000-0005-0000-0000-000066460000}"/>
    <cellStyle name="20% - Accent6 9 2 3 2 2" xfId="15209" xr:uid="{00000000-0005-0000-0000-000067460000}"/>
    <cellStyle name="20% - Accent6 9 2 3 2 2 2" xfId="27066" xr:uid="{00000000-0005-0000-0000-000068460000}"/>
    <cellStyle name="20% - Accent6 9 2 3 2 3" xfId="19160" xr:uid="{00000000-0005-0000-0000-000069460000}"/>
    <cellStyle name="20% - Accent6 9 2 3 2 3 2" xfId="30852" xr:uid="{00000000-0005-0000-0000-00006A460000}"/>
    <cellStyle name="20% - Accent6 9 2 3 2 4" xfId="23206" xr:uid="{00000000-0005-0000-0000-00006B460000}"/>
    <cellStyle name="20% - Accent6 9 2 3 3" xfId="4029" xr:uid="{00000000-0005-0000-0000-00006C460000}"/>
    <cellStyle name="20% - Accent6 9 2 3 3 2" xfId="15210" xr:uid="{00000000-0005-0000-0000-00006D460000}"/>
    <cellStyle name="20% - Accent6 9 2 3 3 2 2" xfId="27067" xr:uid="{00000000-0005-0000-0000-00006E460000}"/>
    <cellStyle name="20% - Accent6 9 2 3 3 3" xfId="19161" xr:uid="{00000000-0005-0000-0000-00006F460000}"/>
    <cellStyle name="20% - Accent6 9 2 3 3 3 2" xfId="30853" xr:uid="{00000000-0005-0000-0000-000070460000}"/>
    <cellStyle name="20% - Accent6 9 2 3 3 4" xfId="23207" xr:uid="{00000000-0005-0000-0000-000071460000}"/>
    <cellStyle name="20% - Accent6 9 2 3 4" xfId="15208" xr:uid="{00000000-0005-0000-0000-000072460000}"/>
    <cellStyle name="20% - Accent6 9 2 3 4 2" xfId="27065" xr:uid="{00000000-0005-0000-0000-000073460000}"/>
    <cellStyle name="20% - Accent6 9 2 3 5" xfId="19159" xr:uid="{00000000-0005-0000-0000-000074460000}"/>
    <cellStyle name="20% - Accent6 9 2 3 5 2" xfId="30851" xr:uid="{00000000-0005-0000-0000-000075460000}"/>
    <cellStyle name="20% - Accent6 9 2 3 6" xfId="23205" xr:uid="{00000000-0005-0000-0000-000076460000}"/>
    <cellStyle name="20% - Accent6 9 2 4" xfId="4030" xr:uid="{00000000-0005-0000-0000-000077460000}"/>
    <cellStyle name="20% - Accent6 9 2 4 2" xfId="4031" xr:uid="{00000000-0005-0000-0000-000078460000}"/>
    <cellStyle name="20% - Accent6 9 2 4 2 2" xfId="15212" xr:uid="{00000000-0005-0000-0000-000079460000}"/>
    <cellStyle name="20% - Accent6 9 2 4 2 2 2" xfId="27069" xr:uid="{00000000-0005-0000-0000-00007A460000}"/>
    <cellStyle name="20% - Accent6 9 2 4 2 3" xfId="19163" xr:uid="{00000000-0005-0000-0000-00007B460000}"/>
    <cellStyle name="20% - Accent6 9 2 4 2 3 2" xfId="30855" xr:uid="{00000000-0005-0000-0000-00007C460000}"/>
    <cellStyle name="20% - Accent6 9 2 4 2 4" xfId="23209" xr:uid="{00000000-0005-0000-0000-00007D460000}"/>
    <cellStyle name="20% - Accent6 9 2 4 3" xfId="4032" xr:uid="{00000000-0005-0000-0000-00007E460000}"/>
    <cellStyle name="20% - Accent6 9 2 4 3 2" xfId="15213" xr:uid="{00000000-0005-0000-0000-00007F460000}"/>
    <cellStyle name="20% - Accent6 9 2 4 3 2 2" xfId="27070" xr:uid="{00000000-0005-0000-0000-000080460000}"/>
    <cellStyle name="20% - Accent6 9 2 4 3 3" xfId="19164" xr:uid="{00000000-0005-0000-0000-000081460000}"/>
    <cellStyle name="20% - Accent6 9 2 4 3 3 2" xfId="30856" xr:uid="{00000000-0005-0000-0000-000082460000}"/>
    <cellStyle name="20% - Accent6 9 2 4 3 4" xfId="23210" xr:uid="{00000000-0005-0000-0000-000083460000}"/>
    <cellStyle name="20% - Accent6 9 2 4 4" xfId="15211" xr:uid="{00000000-0005-0000-0000-000084460000}"/>
    <cellStyle name="20% - Accent6 9 2 4 4 2" xfId="27068" xr:uid="{00000000-0005-0000-0000-000085460000}"/>
    <cellStyle name="20% - Accent6 9 2 4 5" xfId="19162" xr:uid="{00000000-0005-0000-0000-000086460000}"/>
    <cellStyle name="20% - Accent6 9 2 4 5 2" xfId="30854" xr:uid="{00000000-0005-0000-0000-000087460000}"/>
    <cellStyle name="20% - Accent6 9 2 4 6" xfId="23208" xr:uid="{00000000-0005-0000-0000-000088460000}"/>
    <cellStyle name="20% - Accent6 9 2 5" xfId="4033" xr:uid="{00000000-0005-0000-0000-000089460000}"/>
    <cellStyle name="20% - Accent6 9 2 5 2" xfId="15214" xr:uid="{00000000-0005-0000-0000-00008A460000}"/>
    <cellStyle name="20% - Accent6 9 2 5 2 2" xfId="27071" xr:uid="{00000000-0005-0000-0000-00008B460000}"/>
    <cellStyle name="20% - Accent6 9 2 5 3" xfId="19165" xr:uid="{00000000-0005-0000-0000-00008C460000}"/>
    <cellStyle name="20% - Accent6 9 2 5 3 2" xfId="30857" xr:uid="{00000000-0005-0000-0000-00008D460000}"/>
    <cellStyle name="20% - Accent6 9 2 5 4" xfId="23211" xr:uid="{00000000-0005-0000-0000-00008E460000}"/>
    <cellStyle name="20% - Accent6 9 2 6" xfId="4034" xr:uid="{00000000-0005-0000-0000-00008F460000}"/>
    <cellStyle name="20% - Accent6 9 2 6 2" xfId="15215" xr:uid="{00000000-0005-0000-0000-000090460000}"/>
    <cellStyle name="20% - Accent6 9 2 6 2 2" xfId="27072" xr:uid="{00000000-0005-0000-0000-000091460000}"/>
    <cellStyle name="20% - Accent6 9 2 6 3" xfId="19166" xr:uid="{00000000-0005-0000-0000-000092460000}"/>
    <cellStyle name="20% - Accent6 9 2 6 3 2" xfId="30858" xr:uid="{00000000-0005-0000-0000-000093460000}"/>
    <cellStyle name="20% - Accent6 9 2 6 4" xfId="23212" xr:uid="{00000000-0005-0000-0000-000094460000}"/>
    <cellStyle name="20% - Accent6 9 2 7" xfId="15204" xr:uid="{00000000-0005-0000-0000-000095460000}"/>
    <cellStyle name="20% - Accent6 9 2 7 2" xfId="27061" xr:uid="{00000000-0005-0000-0000-000096460000}"/>
    <cellStyle name="20% - Accent6 9 2 8" xfId="19155" xr:uid="{00000000-0005-0000-0000-000097460000}"/>
    <cellStyle name="20% - Accent6 9 2 8 2" xfId="30847" xr:uid="{00000000-0005-0000-0000-000098460000}"/>
    <cellStyle name="20% - Accent6 9 2 9" xfId="23201" xr:uid="{00000000-0005-0000-0000-000099460000}"/>
    <cellStyle name="20% - Accent6 9 2_Volatility" xfId="4035" xr:uid="{00000000-0005-0000-0000-00009A460000}"/>
    <cellStyle name="20% - Accent6 9 3" xfId="4036" xr:uid="{00000000-0005-0000-0000-00009B460000}"/>
    <cellStyle name="20% - Accent6 9 3 2" xfId="4037" xr:uid="{00000000-0005-0000-0000-00009C460000}"/>
    <cellStyle name="20% - Accent6 9 3 2 2" xfId="4038" xr:uid="{00000000-0005-0000-0000-00009D460000}"/>
    <cellStyle name="20% - Accent6 9 3 2 2 2" xfId="15218" xr:uid="{00000000-0005-0000-0000-00009E460000}"/>
    <cellStyle name="20% - Accent6 9 3 2 2 2 2" xfId="27075" xr:uid="{00000000-0005-0000-0000-00009F460000}"/>
    <cellStyle name="20% - Accent6 9 3 2 2 3" xfId="19169" xr:uid="{00000000-0005-0000-0000-0000A0460000}"/>
    <cellStyle name="20% - Accent6 9 3 2 2 3 2" xfId="30861" xr:uid="{00000000-0005-0000-0000-0000A1460000}"/>
    <cellStyle name="20% - Accent6 9 3 2 2 4" xfId="23215" xr:uid="{00000000-0005-0000-0000-0000A2460000}"/>
    <cellStyle name="20% - Accent6 9 3 2 3" xfId="4039" xr:uid="{00000000-0005-0000-0000-0000A3460000}"/>
    <cellStyle name="20% - Accent6 9 3 2 3 2" xfId="15219" xr:uid="{00000000-0005-0000-0000-0000A4460000}"/>
    <cellStyle name="20% - Accent6 9 3 2 3 2 2" xfId="27076" xr:uid="{00000000-0005-0000-0000-0000A5460000}"/>
    <cellStyle name="20% - Accent6 9 3 2 3 3" xfId="19170" xr:uid="{00000000-0005-0000-0000-0000A6460000}"/>
    <cellStyle name="20% - Accent6 9 3 2 3 3 2" xfId="30862" xr:uid="{00000000-0005-0000-0000-0000A7460000}"/>
    <cellStyle name="20% - Accent6 9 3 2 3 4" xfId="23216" xr:uid="{00000000-0005-0000-0000-0000A8460000}"/>
    <cellStyle name="20% - Accent6 9 3 2 4" xfId="15217" xr:uid="{00000000-0005-0000-0000-0000A9460000}"/>
    <cellStyle name="20% - Accent6 9 3 2 4 2" xfId="27074" xr:uid="{00000000-0005-0000-0000-0000AA460000}"/>
    <cellStyle name="20% - Accent6 9 3 2 5" xfId="19168" xr:uid="{00000000-0005-0000-0000-0000AB460000}"/>
    <cellStyle name="20% - Accent6 9 3 2 5 2" xfId="30860" xr:uid="{00000000-0005-0000-0000-0000AC460000}"/>
    <cellStyle name="20% - Accent6 9 3 2 6" xfId="23214" xr:uid="{00000000-0005-0000-0000-0000AD460000}"/>
    <cellStyle name="20% - Accent6 9 3 3" xfId="4040" xr:uid="{00000000-0005-0000-0000-0000AE460000}"/>
    <cellStyle name="20% - Accent6 9 3 3 2" xfId="4041" xr:uid="{00000000-0005-0000-0000-0000AF460000}"/>
    <cellStyle name="20% - Accent6 9 3 3 2 2" xfId="15221" xr:uid="{00000000-0005-0000-0000-0000B0460000}"/>
    <cellStyle name="20% - Accent6 9 3 3 2 2 2" xfId="27078" xr:uid="{00000000-0005-0000-0000-0000B1460000}"/>
    <cellStyle name="20% - Accent6 9 3 3 2 3" xfId="19172" xr:uid="{00000000-0005-0000-0000-0000B2460000}"/>
    <cellStyle name="20% - Accent6 9 3 3 2 3 2" xfId="30864" xr:uid="{00000000-0005-0000-0000-0000B3460000}"/>
    <cellStyle name="20% - Accent6 9 3 3 2 4" xfId="23218" xr:uid="{00000000-0005-0000-0000-0000B4460000}"/>
    <cellStyle name="20% - Accent6 9 3 3 3" xfId="4042" xr:uid="{00000000-0005-0000-0000-0000B5460000}"/>
    <cellStyle name="20% - Accent6 9 3 3 3 2" xfId="15222" xr:uid="{00000000-0005-0000-0000-0000B6460000}"/>
    <cellStyle name="20% - Accent6 9 3 3 3 2 2" xfId="27079" xr:uid="{00000000-0005-0000-0000-0000B7460000}"/>
    <cellStyle name="20% - Accent6 9 3 3 3 3" xfId="19173" xr:uid="{00000000-0005-0000-0000-0000B8460000}"/>
    <cellStyle name="20% - Accent6 9 3 3 3 3 2" xfId="30865" xr:uid="{00000000-0005-0000-0000-0000B9460000}"/>
    <cellStyle name="20% - Accent6 9 3 3 3 4" xfId="23219" xr:uid="{00000000-0005-0000-0000-0000BA460000}"/>
    <cellStyle name="20% - Accent6 9 3 3 4" xfId="15220" xr:uid="{00000000-0005-0000-0000-0000BB460000}"/>
    <cellStyle name="20% - Accent6 9 3 3 4 2" xfId="27077" xr:uid="{00000000-0005-0000-0000-0000BC460000}"/>
    <cellStyle name="20% - Accent6 9 3 3 5" xfId="19171" xr:uid="{00000000-0005-0000-0000-0000BD460000}"/>
    <cellStyle name="20% - Accent6 9 3 3 5 2" xfId="30863" xr:uid="{00000000-0005-0000-0000-0000BE460000}"/>
    <cellStyle name="20% - Accent6 9 3 3 6" xfId="23217" xr:uid="{00000000-0005-0000-0000-0000BF460000}"/>
    <cellStyle name="20% - Accent6 9 3 4" xfId="4043" xr:uid="{00000000-0005-0000-0000-0000C0460000}"/>
    <cellStyle name="20% - Accent6 9 3 4 2" xfId="15223" xr:uid="{00000000-0005-0000-0000-0000C1460000}"/>
    <cellStyle name="20% - Accent6 9 3 4 2 2" xfId="27080" xr:uid="{00000000-0005-0000-0000-0000C2460000}"/>
    <cellStyle name="20% - Accent6 9 3 4 3" xfId="19174" xr:uid="{00000000-0005-0000-0000-0000C3460000}"/>
    <cellStyle name="20% - Accent6 9 3 4 3 2" xfId="30866" xr:uid="{00000000-0005-0000-0000-0000C4460000}"/>
    <cellStyle name="20% - Accent6 9 3 4 4" xfId="23220" xr:uid="{00000000-0005-0000-0000-0000C5460000}"/>
    <cellStyle name="20% - Accent6 9 3 5" xfId="4044" xr:uid="{00000000-0005-0000-0000-0000C6460000}"/>
    <cellStyle name="20% - Accent6 9 3 5 2" xfId="15224" xr:uid="{00000000-0005-0000-0000-0000C7460000}"/>
    <cellStyle name="20% - Accent6 9 3 5 2 2" xfId="27081" xr:uid="{00000000-0005-0000-0000-0000C8460000}"/>
    <cellStyle name="20% - Accent6 9 3 5 3" xfId="19175" xr:uid="{00000000-0005-0000-0000-0000C9460000}"/>
    <cellStyle name="20% - Accent6 9 3 5 3 2" xfId="30867" xr:uid="{00000000-0005-0000-0000-0000CA460000}"/>
    <cellStyle name="20% - Accent6 9 3 5 4" xfId="23221" xr:uid="{00000000-0005-0000-0000-0000CB460000}"/>
    <cellStyle name="20% - Accent6 9 3 6" xfId="15216" xr:uid="{00000000-0005-0000-0000-0000CC460000}"/>
    <cellStyle name="20% - Accent6 9 3 6 2" xfId="27073" xr:uid="{00000000-0005-0000-0000-0000CD460000}"/>
    <cellStyle name="20% - Accent6 9 3 7" xfId="19167" xr:uid="{00000000-0005-0000-0000-0000CE460000}"/>
    <cellStyle name="20% - Accent6 9 3 7 2" xfId="30859" xr:uid="{00000000-0005-0000-0000-0000CF460000}"/>
    <cellStyle name="20% - Accent6 9 3 8" xfId="23213" xr:uid="{00000000-0005-0000-0000-0000D0460000}"/>
    <cellStyle name="20% - Accent6 9 3_Volatility" xfId="4045" xr:uid="{00000000-0005-0000-0000-0000D1460000}"/>
    <cellStyle name="20% - Accent6 9 4" xfId="4046" xr:uid="{00000000-0005-0000-0000-0000D2460000}"/>
    <cellStyle name="20% - Accent6 9 4 2" xfId="4047" xr:uid="{00000000-0005-0000-0000-0000D3460000}"/>
    <cellStyle name="20% - Accent6 9 4 2 2" xfId="15226" xr:uid="{00000000-0005-0000-0000-0000D4460000}"/>
    <cellStyle name="20% - Accent6 9 4 2 2 2" xfId="27083" xr:uid="{00000000-0005-0000-0000-0000D5460000}"/>
    <cellStyle name="20% - Accent6 9 4 2 3" xfId="19177" xr:uid="{00000000-0005-0000-0000-0000D6460000}"/>
    <cellStyle name="20% - Accent6 9 4 2 3 2" xfId="30869" xr:uid="{00000000-0005-0000-0000-0000D7460000}"/>
    <cellStyle name="20% - Accent6 9 4 2 4" xfId="23223" xr:uid="{00000000-0005-0000-0000-0000D8460000}"/>
    <cellStyle name="20% - Accent6 9 4 3" xfId="4048" xr:uid="{00000000-0005-0000-0000-0000D9460000}"/>
    <cellStyle name="20% - Accent6 9 4 3 2" xfId="15227" xr:uid="{00000000-0005-0000-0000-0000DA460000}"/>
    <cellStyle name="20% - Accent6 9 4 3 2 2" xfId="27084" xr:uid="{00000000-0005-0000-0000-0000DB460000}"/>
    <cellStyle name="20% - Accent6 9 4 3 3" xfId="19178" xr:uid="{00000000-0005-0000-0000-0000DC460000}"/>
    <cellStyle name="20% - Accent6 9 4 3 3 2" xfId="30870" xr:uid="{00000000-0005-0000-0000-0000DD460000}"/>
    <cellStyle name="20% - Accent6 9 4 3 4" xfId="23224" xr:uid="{00000000-0005-0000-0000-0000DE460000}"/>
    <cellStyle name="20% - Accent6 9 4 4" xfId="15225" xr:uid="{00000000-0005-0000-0000-0000DF460000}"/>
    <cellStyle name="20% - Accent6 9 4 4 2" xfId="27082" xr:uid="{00000000-0005-0000-0000-0000E0460000}"/>
    <cellStyle name="20% - Accent6 9 4 5" xfId="19176" xr:uid="{00000000-0005-0000-0000-0000E1460000}"/>
    <cellStyle name="20% - Accent6 9 4 5 2" xfId="30868" xr:uid="{00000000-0005-0000-0000-0000E2460000}"/>
    <cellStyle name="20% - Accent6 9 4 6" xfId="23222" xr:uid="{00000000-0005-0000-0000-0000E3460000}"/>
    <cellStyle name="20% - Accent6 9 5" xfId="4049" xr:uid="{00000000-0005-0000-0000-0000E4460000}"/>
    <cellStyle name="20% - Accent6 9 5 2" xfId="4050" xr:uid="{00000000-0005-0000-0000-0000E5460000}"/>
    <cellStyle name="20% - Accent6 9 5 2 2" xfId="15229" xr:uid="{00000000-0005-0000-0000-0000E6460000}"/>
    <cellStyle name="20% - Accent6 9 5 2 2 2" xfId="27086" xr:uid="{00000000-0005-0000-0000-0000E7460000}"/>
    <cellStyle name="20% - Accent6 9 5 2 3" xfId="19180" xr:uid="{00000000-0005-0000-0000-0000E8460000}"/>
    <cellStyle name="20% - Accent6 9 5 2 3 2" xfId="30872" xr:uid="{00000000-0005-0000-0000-0000E9460000}"/>
    <cellStyle name="20% - Accent6 9 5 2 4" xfId="23226" xr:uid="{00000000-0005-0000-0000-0000EA460000}"/>
    <cellStyle name="20% - Accent6 9 5 3" xfId="4051" xr:uid="{00000000-0005-0000-0000-0000EB460000}"/>
    <cellStyle name="20% - Accent6 9 5 3 2" xfId="15230" xr:uid="{00000000-0005-0000-0000-0000EC460000}"/>
    <cellStyle name="20% - Accent6 9 5 3 2 2" xfId="27087" xr:uid="{00000000-0005-0000-0000-0000ED460000}"/>
    <cellStyle name="20% - Accent6 9 5 3 3" xfId="19181" xr:uid="{00000000-0005-0000-0000-0000EE460000}"/>
    <cellStyle name="20% - Accent6 9 5 3 3 2" xfId="30873" xr:uid="{00000000-0005-0000-0000-0000EF460000}"/>
    <cellStyle name="20% - Accent6 9 5 3 4" xfId="23227" xr:uid="{00000000-0005-0000-0000-0000F0460000}"/>
    <cellStyle name="20% - Accent6 9 5 4" xfId="15228" xr:uid="{00000000-0005-0000-0000-0000F1460000}"/>
    <cellStyle name="20% - Accent6 9 5 4 2" xfId="27085" xr:uid="{00000000-0005-0000-0000-0000F2460000}"/>
    <cellStyle name="20% - Accent6 9 5 5" xfId="19179" xr:uid="{00000000-0005-0000-0000-0000F3460000}"/>
    <cellStyle name="20% - Accent6 9 5 5 2" xfId="30871" xr:uid="{00000000-0005-0000-0000-0000F4460000}"/>
    <cellStyle name="20% - Accent6 9 5 6" xfId="23225" xr:uid="{00000000-0005-0000-0000-0000F5460000}"/>
    <cellStyle name="20% - Accent6 9 6" xfId="4052" xr:uid="{00000000-0005-0000-0000-0000F6460000}"/>
    <cellStyle name="20% - Accent6 9 6 2" xfId="4053" xr:uid="{00000000-0005-0000-0000-0000F7460000}"/>
    <cellStyle name="20% - Accent6 9 6 2 2" xfId="15232" xr:uid="{00000000-0005-0000-0000-0000F8460000}"/>
    <cellStyle name="20% - Accent6 9 6 2 2 2" xfId="27089" xr:uid="{00000000-0005-0000-0000-0000F9460000}"/>
    <cellStyle name="20% - Accent6 9 6 2 3" xfId="19183" xr:uid="{00000000-0005-0000-0000-0000FA460000}"/>
    <cellStyle name="20% - Accent6 9 6 2 3 2" xfId="30875" xr:uid="{00000000-0005-0000-0000-0000FB460000}"/>
    <cellStyle name="20% - Accent6 9 6 2 4" xfId="23229" xr:uid="{00000000-0005-0000-0000-0000FC460000}"/>
    <cellStyle name="20% - Accent6 9 6 3" xfId="4054" xr:uid="{00000000-0005-0000-0000-0000FD460000}"/>
    <cellStyle name="20% - Accent6 9 6 3 2" xfId="15233" xr:uid="{00000000-0005-0000-0000-0000FE460000}"/>
    <cellStyle name="20% - Accent6 9 6 3 2 2" xfId="27090" xr:uid="{00000000-0005-0000-0000-0000FF460000}"/>
    <cellStyle name="20% - Accent6 9 6 3 3" xfId="19184" xr:uid="{00000000-0005-0000-0000-000000470000}"/>
    <cellStyle name="20% - Accent6 9 6 3 3 2" xfId="30876" xr:uid="{00000000-0005-0000-0000-000001470000}"/>
    <cellStyle name="20% - Accent6 9 6 3 4" xfId="23230" xr:uid="{00000000-0005-0000-0000-000002470000}"/>
    <cellStyle name="20% - Accent6 9 6 4" xfId="15231" xr:uid="{00000000-0005-0000-0000-000003470000}"/>
    <cellStyle name="20% - Accent6 9 6 4 2" xfId="27088" xr:uid="{00000000-0005-0000-0000-000004470000}"/>
    <cellStyle name="20% - Accent6 9 6 5" xfId="19182" xr:uid="{00000000-0005-0000-0000-000005470000}"/>
    <cellStyle name="20% - Accent6 9 6 5 2" xfId="30874" xr:uid="{00000000-0005-0000-0000-000006470000}"/>
    <cellStyle name="20% - Accent6 9 6 6" xfId="23228" xr:uid="{00000000-0005-0000-0000-000007470000}"/>
    <cellStyle name="20% - Accent6 9 7" xfId="4055" xr:uid="{00000000-0005-0000-0000-000008470000}"/>
    <cellStyle name="20% - Accent6 9 7 2" xfId="15234" xr:uid="{00000000-0005-0000-0000-000009470000}"/>
    <cellStyle name="20% - Accent6 9 7 2 2" xfId="27091" xr:uid="{00000000-0005-0000-0000-00000A470000}"/>
    <cellStyle name="20% - Accent6 9 7 3" xfId="19185" xr:uid="{00000000-0005-0000-0000-00000B470000}"/>
    <cellStyle name="20% - Accent6 9 7 3 2" xfId="30877" xr:uid="{00000000-0005-0000-0000-00000C470000}"/>
    <cellStyle name="20% - Accent6 9 7 4" xfId="23231" xr:uid="{00000000-0005-0000-0000-00000D470000}"/>
    <cellStyle name="20% - Accent6 9 8" xfId="4056" xr:uid="{00000000-0005-0000-0000-00000E470000}"/>
    <cellStyle name="20% - Accent6 9 8 2" xfId="15235" xr:uid="{00000000-0005-0000-0000-00000F470000}"/>
    <cellStyle name="20% - Accent6 9 8 2 2" xfId="27092" xr:uid="{00000000-0005-0000-0000-000010470000}"/>
    <cellStyle name="20% - Accent6 9 8 3" xfId="19186" xr:uid="{00000000-0005-0000-0000-000011470000}"/>
    <cellStyle name="20% - Accent6 9 8 3 2" xfId="30878" xr:uid="{00000000-0005-0000-0000-000012470000}"/>
    <cellStyle name="20% - Accent6 9 8 4" xfId="23232" xr:uid="{00000000-0005-0000-0000-000013470000}"/>
    <cellStyle name="20% - Accent6 9 9" xfId="15203" xr:uid="{00000000-0005-0000-0000-000014470000}"/>
    <cellStyle name="20% - Accent6 9 9 2" xfId="27060" xr:uid="{00000000-0005-0000-0000-000015470000}"/>
    <cellStyle name="20% - Accent6 9_Volatility" xfId="4057" xr:uid="{00000000-0005-0000-0000-000016470000}"/>
    <cellStyle name="20% - Ênfase1" xfId="4058" xr:uid="{00000000-0005-0000-0000-000017470000}"/>
    <cellStyle name="20% - Ênfase2" xfId="4059" xr:uid="{00000000-0005-0000-0000-000018470000}"/>
    <cellStyle name="20% - Ênfase3" xfId="4060" xr:uid="{00000000-0005-0000-0000-000019470000}"/>
    <cellStyle name="20% - Ênfase4" xfId="4061" xr:uid="{00000000-0005-0000-0000-00001A470000}"/>
    <cellStyle name="20% - Ênfase5" xfId="4062" xr:uid="{00000000-0005-0000-0000-00001B470000}"/>
    <cellStyle name="20% - Ênfase6" xfId="4063" xr:uid="{00000000-0005-0000-0000-00001C470000}"/>
    <cellStyle name="20% - Énfasis1" xfId="4064" xr:uid="{00000000-0005-0000-0000-00001D470000}"/>
    <cellStyle name="20% - Énfasis2" xfId="4065" xr:uid="{00000000-0005-0000-0000-00001E470000}"/>
    <cellStyle name="20% - Énfasis3" xfId="4066" xr:uid="{00000000-0005-0000-0000-00001F470000}"/>
    <cellStyle name="20% - Énfasis4" xfId="4067" xr:uid="{00000000-0005-0000-0000-000020470000}"/>
    <cellStyle name="20% - Énfasis5" xfId="4068" xr:uid="{00000000-0005-0000-0000-000021470000}"/>
    <cellStyle name="20% - Énfasis6" xfId="4069" xr:uid="{00000000-0005-0000-0000-000022470000}"/>
    <cellStyle name="20% - 강조색1" xfId="4070" xr:uid="{00000000-0005-0000-0000-000023470000}"/>
    <cellStyle name="20% - 강조색1 2" xfId="4071" xr:uid="{00000000-0005-0000-0000-000024470000}"/>
    <cellStyle name="20% - 강조색2" xfId="4072" xr:uid="{00000000-0005-0000-0000-000025470000}"/>
    <cellStyle name="20% - 강조색2 2" xfId="4073" xr:uid="{00000000-0005-0000-0000-000026470000}"/>
    <cellStyle name="20% - 강조색3" xfId="4074" xr:uid="{00000000-0005-0000-0000-000027470000}"/>
    <cellStyle name="20% - 강조색3 2" xfId="4075" xr:uid="{00000000-0005-0000-0000-000028470000}"/>
    <cellStyle name="20% - 강조색4" xfId="4076" xr:uid="{00000000-0005-0000-0000-000029470000}"/>
    <cellStyle name="20% - 강조색4 2" xfId="4077" xr:uid="{00000000-0005-0000-0000-00002A470000}"/>
    <cellStyle name="20% - 강조색5" xfId="4078" xr:uid="{00000000-0005-0000-0000-00002B470000}"/>
    <cellStyle name="20% - 강조색5 2" xfId="4079" xr:uid="{00000000-0005-0000-0000-00002C470000}"/>
    <cellStyle name="20% - 강조색6" xfId="4080" xr:uid="{00000000-0005-0000-0000-00002D470000}"/>
    <cellStyle name="20% - 강조색6 2" xfId="4081" xr:uid="{00000000-0005-0000-0000-00002E470000}"/>
    <cellStyle name="2DecimalPercent" xfId="4082" xr:uid="{00000000-0005-0000-0000-00002F470000}"/>
    <cellStyle name="2DecimalPercent 2" xfId="4083" xr:uid="{00000000-0005-0000-0000-000030470000}"/>
    <cellStyle name="2DecimalPercent 2 2" xfId="4084" xr:uid="{00000000-0005-0000-0000-000031470000}"/>
    <cellStyle name="2DecimalPercent 3" xfId="4085" xr:uid="{00000000-0005-0000-0000-000032470000}"/>
    <cellStyle name="2DecimalPercent 4" xfId="4086" xr:uid="{00000000-0005-0000-0000-000033470000}"/>
    <cellStyle name="2DecimalPercent 5" xfId="4087" xr:uid="{00000000-0005-0000-0000-000034470000}"/>
    <cellStyle name="2Decimals" xfId="4088" xr:uid="{00000000-0005-0000-0000-000035470000}"/>
    <cellStyle name="2Decimals 2" xfId="4089" xr:uid="{00000000-0005-0000-0000-000036470000}"/>
    <cellStyle name="2Decimals 2 2" xfId="4090" xr:uid="{00000000-0005-0000-0000-000037470000}"/>
    <cellStyle name="2Decimals 3" xfId="4091" xr:uid="{00000000-0005-0000-0000-000038470000}"/>
    <cellStyle name="2Decimals 4" xfId="4092" xr:uid="{00000000-0005-0000-0000-000039470000}"/>
    <cellStyle name="2Decimals 5" xfId="4093" xr:uid="{00000000-0005-0000-0000-00003A470000}"/>
    <cellStyle name="2places" xfId="4094" xr:uid="{00000000-0005-0000-0000-00003B470000}"/>
    <cellStyle name="³f¹ô[0]_P721-Spd" xfId="4095" xr:uid="{00000000-0005-0000-0000-00003C470000}"/>
    <cellStyle name="³f¹ô_P721-Spd" xfId="4096" xr:uid="{00000000-0005-0000-0000-00003D470000}"/>
    <cellStyle name="4 spaces" xfId="16346" xr:uid="{00000000-0005-0000-0000-00003E470000}"/>
    <cellStyle name="40% - Accent1 10" xfId="4097" xr:uid="{00000000-0005-0000-0000-00003F470000}"/>
    <cellStyle name="40% - Accent1 10 10" xfId="19187" xr:uid="{00000000-0005-0000-0000-000040470000}"/>
    <cellStyle name="40% - Accent1 10 10 2" xfId="30879" xr:uid="{00000000-0005-0000-0000-000041470000}"/>
    <cellStyle name="40% - Accent1 10 11" xfId="23233" xr:uid="{00000000-0005-0000-0000-000042470000}"/>
    <cellStyle name="40% - Accent1 10 2" xfId="4098" xr:uid="{00000000-0005-0000-0000-000043470000}"/>
    <cellStyle name="40% - Accent1 10 2 2" xfId="4099" xr:uid="{00000000-0005-0000-0000-000044470000}"/>
    <cellStyle name="40% - Accent1 10 2 2 2" xfId="4100" xr:uid="{00000000-0005-0000-0000-000045470000}"/>
    <cellStyle name="40% - Accent1 10 2 2 2 2" xfId="15239" xr:uid="{00000000-0005-0000-0000-000046470000}"/>
    <cellStyle name="40% - Accent1 10 2 2 2 2 2" xfId="27096" xr:uid="{00000000-0005-0000-0000-000047470000}"/>
    <cellStyle name="40% - Accent1 10 2 2 2 3" xfId="19190" xr:uid="{00000000-0005-0000-0000-000048470000}"/>
    <cellStyle name="40% - Accent1 10 2 2 2 3 2" xfId="30882" xr:uid="{00000000-0005-0000-0000-000049470000}"/>
    <cellStyle name="40% - Accent1 10 2 2 2 4" xfId="23236" xr:uid="{00000000-0005-0000-0000-00004A470000}"/>
    <cellStyle name="40% - Accent1 10 2 2 3" xfId="4101" xr:uid="{00000000-0005-0000-0000-00004B470000}"/>
    <cellStyle name="40% - Accent1 10 2 2 3 2" xfId="15240" xr:uid="{00000000-0005-0000-0000-00004C470000}"/>
    <cellStyle name="40% - Accent1 10 2 2 3 2 2" xfId="27097" xr:uid="{00000000-0005-0000-0000-00004D470000}"/>
    <cellStyle name="40% - Accent1 10 2 2 3 3" xfId="19191" xr:uid="{00000000-0005-0000-0000-00004E470000}"/>
    <cellStyle name="40% - Accent1 10 2 2 3 3 2" xfId="30883" xr:uid="{00000000-0005-0000-0000-00004F470000}"/>
    <cellStyle name="40% - Accent1 10 2 2 3 4" xfId="23237" xr:uid="{00000000-0005-0000-0000-000050470000}"/>
    <cellStyle name="40% - Accent1 10 2 2 4" xfId="15238" xr:uid="{00000000-0005-0000-0000-000051470000}"/>
    <cellStyle name="40% - Accent1 10 2 2 4 2" xfId="27095" xr:uid="{00000000-0005-0000-0000-000052470000}"/>
    <cellStyle name="40% - Accent1 10 2 2 5" xfId="19189" xr:uid="{00000000-0005-0000-0000-000053470000}"/>
    <cellStyle name="40% - Accent1 10 2 2 5 2" xfId="30881" xr:uid="{00000000-0005-0000-0000-000054470000}"/>
    <cellStyle name="40% - Accent1 10 2 2 6" xfId="23235" xr:uid="{00000000-0005-0000-0000-000055470000}"/>
    <cellStyle name="40% - Accent1 10 2 3" xfId="4102" xr:uid="{00000000-0005-0000-0000-000056470000}"/>
    <cellStyle name="40% - Accent1 10 2 3 2" xfId="4103" xr:uid="{00000000-0005-0000-0000-000057470000}"/>
    <cellStyle name="40% - Accent1 10 2 3 2 2" xfId="15242" xr:uid="{00000000-0005-0000-0000-000058470000}"/>
    <cellStyle name="40% - Accent1 10 2 3 2 2 2" xfId="27099" xr:uid="{00000000-0005-0000-0000-000059470000}"/>
    <cellStyle name="40% - Accent1 10 2 3 2 3" xfId="19193" xr:uid="{00000000-0005-0000-0000-00005A470000}"/>
    <cellStyle name="40% - Accent1 10 2 3 2 3 2" xfId="30885" xr:uid="{00000000-0005-0000-0000-00005B470000}"/>
    <cellStyle name="40% - Accent1 10 2 3 2 4" xfId="23239" xr:uid="{00000000-0005-0000-0000-00005C470000}"/>
    <cellStyle name="40% - Accent1 10 2 3 3" xfId="4104" xr:uid="{00000000-0005-0000-0000-00005D470000}"/>
    <cellStyle name="40% - Accent1 10 2 3 3 2" xfId="15243" xr:uid="{00000000-0005-0000-0000-00005E470000}"/>
    <cellStyle name="40% - Accent1 10 2 3 3 2 2" xfId="27100" xr:uid="{00000000-0005-0000-0000-00005F470000}"/>
    <cellStyle name="40% - Accent1 10 2 3 3 3" xfId="19194" xr:uid="{00000000-0005-0000-0000-000060470000}"/>
    <cellStyle name="40% - Accent1 10 2 3 3 3 2" xfId="30886" xr:uid="{00000000-0005-0000-0000-000061470000}"/>
    <cellStyle name="40% - Accent1 10 2 3 3 4" xfId="23240" xr:uid="{00000000-0005-0000-0000-000062470000}"/>
    <cellStyle name="40% - Accent1 10 2 3 4" xfId="15241" xr:uid="{00000000-0005-0000-0000-000063470000}"/>
    <cellStyle name="40% - Accent1 10 2 3 4 2" xfId="27098" xr:uid="{00000000-0005-0000-0000-000064470000}"/>
    <cellStyle name="40% - Accent1 10 2 3 5" xfId="19192" xr:uid="{00000000-0005-0000-0000-000065470000}"/>
    <cellStyle name="40% - Accent1 10 2 3 5 2" xfId="30884" xr:uid="{00000000-0005-0000-0000-000066470000}"/>
    <cellStyle name="40% - Accent1 10 2 3 6" xfId="23238" xr:uid="{00000000-0005-0000-0000-000067470000}"/>
    <cellStyle name="40% - Accent1 10 2 4" xfId="4105" xr:uid="{00000000-0005-0000-0000-000068470000}"/>
    <cellStyle name="40% - Accent1 10 2 4 2" xfId="4106" xr:uid="{00000000-0005-0000-0000-000069470000}"/>
    <cellStyle name="40% - Accent1 10 2 4 2 2" xfId="15245" xr:uid="{00000000-0005-0000-0000-00006A470000}"/>
    <cellStyle name="40% - Accent1 10 2 4 2 2 2" xfId="27102" xr:uid="{00000000-0005-0000-0000-00006B470000}"/>
    <cellStyle name="40% - Accent1 10 2 4 2 3" xfId="19196" xr:uid="{00000000-0005-0000-0000-00006C470000}"/>
    <cellStyle name="40% - Accent1 10 2 4 2 3 2" xfId="30888" xr:uid="{00000000-0005-0000-0000-00006D470000}"/>
    <cellStyle name="40% - Accent1 10 2 4 2 4" xfId="23242" xr:uid="{00000000-0005-0000-0000-00006E470000}"/>
    <cellStyle name="40% - Accent1 10 2 4 3" xfId="4107" xr:uid="{00000000-0005-0000-0000-00006F470000}"/>
    <cellStyle name="40% - Accent1 10 2 4 3 2" xfId="15246" xr:uid="{00000000-0005-0000-0000-000070470000}"/>
    <cellStyle name="40% - Accent1 10 2 4 3 2 2" xfId="27103" xr:uid="{00000000-0005-0000-0000-000071470000}"/>
    <cellStyle name="40% - Accent1 10 2 4 3 3" xfId="19197" xr:uid="{00000000-0005-0000-0000-000072470000}"/>
    <cellStyle name="40% - Accent1 10 2 4 3 3 2" xfId="30889" xr:uid="{00000000-0005-0000-0000-000073470000}"/>
    <cellStyle name="40% - Accent1 10 2 4 3 4" xfId="23243" xr:uid="{00000000-0005-0000-0000-000074470000}"/>
    <cellStyle name="40% - Accent1 10 2 4 4" xfId="15244" xr:uid="{00000000-0005-0000-0000-000075470000}"/>
    <cellStyle name="40% - Accent1 10 2 4 4 2" xfId="27101" xr:uid="{00000000-0005-0000-0000-000076470000}"/>
    <cellStyle name="40% - Accent1 10 2 4 5" xfId="19195" xr:uid="{00000000-0005-0000-0000-000077470000}"/>
    <cellStyle name="40% - Accent1 10 2 4 5 2" xfId="30887" xr:uid="{00000000-0005-0000-0000-000078470000}"/>
    <cellStyle name="40% - Accent1 10 2 4 6" xfId="23241" xr:uid="{00000000-0005-0000-0000-000079470000}"/>
    <cellStyle name="40% - Accent1 10 2 5" xfId="4108" xr:uid="{00000000-0005-0000-0000-00007A470000}"/>
    <cellStyle name="40% - Accent1 10 2 5 2" xfId="15247" xr:uid="{00000000-0005-0000-0000-00007B470000}"/>
    <cellStyle name="40% - Accent1 10 2 5 2 2" xfId="27104" xr:uid="{00000000-0005-0000-0000-00007C470000}"/>
    <cellStyle name="40% - Accent1 10 2 5 3" xfId="19198" xr:uid="{00000000-0005-0000-0000-00007D470000}"/>
    <cellStyle name="40% - Accent1 10 2 5 3 2" xfId="30890" xr:uid="{00000000-0005-0000-0000-00007E470000}"/>
    <cellStyle name="40% - Accent1 10 2 5 4" xfId="23244" xr:uid="{00000000-0005-0000-0000-00007F470000}"/>
    <cellStyle name="40% - Accent1 10 2 6" xfId="4109" xr:uid="{00000000-0005-0000-0000-000080470000}"/>
    <cellStyle name="40% - Accent1 10 2 6 2" xfId="15248" xr:uid="{00000000-0005-0000-0000-000081470000}"/>
    <cellStyle name="40% - Accent1 10 2 6 2 2" xfId="27105" xr:uid="{00000000-0005-0000-0000-000082470000}"/>
    <cellStyle name="40% - Accent1 10 2 6 3" xfId="19199" xr:uid="{00000000-0005-0000-0000-000083470000}"/>
    <cellStyle name="40% - Accent1 10 2 6 3 2" xfId="30891" xr:uid="{00000000-0005-0000-0000-000084470000}"/>
    <cellStyle name="40% - Accent1 10 2 6 4" xfId="23245" xr:uid="{00000000-0005-0000-0000-000085470000}"/>
    <cellStyle name="40% - Accent1 10 2 7" xfId="15237" xr:uid="{00000000-0005-0000-0000-000086470000}"/>
    <cellStyle name="40% - Accent1 10 2 7 2" xfId="27094" xr:uid="{00000000-0005-0000-0000-000087470000}"/>
    <cellStyle name="40% - Accent1 10 2 8" xfId="19188" xr:uid="{00000000-0005-0000-0000-000088470000}"/>
    <cellStyle name="40% - Accent1 10 2 8 2" xfId="30880" xr:uid="{00000000-0005-0000-0000-000089470000}"/>
    <cellStyle name="40% - Accent1 10 2 9" xfId="23234" xr:uid="{00000000-0005-0000-0000-00008A470000}"/>
    <cellStyle name="40% - Accent1 10 2_Volatility" xfId="4110" xr:uid="{00000000-0005-0000-0000-00008B470000}"/>
    <cellStyle name="40% - Accent1 10 3" xfId="4111" xr:uid="{00000000-0005-0000-0000-00008C470000}"/>
    <cellStyle name="40% - Accent1 10 3 2" xfId="4112" xr:uid="{00000000-0005-0000-0000-00008D470000}"/>
    <cellStyle name="40% - Accent1 10 3 2 2" xfId="4113" xr:uid="{00000000-0005-0000-0000-00008E470000}"/>
    <cellStyle name="40% - Accent1 10 3 2 2 2" xfId="15251" xr:uid="{00000000-0005-0000-0000-00008F470000}"/>
    <cellStyle name="40% - Accent1 10 3 2 2 2 2" xfId="27108" xr:uid="{00000000-0005-0000-0000-000090470000}"/>
    <cellStyle name="40% - Accent1 10 3 2 2 3" xfId="19202" xr:uid="{00000000-0005-0000-0000-000091470000}"/>
    <cellStyle name="40% - Accent1 10 3 2 2 3 2" xfId="30894" xr:uid="{00000000-0005-0000-0000-000092470000}"/>
    <cellStyle name="40% - Accent1 10 3 2 2 4" xfId="23248" xr:uid="{00000000-0005-0000-0000-000093470000}"/>
    <cellStyle name="40% - Accent1 10 3 2 3" xfId="4114" xr:uid="{00000000-0005-0000-0000-000094470000}"/>
    <cellStyle name="40% - Accent1 10 3 2 3 2" xfId="15252" xr:uid="{00000000-0005-0000-0000-000095470000}"/>
    <cellStyle name="40% - Accent1 10 3 2 3 2 2" xfId="27109" xr:uid="{00000000-0005-0000-0000-000096470000}"/>
    <cellStyle name="40% - Accent1 10 3 2 3 3" xfId="19203" xr:uid="{00000000-0005-0000-0000-000097470000}"/>
    <cellStyle name="40% - Accent1 10 3 2 3 3 2" xfId="30895" xr:uid="{00000000-0005-0000-0000-000098470000}"/>
    <cellStyle name="40% - Accent1 10 3 2 3 4" xfId="23249" xr:uid="{00000000-0005-0000-0000-000099470000}"/>
    <cellStyle name="40% - Accent1 10 3 2 4" xfId="15250" xr:uid="{00000000-0005-0000-0000-00009A470000}"/>
    <cellStyle name="40% - Accent1 10 3 2 4 2" xfId="27107" xr:uid="{00000000-0005-0000-0000-00009B470000}"/>
    <cellStyle name="40% - Accent1 10 3 2 5" xfId="19201" xr:uid="{00000000-0005-0000-0000-00009C470000}"/>
    <cellStyle name="40% - Accent1 10 3 2 5 2" xfId="30893" xr:uid="{00000000-0005-0000-0000-00009D470000}"/>
    <cellStyle name="40% - Accent1 10 3 2 6" xfId="23247" xr:uid="{00000000-0005-0000-0000-00009E470000}"/>
    <cellStyle name="40% - Accent1 10 3 3" xfId="4115" xr:uid="{00000000-0005-0000-0000-00009F470000}"/>
    <cellStyle name="40% - Accent1 10 3 3 2" xfId="4116" xr:uid="{00000000-0005-0000-0000-0000A0470000}"/>
    <cellStyle name="40% - Accent1 10 3 3 2 2" xfId="15254" xr:uid="{00000000-0005-0000-0000-0000A1470000}"/>
    <cellStyle name="40% - Accent1 10 3 3 2 2 2" xfId="27111" xr:uid="{00000000-0005-0000-0000-0000A2470000}"/>
    <cellStyle name="40% - Accent1 10 3 3 2 3" xfId="19205" xr:uid="{00000000-0005-0000-0000-0000A3470000}"/>
    <cellStyle name="40% - Accent1 10 3 3 2 3 2" xfId="30897" xr:uid="{00000000-0005-0000-0000-0000A4470000}"/>
    <cellStyle name="40% - Accent1 10 3 3 2 4" xfId="23251" xr:uid="{00000000-0005-0000-0000-0000A5470000}"/>
    <cellStyle name="40% - Accent1 10 3 3 3" xfId="4117" xr:uid="{00000000-0005-0000-0000-0000A6470000}"/>
    <cellStyle name="40% - Accent1 10 3 3 3 2" xfId="15255" xr:uid="{00000000-0005-0000-0000-0000A7470000}"/>
    <cellStyle name="40% - Accent1 10 3 3 3 2 2" xfId="27112" xr:uid="{00000000-0005-0000-0000-0000A8470000}"/>
    <cellStyle name="40% - Accent1 10 3 3 3 3" xfId="19206" xr:uid="{00000000-0005-0000-0000-0000A9470000}"/>
    <cellStyle name="40% - Accent1 10 3 3 3 3 2" xfId="30898" xr:uid="{00000000-0005-0000-0000-0000AA470000}"/>
    <cellStyle name="40% - Accent1 10 3 3 3 4" xfId="23252" xr:uid="{00000000-0005-0000-0000-0000AB470000}"/>
    <cellStyle name="40% - Accent1 10 3 3 4" xfId="15253" xr:uid="{00000000-0005-0000-0000-0000AC470000}"/>
    <cellStyle name="40% - Accent1 10 3 3 4 2" xfId="27110" xr:uid="{00000000-0005-0000-0000-0000AD470000}"/>
    <cellStyle name="40% - Accent1 10 3 3 5" xfId="19204" xr:uid="{00000000-0005-0000-0000-0000AE470000}"/>
    <cellStyle name="40% - Accent1 10 3 3 5 2" xfId="30896" xr:uid="{00000000-0005-0000-0000-0000AF470000}"/>
    <cellStyle name="40% - Accent1 10 3 3 6" xfId="23250" xr:uid="{00000000-0005-0000-0000-0000B0470000}"/>
    <cellStyle name="40% - Accent1 10 3 4" xfId="4118" xr:uid="{00000000-0005-0000-0000-0000B1470000}"/>
    <cellStyle name="40% - Accent1 10 3 4 2" xfId="15256" xr:uid="{00000000-0005-0000-0000-0000B2470000}"/>
    <cellStyle name="40% - Accent1 10 3 4 2 2" xfId="27113" xr:uid="{00000000-0005-0000-0000-0000B3470000}"/>
    <cellStyle name="40% - Accent1 10 3 4 3" xfId="19207" xr:uid="{00000000-0005-0000-0000-0000B4470000}"/>
    <cellStyle name="40% - Accent1 10 3 4 3 2" xfId="30899" xr:uid="{00000000-0005-0000-0000-0000B5470000}"/>
    <cellStyle name="40% - Accent1 10 3 4 4" xfId="23253" xr:uid="{00000000-0005-0000-0000-0000B6470000}"/>
    <cellStyle name="40% - Accent1 10 3 5" xfId="4119" xr:uid="{00000000-0005-0000-0000-0000B7470000}"/>
    <cellStyle name="40% - Accent1 10 3 5 2" xfId="15257" xr:uid="{00000000-0005-0000-0000-0000B8470000}"/>
    <cellStyle name="40% - Accent1 10 3 5 2 2" xfId="27114" xr:uid="{00000000-0005-0000-0000-0000B9470000}"/>
    <cellStyle name="40% - Accent1 10 3 5 3" xfId="19208" xr:uid="{00000000-0005-0000-0000-0000BA470000}"/>
    <cellStyle name="40% - Accent1 10 3 5 3 2" xfId="30900" xr:uid="{00000000-0005-0000-0000-0000BB470000}"/>
    <cellStyle name="40% - Accent1 10 3 5 4" xfId="23254" xr:uid="{00000000-0005-0000-0000-0000BC470000}"/>
    <cellStyle name="40% - Accent1 10 3 6" xfId="15249" xr:uid="{00000000-0005-0000-0000-0000BD470000}"/>
    <cellStyle name="40% - Accent1 10 3 6 2" xfId="27106" xr:uid="{00000000-0005-0000-0000-0000BE470000}"/>
    <cellStyle name="40% - Accent1 10 3 7" xfId="19200" xr:uid="{00000000-0005-0000-0000-0000BF470000}"/>
    <cellStyle name="40% - Accent1 10 3 7 2" xfId="30892" xr:uid="{00000000-0005-0000-0000-0000C0470000}"/>
    <cellStyle name="40% - Accent1 10 3 8" xfId="23246" xr:uid="{00000000-0005-0000-0000-0000C1470000}"/>
    <cellStyle name="40% - Accent1 10 3_Volatility" xfId="4120" xr:uid="{00000000-0005-0000-0000-0000C2470000}"/>
    <cellStyle name="40% - Accent1 10 4" xfId="4121" xr:uid="{00000000-0005-0000-0000-0000C3470000}"/>
    <cellStyle name="40% - Accent1 10 4 2" xfId="4122" xr:uid="{00000000-0005-0000-0000-0000C4470000}"/>
    <cellStyle name="40% - Accent1 10 4 2 2" xfId="15259" xr:uid="{00000000-0005-0000-0000-0000C5470000}"/>
    <cellStyle name="40% - Accent1 10 4 2 2 2" xfId="27116" xr:uid="{00000000-0005-0000-0000-0000C6470000}"/>
    <cellStyle name="40% - Accent1 10 4 2 3" xfId="19210" xr:uid="{00000000-0005-0000-0000-0000C7470000}"/>
    <cellStyle name="40% - Accent1 10 4 2 3 2" xfId="30902" xr:uid="{00000000-0005-0000-0000-0000C8470000}"/>
    <cellStyle name="40% - Accent1 10 4 2 4" xfId="23256" xr:uid="{00000000-0005-0000-0000-0000C9470000}"/>
    <cellStyle name="40% - Accent1 10 4 3" xfId="4123" xr:uid="{00000000-0005-0000-0000-0000CA470000}"/>
    <cellStyle name="40% - Accent1 10 4 3 2" xfId="15260" xr:uid="{00000000-0005-0000-0000-0000CB470000}"/>
    <cellStyle name="40% - Accent1 10 4 3 2 2" xfId="27117" xr:uid="{00000000-0005-0000-0000-0000CC470000}"/>
    <cellStyle name="40% - Accent1 10 4 3 3" xfId="19211" xr:uid="{00000000-0005-0000-0000-0000CD470000}"/>
    <cellStyle name="40% - Accent1 10 4 3 3 2" xfId="30903" xr:uid="{00000000-0005-0000-0000-0000CE470000}"/>
    <cellStyle name="40% - Accent1 10 4 3 4" xfId="23257" xr:uid="{00000000-0005-0000-0000-0000CF470000}"/>
    <cellStyle name="40% - Accent1 10 4 4" xfId="15258" xr:uid="{00000000-0005-0000-0000-0000D0470000}"/>
    <cellStyle name="40% - Accent1 10 4 4 2" xfId="27115" xr:uid="{00000000-0005-0000-0000-0000D1470000}"/>
    <cellStyle name="40% - Accent1 10 4 5" xfId="19209" xr:uid="{00000000-0005-0000-0000-0000D2470000}"/>
    <cellStyle name="40% - Accent1 10 4 5 2" xfId="30901" xr:uid="{00000000-0005-0000-0000-0000D3470000}"/>
    <cellStyle name="40% - Accent1 10 4 6" xfId="23255" xr:uid="{00000000-0005-0000-0000-0000D4470000}"/>
    <cellStyle name="40% - Accent1 10 5" xfId="4124" xr:uid="{00000000-0005-0000-0000-0000D5470000}"/>
    <cellStyle name="40% - Accent1 10 5 2" xfId="4125" xr:uid="{00000000-0005-0000-0000-0000D6470000}"/>
    <cellStyle name="40% - Accent1 10 5 2 2" xfId="15262" xr:uid="{00000000-0005-0000-0000-0000D7470000}"/>
    <cellStyle name="40% - Accent1 10 5 2 2 2" xfId="27119" xr:uid="{00000000-0005-0000-0000-0000D8470000}"/>
    <cellStyle name="40% - Accent1 10 5 2 3" xfId="19213" xr:uid="{00000000-0005-0000-0000-0000D9470000}"/>
    <cellStyle name="40% - Accent1 10 5 2 3 2" xfId="30905" xr:uid="{00000000-0005-0000-0000-0000DA470000}"/>
    <cellStyle name="40% - Accent1 10 5 2 4" xfId="23259" xr:uid="{00000000-0005-0000-0000-0000DB470000}"/>
    <cellStyle name="40% - Accent1 10 5 3" xfId="4126" xr:uid="{00000000-0005-0000-0000-0000DC470000}"/>
    <cellStyle name="40% - Accent1 10 5 3 2" xfId="15263" xr:uid="{00000000-0005-0000-0000-0000DD470000}"/>
    <cellStyle name="40% - Accent1 10 5 3 2 2" xfId="27120" xr:uid="{00000000-0005-0000-0000-0000DE470000}"/>
    <cellStyle name="40% - Accent1 10 5 3 3" xfId="19214" xr:uid="{00000000-0005-0000-0000-0000DF470000}"/>
    <cellStyle name="40% - Accent1 10 5 3 3 2" xfId="30906" xr:uid="{00000000-0005-0000-0000-0000E0470000}"/>
    <cellStyle name="40% - Accent1 10 5 3 4" xfId="23260" xr:uid="{00000000-0005-0000-0000-0000E1470000}"/>
    <cellStyle name="40% - Accent1 10 5 4" xfId="15261" xr:uid="{00000000-0005-0000-0000-0000E2470000}"/>
    <cellStyle name="40% - Accent1 10 5 4 2" xfId="27118" xr:uid="{00000000-0005-0000-0000-0000E3470000}"/>
    <cellStyle name="40% - Accent1 10 5 5" xfId="19212" xr:uid="{00000000-0005-0000-0000-0000E4470000}"/>
    <cellStyle name="40% - Accent1 10 5 5 2" xfId="30904" xr:uid="{00000000-0005-0000-0000-0000E5470000}"/>
    <cellStyle name="40% - Accent1 10 5 6" xfId="23258" xr:uid="{00000000-0005-0000-0000-0000E6470000}"/>
    <cellStyle name="40% - Accent1 10 6" xfId="4127" xr:uid="{00000000-0005-0000-0000-0000E7470000}"/>
    <cellStyle name="40% - Accent1 10 6 2" xfId="4128" xr:uid="{00000000-0005-0000-0000-0000E8470000}"/>
    <cellStyle name="40% - Accent1 10 6 2 2" xfId="15265" xr:uid="{00000000-0005-0000-0000-0000E9470000}"/>
    <cellStyle name="40% - Accent1 10 6 2 2 2" xfId="27122" xr:uid="{00000000-0005-0000-0000-0000EA470000}"/>
    <cellStyle name="40% - Accent1 10 6 2 3" xfId="19216" xr:uid="{00000000-0005-0000-0000-0000EB470000}"/>
    <cellStyle name="40% - Accent1 10 6 2 3 2" xfId="30908" xr:uid="{00000000-0005-0000-0000-0000EC470000}"/>
    <cellStyle name="40% - Accent1 10 6 2 4" xfId="23262" xr:uid="{00000000-0005-0000-0000-0000ED470000}"/>
    <cellStyle name="40% - Accent1 10 6 3" xfId="4129" xr:uid="{00000000-0005-0000-0000-0000EE470000}"/>
    <cellStyle name="40% - Accent1 10 6 3 2" xfId="15266" xr:uid="{00000000-0005-0000-0000-0000EF470000}"/>
    <cellStyle name="40% - Accent1 10 6 3 2 2" xfId="27123" xr:uid="{00000000-0005-0000-0000-0000F0470000}"/>
    <cellStyle name="40% - Accent1 10 6 3 3" xfId="19217" xr:uid="{00000000-0005-0000-0000-0000F1470000}"/>
    <cellStyle name="40% - Accent1 10 6 3 3 2" xfId="30909" xr:uid="{00000000-0005-0000-0000-0000F2470000}"/>
    <cellStyle name="40% - Accent1 10 6 3 4" xfId="23263" xr:uid="{00000000-0005-0000-0000-0000F3470000}"/>
    <cellStyle name="40% - Accent1 10 6 4" xfId="15264" xr:uid="{00000000-0005-0000-0000-0000F4470000}"/>
    <cellStyle name="40% - Accent1 10 6 4 2" xfId="27121" xr:uid="{00000000-0005-0000-0000-0000F5470000}"/>
    <cellStyle name="40% - Accent1 10 6 5" xfId="19215" xr:uid="{00000000-0005-0000-0000-0000F6470000}"/>
    <cellStyle name="40% - Accent1 10 6 5 2" xfId="30907" xr:uid="{00000000-0005-0000-0000-0000F7470000}"/>
    <cellStyle name="40% - Accent1 10 6 6" xfId="23261" xr:uid="{00000000-0005-0000-0000-0000F8470000}"/>
    <cellStyle name="40% - Accent1 10 7" xfId="4130" xr:uid="{00000000-0005-0000-0000-0000F9470000}"/>
    <cellStyle name="40% - Accent1 10 7 2" xfId="15267" xr:uid="{00000000-0005-0000-0000-0000FA470000}"/>
    <cellStyle name="40% - Accent1 10 7 2 2" xfId="27124" xr:uid="{00000000-0005-0000-0000-0000FB470000}"/>
    <cellStyle name="40% - Accent1 10 7 3" xfId="19218" xr:uid="{00000000-0005-0000-0000-0000FC470000}"/>
    <cellStyle name="40% - Accent1 10 7 3 2" xfId="30910" xr:uid="{00000000-0005-0000-0000-0000FD470000}"/>
    <cellStyle name="40% - Accent1 10 7 4" xfId="23264" xr:uid="{00000000-0005-0000-0000-0000FE470000}"/>
    <cellStyle name="40% - Accent1 10 8" xfId="4131" xr:uid="{00000000-0005-0000-0000-0000FF470000}"/>
    <cellStyle name="40% - Accent1 10 8 2" xfId="15268" xr:uid="{00000000-0005-0000-0000-000000480000}"/>
    <cellStyle name="40% - Accent1 10 8 2 2" xfId="27125" xr:uid="{00000000-0005-0000-0000-000001480000}"/>
    <cellStyle name="40% - Accent1 10 8 3" xfId="19219" xr:uid="{00000000-0005-0000-0000-000002480000}"/>
    <cellStyle name="40% - Accent1 10 8 3 2" xfId="30911" xr:uid="{00000000-0005-0000-0000-000003480000}"/>
    <cellStyle name="40% - Accent1 10 8 4" xfId="23265" xr:uid="{00000000-0005-0000-0000-000004480000}"/>
    <cellStyle name="40% - Accent1 10 9" xfId="15236" xr:uid="{00000000-0005-0000-0000-000005480000}"/>
    <cellStyle name="40% - Accent1 10 9 2" xfId="27093" xr:uid="{00000000-0005-0000-0000-000006480000}"/>
    <cellStyle name="40% - Accent1 10_Volatility" xfId="4132" xr:uid="{00000000-0005-0000-0000-000007480000}"/>
    <cellStyle name="40% - Accent1 11" xfId="4133" xr:uid="{00000000-0005-0000-0000-000008480000}"/>
    <cellStyle name="40% - Accent1 11 10" xfId="19220" xr:uid="{00000000-0005-0000-0000-000009480000}"/>
    <cellStyle name="40% - Accent1 11 10 2" xfId="30912" xr:uid="{00000000-0005-0000-0000-00000A480000}"/>
    <cellStyle name="40% - Accent1 11 11" xfId="23266" xr:uid="{00000000-0005-0000-0000-00000B480000}"/>
    <cellStyle name="40% - Accent1 11 2" xfId="4134" xr:uid="{00000000-0005-0000-0000-00000C480000}"/>
    <cellStyle name="40% - Accent1 11 2 2" xfId="4135" xr:uid="{00000000-0005-0000-0000-00000D480000}"/>
    <cellStyle name="40% - Accent1 11 2 2 2" xfId="4136" xr:uid="{00000000-0005-0000-0000-00000E480000}"/>
    <cellStyle name="40% - Accent1 11 2 2 2 2" xfId="15272" xr:uid="{00000000-0005-0000-0000-00000F480000}"/>
    <cellStyle name="40% - Accent1 11 2 2 2 2 2" xfId="27129" xr:uid="{00000000-0005-0000-0000-000010480000}"/>
    <cellStyle name="40% - Accent1 11 2 2 2 3" xfId="19223" xr:uid="{00000000-0005-0000-0000-000011480000}"/>
    <cellStyle name="40% - Accent1 11 2 2 2 3 2" xfId="30915" xr:uid="{00000000-0005-0000-0000-000012480000}"/>
    <cellStyle name="40% - Accent1 11 2 2 2 4" xfId="23269" xr:uid="{00000000-0005-0000-0000-000013480000}"/>
    <cellStyle name="40% - Accent1 11 2 2 3" xfId="4137" xr:uid="{00000000-0005-0000-0000-000014480000}"/>
    <cellStyle name="40% - Accent1 11 2 2 3 2" xfId="15273" xr:uid="{00000000-0005-0000-0000-000015480000}"/>
    <cellStyle name="40% - Accent1 11 2 2 3 2 2" xfId="27130" xr:uid="{00000000-0005-0000-0000-000016480000}"/>
    <cellStyle name="40% - Accent1 11 2 2 3 3" xfId="19224" xr:uid="{00000000-0005-0000-0000-000017480000}"/>
    <cellStyle name="40% - Accent1 11 2 2 3 3 2" xfId="30916" xr:uid="{00000000-0005-0000-0000-000018480000}"/>
    <cellStyle name="40% - Accent1 11 2 2 3 4" xfId="23270" xr:uid="{00000000-0005-0000-0000-000019480000}"/>
    <cellStyle name="40% - Accent1 11 2 2 4" xfId="15271" xr:uid="{00000000-0005-0000-0000-00001A480000}"/>
    <cellStyle name="40% - Accent1 11 2 2 4 2" xfId="27128" xr:uid="{00000000-0005-0000-0000-00001B480000}"/>
    <cellStyle name="40% - Accent1 11 2 2 5" xfId="19222" xr:uid="{00000000-0005-0000-0000-00001C480000}"/>
    <cellStyle name="40% - Accent1 11 2 2 5 2" xfId="30914" xr:uid="{00000000-0005-0000-0000-00001D480000}"/>
    <cellStyle name="40% - Accent1 11 2 2 6" xfId="23268" xr:uid="{00000000-0005-0000-0000-00001E480000}"/>
    <cellStyle name="40% - Accent1 11 2 3" xfId="4138" xr:uid="{00000000-0005-0000-0000-00001F480000}"/>
    <cellStyle name="40% - Accent1 11 2 3 2" xfId="4139" xr:uid="{00000000-0005-0000-0000-000020480000}"/>
    <cellStyle name="40% - Accent1 11 2 3 2 2" xfId="15275" xr:uid="{00000000-0005-0000-0000-000021480000}"/>
    <cellStyle name="40% - Accent1 11 2 3 2 2 2" xfId="27132" xr:uid="{00000000-0005-0000-0000-000022480000}"/>
    <cellStyle name="40% - Accent1 11 2 3 2 3" xfId="19226" xr:uid="{00000000-0005-0000-0000-000023480000}"/>
    <cellStyle name="40% - Accent1 11 2 3 2 3 2" xfId="30918" xr:uid="{00000000-0005-0000-0000-000024480000}"/>
    <cellStyle name="40% - Accent1 11 2 3 2 4" xfId="23272" xr:uid="{00000000-0005-0000-0000-000025480000}"/>
    <cellStyle name="40% - Accent1 11 2 3 3" xfId="4140" xr:uid="{00000000-0005-0000-0000-000026480000}"/>
    <cellStyle name="40% - Accent1 11 2 3 3 2" xfId="15276" xr:uid="{00000000-0005-0000-0000-000027480000}"/>
    <cellStyle name="40% - Accent1 11 2 3 3 2 2" xfId="27133" xr:uid="{00000000-0005-0000-0000-000028480000}"/>
    <cellStyle name="40% - Accent1 11 2 3 3 3" xfId="19227" xr:uid="{00000000-0005-0000-0000-000029480000}"/>
    <cellStyle name="40% - Accent1 11 2 3 3 3 2" xfId="30919" xr:uid="{00000000-0005-0000-0000-00002A480000}"/>
    <cellStyle name="40% - Accent1 11 2 3 3 4" xfId="23273" xr:uid="{00000000-0005-0000-0000-00002B480000}"/>
    <cellStyle name="40% - Accent1 11 2 3 4" xfId="15274" xr:uid="{00000000-0005-0000-0000-00002C480000}"/>
    <cellStyle name="40% - Accent1 11 2 3 4 2" xfId="27131" xr:uid="{00000000-0005-0000-0000-00002D480000}"/>
    <cellStyle name="40% - Accent1 11 2 3 5" xfId="19225" xr:uid="{00000000-0005-0000-0000-00002E480000}"/>
    <cellStyle name="40% - Accent1 11 2 3 5 2" xfId="30917" xr:uid="{00000000-0005-0000-0000-00002F480000}"/>
    <cellStyle name="40% - Accent1 11 2 3 6" xfId="23271" xr:uid="{00000000-0005-0000-0000-000030480000}"/>
    <cellStyle name="40% - Accent1 11 2 4" xfId="4141" xr:uid="{00000000-0005-0000-0000-000031480000}"/>
    <cellStyle name="40% - Accent1 11 2 4 2" xfId="4142" xr:uid="{00000000-0005-0000-0000-000032480000}"/>
    <cellStyle name="40% - Accent1 11 2 4 2 2" xfId="15278" xr:uid="{00000000-0005-0000-0000-000033480000}"/>
    <cellStyle name="40% - Accent1 11 2 4 2 2 2" xfId="27135" xr:uid="{00000000-0005-0000-0000-000034480000}"/>
    <cellStyle name="40% - Accent1 11 2 4 2 3" xfId="19229" xr:uid="{00000000-0005-0000-0000-000035480000}"/>
    <cellStyle name="40% - Accent1 11 2 4 2 3 2" xfId="30921" xr:uid="{00000000-0005-0000-0000-000036480000}"/>
    <cellStyle name="40% - Accent1 11 2 4 2 4" xfId="23275" xr:uid="{00000000-0005-0000-0000-000037480000}"/>
    <cellStyle name="40% - Accent1 11 2 4 3" xfId="4143" xr:uid="{00000000-0005-0000-0000-000038480000}"/>
    <cellStyle name="40% - Accent1 11 2 4 3 2" xfId="15279" xr:uid="{00000000-0005-0000-0000-000039480000}"/>
    <cellStyle name="40% - Accent1 11 2 4 3 2 2" xfId="27136" xr:uid="{00000000-0005-0000-0000-00003A480000}"/>
    <cellStyle name="40% - Accent1 11 2 4 3 3" xfId="19230" xr:uid="{00000000-0005-0000-0000-00003B480000}"/>
    <cellStyle name="40% - Accent1 11 2 4 3 3 2" xfId="30922" xr:uid="{00000000-0005-0000-0000-00003C480000}"/>
    <cellStyle name="40% - Accent1 11 2 4 3 4" xfId="23276" xr:uid="{00000000-0005-0000-0000-00003D480000}"/>
    <cellStyle name="40% - Accent1 11 2 4 4" xfId="15277" xr:uid="{00000000-0005-0000-0000-00003E480000}"/>
    <cellStyle name="40% - Accent1 11 2 4 4 2" xfId="27134" xr:uid="{00000000-0005-0000-0000-00003F480000}"/>
    <cellStyle name="40% - Accent1 11 2 4 5" xfId="19228" xr:uid="{00000000-0005-0000-0000-000040480000}"/>
    <cellStyle name="40% - Accent1 11 2 4 5 2" xfId="30920" xr:uid="{00000000-0005-0000-0000-000041480000}"/>
    <cellStyle name="40% - Accent1 11 2 4 6" xfId="23274" xr:uid="{00000000-0005-0000-0000-000042480000}"/>
    <cellStyle name="40% - Accent1 11 2 5" xfId="4144" xr:uid="{00000000-0005-0000-0000-000043480000}"/>
    <cellStyle name="40% - Accent1 11 2 5 2" xfId="15280" xr:uid="{00000000-0005-0000-0000-000044480000}"/>
    <cellStyle name="40% - Accent1 11 2 5 2 2" xfId="27137" xr:uid="{00000000-0005-0000-0000-000045480000}"/>
    <cellStyle name="40% - Accent1 11 2 5 3" xfId="19231" xr:uid="{00000000-0005-0000-0000-000046480000}"/>
    <cellStyle name="40% - Accent1 11 2 5 3 2" xfId="30923" xr:uid="{00000000-0005-0000-0000-000047480000}"/>
    <cellStyle name="40% - Accent1 11 2 5 4" xfId="23277" xr:uid="{00000000-0005-0000-0000-000048480000}"/>
    <cellStyle name="40% - Accent1 11 2 6" xfId="4145" xr:uid="{00000000-0005-0000-0000-000049480000}"/>
    <cellStyle name="40% - Accent1 11 2 6 2" xfId="15281" xr:uid="{00000000-0005-0000-0000-00004A480000}"/>
    <cellStyle name="40% - Accent1 11 2 6 2 2" xfId="27138" xr:uid="{00000000-0005-0000-0000-00004B480000}"/>
    <cellStyle name="40% - Accent1 11 2 6 3" xfId="19232" xr:uid="{00000000-0005-0000-0000-00004C480000}"/>
    <cellStyle name="40% - Accent1 11 2 6 3 2" xfId="30924" xr:uid="{00000000-0005-0000-0000-00004D480000}"/>
    <cellStyle name="40% - Accent1 11 2 6 4" xfId="23278" xr:uid="{00000000-0005-0000-0000-00004E480000}"/>
    <cellStyle name="40% - Accent1 11 2 7" xfId="15270" xr:uid="{00000000-0005-0000-0000-00004F480000}"/>
    <cellStyle name="40% - Accent1 11 2 7 2" xfId="27127" xr:uid="{00000000-0005-0000-0000-000050480000}"/>
    <cellStyle name="40% - Accent1 11 2 8" xfId="19221" xr:uid="{00000000-0005-0000-0000-000051480000}"/>
    <cellStyle name="40% - Accent1 11 2 8 2" xfId="30913" xr:uid="{00000000-0005-0000-0000-000052480000}"/>
    <cellStyle name="40% - Accent1 11 2 9" xfId="23267" xr:uid="{00000000-0005-0000-0000-000053480000}"/>
    <cellStyle name="40% - Accent1 11 2_Volatility" xfId="4146" xr:uid="{00000000-0005-0000-0000-000054480000}"/>
    <cellStyle name="40% - Accent1 11 3" xfId="4147" xr:uid="{00000000-0005-0000-0000-000055480000}"/>
    <cellStyle name="40% - Accent1 11 3 2" xfId="4148" xr:uid="{00000000-0005-0000-0000-000056480000}"/>
    <cellStyle name="40% - Accent1 11 3 2 2" xfId="4149" xr:uid="{00000000-0005-0000-0000-000057480000}"/>
    <cellStyle name="40% - Accent1 11 3 2 2 2" xfId="15284" xr:uid="{00000000-0005-0000-0000-000058480000}"/>
    <cellStyle name="40% - Accent1 11 3 2 2 2 2" xfId="27141" xr:uid="{00000000-0005-0000-0000-000059480000}"/>
    <cellStyle name="40% - Accent1 11 3 2 2 3" xfId="19235" xr:uid="{00000000-0005-0000-0000-00005A480000}"/>
    <cellStyle name="40% - Accent1 11 3 2 2 3 2" xfId="30927" xr:uid="{00000000-0005-0000-0000-00005B480000}"/>
    <cellStyle name="40% - Accent1 11 3 2 2 4" xfId="23281" xr:uid="{00000000-0005-0000-0000-00005C480000}"/>
    <cellStyle name="40% - Accent1 11 3 2 3" xfId="4150" xr:uid="{00000000-0005-0000-0000-00005D480000}"/>
    <cellStyle name="40% - Accent1 11 3 2 3 2" xfId="15285" xr:uid="{00000000-0005-0000-0000-00005E480000}"/>
    <cellStyle name="40% - Accent1 11 3 2 3 2 2" xfId="27142" xr:uid="{00000000-0005-0000-0000-00005F480000}"/>
    <cellStyle name="40% - Accent1 11 3 2 3 3" xfId="19236" xr:uid="{00000000-0005-0000-0000-000060480000}"/>
    <cellStyle name="40% - Accent1 11 3 2 3 3 2" xfId="30928" xr:uid="{00000000-0005-0000-0000-000061480000}"/>
    <cellStyle name="40% - Accent1 11 3 2 3 4" xfId="23282" xr:uid="{00000000-0005-0000-0000-000062480000}"/>
    <cellStyle name="40% - Accent1 11 3 2 4" xfId="15283" xr:uid="{00000000-0005-0000-0000-000063480000}"/>
    <cellStyle name="40% - Accent1 11 3 2 4 2" xfId="27140" xr:uid="{00000000-0005-0000-0000-000064480000}"/>
    <cellStyle name="40% - Accent1 11 3 2 5" xfId="19234" xr:uid="{00000000-0005-0000-0000-000065480000}"/>
    <cellStyle name="40% - Accent1 11 3 2 5 2" xfId="30926" xr:uid="{00000000-0005-0000-0000-000066480000}"/>
    <cellStyle name="40% - Accent1 11 3 2 6" xfId="23280" xr:uid="{00000000-0005-0000-0000-000067480000}"/>
    <cellStyle name="40% - Accent1 11 3 3" xfId="4151" xr:uid="{00000000-0005-0000-0000-000068480000}"/>
    <cellStyle name="40% - Accent1 11 3 3 2" xfId="4152" xr:uid="{00000000-0005-0000-0000-000069480000}"/>
    <cellStyle name="40% - Accent1 11 3 3 2 2" xfId="15287" xr:uid="{00000000-0005-0000-0000-00006A480000}"/>
    <cellStyle name="40% - Accent1 11 3 3 2 2 2" xfId="27144" xr:uid="{00000000-0005-0000-0000-00006B480000}"/>
    <cellStyle name="40% - Accent1 11 3 3 2 3" xfId="19238" xr:uid="{00000000-0005-0000-0000-00006C480000}"/>
    <cellStyle name="40% - Accent1 11 3 3 2 3 2" xfId="30930" xr:uid="{00000000-0005-0000-0000-00006D480000}"/>
    <cellStyle name="40% - Accent1 11 3 3 2 4" xfId="23284" xr:uid="{00000000-0005-0000-0000-00006E480000}"/>
    <cellStyle name="40% - Accent1 11 3 3 3" xfId="4153" xr:uid="{00000000-0005-0000-0000-00006F480000}"/>
    <cellStyle name="40% - Accent1 11 3 3 3 2" xfId="15288" xr:uid="{00000000-0005-0000-0000-000070480000}"/>
    <cellStyle name="40% - Accent1 11 3 3 3 2 2" xfId="27145" xr:uid="{00000000-0005-0000-0000-000071480000}"/>
    <cellStyle name="40% - Accent1 11 3 3 3 3" xfId="19239" xr:uid="{00000000-0005-0000-0000-000072480000}"/>
    <cellStyle name="40% - Accent1 11 3 3 3 3 2" xfId="30931" xr:uid="{00000000-0005-0000-0000-000073480000}"/>
    <cellStyle name="40% - Accent1 11 3 3 3 4" xfId="23285" xr:uid="{00000000-0005-0000-0000-000074480000}"/>
    <cellStyle name="40% - Accent1 11 3 3 4" xfId="15286" xr:uid="{00000000-0005-0000-0000-000075480000}"/>
    <cellStyle name="40% - Accent1 11 3 3 4 2" xfId="27143" xr:uid="{00000000-0005-0000-0000-000076480000}"/>
    <cellStyle name="40% - Accent1 11 3 3 5" xfId="19237" xr:uid="{00000000-0005-0000-0000-000077480000}"/>
    <cellStyle name="40% - Accent1 11 3 3 5 2" xfId="30929" xr:uid="{00000000-0005-0000-0000-000078480000}"/>
    <cellStyle name="40% - Accent1 11 3 3 6" xfId="23283" xr:uid="{00000000-0005-0000-0000-000079480000}"/>
    <cellStyle name="40% - Accent1 11 3 4" xfId="4154" xr:uid="{00000000-0005-0000-0000-00007A480000}"/>
    <cellStyle name="40% - Accent1 11 3 4 2" xfId="15289" xr:uid="{00000000-0005-0000-0000-00007B480000}"/>
    <cellStyle name="40% - Accent1 11 3 4 2 2" xfId="27146" xr:uid="{00000000-0005-0000-0000-00007C480000}"/>
    <cellStyle name="40% - Accent1 11 3 4 3" xfId="19240" xr:uid="{00000000-0005-0000-0000-00007D480000}"/>
    <cellStyle name="40% - Accent1 11 3 4 3 2" xfId="30932" xr:uid="{00000000-0005-0000-0000-00007E480000}"/>
    <cellStyle name="40% - Accent1 11 3 4 4" xfId="23286" xr:uid="{00000000-0005-0000-0000-00007F480000}"/>
    <cellStyle name="40% - Accent1 11 3 5" xfId="4155" xr:uid="{00000000-0005-0000-0000-000080480000}"/>
    <cellStyle name="40% - Accent1 11 3 5 2" xfId="15290" xr:uid="{00000000-0005-0000-0000-000081480000}"/>
    <cellStyle name="40% - Accent1 11 3 5 2 2" xfId="27147" xr:uid="{00000000-0005-0000-0000-000082480000}"/>
    <cellStyle name="40% - Accent1 11 3 5 3" xfId="19241" xr:uid="{00000000-0005-0000-0000-000083480000}"/>
    <cellStyle name="40% - Accent1 11 3 5 3 2" xfId="30933" xr:uid="{00000000-0005-0000-0000-000084480000}"/>
    <cellStyle name="40% - Accent1 11 3 5 4" xfId="23287" xr:uid="{00000000-0005-0000-0000-000085480000}"/>
    <cellStyle name="40% - Accent1 11 3 6" xfId="15282" xr:uid="{00000000-0005-0000-0000-000086480000}"/>
    <cellStyle name="40% - Accent1 11 3 6 2" xfId="27139" xr:uid="{00000000-0005-0000-0000-000087480000}"/>
    <cellStyle name="40% - Accent1 11 3 7" xfId="19233" xr:uid="{00000000-0005-0000-0000-000088480000}"/>
    <cellStyle name="40% - Accent1 11 3 7 2" xfId="30925" xr:uid="{00000000-0005-0000-0000-000089480000}"/>
    <cellStyle name="40% - Accent1 11 3 8" xfId="23279" xr:uid="{00000000-0005-0000-0000-00008A480000}"/>
    <cellStyle name="40% - Accent1 11 3_Volatility" xfId="4156" xr:uid="{00000000-0005-0000-0000-00008B480000}"/>
    <cellStyle name="40% - Accent1 11 4" xfId="4157" xr:uid="{00000000-0005-0000-0000-00008C480000}"/>
    <cellStyle name="40% - Accent1 11 4 2" xfId="4158" xr:uid="{00000000-0005-0000-0000-00008D480000}"/>
    <cellStyle name="40% - Accent1 11 4 2 2" xfId="15292" xr:uid="{00000000-0005-0000-0000-00008E480000}"/>
    <cellStyle name="40% - Accent1 11 4 2 2 2" xfId="27149" xr:uid="{00000000-0005-0000-0000-00008F480000}"/>
    <cellStyle name="40% - Accent1 11 4 2 3" xfId="19243" xr:uid="{00000000-0005-0000-0000-000090480000}"/>
    <cellStyle name="40% - Accent1 11 4 2 3 2" xfId="30935" xr:uid="{00000000-0005-0000-0000-000091480000}"/>
    <cellStyle name="40% - Accent1 11 4 2 4" xfId="23289" xr:uid="{00000000-0005-0000-0000-000092480000}"/>
    <cellStyle name="40% - Accent1 11 4 3" xfId="4159" xr:uid="{00000000-0005-0000-0000-000093480000}"/>
    <cellStyle name="40% - Accent1 11 4 3 2" xfId="15293" xr:uid="{00000000-0005-0000-0000-000094480000}"/>
    <cellStyle name="40% - Accent1 11 4 3 2 2" xfId="27150" xr:uid="{00000000-0005-0000-0000-000095480000}"/>
    <cellStyle name="40% - Accent1 11 4 3 3" xfId="19244" xr:uid="{00000000-0005-0000-0000-000096480000}"/>
    <cellStyle name="40% - Accent1 11 4 3 3 2" xfId="30936" xr:uid="{00000000-0005-0000-0000-000097480000}"/>
    <cellStyle name="40% - Accent1 11 4 3 4" xfId="23290" xr:uid="{00000000-0005-0000-0000-000098480000}"/>
    <cellStyle name="40% - Accent1 11 4 4" xfId="15291" xr:uid="{00000000-0005-0000-0000-000099480000}"/>
    <cellStyle name="40% - Accent1 11 4 4 2" xfId="27148" xr:uid="{00000000-0005-0000-0000-00009A480000}"/>
    <cellStyle name="40% - Accent1 11 4 5" xfId="19242" xr:uid="{00000000-0005-0000-0000-00009B480000}"/>
    <cellStyle name="40% - Accent1 11 4 5 2" xfId="30934" xr:uid="{00000000-0005-0000-0000-00009C480000}"/>
    <cellStyle name="40% - Accent1 11 4 6" xfId="23288" xr:uid="{00000000-0005-0000-0000-00009D480000}"/>
    <cellStyle name="40% - Accent1 11 5" xfId="4160" xr:uid="{00000000-0005-0000-0000-00009E480000}"/>
    <cellStyle name="40% - Accent1 11 5 2" xfId="4161" xr:uid="{00000000-0005-0000-0000-00009F480000}"/>
    <cellStyle name="40% - Accent1 11 5 2 2" xfId="15295" xr:uid="{00000000-0005-0000-0000-0000A0480000}"/>
    <cellStyle name="40% - Accent1 11 5 2 2 2" xfId="27152" xr:uid="{00000000-0005-0000-0000-0000A1480000}"/>
    <cellStyle name="40% - Accent1 11 5 2 3" xfId="19246" xr:uid="{00000000-0005-0000-0000-0000A2480000}"/>
    <cellStyle name="40% - Accent1 11 5 2 3 2" xfId="30938" xr:uid="{00000000-0005-0000-0000-0000A3480000}"/>
    <cellStyle name="40% - Accent1 11 5 2 4" xfId="23292" xr:uid="{00000000-0005-0000-0000-0000A4480000}"/>
    <cellStyle name="40% - Accent1 11 5 3" xfId="4162" xr:uid="{00000000-0005-0000-0000-0000A5480000}"/>
    <cellStyle name="40% - Accent1 11 5 3 2" xfId="15296" xr:uid="{00000000-0005-0000-0000-0000A6480000}"/>
    <cellStyle name="40% - Accent1 11 5 3 2 2" xfId="27153" xr:uid="{00000000-0005-0000-0000-0000A7480000}"/>
    <cellStyle name="40% - Accent1 11 5 3 3" xfId="19247" xr:uid="{00000000-0005-0000-0000-0000A8480000}"/>
    <cellStyle name="40% - Accent1 11 5 3 3 2" xfId="30939" xr:uid="{00000000-0005-0000-0000-0000A9480000}"/>
    <cellStyle name="40% - Accent1 11 5 3 4" xfId="23293" xr:uid="{00000000-0005-0000-0000-0000AA480000}"/>
    <cellStyle name="40% - Accent1 11 5 4" xfId="15294" xr:uid="{00000000-0005-0000-0000-0000AB480000}"/>
    <cellStyle name="40% - Accent1 11 5 4 2" xfId="27151" xr:uid="{00000000-0005-0000-0000-0000AC480000}"/>
    <cellStyle name="40% - Accent1 11 5 5" xfId="19245" xr:uid="{00000000-0005-0000-0000-0000AD480000}"/>
    <cellStyle name="40% - Accent1 11 5 5 2" xfId="30937" xr:uid="{00000000-0005-0000-0000-0000AE480000}"/>
    <cellStyle name="40% - Accent1 11 5 6" xfId="23291" xr:uid="{00000000-0005-0000-0000-0000AF480000}"/>
    <cellStyle name="40% - Accent1 11 6" xfId="4163" xr:uid="{00000000-0005-0000-0000-0000B0480000}"/>
    <cellStyle name="40% - Accent1 11 6 2" xfId="4164" xr:uid="{00000000-0005-0000-0000-0000B1480000}"/>
    <cellStyle name="40% - Accent1 11 6 2 2" xfId="15298" xr:uid="{00000000-0005-0000-0000-0000B2480000}"/>
    <cellStyle name="40% - Accent1 11 6 2 2 2" xfId="27155" xr:uid="{00000000-0005-0000-0000-0000B3480000}"/>
    <cellStyle name="40% - Accent1 11 6 2 3" xfId="19249" xr:uid="{00000000-0005-0000-0000-0000B4480000}"/>
    <cellStyle name="40% - Accent1 11 6 2 3 2" xfId="30941" xr:uid="{00000000-0005-0000-0000-0000B5480000}"/>
    <cellStyle name="40% - Accent1 11 6 2 4" xfId="23295" xr:uid="{00000000-0005-0000-0000-0000B6480000}"/>
    <cellStyle name="40% - Accent1 11 6 3" xfId="4165" xr:uid="{00000000-0005-0000-0000-0000B7480000}"/>
    <cellStyle name="40% - Accent1 11 6 3 2" xfId="15299" xr:uid="{00000000-0005-0000-0000-0000B8480000}"/>
    <cellStyle name="40% - Accent1 11 6 3 2 2" xfId="27156" xr:uid="{00000000-0005-0000-0000-0000B9480000}"/>
    <cellStyle name="40% - Accent1 11 6 3 3" xfId="19250" xr:uid="{00000000-0005-0000-0000-0000BA480000}"/>
    <cellStyle name="40% - Accent1 11 6 3 3 2" xfId="30942" xr:uid="{00000000-0005-0000-0000-0000BB480000}"/>
    <cellStyle name="40% - Accent1 11 6 3 4" xfId="23296" xr:uid="{00000000-0005-0000-0000-0000BC480000}"/>
    <cellStyle name="40% - Accent1 11 6 4" xfId="15297" xr:uid="{00000000-0005-0000-0000-0000BD480000}"/>
    <cellStyle name="40% - Accent1 11 6 4 2" xfId="27154" xr:uid="{00000000-0005-0000-0000-0000BE480000}"/>
    <cellStyle name="40% - Accent1 11 6 5" xfId="19248" xr:uid="{00000000-0005-0000-0000-0000BF480000}"/>
    <cellStyle name="40% - Accent1 11 6 5 2" xfId="30940" xr:uid="{00000000-0005-0000-0000-0000C0480000}"/>
    <cellStyle name="40% - Accent1 11 6 6" xfId="23294" xr:uid="{00000000-0005-0000-0000-0000C1480000}"/>
    <cellStyle name="40% - Accent1 11 7" xfId="4166" xr:uid="{00000000-0005-0000-0000-0000C2480000}"/>
    <cellStyle name="40% - Accent1 11 7 2" xfId="15300" xr:uid="{00000000-0005-0000-0000-0000C3480000}"/>
    <cellStyle name="40% - Accent1 11 7 2 2" xfId="27157" xr:uid="{00000000-0005-0000-0000-0000C4480000}"/>
    <cellStyle name="40% - Accent1 11 7 3" xfId="19251" xr:uid="{00000000-0005-0000-0000-0000C5480000}"/>
    <cellStyle name="40% - Accent1 11 7 3 2" xfId="30943" xr:uid="{00000000-0005-0000-0000-0000C6480000}"/>
    <cellStyle name="40% - Accent1 11 7 4" xfId="23297" xr:uid="{00000000-0005-0000-0000-0000C7480000}"/>
    <cellStyle name="40% - Accent1 11 8" xfId="4167" xr:uid="{00000000-0005-0000-0000-0000C8480000}"/>
    <cellStyle name="40% - Accent1 11 8 2" xfId="15301" xr:uid="{00000000-0005-0000-0000-0000C9480000}"/>
    <cellStyle name="40% - Accent1 11 8 2 2" xfId="27158" xr:uid="{00000000-0005-0000-0000-0000CA480000}"/>
    <cellStyle name="40% - Accent1 11 8 3" xfId="19252" xr:uid="{00000000-0005-0000-0000-0000CB480000}"/>
    <cellStyle name="40% - Accent1 11 8 3 2" xfId="30944" xr:uid="{00000000-0005-0000-0000-0000CC480000}"/>
    <cellStyle name="40% - Accent1 11 8 4" xfId="23298" xr:uid="{00000000-0005-0000-0000-0000CD480000}"/>
    <cellStyle name="40% - Accent1 11 9" xfId="15269" xr:uid="{00000000-0005-0000-0000-0000CE480000}"/>
    <cellStyle name="40% - Accent1 11 9 2" xfId="27126" xr:uid="{00000000-0005-0000-0000-0000CF480000}"/>
    <cellStyle name="40% - Accent1 11_Volatility" xfId="4168" xr:uid="{00000000-0005-0000-0000-0000D0480000}"/>
    <cellStyle name="40% - Accent1 12" xfId="4169" xr:uid="{00000000-0005-0000-0000-0000D1480000}"/>
    <cellStyle name="40% - Accent1 12 10" xfId="19253" xr:uid="{00000000-0005-0000-0000-0000D2480000}"/>
    <cellStyle name="40% - Accent1 12 10 2" xfId="30945" xr:uid="{00000000-0005-0000-0000-0000D3480000}"/>
    <cellStyle name="40% - Accent1 12 11" xfId="23299" xr:uid="{00000000-0005-0000-0000-0000D4480000}"/>
    <cellStyle name="40% - Accent1 12 2" xfId="4170" xr:uid="{00000000-0005-0000-0000-0000D5480000}"/>
    <cellStyle name="40% - Accent1 12 2 2" xfId="4171" xr:uid="{00000000-0005-0000-0000-0000D6480000}"/>
    <cellStyle name="40% - Accent1 12 2 2 2" xfId="4172" xr:uid="{00000000-0005-0000-0000-0000D7480000}"/>
    <cellStyle name="40% - Accent1 12 2 2 2 2" xfId="15305" xr:uid="{00000000-0005-0000-0000-0000D8480000}"/>
    <cellStyle name="40% - Accent1 12 2 2 2 2 2" xfId="27162" xr:uid="{00000000-0005-0000-0000-0000D9480000}"/>
    <cellStyle name="40% - Accent1 12 2 2 2 3" xfId="19256" xr:uid="{00000000-0005-0000-0000-0000DA480000}"/>
    <cellStyle name="40% - Accent1 12 2 2 2 3 2" xfId="30948" xr:uid="{00000000-0005-0000-0000-0000DB480000}"/>
    <cellStyle name="40% - Accent1 12 2 2 2 4" xfId="23302" xr:uid="{00000000-0005-0000-0000-0000DC480000}"/>
    <cellStyle name="40% - Accent1 12 2 2 3" xfId="4173" xr:uid="{00000000-0005-0000-0000-0000DD480000}"/>
    <cellStyle name="40% - Accent1 12 2 2 3 2" xfId="15306" xr:uid="{00000000-0005-0000-0000-0000DE480000}"/>
    <cellStyle name="40% - Accent1 12 2 2 3 2 2" xfId="27163" xr:uid="{00000000-0005-0000-0000-0000DF480000}"/>
    <cellStyle name="40% - Accent1 12 2 2 3 3" xfId="19257" xr:uid="{00000000-0005-0000-0000-0000E0480000}"/>
    <cellStyle name="40% - Accent1 12 2 2 3 3 2" xfId="30949" xr:uid="{00000000-0005-0000-0000-0000E1480000}"/>
    <cellStyle name="40% - Accent1 12 2 2 3 4" xfId="23303" xr:uid="{00000000-0005-0000-0000-0000E2480000}"/>
    <cellStyle name="40% - Accent1 12 2 2 4" xfId="15304" xr:uid="{00000000-0005-0000-0000-0000E3480000}"/>
    <cellStyle name="40% - Accent1 12 2 2 4 2" xfId="27161" xr:uid="{00000000-0005-0000-0000-0000E4480000}"/>
    <cellStyle name="40% - Accent1 12 2 2 5" xfId="19255" xr:uid="{00000000-0005-0000-0000-0000E5480000}"/>
    <cellStyle name="40% - Accent1 12 2 2 5 2" xfId="30947" xr:uid="{00000000-0005-0000-0000-0000E6480000}"/>
    <cellStyle name="40% - Accent1 12 2 2 6" xfId="23301" xr:uid="{00000000-0005-0000-0000-0000E7480000}"/>
    <cellStyle name="40% - Accent1 12 2 3" xfId="4174" xr:uid="{00000000-0005-0000-0000-0000E8480000}"/>
    <cellStyle name="40% - Accent1 12 2 3 2" xfId="4175" xr:uid="{00000000-0005-0000-0000-0000E9480000}"/>
    <cellStyle name="40% - Accent1 12 2 3 2 2" xfId="15308" xr:uid="{00000000-0005-0000-0000-0000EA480000}"/>
    <cellStyle name="40% - Accent1 12 2 3 2 2 2" xfId="27165" xr:uid="{00000000-0005-0000-0000-0000EB480000}"/>
    <cellStyle name="40% - Accent1 12 2 3 2 3" xfId="19259" xr:uid="{00000000-0005-0000-0000-0000EC480000}"/>
    <cellStyle name="40% - Accent1 12 2 3 2 3 2" xfId="30951" xr:uid="{00000000-0005-0000-0000-0000ED480000}"/>
    <cellStyle name="40% - Accent1 12 2 3 2 4" xfId="23305" xr:uid="{00000000-0005-0000-0000-0000EE480000}"/>
    <cellStyle name="40% - Accent1 12 2 3 3" xfId="4176" xr:uid="{00000000-0005-0000-0000-0000EF480000}"/>
    <cellStyle name="40% - Accent1 12 2 3 3 2" xfId="15309" xr:uid="{00000000-0005-0000-0000-0000F0480000}"/>
    <cellStyle name="40% - Accent1 12 2 3 3 2 2" xfId="27166" xr:uid="{00000000-0005-0000-0000-0000F1480000}"/>
    <cellStyle name="40% - Accent1 12 2 3 3 3" xfId="19260" xr:uid="{00000000-0005-0000-0000-0000F2480000}"/>
    <cellStyle name="40% - Accent1 12 2 3 3 3 2" xfId="30952" xr:uid="{00000000-0005-0000-0000-0000F3480000}"/>
    <cellStyle name="40% - Accent1 12 2 3 3 4" xfId="23306" xr:uid="{00000000-0005-0000-0000-0000F4480000}"/>
    <cellStyle name="40% - Accent1 12 2 3 4" xfId="15307" xr:uid="{00000000-0005-0000-0000-0000F5480000}"/>
    <cellStyle name="40% - Accent1 12 2 3 4 2" xfId="27164" xr:uid="{00000000-0005-0000-0000-0000F6480000}"/>
    <cellStyle name="40% - Accent1 12 2 3 5" xfId="19258" xr:uid="{00000000-0005-0000-0000-0000F7480000}"/>
    <cellStyle name="40% - Accent1 12 2 3 5 2" xfId="30950" xr:uid="{00000000-0005-0000-0000-0000F8480000}"/>
    <cellStyle name="40% - Accent1 12 2 3 6" xfId="23304" xr:uid="{00000000-0005-0000-0000-0000F9480000}"/>
    <cellStyle name="40% - Accent1 12 2 4" xfId="4177" xr:uid="{00000000-0005-0000-0000-0000FA480000}"/>
    <cellStyle name="40% - Accent1 12 2 4 2" xfId="4178" xr:uid="{00000000-0005-0000-0000-0000FB480000}"/>
    <cellStyle name="40% - Accent1 12 2 4 2 2" xfId="15311" xr:uid="{00000000-0005-0000-0000-0000FC480000}"/>
    <cellStyle name="40% - Accent1 12 2 4 2 2 2" xfId="27168" xr:uid="{00000000-0005-0000-0000-0000FD480000}"/>
    <cellStyle name="40% - Accent1 12 2 4 2 3" xfId="19262" xr:uid="{00000000-0005-0000-0000-0000FE480000}"/>
    <cellStyle name="40% - Accent1 12 2 4 2 3 2" xfId="30954" xr:uid="{00000000-0005-0000-0000-0000FF480000}"/>
    <cellStyle name="40% - Accent1 12 2 4 2 4" xfId="23308" xr:uid="{00000000-0005-0000-0000-000000490000}"/>
    <cellStyle name="40% - Accent1 12 2 4 3" xfId="4179" xr:uid="{00000000-0005-0000-0000-000001490000}"/>
    <cellStyle name="40% - Accent1 12 2 4 3 2" xfId="15312" xr:uid="{00000000-0005-0000-0000-000002490000}"/>
    <cellStyle name="40% - Accent1 12 2 4 3 2 2" xfId="27169" xr:uid="{00000000-0005-0000-0000-000003490000}"/>
    <cellStyle name="40% - Accent1 12 2 4 3 3" xfId="19263" xr:uid="{00000000-0005-0000-0000-000004490000}"/>
    <cellStyle name="40% - Accent1 12 2 4 3 3 2" xfId="30955" xr:uid="{00000000-0005-0000-0000-000005490000}"/>
    <cellStyle name="40% - Accent1 12 2 4 3 4" xfId="23309" xr:uid="{00000000-0005-0000-0000-000006490000}"/>
    <cellStyle name="40% - Accent1 12 2 4 4" xfId="15310" xr:uid="{00000000-0005-0000-0000-000007490000}"/>
    <cellStyle name="40% - Accent1 12 2 4 4 2" xfId="27167" xr:uid="{00000000-0005-0000-0000-000008490000}"/>
    <cellStyle name="40% - Accent1 12 2 4 5" xfId="19261" xr:uid="{00000000-0005-0000-0000-000009490000}"/>
    <cellStyle name="40% - Accent1 12 2 4 5 2" xfId="30953" xr:uid="{00000000-0005-0000-0000-00000A490000}"/>
    <cellStyle name="40% - Accent1 12 2 4 6" xfId="23307" xr:uid="{00000000-0005-0000-0000-00000B490000}"/>
    <cellStyle name="40% - Accent1 12 2 5" xfId="4180" xr:uid="{00000000-0005-0000-0000-00000C490000}"/>
    <cellStyle name="40% - Accent1 12 2 5 2" xfId="15313" xr:uid="{00000000-0005-0000-0000-00000D490000}"/>
    <cellStyle name="40% - Accent1 12 2 5 2 2" xfId="27170" xr:uid="{00000000-0005-0000-0000-00000E490000}"/>
    <cellStyle name="40% - Accent1 12 2 5 3" xfId="19264" xr:uid="{00000000-0005-0000-0000-00000F490000}"/>
    <cellStyle name="40% - Accent1 12 2 5 3 2" xfId="30956" xr:uid="{00000000-0005-0000-0000-000010490000}"/>
    <cellStyle name="40% - Accent1 12 2 5 4" xfId="23310" xr:uid="{00000000-0005-0000-0000-000011490000}"/>
    <cellStyle name="40% - Accent1 12 2 6" xfId="4181" xr:uid="{00000000-0005-0000-0000-000012490000}"/>
    <cellStyle name="40% - Accent1 12 2 6 2" xfId="15314" xr:uid="{00000000-0005-0000-0000-000013490000}"/>
    <cellStyle name="40% - Accent1 12 2 6 2 2" xfId="27171" xr:uid="{00000000-0005-0000-0000-000014490000}"/>
    <cellStyle name="40% - Accent1 12 2 6 3" xfId="19265" xr:uid="{00000000-0005-0000-0000-000015490000}"/>
    <cellStyle name="40% - Accent1 12 2 6 3 2" xfId="30957" xr:uid="{00000000-0005-0000-0000-000016490000}"/>
    <cellStyle name="40% - Accent1 12 2 6 4" xfId="23311" xr:uid="{00000000-0005-0000-0000-000017490000}"/>
    <cellStyle name="40% - Accent1 12 2 7" xfId="15303" xr:uid="{00000000-0005-0000-0000-000018490000}"/>
    <cellStyle name="40% - Accent1 12 2 7 2" xfId="27160" xr:uid="{00000000-0005-0000-0000-000019490000}"/>
    <cellStyle name="40% - Accent1 12 2 8" xfId="19254" xr:uid="{00000000-0005-0000-0000-00001A490000}"/>
    <cellStyle name="40% - Accent1 12 2 8 2" xfId="30946" xr:uid="{00000000-0005-0000-0000-00001B490000}"/>
    <cellStyle name="40% - Accent1 12 2 9" xfId="23300" xr:uid="{00000000-0005-0000-0000-00001C490000}"/>
    <cellStyle name="40% - Accent1 12 2_Volatility" xfId="4182" xr:uid="{00000000-0005-0000-0000-00001D490000}"/>
    <cellStyle name="40% - Accent1 12 3" xfId="4183" xr:uid="{00000000-0005-0000-0000-00001E490000}"/>
    <cellStyle name="40% - Accent1 12 3 2" xfId="4184" xr:uid="{00000000-0005-0000-0000-00001F490000}"/>
    <cellStyle name="40% - Accent1 12 3 2 2" xfId="4185" xr:uid="{00000000-0005-0000-0000-000020490000}"/>
    <cellStyle name="40% - Accent1 12 3 2 2 2" xfId="15317" xr:uid="{00000000-0005-0000-0000-000021490000}"/>
    <cellStyle name="40% - Accent1 12 3 2 2 2 2" xfId="27174" xr:uid="{00000000-0005-0000-0000-000022490000}"/>
    <cellStyle name="40% - Accent1 12 3 2 2 3" xfId="19268" xr:uid="{00000000-0005-0000-0000-000023490000}"/>
    <cellStyle name="40% - Accent1 12 3 2 2 3 2" xfId="30960" xr:uid="{00000000-0005-0000-0000-000024490000}"/>
    <cellStyle name="40% - Accent1 12 3 2 2 4" xfId="23314" xr:uid="{00000000-0005-0000-0000-000025490000}"/>
    <cellStyle name="40% - Accent1 12 3 2 3" xfId="4186" xr:uid="{00000000-0005-0000-0000-000026490000}"/>
    <cellStyle name="40% - Accent1 12 3 2 3 2" xfId="15318" xr:uid="{00000000-0005-0000-0000-000027490000}"/>
    <cellStyle name="40% - Accent1 12 3 2 3 2 2" xfId="27175" xr:uid="{00000000-0005-0000-0000-000028490000}"/>
    <cellStyle name="40% - Accent1 12 3 2 3 3" xfId="19269" xr:uid="{00000000-0005-0000-0000-000029490000}"/>
    <cellStyle name="40% - Accent1 12 3 2 3 3 2" xfId="30961" xr:uid="{00000000-0005-0000-0000-00002A490000}"/>
    <cellStyle name="40% - Accent1 12 3 2 3 4" xfId="23315" xr:uid="{00000000-0005-0000-0000-00002B490000}"/>
    <cellStyle name="40% - Accent1 12 3 2 4" xfId="15316" xr:uid="{00000000-0005-0000-0000-00002C490000}"/>
    <cellStyle name="40% - Accent1 12 3 2 4 2" xfId="27173" xr:uid="{00000000-0005-0000-0000-00002D490000}"/>
    <cellStyle name="40% - Accent1 12 3 2 5" xfId="19267" xr:uid="{00000000-0005-0000-0000-00002E490000}"/>
    <cellStyle name="40% - Accent1 12 3 2 5 2" xfId="30959" xr:uid="{00000000-0005-0000-0000-00002F490000}"/>
    <cellStyle name="40% - Accent1 12 3 2 6" xfId="23313" xr:uid="{00000000-0005-0000-0000-000030490000}"/>
    <cellStyle name="40% - Accent1 12 3 3" xfId="4187" xr:uid="{00000000-0005-0000-0000-000031490000}"/>
    <cellStyle name="40% - Accent1 12 3 3 2" xfId="4188" xr:uid="{00000000-0005-0000-0000-000032490000}"/>
    <cellStyle name="40% - Accent1 12 3 3 2 2" xfId="15320" xr:uid="{00000000-0005-0000-0000-000033490000}"/>
    <cellStyle name="40% - Accent1 12 3 3 2 2 2" xfId="27177" xr:uid="{00000000-0005-0000-0000-000034490000}"/>
    <cellStyle name="40% - Accent1 12 3 3 2 3" xfId="19271" xr:uid="{00000000-0005-0000-0000-000035490000}"/>
    <cellStyle name="40% - Accent1 12 3 3 2 3 2" xfId="30963" xr:uid="{00000000-0005-0000-0000-000036490000}"/>
    <cellStyle name="40% - Accent1 12 3 3 2 4" xfId="23317" xr:uid="{00000000-0005-0000-0000-000037490000}"/>
    <cellStyle name="40% - Accent1 12 3 3 3" xfId="4189" xr:uid="{00000000-0005-0000-0000-000038490000}"/>
    <cellStyle name="40% - Accent1 12 3 3 3 2" xfId="15321" xr:uid="{00000000-0005-0000-0000-000039490000}"/>
    <cellStyle name="40% - Accent1 12 3 3 3 2 2" xfId="27178" xr:uid="{00000000-0005-0000-0000-00003A490000}"/>
    <cellStyle name="40% - Accent1 12 3 3 3 3" xfId="19272" xr:uid="{00000000-0005-0000-0000-00003B490000}"/>
    <cellStyle name="40% - Accent1 12 3 3 3 3 2" xfId="30964" xr:uid="{00000000-0005-0000-0000-00003C490000}"/>
    <cellStyle name="40% - Accent1 12 3 3 3 4" xfId="23318" xr:uid="{00000000-0005-0000-0000-00003D490000}"/>
    <cellStyle name="40% - Accent1 12 3 3 4" xfId="15319" xr:uid="{00000000-0005-0000-0000-00003E490000}"/>
    <cellStyle name="40% - Accent1 12 3 3 4 2" xfId="27176" xr:uid="{00000000-0005-0000-0000-00003F490000}"/>
    <cellStyle name="40% - Accent1 12 3 3 5" xfId="19270" xr:uid="{00000000-0005-0000-0000-000040490000}"/>
    <cellStyle name="40% - Accent1 12 3 3 5 2" xfId="30962" xr:uid="{00000000-0005-0000-0000-000041490000}"/>
    <cellStyle name="40% - Accent1 12 3 3 6" xfId="23316" xr:uid="{00000000-0005-0000-0000-000042490000}"/>
    <cellStyle name="40% - Accent1 12 3 4" xfId="4190" xr:uid="{00000000-0005-0000-0000-000043490000}"/>
    <cellStyle name="40% - Accent1 12 3 4 2" xfId="15322" xr:uid="{00000000-0005-0000-0000-000044490000}"/>
    <cellStyle name="40% - Accent1 12 3 4 2 2" xfId="27179" xr:uid="{00000000-0005-0000-0000-000045490000}"/>
    <cellStyle name="40% - Accent1 12 3 4 3" xfId="19273" xr:uid="{00000000-0005-0000-0000-000046490000}"/>
    <cellStyle name="40% - Accent1 12 3 4 3 2" xfId="30965" xr:uid="{00000000-0005-0000-0000-000047490000}"/>
    <cellStyle name="40% - Accent1 12 3 4 4" xfId="23319" xr:uid="{00000000-0005-0000-0000-000048490000}"/>
    <cellStyle name="40% - Accent1 12 3 5" xfId="4191" xr:uid="{00000000-0005-0000-0000-000049490000}"/>
    <cellStyle name="40% - Accent1 12 3 5 2" xfId="15323" xr:uid="{00000000-0005-0000-0000-00004A490000}"/>
    <cellStyle name="40% - Accent1 12 3 5 2 2" xfId="27180" xr:uid="{00000000-0005-0000-0000-00004B490000}"/>
    <cellStyle name="40% - Accent1 12 3 5 3" xfId="19274" xr:uid="{00000000-0005-0000-0000-00004C490000}"/>
    <cellStyle name="40% - Accent1 12 3 5 3 2" xfId="30966" xr:uid="{00000000-0005-0000-0000-00004D490000}"/>
    <cellStyle name="40% - Accent1 12 3 5 4" xfId="23320" xr:uid="{00000000-0005-0000-0000-00004E490000}"/>
    <cellStyle name="40% - Accent1 12 3 6" xfId="15315" xr:uid="{00000000-0005-0000-0000-00004F490000}"/>
    <cellStyle name="40% - Accent1 12 3 6 2" xfId="27172" xr:uid="{00000000-0005-0000-0000-000050490000}"/>
    <cellStyle name="40% - Accent1 12 3 7" xfId="19266" xr:uid="{00000000-0005-0000-0000-000051490000}"/>
    <cellStyle name="40% - Accent1 12 3 7 2" xfId="30958" xr:uid="{00000000-0005-0000-0000-000052490000}"/>
    <cellStyle name="40% - Accent1 12 3 8" xfId="23312" xr:uid="{00000000-0005-0000-0000-000053490000}"/>
    <cellStyle name="40% - Accent1 12 3_Volatility" xfId="4192" xr:uid="{00000000-0005-0000-0000-000054490000}"/>
    <cellStyle name="40% - Accent1 12 4" xfId="4193" xr:uid="{00000000-0005-0000-0000-000055490000}"/>
    <cellStyle name="40% - Accent1 12 4 2" xfId="4194" xr:uid="{00000000-0005-0000-0000-000056490000}"/>
    <cellStyle name="40% - Accent1 12 4 2 2" xfId="15325" xr:uid="{00000000-0005-0000-0000-000057490000}"/>
    <cellStyle name="40% - Accent1 12 4 2 2 2" xfId="27182" xr:uid="{00000000-0005-0000-0000-000058490000}"/>
    <cellStyle name="40% - Accent1 12 4 2 3" xfId="19276" xr:uid="{00000000-0005-0000-0000-000059490000}"/>
    <cellStyle name="40% - Accent1 12 4 2 3 2" xfId="30968" xr:uid="{00000000-0005-0000-0000-00005A490000}"/>
    <cellStyle name="40% - Accent1 12 4 2 4" xfId="23322" xr:uid="{00000000-0005-0000-0000-00005B490000}"/>
    <cellStyle name="40% - Accent1 12 4 3" xfId="4195" xr:uid="{00000000-0005-0000-0000-00005C490000}"/>
    <cellStyle name="40% - Accent1 12 4 3 2" xfId="15326" xr:uid="{00000000-0005-0000-0000-00005D490000}"/>
    <cellStyle name="40% - Accent1 12 4 3 2 2" xfId="27183" xr:uid="{00000000-0005-0000-0000-00005E490000}"/>
    <cellStyle name="40% - Accent1 12 4 3 3" xfId="19277" xr:uid="{00000000-0005-0000-0000-00005F490000}"/>
    <cellStyle name="40% - Accent1 12 4 3 3 2" xfId="30969" xr:uid="{00000000-0005-0000-0000-000060490000}"/>
    <cellStyle name="40% - Accent1 12 4 3 4" xfId="23323" xr:uid="{00000000-0005-0000-0000-000061490000}"/>
    <cellStyle name="40% - Accent1 12 4 4" xfId="15324" xr:uid="{00000000-0005-0000-0000-000062490000}"/>
    <cellStyle name="40% - Accent1 12 4 4 2" xfId="27181" xr:uid="{00000000-0005-0000-0000-000063490000}"/>
    <cellStyle name="40% - Accent1 12 4 5" xfId="19275" xr:uid="{00000000-0005-0000-0000-000064490000}"/>
    <cellStyle name="40% - Accent1 12 4 5 2" xfId="30967" xr:uid="{00000000-0005-0000-0000-000065490000}"/>
    <cellStyle name="40% - Accent1 12 4 6" xfId="23321" xr:uid="{00000000-0005-0000-0000-000066490000}"/>
    <cellStyle name="40% - Accent1 12 5" xfId="4196" xr:uid="{00000000-0005-0000-0000-000067490000}"/>
    <cellStyle name="40% - Accent1 12 5 2" xfId="4197" xr:uid="{00000000-0005-0000-0000-000068490000}"/>
    <cellStyle name="40% - Accent1 12 5 2 2" xfId="15328" xr:uid="{00000000-0005-0000-0000-000069490000}"/>
    <cellStyle name="40% - Accent1 12 5 2 2 2" xfId="27185" xr:uid="{00000000-0005-0000-0000-00006A490000}"/>
    <cellStyle name="40% - Accent1 12 5 2 3" xfId="19279" xr:uid="{00000000-0005-0000-0000-00006B490000}"/>
    <cellStyle name="40% - Accent1 12 5 2 3 2" xfId="30971" xr:uid="{00000000-0005-0000-0000-00006C490000}"/>
    <cellStyle name="40% - Accent1 12 5 2 4" xfId="23325" xr:uid="{00000000-0005-0000-0000-00006D490000}"/>
    <cellStyle name="40% - Accent1 12 5 3" xfId="4198" xr:uid="{00000000-0005-0000-0000-00006E490000}"/>
    <cellStyle name="40% - Accent1 12 5 3 2" xfId="15329" xr:uid="{00000000-0005-0000-0000-00006F490000}"/>
    <cellStyle name="40% - Accent1 12 5 3 2 2" xfId="27186" xr:uid="{00000000-0005-0000-0000-000070490000}"/>
    <cellStyle name="40% - Accent1 12 5 3 3" xfId="19280" xr:uid="{00000000-0005-0000-0000-000071490000}"/>
    <cellStyle name="40% - Accent1 12 5 3 3 2" xfId="30972" xr:uid="{00000000-0005-0000-0000-000072490000}"/>
    <cellStyle name="40% - Accent1 12 5 3 4" xfId="23326" xr:uid="{00000000-0005-0000-0000-000073490000}"/>
    <cellStyle name="40% - Accent1 12 5 4" xfId="15327" xr:uid="{00000000-0005-0000-0000-000074490000}"/>
    <cellStyle name="40% - Accent1 12 5 4 2" xfId="27184" xr:uid="{00000000-0005-0000-0000-000075490000}"/>
    <cellStyle name="40% - Accent1 12 5 5" xfId="19278" xr:uid="{00000000-0005-0000-0000-000076490000}"/>
    <cellStyle name="40% - Accent1 12 5 5 2" xfId="30970" xr:uid="{00000000-0005-0000-0000-000077490000}"/>
    <cellStyle name="40% - Accent1 12 5 6" xfId="23324" xr:uid="{00000000-0005-0000-0000-000078490000}"/>
    <cellStyle name="40% - Accent1 12 6" xfId="4199" xr:uid="{00000000-0005-0000-0000-000079490000}"/>
    <cellStyle name="40% - Accent1 12 6 2" xfId="4200" xr:uid="{00000000-0005-0000-0000-00007A490000}"/>
    <cellStyle name="40% - Accent1 12 6 2 2" xfId="15331" xr:uid="{00000000-0005-0000-0000-00007B490000}"/>
    <cellStyle name="40% - Accent1 12 6 2 2 2" xfId="27188" xr:uid="{00000000-0005-0000-0000-00007C490000}"/>
    <cellStyle name="40% - Accent1 12 6 2 3" xfId="19282" xr:uid="{00000000-0005-0000-0000-00007D490000}"/>
    <cellStyle name="40% - Accent1 12 6 2 3 2" xfId="30974" xr:uid="{00000000-0005-0000-0000-00007E490000}"/>
    <cellStyle name="40% - Accent1 12 6 2 4" xfId="23328" xr:uid="{00000000-0005-0000-0000-00007F490000}"/>
    <cellStyle name="40% - Accent1 12 6 3" xfId="4201" xr:uid="{00000000-0005-0000-0000-000080490000}"/>
    <cellStyle name="40% - Accent1 12 6 3 2" xfId="15332" xr:uid="{00000000-0005-0000-0000-000081490000}"/>
    <cellStyle name="40% - Accent1 12 6 3 2 2" xfId="27189" xr:uid="{00000000-0005-0000-0000-000082490000}"/>
    <cellStyle name="40% - Accent1 12 6 3 3" xfId="19283" xr:uid="{00000000-0005-0000-0000-000083490000}"/>
    <cellStyle name="40% - Accent1 12 6 3 3 2" xfId="30975" xr:uid="{00000000-0005-0000-0000-000084490000}"/>
    <cellStyle name="40% - Accent1 12 6 3 4" xfId="23329" xr:uid="{00000000-0005-0000-0000-000085490000}"/>
    <cellStyle name="40% - Accent1 12 6 4" xfId="15330" xr:uid="{00000000-0005-0000-0000-000086490000}"/>
    <cellStyle name="40% - Accent1 12 6 4 2" xfId="27187" xr:uid="{00000000-0005-0000-0000-000087490000}"/>
    <cellStyle name="40% - Accent1 12 6 5" xfId="19281" xr:uid="{00000000-0005-0000-0000-000088490000}"/>
    <cellStyle name="40% - Accent1 12 6 5 2" xfId="30973" xr:uid="{00000000-0005-0000-0000-000089490000}"/>
    <cellStyle name="40% - Accent1 12 6 6" xfId="23327" xr:uid="{00000000-0005-0000-0000-00008A490000}"/>
    <cellStyle name="40% - Accent1 12 7" xfId="4202" xr:uid="{00000000-0005-0000-0000-00008B490000}"/>
    <cellStyle name="40% - Accent1 12 7 2" xfId="15333" xr:uid="{00000000-0005-0000-0000-00008C490000}"/>
    <cellStyle name="40% - Accent1 12 7 2 2" xfId="27190" xr:uid="{00000000-0005-0000-0000-00008D490000}"/>
    <cellStyle name="40% - Accent1 12 7 3" xfId="19284" xr:uid="{00000000-0005-0000-0000-00008E490000}"/>
    <cellStyle name="40% - Accent1 12 7 3 2" xfId="30976" xr:uid="{00000000-0005-0000-0000-00008F490000}"/>
    <cellStyle name="40% - Accent1 12 7 4" xfId="23330" xr:uid="{00000000-0005-0000-0000-000090490000}"/>
    <cellStyle name="40% - Accent1 12 8" xfId="4203" xr:uid="{00000000-0005-0000-0000-000091490000}"/>
    <cellStyle name="40% - Accent1 12 8 2" xfId="15334" xr:uid="{00000000-0005-0000-0000-000092490000}"/>
    <cellStyle name="40% - Accent1 12 8 2 2" xfId="27191" xr:uid="{00000000-0005-0000-0000-000093490000}"/>
    <cellStyle name="40% - Accent1 12 8 3" xfId="19285" xr:uid="{00000000-0005-0000-0000-000094490000}"/>
    <cellStyle name="40% - Accent1 12 8 3 2" xfId="30977" xr:uid="{00000000-0005-0000-0000-000095490000}"/>
    <cellStyle name="40% - Accent1 12 8 4" xfId="23331" xr:uid="{00000000-0005-0000-0000-000096490000}"/>
    <cellStyle name="40% - Accent1 12 9" xfId="15302" xr:uid="{00000000-0005-0000-0000-000097490000}"/>
    <cellStyle name="40% - Accent1 12 9 2" xfId="27159" xr:uid="{00000000-0005-0000-0000-000098490000}"/>
    <cellStyle name="40% - Accent1 12_Volatility" xfId="4204" xr:uid="{00000000-0005-0000-0000-000099490000}"/>
    <cellStyle name="40% - Accent1 13" xfId="4205" xr:uid="{00000000-0005-0000-0000-00009A490000}"/>
    <cellStyle name="40% - Accent1 13 10" xfId="19286" xr:uid="{00000000-0005-0000-0000-00009B490000}"/>
    <cellStyle name="40% - Accent1 13 10 2" xfId="30978" xr:uid="{00000000-0005-0000-0000-00009C490000}"/>
    <cellStyle name="40% - Accent1 13 11" xfId="23332" xr:uid="{00000000-0005-0000-0000-00009D490000}"/>
    <cellStyle name="40% - Accent1 13 2" xfId="4206" xr:uid="{00000000-0005-0000-0000-00009E490000}"/>
    <cellStyle name="40% - Accent1 13 2 2" xfId="4207" xr:uid="{00000000-0005-0000-0000-00009F490000}"/>
    <cellStyle name="40% - Accent1 13 2 2 2" xfId="4208" xr:uid="{00000000-0005-0000-0000-0000A0490000}"/>
    <cellStyle name="40% - Accent1 13 2 2 2 2" xfId="15338" xr:uid="{00000000-0005-0000-0000-0000A1490000}"/>
    <cellStyle name="40% - Accent1 13 2 2 2 2 2" xfId="27195" xr:uid="{00000000-0005-0000-0000-0000A2490000}"/>
    <cellStyle name="40% - Accent1 13 2 2 2 3" xfId="19289" xr:uid="{00000000-0005-0000-0000-0000A3490000}"/>
    <cellStyle name="40% - Accent1 13 2 2 2 3 2" xfId="30981" xr:uid="{00000000-0005-0000-0000-0000A4490000}"/>
    <cellStyle name="40% - Accent1 13 2 2 2 4" xfId="23335" xr:uid="{00000000-0005-0000-0000-0000A5490000}"/>
    <cellStyle name="40% - Accent1 13 2 2 3" xfId="4209" xr:uid="{00000000-0005-0000-0000-0000A6490000}"/>
    <cellStyle name="40% - Accent1 13 2 2 3 2" xfId="15339" xr:uid="{00000000-0005-0000-0000-0000A7490000}"/>
    <cellStyle name="40% - Accent1 13 2 2 3 2 2" xfId="27196" xr:uid="{00000000-0005-0000-0000-0000A8490000}"/>
    <cellStyle name="40% - Accent1 13 2 2 3 3" xfId="19290" xr:uid="{00000000-0005-0000-0000-0000A9490000}"/>
    <cellStyle name="40% - Accent1 13 2 2 3 3 2" xfId="30982" xr:uid="{00000000-0005-0000-0000-0000AA490000}"/>
    <cellStyle name="40% - Accent1 13 2 2 3 4" xfId="23336" xr:uid="{00000000-0005-0000-0000-0000AB490000}"/>
    <cellStyle name="40% - Accent1 13 2 2 4" xfId="15337" xr:uid="{00000000-0005-0000-0000-0000AC490000}"/>
    <cellStyle name="40% - Accent1 13 2 2 4 2" xfId="27194" xr:uid="{00000000-0005-0000-0000-0000AD490000}"/>
    <cellStyle name="40% - Accent1 13 2 2 5" xfId="19288" xr:uid="{00000000-0005-0000-0000-0000AE490000}"/>
    <cellStyle name="40% - Accent1 13 2 2 5 2" xfId="30980" xr:uid="{00000000-0005-0000-0000-0000AF490000}"/>
    <cellStyle name="40% - Accent1 13 2 2 6" xfId="23334" xr:uid="{00000000-0005-0000-0000-0000B0490000}"/>
    <cellStyle name="40% - Accent1 13 2 3" xfId="4210" xr:uid="{00000000-0005-0000-0000-0000B1490000}"/>
    <cellStyle name="40% - Accent1 13 2 3 2" xfId="4211" xr:uid="{00000000-0005-0000-0000-0000B2490000}"/>
    <cellStyle name="40% - Accent1 13 2 3 2 2" xfId="15341" xr:uid="{00000000-0005-0000-0000-0000B3490000}"/>
    <cellStyle name="40% - Accent1 13 2 3 2 2 2" xfId="27198" xr:uid="{00000000-0005-0000-0000-0000B4490000}"/>
    <cellStyle name="40% - Accent1 13 2 3 2 3" xfId="19292" xr:uid="{00000000-0005-0000-0000-0000B5490000}"/>
    <cellStyle name="40% - Accent1 13 2 3 2 3 2" xfId="30984" xr:uid="{00000000-0005-0000-0000-0000B6490000}"/>
    <cellStyle name="40% - Accent1 13 2 3 2 4" xfId="23338" xr:uid="{00000000-0005-0000-0000-0000B7490000}"/>
    <cellStyle name="40% - Accent1 13 2 3 3" xfId="4212" xr:uid="{00000000-0005-0000-0000-0000B8490000}"/>
    <cellStyle name="40% - Accent1 13 2 3 3 2" xfId="15342" xr:uid="{00000000-0005-0000-0000-0000B9490000}"/>
    <cellStyle name="40% - Accent1 13 2 3 3 2 2" xfId="27199" xr:uid="{00000000-0005-0000-0000-0000BA490000}"/>
    <cellStyle name="40% - Accent1 13 2 3 3 3" xfId="19293" xr:uid="{00000000-0005-0000-0000-0000BB490000}"/>
    <cellStyle name="40% - Accent1 13 2 3 3 3 2" xfId="30985" xr:uid="{00000000-0005-0000-0000-0000BC490000}"/>
    <cellStyle name="40% - Accent1 13 2 3 3 4" xfId="23339" xr:uid="{00000000-0005-0000-0000-0000BD490000}"/>
    <cellStyle name="40% - Accent1 13 2 3 4" xfId="15340" xr:uid="{00000000-0005-0000-0000-0000BE490000}"/>
    <cellStyle name="40% - Accent1 13 2 3 4 2" xfId="27197" xr:uid="{00000000-0005-0000-0000-0000BF490000}"/>
    <cellStyle name="40% - Accent1 13 2 3 5" xfId="19291" xr:uid="{00000000-0005-0000-0000-0000C0490000}"/>
    <cellStyle name="40% - Accent1 13 2 3 5 2" xfId="30983" xr:uid="{00000000-0005-0000-0000-0000C1490000}"/>
    <cellStyle name="40% - Accent1 13 2 3 6" xfId="23337" xr:uid="{00000000-0005-0000-0000-0000C2490000}"/>
    <cellStyle name="40% - Accent1 13 2 4" xfId="4213" xr:uid="{00000000-0005-0000-0000-0000C3490000}"/>
    <cellStyle name="40% - Accent1 13 2 4 2" xfId="4214" xr:uid="{00000000-0005-0000-0000-0000C4490000}"/>
    <cellStyle name="40% - Accent1 13 2 4 2 2" xfId="15344" xr:uid="{00000000-0005-0000-0000-0000C5490000}"/>
    <cellStyle name="40% - Accent1 13 2 4 2 2 2" xfId="27201" xr:uid="{00000000-0005-0000-0000-0000C6490000}"/>
    <cellStyle name="40% - Accent1 13 2 4 2 3" xfId="19295" xr:uid="{00000000-0005-0000-0000-0000C7490000}"/>
    <cellStyle name="40% - Accent1 13 2 4 2 3 2" xfId="30987" xr:uid="{00000000-0005-0000-0000-0000C8490000}"/>
    <cellStyle name="40% - Accent1 13 2 4 2 4" xfId="23341" xr:uid="{00000000-0005-0000-0000-0000C9490000}"/>
    <cellStyle name="40% - Accent1 13 2 4 3" xfId="4215" xr:uid="{00000000-0005-0000-0000-0000CA490000}"/>
    <cellStyle name="40% - Accent1 13 2 4 3 2" xfId="15345" xr:uid="{00000000-0005-0000-0000-0000CB490000}"/>
    <cellStyle name="40% - Accent1 13 2 4 3 2 2" xfId="27202" xr:uid="{00000000-0005-0000-0000-0000CC490000}"/>
    <cellStyle name="40% - Accent1 13 2 4 3 3" xfId="19296" xr:uid="{00000000-0005-0000-0000-0000CD490000}"/>
    <cellStyle name="40% - Accent1 13 2 4 3 3 2" xfId="30988" xr:uid="{00000000-0005-0000-0000-0000CE490000}"/>
    <cellStyle name="40% - Accent1 13 2 4 3 4" xfId="23342" xr:uid="{00000000-0005-0000-0000-0000CF490000}"/>
    <cellStyle name="40% - Accent1 13 2 4 4" xfId="15343" xr:uid="{00000000-0005-0000-0000-0000D0490000}"/>
    <cellStyle name="40% - Accent1 13 2 4 4 2" xfId="27200" xr:uid="{00000000-0005-0000-0000-0000D1490000}"/>
    <cellStyle name="40% - Accent1 13 2 4 5" xfId="19294" xr:uid="{00000000-0005-0000-0000-0000D2490000}"/>
    <cellStyle name="40% - Accent1 13 2 4 5 2" xfId="30986" xr:uid="{00000000-0005-0000-0000-0000D3490000}"/>
    <cellStyle name="40% - Accent1 13 2 4 6" xfId="23340" xr:uid="{00000000-0005-0000-0000-0000D4490000}"/>
    <cellStyle name="40% - Accent1 13 2 5" xfId="4216" xr:uid="{00000000-0005-0000-0000-0000D5490000}"/>
    <cellStyle name="40% - Accent1 13 2 5 2" xfId="15346" xr:uid="{00000000-0005-0000-0000-0000D6490000}"/>
    <cellStyle name="40% - Accent1 13 2 5 2 2" xfId="27203" xr:uid="{00000000-0005-0000-0000-0000D7490000}"/>
    <cellStyle name="40% - Accent1 13 2 5 3" xfId="19297" xr:uid="{00000000-0005-0000-0000-0000D8490000}"/>
    <cellStyle name="40% - Accent1 13 2 5 3 2" xfId="30989" xr:uid="{00000000-0005-0000-0000-0000D9490000}"/>
    <cellStyle name="40% - Accent1 13 2 5 4" xfId="23343" xr:uid="{00000000-0005-0000-0000-0000DA490000}"/>
    <cellStyle name="40% - Accent1 13 2 6" xfId="4217" xr:uid="{00000000-0005-0000-0000-0000DB490000}"/>
    <cellStyle name="40% - Accent1 13 2 6 2" xfId="15347" xr:uid="{00000000-0005-0000-0000-0000DC490000}"/>
    <cellStyle name="40% - Accent1 13 2 6 2 2" xfId="27204" xr:uid="{00000000-0005-0000-0000-0000DD490000}"/>
    <cellStyle name="40% - Accent1 13 2 6 3" xfId="19298" xr:uid="{00000000-0005-0000-0000-0000DE490000}"/>
    <cellStyle name="40% - Accent1 13 2 6 3 2" xfId="30990" xr:uid="{00000000-0005-0000-0000-0000DF490000}"/>
    <cellStyle name="40% - Accent1 13 2 6 4" xfId="23344" xr:uid="{00000000-0005-0000-0000-0000E0490000}"/>
    <cellStyle name="40% - Accent1 13 2 7" xfId="15336" xr:uid="{00000000-0005-0000-0000-0000E1490000}"/>
    <cellStyle name="40% - Accent1 13 2 7 2" xfId="27193" xr:uid="{00000000-0005-0000-0000-0000E2490000}"/>
    <cellStyle name="40% - Accent1 13 2 8" xfId="19287" xr:uid="{00000000-0005-0000-0000-0000E3490000}"/>
    <cellStyle name="40% - Accent1 13 2 8 2" xfId="30979" xr:uid="{00000000-0005-0000-0000-0000E4490000}"/>
    <cellStyle name="40% - Accent1 13 2 9" xfId="23333" xr:uid="{00000000-0005-0000-0000-0000E5490000}"/>
    <cellStyle name="40% - Accent1 13 2_Volatility" xfId="4218" xr:uid="{00000000-0005-0000-0000-0000E6490000}"/>
    <cellStyle name="40% - Accent1 13 3" xfId="4219" xr:uid="{00000000-0005-0000-0000-0000E7490000}"/>
    <cellStyle name="40% - Accent1 13 3 2" xfId="4220" xr:uid="{00000000-0005-0000-0000-0000E8490000}"/>
    <cellStyle name="40% - Accent1 13 3 2 2" xfId="4221" xr:uid="{00000000-0005-0000-0000-0000E9490000}"/>
    <cellStyle name="40% - Accent1 13 3 2 2 2" xfId="15350" xr:uid="{00000000-0005-0000-0000-0000EA490000}"/>
    <cellStyle name="40% - Accent1 13 3 2 2 2 2" xfId="27207" xr:uid="{00000000-0005-0000-0000-0000EB490000}"/>
    <cellStyle name="40% - Accent1 13 3 2 2 3" xfId="19301" xr:uid="{00000000-0005-0000-0000-0000EC490000}"/>
    <cellStyle name="40% - Accent1 13 3 2 2 3 2" xfId="30993" xr:uid="{00000000-0005-0000-0000-0000ED490000}"/>
    <cellStyle name="40% - Accent1 13 3 2 2 4" xfId="23347" xr:uid="{00000000-0005-0000-0000-0000EE490000}"/>
    <cellStyle name="40% - Accent1 13 3 2 3" xfId="4222" xr:uid="{00000000-0005-0000-0000-0000EF490000}"/>
    <cellStyle name="40% - Accent1 13 3 2 3 2" xfId="15351" xr:uid="{00000000-0005-0000-0000-0000F0490000}"/>
    <cellStyle name="40% - Accent1 13 3 2 3 2 2" xfId="27208" xr:uid="{00000000-0005-0000-0000-0000F1490000}"/>
    <cellStyle name="40% - Accent1 13 3 2 3 3" xfId="19302" xr:uid="{00000000-0005-0000-0000-0000F2490000}"/>
    <cellStyle name="40% - Accent1 13 3 2 3 3 2" xfId="30994" xr:uid="{00000000-0005-0000-0000-0000F3490000}"/>
    <cellStyle name="40% - Accent1 13 3 2 3 4" xfId="23348" xr:uid="{00000000-0005-0000-0000-0000F4490000}"/>
    <cellStyle name="40% - Accent1 13 3 2 4" xfId="15349" xr:uid="{00000000-0005-0000-0000-0000F5490000}"/>
    <cellStyle name="40% - Accent1 13 3 2 4 2" xfId="27206" xr:uid="{00000000-0005-0000-0000-0000F6490000}"/>
    <cellStyle name="40% - Accent1 13 3 2 5" xfId="19300" xr:uid="{00000000-0005-0000-0000-0000F7490000}"/>
    <cellStyle name="40% - Accent1 13 3 2 5 2" xfId="30992" xr:uid="{00000000-0005-0000-0000-0000F8490000}"/>
    <cellStyle name="40% - Accent1 13 3 2 6" xfId="23346" xr:uid="{00000000-0005-0000-0000-0000F9490000}"/>
    <cellStyle name="40% - Accent1 13 3 3" xfId="4223" xr:uid="{00000000-0005-0000-0000-0000FA490000}"/>
    <cellStyle name="40% - Accent1 13 3 3 2" xfId="4224" xr:uid="{00000000-0005-0000-0000-0000FB490000}"/>
    <cellStyle name="40% - Accent1 13 3 3 2 2" xfId="15353" xr:uid="{00000000-0005-0000-0000-0000FC490000}"/>
    <cellStyle name="40% - Accent1 13 3 3 2 2 2" xfId="27210" xr:uid="{00000000-0005-0000-0000-0000FD490000}"/>
    <cellStyle name="40% - Accent1 13 3 3 2 3" xfId="19304" xr:uid="{00000000-0005-0000-0000-0000FE490000}"/>
    <cellStyle name="40% - Accent1 13 3 3 2 3 2" xfId="30996" xr:uid="{00000000-0005-0000-0000-0000FF490000}"/>
    <cellStyle name="40% - Accent1 13 3 3 2 4" xfId="23350" xr:uid="{00000000-0005-0000-0000-0000004A0000}"/>
    <cellStyle name="40% - Accent1 13 3 3 3" xfId="4225" xr:uid="{00000000-0005-0000-0000-0000014A0000}"/>
    <cellStyle name="40% - Accent1 13 3 3 3 2" xfId="15354" xr:uid="{00000000-0005-0000-0000-0000024A0000}"/>
    <cellStyle name="40% - Accent1 13 3 3 3 2 2" xfId="27211" xr:uid="{00000000-0005-0000-0000-0000034A0000}"/>
    <cellStyle name="40% - Accent1 13 3 3 3 3" xfId="19305" xr:uid="{00000000-0005-0000-0000-0000044A0000}"/>
    <cellStyle name="40% - Accent1 13 3 3 3 3 2" xfId="30997" xr:uid="{00000000-0005-0000-0000-0000054A0000}"/>
    <cellStyle name="40% - Accent1 13 3 3 3 4" xfId="23351" xr:uid="{00000000-0005-0000-0000-0000064A0000}"/>
    <cellStyle name="40% - Accent1 13 3 3 4" xfId="15352" xr:uid="{00000000-0005-0000-0000-0000074A0000}"/>
    <cellStyle name="40% - Accent1 13 3 3 4 2" xfId="27209" xr:uid="{00000000-0005-0000-0000-0000084A0000}"/>
    <cellStyle name="40% - Accent1 13 3 3 5" xfId="19303" xr:uid="{00000000-0005-0000-0000-0000094A0000}"/>
    <cellStyle name="40% - Accent1 13 3 3 5 2" xfId="30995" xr:uid="{00000000-0005-0000-0000-00000A4A0000}"/>
    <cellStyle name="40% - Accent1 13 3 3 6" xfId="23349" xr:uid="{00000000-0005-0000-0000-00000B4A0000}"/>
    <cellStyle name="40% - Accent1 13 3 4" xfId="4226" xr:uid="{00000000-0005-0000-0000-00000C4A0000}"/>
    <cellStyle name="40% - Accent1 13 3 4 2" xfId="15355" xr:uid="{00000000-0005-0000-0000-00000D4A0000}"/>
    <cellStyle name="40% - Accent1 13 3 4 2 2" xfId="27212" xr:uid="{00000000-0005-0000-0000-00000E4A0000}"/>
    <cellStyle name="40% - Accent1 13 3 4 3" xfId="19306" xr:uid="{00000000-0005-0000-0000-00000F4A0000}"/>
    <cellStyle name="40% - Accent1 13 3 4 3 2" xfId="30998" xr:uid="{00000000-0005-0000-0000-0000104A0000}"/>
    <cellStyle name="40% - Accent1 13 3 4 4" xfId="23352" xr:uid="{00000000-0005-0000-0000-0000114A0000}"/>
    <cellStyle name="40% - Accent1 13 3 5" xfId="4227" xr:uid="{00000000-0005-0000-0000-0000124A0000}"/>
    <cellStyle name="40% - Accent1 13 3 5 2" xfId="15356" xr:uid="{00000000-0005-0000-0000-0000134A0000}"/>
    <cellStyle name="40% - Accent1 13 3 5 2 2" xfId="27213" xr:uid="{00000000-0005-0000-0000-0000144A0000}"/>
    <cellStyle name="40% - Accent1 13 3 5 3" xfId="19307" xr:uid="{00000000-0005-0000-0000-0000154A0000}"/>
    <cellStyle name="40% - Accent1 13 3 5 3 2" xfId="30999" xr:uid="{00000000-0005-0000-0000-0000164A0000}"/>
    <cellStyle name="40% - Accent1 13 3 5 4" xfId="23353" xr:uid="{00000000-0005-0000-0000-0000174A0000}"/>
    <cellStyle name="40% - Accent1 13 3 6" xfId="15348" xr:uid="{00000000-0005-0000-0000-0000184A0000}"/>
    <cellStyle name="40% - Accent1 13 3 6 2" xfId="27205" xr:uid="{00000000-0005-0000-0000-0000194A0000}"/>
    <cellStyle name="40% - Accent1 13 3 7" xfId="19299" xr:uid="{00000000-0005-0000-0000-00001A4A0000}"/>
    <cellStyle name="40% - Accent1 13 3 7 2" xfId="30991" xr:uid="{00000000-0005-0000-0000-00001B4A0000}"/>
    <cellStyle name="40% - Accent1 13 3 8" xfId="23345" xr:uid="{00000000-0005-0000-0000-00001C4A0000}"/>
    <cellStyle name="40% - Accent1 13 3_Volatility" xfId="4228" xr:uid="{00000000-0005-0000-0000-00001D4A0000}"/>
    <cellStyle name="40% - Accent1 13 4" xfId="4229" xr:uid="{00000000-0005-0000-0000-00001E4A0000}"/>
    <cellStyle name="40% - Accent1 13 4 2" xfId="4230" xr:uid="{00000000-0005-0000-0000-00001F4A0000}"/>
    <cellStyle name="40% - Accent1 13 4 2 2" xfId="15358" xr:uid="{00000000-0005-0000-0000-0000204A0000}"/>
    <cellStyle name="40% - Accent1 13 4 2 2 2" xfId="27215" xr:uid="{00000000-0005-0000-0000-0000214A0000}"/>
    <cellStyle name="40% - Accent1 13 4 2 3" xfId="19309" xr:uid="{00000000-0005-0000-0000-0000224A0000}"/>
    <cellStyle name="40% - Accent1 13 4 2 3 2" xfId="31001" xr:uid="{00000000-0005-0000-0000-0000234A0000}"/>
    <cellStyle name="40% - Accent1 13 4 2 4" xfId="23355" xr:uid="{00000000-0005-0000-0000-0000244A0000}"/>
    <cellStyle name="40% - Accent1 13 4 3" xfId="4231" xr:uid="{00000000-0005-0000-0000-0000254A0000}"/>
    <cellStyle name="40% - Accent1 13 4 3 2" xfId="15359" xr:uid="{00000000-0005-0000-0000-0000264A0000}"/>
    <cellStyle name="40% - Accent1 13 4 3 2 2" xfId="27216" xr:uid="{00000000-0005-0000-0000-0000274A0000}"/>
    <cellStyle name="40% - Accent1 13 4 3 3" xfId="19310" xr:uid="{00000000-0005-0000-0000-0000284A0000}"/>
    <cellStyle name="40% - Accent1 13 4 3 3 2" xfId="31002" xr:uid="{00000000-0005-0000-0000-0000294A0000}"/>
    <cellStyle name="40% - Accent1 13 4 3 4" xfId="23356" xr:uid="{00000000-0005-0000-0000-00002A4A0000}"/>
    <cellStyle name="40% - Accent1 13 4 4" xfId="15357" xr:uid="{00000000-0005-0000-0000-00002B4A0000}"/>
    <cellStyle name="40% - Accent1 13 4 4 2" xfId="27214" xr:uid="{00000000-0005-0000-0000-00002C4A0000}"/>
    <cellStyle name="40% - Accent1 13 4 5" xfId="19308" xr:uid="{00000000-0005-0000-0000-00002D4A0000}"/>
    <cellStyle name="40% - Accent1 13 4 5 2" xfId="31000" xr:uid="{00000000-0005-0000-0000-00002E4A0000}"/>
    <cellStyle name="40% - Accent1 13 4 6" xfId="23354" xr:uid="{00000000-0005-0000-0000-00002F4A0000}"/>
    <cellStyle name="40% - Accent1 13 5" xfId="4232" xr:uid="{00000000-0005-0000-0000-0000304A0000}"/>
    <cellStyle name="40% - Accent1 13 5 2" xfId="4233" xr:uid="{00000000-0005-0000-0000-0000314A0000}"/>
    <cellStyle name="40% - Accent1 13 5 2 2" xfId="15361" xr:uid="{00000000-0005-0000-0000-0000324A0000}"/>
    <cellStyle name="40% - Accent1 13 5 2 2 2" xfId="27218" xr:uid="{00000000-0005-0000-0000-0000334A0000}"/>
    <cellStyle name="40% - Accent1 13 5 2 3" xfId="19312" xr:uid="{00000000-0005-0000-0000-0000344A0000}"/>
    <cellStyle name="40% - Accent1 13 5 2 3 2" xfId="31004" xr:uid="{00000000-0005-0000-0000-0000354A0000}"/>
    <cellStyle name="40% - Accent1 13 5 2 4" xfId="23358" xr:uid="{00000000-0005-0000-0000-0000364A0000}"/>
    <cellStyle name="40% - Accent1 13 5 3" xfId="4234" xr:uid="{00000000-0005-0000-0000-0000374A0000}"/>
    <cellStyle name="40% - Accent1 13 5 3 2" xfId="15362" xr:uid="{00000000-0005-0000-0000-0000384A0000}"/>
    <cellStyle name="40% - Accent1 13 5 3 2 2" xfId="27219" xr:uid="{00000000-0005-0000-0000-0000394A0000}"/>
    <cellStyle name="40% - Accent1 13 5 3 3" xfId="19313" xr:uid="{00000000-0005-0000-0000-00003A4A0000}"/>
    <cellStyle name="40% - Accent1 13 5 3 3 2" xfId="31005" xr:uid="{00000000-0005-0000-0000-00003B4A0000}"/>
    <cellStyle name="40% - Accent1 13 5 3 4" xfId="23359" xr:uid="{00000000-0005-0000-0000-00003C4A0000}"/>
    <cellStyle name="40% - Accent1 13 5 4" xfId="15360" xr:uid="{00000000-0005-0000-0000-00003D4A0000}"/>
    <cellStyle name="40% - Accent1 13 5 4 2" xfId="27217" xr:uid="{00000000-0005-0000-0000-00003E4A0000}"/>
    <cellStyle name="40% - Accent1 13 5 5" xfId="19311" xr:uid="{00000000-0005-0000-0000-00003F4A0000}"/>
    <cellStyle name="40% - Accent1 13 5 5 2" xfId="31003" xr:uid="{00000000-0005-0000-0000-0000404A0000}"/>
    <cellStyle name="40% - Accent1 13 5 6" xfId="23357" xr:uid="{00000000-0005-0000-0000-0000414A0000}"/>
    <cellStyle name="40% - Accent1 13 6" xfId="4235" xr:uid="{00000000-0005-0000-0000-0000424A0000}"/>
    <cellStyle name="40% - Accent1 13 6 2" xfId="4236" xr:uid="{00000000-0005-0000-0000-0000434A0000}"/>
    <cellStyle name="40% - Accent1 13 6 2 2" xfId="15364" xr:uid="{00000000-0005-0000-0000-0000444A0000}"/>
    <cellStyle name="40% - Accent1 13 6 2 2 2" xfId="27221" xr:uid="{00000000-0005-0000-0000-0000454A0000}"/>
    <cellStyle name="40% - Accent1 13 6 2 3" xfId="19315" xr:uid="{00000000-0005-0000-0000-0000464A0000}"/>
    <cellStyle name="40% - Accent1 13 6 2 3 2" xfId="31007" xr:uid="{00000000-0005-0000-0000-0000474A0000}"/>
    <cellStyle name="40% - Accent1 13 6 2 4" xfId="23361" xr:uid="{00000000-0005-0000-0000-0000484A0000}"/>
    <cellStyle name="40% - Accent1 13 6 3" xfId="4237" xr:uid="{00000000-0005-0000-0000-0000494A0000}"/>
    <cellStyle name="40% - Accent1 13 6 3 2" xfId="15365" xr:uid="{00000000-0005-0000-0000-00004A4A0000}"/>
    <cellStyle name="40% - Accent1 13 6 3 2 2" xfId="27222" xr:uid="{00000000-0005-0000-0000-00004B4A0000}"/>
    <cellStyle name="40% - Accent1 13 6 3 3" xfId="19316" xr:uid="{00000000-0005-0000-0000-00004C4A0000}"/>
    <cellStyle name="40% - Accent1 13 6 3 3 2" xfId="31008" xr:uid="{00000000-0005-0000-0000-00004D4A0000}"/>
    <cellStyle name="40% - Accent1 13 6 3 4" xfId="23362" xr:uid="{00000000-0005-0000-0000-00004E4A0000}"/>
    <cellStyle name="40% - Accent1 13 6 4" xfId="15363" xr:uid="{00000000-0005-0000-0000-00004F4A0000}"/>
    <cellStyle name="40% - Accent1 13 6 4 2" xfId="27220" xr:uid="{00000000-0005-0000-0000-0000504A0000}"/>
    <cellStyle name="40% - Accent1 13 6 5" xfId="19314" xr:uid="{00000000-0005-0000-0000-0000514A0000}"/>
    <cellStyle name="40% - Accent1 13 6 5 2" xfId="31006" xr:uid="{00000000-0005-0000-0000-0000524A0000}"/>
    <cellStyle name="40% - Accent1 13 6 6" xfId="23360" xr:uid="{00000000-0005-0000-0000-0000534A0000}"/>
    <cellStyle name="40% - Accent1 13 7" xfId="4238" xr:uid="{00000000-0005-0000-0000-0000544A0000}"/>
    <cellStyle name="40% - Accent1 13 7 2" xfId="15366" xr:uid="{00000000-0005-0000-0000-0000554A0000}"/>
    <cellStyle name="40% - Accent1 13 7 2 2" xfId="27223" xr:uid="{00000000-0005-0000-0000-0000564A0000}"/>
    <cellStyle name="40% - Accent1 13 7 3" xfId="19317" xr:uid="{00000000-0005-0000-0000-0000574A0000}"/>
    <cellStyle name="40% - Accent1 13 7 3 2" xfId="31009" xr:uid="{00000000-0005-0000-0000-0000584A0000}"/>
    <cellStyle name="40% - Accent1 13 7 4" xfId="23363" xr:uid="{00000000-0005-0000-0000-0000594A0000}"/>
    <cellStyle name="40% - Accent1 13 8" xfId="4239" xr:uid="{00000000-0005-0000-0000-00005A4A0000}"/>
    <cellStyle name="40% - Accent1 13 8 2" xfId="15367" xr:uid="{00000000-0005-0000-0000-00005B4A0000}"/>
    <cellStyle name="40% - Accent1 13 8 2 2" xfId="27224" xr:uid="{00000000-0005-0000-0000-00005C4A0000}"/>
    <cellStyle name="40% - Accent1 13 8 3" xfId="19318" xr:uid="{00000000-0005-0000-0000-00005D4A0000}"/>
    <cellStyle name="40% - Accent1 13 8 3 2" xfId="31010" xr:uid="{00000000-0005-0000-0000-00005E4A0000}"/>
    <cellStyle name="40% - Accent1 13 8 4" xfId="23364" xr:uid="{00000000-0005-0000-0000-00005F4A0000}"/>
    <cellStyle name="40% - Accent1 13 9" xfId="15335" xr:uid="{00000000-0005-0000-0000-0000604A0000}"/>
    <cellStyle name="40% - Accent1 13 9 2" xfId="27192" xr:uid="{00000000-0005-0000-0000-0000614A0000}"/>
    <cellStyle name="40% - Accent1 13_Volatility" xfId="4240" xr:uid="{00000000-0005-0000-0000-0000624A0000}"/>
    <cellStyle name="40% - Accent1 14" xfId="4241" xr:uid="{00000000-0005-0000-0000-0000634A0000}"/>
    <cellStyle name="40% - Accent1 14 10" xfId="19319" xr:uid="{00000000-0005-0000-0000-0000644A0000}"/>
    <cellStyle name="40% - Accent1 14 10 2" xfId="31011" xr:uid="{00000000-0005-0000-0000-0000654A0000}"/>
    <cellStyle name="40% - Accent1 14 11" xfId="23365" xr:uid="{00000000-0005-0000-0000-0000664A0000}"/>
    <cellStyle name="40% - Accent1 14 2" xfId="4242" xr:uid="{00000000-0005-0000-0000-0000674A0000}"/>
    <cellStyle name="40% - Accent1 14 2 2" xfId="4243" xr:uid="{00000000-0005-0000-0000-0000684A0000}"/>
    <cellStyle name="40% - Accent1 14 2 2 2" xfId="4244" xr:uid="{00000000-0005-0000-0000-0000694A0000}"/>
    <cellStyle name="40% - Accent1 14 2 2 2 2" xfId="15371" xr:uid="{00000000-0005-0000-0000-00006A4A0000}"/>
    <cellStyle name="40% - Accent1 14 2 2 2 2 2" xfId="27228" xr:uid="{00000000-0005-0000-0000-00006B4A0000}"/>
    <cellStyle name="40% - Accent1 14 2 2 2 3" xfId="19322" xr:uid="{00000000-0005-0000-0000-00006C4A0000}"/>
    <cellStyle name="40% - Accent1 14 2 2 2 3 2" xfId="31014" xr:uid="{00000000-0005-0000-0000-00006D4A0000}"/>
    <cellStyle name="40% - Accent1 14 2 2 2 4" xfId="23368" xr:uid="{00000000-0005-0000-0000-00006E4A0000}"/>
    <cellStyle name="40% - Accent1 14 2 2 3" xfId="4245" xr:uid="{00000000-0005-0000-0000-00006F4A0000}"/>
    <cellStyle name="40% - Accent1 14 2 2 3 2" xfId="15372" xr:uid="{00000000-0005-0000-0000-0000704A0000}"/>
    <cellStyle name="40% - Accent1 14 2 2 3 2 2" xfId="27229" xr:uid="{00000000-0005-0000-0000-0000714A0000}"/>
    <cellStyle name="40% - Accent1 14 2 2 3 3" xfId="19323" xr:uid="{00000000-0005-0000-0000-0000724A0000}"/>
    <cellStyle name="40% - Accent1 14 2 2 3 3 2" xfId="31015" xr:uid="{00000000-0005-0000-0000-0000734A0000}"/>
    <cellStyle name="40% - Accent1 14 2 2 3 4" xfId="23369" xr:uid="{00000000-0005-0000-0000-0000744A0000}"/>
    <cellStyle name="40% - Accent1 14 2 2 4" xfId="15370" xr:uid="{00000000-0005-0000-0000-0000754A0000}"/>
    <cellStyle name="40% - Accent1 14 2 2 4 2" xfId="27227" xr:uid="{00000000-0005-0000-0000-0000764A0000}"/>
    <cellStyle name="40% - Accent1 14 2 2 5" xfId="19321" xr:uid="{00000000-0005-0000-0000-0000774A0000}"/>
    <cellStyle name="40% - Accent1 14 2 2 5 2" xfId="31013" xr:uid="{00000000-0005-0000-0000-0000784A0000}"/>
    <cellStyle name="40% - Accent1 14 2 2 6" xfId="23367" xr:uid="{00000000-0005-0000-0000-0000794A0000}"/>
    <cellStyle name="40% - Accent1 14 2 3" xfId="4246" xr:uid="{00000000-0005-0000-0000-00007A4A0000}"/>
    <cellStyle name="40% - Accent1 14 2 3 2" xfId="4247" xr:uid="{00000000-0005-0000-0000-00007B4A0000}"/>
    <cellStyle name="40% - Accent1 14 2 3 2 2" xfId="15374" xr:uid="{00000000-0005-0000-0000-00007C4A0000}"/>
    <cellStyle name="40% - Accent1 14 2 3 2 2 2" xfId="27231" xr:uid="{00000000-0005-0000-0000-00007D4A0000}"/>
    <cellStyle name="40% - Accent1 14 2 3 2 3" xfId="19325" xr:uid="{00000000-0005-0000-0000-00007E4A0000}"/>
    <cellStyle name="40% - Accent1 14 2 3 2 3 2" xfId="31017" xr:uid="{00000000-0005-0000-0000-00007F4A0000}"/>
    <cellStyle name="40% - Accent1 14 2 3 2 4" xfId="23371" xr:uid="{00000000-0005-0000-0000-0000804A0000}"/>
    <cellStyle name="40% - Accent1 14 2 3 3" xfId="4248" xr:uid="{00000000-0005-0000-0000-0000814A0000}"/>
    <cellStyle name="40% - Accent1 14 2 3 3 2" xfId="15375" xr:uid="{00000000-0005-0000-0000-0000824A0000}"/>
    <cellStyle name="40% - Accent1 14 2 3 3 2 2" xfId="27232" xr:uid="{00000000-0005-0000-0000-0000834A0000}"/>
    <cellStyle name="40% - Accent1 14 2 3 3 3" xfId="19326" xr:uid="{00000000-0005-0000-0000-0000844A0000}"/>
    <cellStyle name="40% - Accent1 14 2 3 3 3 2" xfId="31018" xr:uid="{00000000-0005-0000-0000-0000854A0000}"/>
    <cellStyle name="40% - Accent1 14 2 3 3 4" xfId="23372" xr:uid="{00000000-0005-0000-0000-0000864A0000}"/>
    <cellStyle name="40% - Accent1 14 2 3 4" xfId="15373" xr:uid="{00000000-0005-0000-0000-0000874A0000}"/>
    <cellStyle name="40% - Accent1 14 2 3 4 2" xfId="27230" xr:uid="{00000000-0005-0000-0000-0000884A0000}"/>
    <cellStyle name="40% - Accent1 14 2 3 5" xfId="19324" xr:uid="{00000000-0005-0000-0000-0000894A0000}"/>
    <cellStyle name="40% - Accent1 14 2 3 5 2" xfId="31016" xr:uid="{00000000-0005-0000-0000-00008A4A0000}"/>
    <cellStyle name="40% - Accent1 14 2 3 6" xfId="23370" xr:uid="{00000000-0005-0000-0000-00008B4A0000}"/>
    <cellStyle name="40% - Accent1 14 2 4" xfId="4249" xr:uid="{00000000-0005-0000-0000-00008C4A0000}"/>
    <cellStyle name="40% - Accent1 14 2 4 2" xfId="4250" xr:uid="{00000000-0005-0000-0000-00008D4A0000}"/>
    <cellStyle name="40% - Accent1 14 2 4 2 2" xfId="15377" xr:uid="{00000000-0005-0000-0000-00008E4A0000}"/>
    <cellStyle name="40% - Accent1 14 2 4 2 2 2" xfId="27234" xr:uid="{00000000-0005-0000-0000-00008F4A0000}"/>
    <cellStyle name="40% - Accent1 14 2 4 2 3" xfId="19328" xr:uid="{00000000-0005-0000-0000-0000904A0000}"/>
    <cellStyle name="40% - Accent1 14 2 4 2 3 2" xfId="31020" xr:uid="{00000000-0005-0000-0000-0000914A0000}"/>
    <cellStyle name="40% - Accent1 14 2 4 2 4" xfId="23374" xr:uid="{00000000-0005-0000-0000-0000924A0000}"/>
    <cellStyle name="40% - Accent1 14 2 4 3" xfId="4251" xr:uid="{00000000-0005-0000-0000-0000934A0000}"/>
    <cellStyle name="40% - Accent1 14 2 4 3 2" xfId="15378" xr:uid="{00000000-0005-0000-0000-0000944A0000}"/>
    <cellStyle name="40% - Accent1 14 2 4 3 2 2" xfId="27235" xr:uid="{00000000-0005-0000-0000-0000954A0000}"/>
    <cellStyle name="40% - Accent1 14 2 4 3 3" xfId="19329" xr:uid="{00000000-0005-0000-0000-0000964A0000}"/>
    <cellStyle name="40% - Accent1 14 2 4 3 3 2" xfId="31021" xr:uid="{00000000-0005-0000-0000-0000974A0000}"/>
    <cellStyle name="40% - Accent1 14 2 4 3 4" xfId="23375" xr:uid="{00000000-0005-0000-0000-0000984A0000}"/>
    <cellStyle name="40% - Accent1 14 2 4 4" xfId="15376" xr:uid="{00000000-0005-0000-0000-0000994A0000}"/>
    <cellStyle name="40% - Accent1 14 2 4 4 2" xfId="27233" xr:uid="{00000000-0005-0000-0000-00009A4A0000}"/>
    <cellStyle name="40% - Accent1 14 2 4 5" xfId="19327" xr:uid="{00000000-0005-0000-0000-00009B4A0000}"/>
    <cellStyle name="40% - Accent1 14 2 4 5 2" xfId="31019" xr:uid="{00000000-0005-0000-0000-00009C4A0000}"/>
    <cellStyle name="40% - Accent1 14 2 4 6" xfId="23373" xr:uid="{00000000-0005-0000-0000-00009D4A0000}"/>
    <cellStyle name="40% - Accent1 14 2 5" xfId="4252" xr:uid="{00000000-0005-0000-0000-00009E4A0000}"/>
    <cellStyle name="40% - Accent1 14 2 5 2" xfId="15379" xr:uid="{00000000-0005-0000-0000-00009F4A0000}"/>
    <cellStyle name="40% - Accent1 14 2 5 2 2" xfId="27236" xr:uid="{00000000-0005-0000-0000-0000A04A0000}"/>
    <cellStyle name="40% - Accent1 14 2 5 3" xfId="19330" xr:uid="{00000000-0005-0000-0000-0000A14A0000}"/>
    <cellStyle name="40% - Accent1 14 2 5 3 2" xfId="31022" xr:uid="{00000000-0005-0000-0000-0000A24A0000}"/>
    <cellStyle name="40% - Accent1 14 2 5 4" xfId="23376" xr:uid="{00000000-0005-0000-0000-0000A34A0000}"/>
    <cellStyle name="40% - Accent1 14 2 6" xfId="4253" xr:uid="{00000000-0005-0000-0000-0000A44A0000}"/>
    <cellStyle name="40% - Accent1 14 2 6 2" xfId="15380" xr:uid="{00000000-0005-0000-0000-0000A54A0000}"/>
    <cellStyle name="40% - Accent1 14 2 6 2 2" xfId="27237" xr:uid="{00000000-0005-0000-0000-0000A64A0000}"/>
    <cellStyle name="40% - Accent1 14 2 6 3" xfId="19331" xr:uid="{00000000-0005-0000-0000-0000A74A0000}"/>
    <cellStyle name="40% - Accent1 14 2 6 3 2" xfId="31023" xr:uid="{00000000-0005-0000-0000-0000A84A0000}"/>
    <cellStyle name="40% - Accent1 14 2 6 4" xfId="23377" xr:uid="{00000000-0005-0000-0000-0000A94A0000}"/>
    <cellStyle name="40% - Accent1 14 2 7" xfId="15369" xr:uid="{00000000-0005-0000-0000-0000AA4A0000}"/>
    <cellStyle name="40% - Accent1 14 2 7 2" xfId="27226" xr:uid="{00000000-0005-0000-0000-0000AB4A0000}"/>
    <cellStyle name="40% - Accent1 14 2 8" xfId="19320" xr:uid="{00000000-0005-0000-0000-0000AC4A0000}"/>
    <cellStyle name="40% - Accent1 14 2 8 2" xfId="31012" xr:uid="{00000000-0005-0000-0000-0000AD4A0000}"/>
    <cellStyle name="40% - Accent1 14 2 9" xfId="23366" xr:uid="{00000000-0005-0000-0000-0000AE4A0000}"/>
    <cellStyle name="40% - Accent1 14 2_Volatility" xfId="4254" xr:uid="{00000000-0005-0000-0000-0000AF4A0000}"/>
    <cellStyle name="40% - Accent1 14 3" xfId="4255" xr:uid="{00000000-0005-0000-0000-0000B04A0000}"/>
    <cellStyle name="40% - Accent1 14 3 2" xfId="4256" xr:uid="{00000000-0005-0000-0000-0000B14A0000}"/>
    <cellStyle name="40% - Accent1 14 3 2 2" xfId="4257" xr:uid="{00000000-0005-0000-0000-0000B24A0000}"/>
    <cellStyle name="40% - Accent1 14 3 2 2 2" xfId="15383" xr:uid="{00000000-0005-0000-0000-0000B34A0000}"/>
    <cellStyle name="40% - Accent1 14 3 2 2 2 2" xfId="27240" xr:uid="{00000000-0005-0000-0000-0000B44A0000}"/>
    <cellStyle name="40% - Accent1 14 3 2 2 3" xfId="19334" xr:uid="{00000000-0005-0000-0000-0000B54A0000}"/>
    <cellStyle name="40% - Accent1 14 3 2 2 3 2" xfId="31026" xr:uid="{00000000-0005-0000-0000-0000B64A0000}"/>
    <cellStyle name="40% - Accent1 14 3 2 2 4" xfId="23380" xr:uid="{00000000-0005-0000-0000-0000B74A0000}"/>
    <cellStyle name="40% - Accent1 14 3 2 3" xfId="4258" xr:uid="{00000000-0005-0000-0000-0000B84A0000}"/>
    <cellStyle name="40% - Accent1 14 3 2 3 2" xfId="15384" xr:uid="{00000000-0005-0000-0000-0000B94A0000}"/>
    <cellStyle name="40% - Accent1 14 3 2 3 2 2" xfId="27241" xr:uid="{00000000-0005-0000-0000-0000BA4A0000}"/>
    <cellStyle name="40% - Accent1 14 3 2 3 3" xfId="19335" xr:uid="{00000000-0005-0000-0000-0000BB4A0000}"/>
    <cellStyle name="40% - Accent1 14 3 2 3 3 2" xfId="31027" xr:uid="{00000000-0005-0000-0000-0000BC4A0000}"/>
    <cellStyle name="40% - Accent1 14 3 2 3 4" xfId="23381" xr:uid="{00000000-0005-0000-0000-0000BD4A0000}"/>
    <cellStyle name="40% - Accent1 14 3 2 4" xfId="15382" xr:uid="{00000000-0005-0000-0000-0000BE4A0000}"/>
    <cellStyle name="40% - Accent1 14 3 2 4 2" xfId="27239" xr:uid="{00000000-0005-0000-0000-0000BF4A0000}"/>
    <cellStyle name="40% - Accent1 14 3 2 5" xfId="19333" xr:uid="{00000000-0005-0000-0000-0000C04A0000}"/>
    <cellStyle name="40% - Accent1 14 3 2 5 2" xfId="31025" xr:uid="{00000000-0005-0000-0000-0000C14A0000}"/>
    <cellStyle name="40% - Accent1 14 3 2 6" xfId="23379" xr:uid="{00000000-0005-0000-0000-0000C24A0000}"/>
    <cellStyle name="40% - Accent1 14 3 3" xfId="4259" xr:uid="{00000000-0005-0000-0000-0000C34A0000}"/>
    <cellStyle name="40% - Accent1 14 3 3 2" xfId="4260" xr:uid="{00000000-0005-0000-0000-0000C44A0000}"/>
    <cellStyle name="40% - Accent1 14 3 3 2 2" xfId="15386" xr:uid="{00000000-0005-0000-0000-0000C54A0000}"/>
    <cellStyle name="40% - Accent1 14 3 3 2 2 2" xfId="27243" xr:uid="{00000000-0005-0000-0000-0000C64A0000}"/>
    <cellStyle name="40% - Accent1 14 3 3 2 3" xfId="19337" xr:uid="{00000000-0005-0000-0000-0000C74A0000}"/>
    <cellStyle name="40% - Accent1 14 3 3 2 3 2" xfId="31029" xr:uid="{00000000-0005-0000-0000-0000C84A0000}"/>
    <cellStyle name="40% - Accent1 14 3 3 2 4" xfId="23383" xr:uid="{00000000-0005-0000-0000-0000C94A0000}"/>
    <cellStyle name="40% - Accent1 14 3 3 3" xfId="4261" xr:uid="{00000000-0005-0000-0000-0000CA4A0000}"/>
    <cellStyle name="40% - Accent1 14 3 3 3 2" xfId="15387" xr:uid="{00000000-0005-0000-0000-0000CB4A0000}"/>
    <cellStyle name="40% - Accent1 14 3 3 3 2 2" xfId="27244" xr:uid="{00000000-0005-0000-0000-0000CC4A0000}"/>
    <cellStyle name="40% - Accent1 14 3 3 3 3" xfId="19338" xr:uid="{00000000-0005-0000-0000-0000CD4A0000}"/>
    <cellStyle name="40% - Accent1 14 3 3 3 3 2" xfId="31030" xr:uid="{00000000-0005-0000-0000-0000CE4A0000}"/>
    <cellStyle name="40% - Accent1 14 3 3 3 4" xfId="23384" xr:uid="{00000000-0005-0000-0000-0000CF4A0000}"/>
    <cellStyle name="40% - Accent1 14 3 3 4" xfId="15385" xr:uid="{00000000-0005-0000-0000-0000D04A0000}"/>
    <cellStyle name="40% - Accent1 14 3 3 4 2" xfId="27242" xr:uid="{00000000-0005-0000-0000-0000D14A0000}"/>
    <cellStyle name="40% - Accent1 14 3 3 5" xfId="19336" xr:uid="{00000000-0005-0000-0000-0000D24A0000}"/>
    <cellStyle name="40% - Accent1 14 3 3 5 2" xfId="31028" xr:uid="{00000000-0005-0000-0000-0000D34A0000}"/>
    <cellStyle name="40% - Accent1 14 3 3 6" xfId="23382" xr:uid="{00000000-0005-0000-0000-0000D44A0000}"/>
    <cellStyle name="40% - Accent1 14 3 4" xfId="4262" xr:uid="{00000000-0005-0000-0000-0000D54A0000}"/>
    <cellStyle name="40% - Accent1 14 3 4 2" xfId="15388" xr:uid="{00000000-0005-0000-0000-0000D64A0000}"/>
    <cellStyle name="40% - Accent1 14 3 4 2 2" xfId="27245" xr:uid="{00000000-0005-0000-0000-0000D74A0000}"/>
    <cellStyle name="40% - Accent1 14 3 4 3" xfId="19339" xr:uid="{00000000-0005-0000-0000-0000D84A0000}"/>
    <cellStyle name="40% - Accent1 14 3 4 3 2" xfId="31031" xr:uid="{00000000-0005-0000-0000-0000D94A0000}"/>
    <cellStyle name="40% - Accent1 14 3 4 4" xfId="23385" xr:uid="{00000000-0005-0000-0000-0000DA4A0000}"/>
    <cellStyle name="40% - Accent1 14 3 5" xfId="4263" xr:uid="{00000000-0005-0000-0000-0000DB4A0000}"/>
    <cellStyle name="40% - Accent1 14 3 5 2" xfId="15389" xr:uid="{00000000-0005-0000-0000-0000DC4A0000}"/>
    <cellStyle name="40% - Accent1 14 3 5 2 2" xfId="27246" xr:uid="{00000000-0005-0000-0000-0000DD4A0000}"/>
    <cellStyle name="40% - Accent1 14 3 5 3" xfId="19340" xr:uid="{00000000-0005-0000-0000-0000DE4A0000}"/>
    <cellStyle name="40% - Accent1 14 3 5 3 2" xfId="31032" xr:uid="{00000000-0005-0000-0000-0000DF4A0000}"/>
    <cellStyle name="40% - Accent1 14 3 5 4" xfId="23386" xr:uid="{00000000-0005-0000-0000-0000E04A0000}"/>
    <cellStyle name="40% - Accent1 14 3 6" xfId="15381" xr:uid="{00000000-0005-0000-0000-0000E14A0000}"/>
    <cellStyle name="40% - Accent1 14 3 6 2" xfId="27238" xr:uid="{00000000-0005-0000-0000-0000E24A0000}"/>
    <cellStyle name="40% - Accent1 14 3 7" xfId="19332" xr:uid="{00000000-0005-0000-0000-0000E34A0000}"/>
    <cellStyle name="40% - Accent1 14 3 7 2" xfId="31024" xr:uid="{00000000-0005-0000-0000-0000E44A0000}"/>
    <cellStyle name="40% - Accent1 14 3 8" xfId="23378" xr:uid="{00000000-0005-0000-0000-0000E54A0000}"/>
    <cellStyle name="40% - Accent1 14 3_Volatility" xfId="4264" xr:uid="{00000000-0005-0000-0000-0000E64A0000}"/>
    <cellStyle name="40% - Accent1 14 4" xfId="4265" xr:uid="{00000000-0005-0000-0000-0000E74A0000}"/>
    <cellStyle name="40% - Accent1 14 4 2" xfId="4266" xr:uid="{00000000-0005-0000-0000-0000E84A0000}"/>
    <cellStyle name="40% - Accent1 14 4 2 2" xfId="15391" xr:uid="{00000000-0005-0000-0000-0000E94A0000}"/>
    <cellStyle name="40% - Accent1 14 4 2 2 2" xfId="27248" xr:uid="{00000000-0005-0000-0000-0000EA4A0000}"/>
    <cellStyle name="40% - Accent1 14 4 2 3" xfId="19342" xr:uid="{00000000-0005-0000-0000-0000EB4A0000}"/>
    <cellStyle name="40% - Accent1 14 4 2 3 2" xfId="31034" xr:uid="{00000000-0005-0000-0000-0000EC4A0000}"/>
    <cellStyle name="40% - Accent1 14 4 2 4" xfId="23388" xr:uid="{00000000-0005-0000-0000-0000ED4A0000}"/>
    <cellStyle name="40% - Accent1 14 4 3" xfId="4267" xr:uid="{00000000-0005-0000-0000-0000EE4A0000}"/>
    <cellStyle name="40% - Accent1 14 4 3 2" xfId="15392" xr:uid="{00000000-0005-0000-0000-0000EF4A0000}"/>
    <cellStyle name="40% - Accent1 14 4 3 2 2" xfId="27249" xr:uid="{00000000-0005-0000-0000-0000F04A0000}"/>
    <cellStyle name="40% - Accent1 14 4 3 3" xfId="19343" xr:uid="{00000000-0005-0000-0000-0000F14A0000}"/>
    <cellStyle name="40% - Accent1 14 4 3 3 2" xfId="31035" xr:uid="{00000000-0005-0000-0000-0000F24A0000}"/>
    <cellStyle name="40% - Accent1 14 4 3 4" xfId="23389" xr:uid="{00000000-0005-0000-0000-0000F34A0000}"/>
    <cellStyle name="40% - Accent1 14 4 4" xfId="15390" xr:uid="{00000000-0005-0000-0000-0000F44A0000}"/>
    <cellStyle name="40% - Accent1 14 4 4 2" xfId="27247" xr:uid="{00000000-0005-0000-0000-0000F54A0000}"/>
    <cellStyle name="40% - Accent1 14 4 5" xfId="19341" xr:uid="{00000000-0005-0000-0000-0000F64A0000}"/>
    <cellStyle name="40% - Accent1 14 4 5 2" xfId="31033" xr:uid="{00000000-0005-0000-0000-0000F74A0000}"/>
    <cellStyle name="40% - Accent1 14 4 6" xfId="23387" xr:uid="{00000000-0005-0000-0000-0000F84A0000}"/>
    <cellStyle name="40% - Accent1 14 5" xfId="4268" xr:uid="{00000000-0005-0000-0000-0000F94A0000}"/>
    <cellStyle name="40% - Accent1 14 5 2" xfId="4269" xr:uid="{00000000-0005-0000-0000-0000FA4A0000}"/>
    <cellStyle name="40% - Accent1 14 5 2 2" xfId="15394" xr:uid="{00000000-0005-0000-0000-0000FB4A0000}"/>
    <cellStyle name="40% - Accent1 14 5 2 2 2" xfId="27251" xr:uid="{00000000-0005-0000-0000-0000FC4A0000}"/>
    <cellStyle name="40% - Accent1 14 5 2 3" xfId="19345" xr:uid="{00000000-0005-0000-0000-0000FD4A0000}"/>
    <cellStyle name="40% - Accent1 14 5 2 3 2" xfId="31037" xr:uid="{00000000-0005-0000-0000-0000FE4A0000}"/>
    <cellStyle name="40% - Accent1 14 5 2 4" xfId="23391" xr:uid="{00000000-0005-0000-0000-0000FF4A0000}"/>
    <cellStyle name="40% - Accent1 14 5 3" xfId="4270" xr:uid="{00000000-0005-0000-0000-0000004B0000}"/>
    <cellStyle name="40% - Accent1 14 5 3 2" xfId="15395" xr:uid="{00000000-0005-0000-0000-0000014B0000}"/>
    <cellStyle name="40% - Accent1 14 5 3 2 2" xfId="27252" xr:uid="{00000000-0005-0000-0000-0000024B0000}"/>
    <cellStyle name="40% - Accent1 14 5 3 3" xfId="19346" xr:uid="{00000000-0005-0000-0000-0000034B0000}"/>
    <cellStyle name="40% - Accent1 14 5 3 3 2" xfId="31038" xr:uid="{00000000-0005-0000-0000-0000044B0000}"/>
    <cellStyle name="40% - Accent1 14 5 3 4" xfId="23392" xr:uid="{00000000-0005-0000-0000-0000054B0000}"/>
    <cellStyle name="40% - Accent1 14 5 4" xfId="15393" xr:uid="{00000000-0005-0000-0000-0000064B0000}"/>
    <cellStyle name="40% - Accent1 14 5 4 2" xfId="27250" xr:uid="{00000000-0005-0000-0000-0000074B0000}"/>
    <cellStyle name="40% - Accent1 14 5 5" xfId="19344" xr:uid="{00000000-0005-0000-0000-0000084B0000}"/>
    <cellStyle name="40% - Accent1 14 5 5 2" xfId="31036" xr:uid="{00000000-0005-0000-0000-0000094B0000}"/>
    <cellStyle name="40% - Accent1 14 5 6" xfId="23390" xr:uid="{00000000-0005-0000-0000-00000A4B0000}"/>
    <cellStyle name="40% - Accent1 14 6" xfId="4271" xr:uid="{00000000-0005-0000-0000-00000B4B0000}"/>
    <cellStyle name="40% - Accent1 14 6 2" xfId="4272" xr:uid="{00000000-0005-0000-0000-00000C4B0000}"/>
    <cellStyle name="40% - Accent1 14 6 2 2" xfId="15397" xr:uid="{00000000-0005-0000-0000-00000D4B0000}"/>
    <cellStyle name="40% - Accent1 14 6 2 2 2" xfId="27254" xr:uid="{00000000-0005-0000-0000-00000E4B0000}"/>
    <cellStyle name="40% - Accent1 14 6 2 3" xfId="19348" xr:uid="{00000000-0005-0000-0000-00000F4B0000}"/>
    <cellStyle name="40% - Accent1 14 6 2 3 2" xfId="31040" xr:uid="{00000000-0005-0000-0000-0000104B0000}"/>
    <cellStyle name="40% - Accent1 14 6 2 4" xfId="23394" xr:uid="{00000000-0005-0000-0000-0000114B0000}"/>
    <cellStyle name="40% - Accent1 14 6 3" xfId="4273" xr:uid="{00000000-0005-0000-0000-0000124B0000}"/>
    <cellStyle name="40% - Accent1 14 6 3 2" xfId="15398" xr:uid="{00000000-0005-0000-0000-0000134B0000}"/>
    <cellStyle name="40% - Accent1 14 6 3 2 2" xfId="27255" xr:uid="{00000000-0005-0000-0000-0000144B0000}"/>
    <cellStyle name="40% - Accent1 14 6 3 3" xfId="19349" xr:uid="{00000000-0005-0000-0000-0000154B0000}"/>
    <cellStyle name="40% - Accent1 14 6 3 3 2" xfId="31041" xr:uid="{00000000-0005-0000-0000-0000164B0000}"/>
    <cellStyle name="40% - Accent1 14 6 3 4" xfId="23395" xr:uid="{00000000-0005-0000-0000-0000174B0000}"/>
    <cellStyle name="40% - Accent1 14 6 4" xfId="15396" xr:uid="{00000000-0005-0000-0000-0000184B0000}"/>
    <cellStyle name="40% - Accent1 14 6 4 2" xfId="27253" xr:uid="{00000000-0005-0000-0000-0000194B0000}"/>
    <cellStyle name="40% - Accent1 14 6 5" xfId="19347" xr:uid="{00000000-0005-0000-0000-00001A4B0000}"/>
    <cellStyle name="40% - Accent1 14 6 5 2" xfId="31039" xr:uid="{00000000-0005-0000-0000-00001B4B0000}"/>
    <cellStyle name="40% - Accent1 14 6 6" xfId="23393" xr:uid="{00000000-0005-0000-0000-00001C4B0000}"/>
    <cellStyle name="40% - Accent1 14 7" xfId="4274" xr:uid="{00000000-0005-0000-0000-00001D4B0000}"/>
    <cellStyle name="40% - Accent1 14 7 2" xfId="15399" xr:uid="{00000000-0005-0000-0000-00001E4B0000}"/>
    <cellStyle name="40% - Accent1 14 7 2 2" xfId="27256" xr:uid="{00000000-0005-0000-0000-00001F4B0000}"/>
    <cellStyle name="40% - Accent1 14 7 3" xfId="19350" xr:uid="{00000000-0005-0000-0000-0000204B0000}"/>
    <cellStyle name="40% - Accent1 14 7 3 2" xfId="31042" xr:uid="{00000000-0005-0000-0000-0000214B0000}"/>
    <cellStyle name="40% - Accent1 14 7 4" xfId="23396" xr:uid="{00000000-0005-0000-0000-0000224B0000}"/>
    <cellStyle name="40% - Accent1 14 8" xfId="4275" xr:uid="{00000000-0005-0000-0000-0000234B0000}"/>
    <cellStyle name="40% - Accent1 14 8 2" xfId="15400" xr:uid="{00000000-0005-0000-0000-0000244B0000}"/>
    <cellStyle name="40% - Accent1 14 8 2 2" xfId="27257" xr:uid="{00000000-0005-0000-0000-0000254B0000}"/>
    <cellStyle name="40% - Accent1 14 8 3" xfId="19351" xr:uid="{00000000-0005-0000-0000-0000264B0000}"/>
    <cellStyle name="40% - Accent1 14 8 3 2" xfId="31043" xr:uid="{00000000-0005-0000-0000-0000274B0000}"/>
    <cellStyle name="40% - Accent1 14 8 4" xfId="23397" xr:uid="{00000000-0005-0000-0000-0000284B0000}"/>
    <cellStyle name="40% - Accent1 14 9" xfId="15368" xr:uid="{00000000-0005-0000-0000-0000294B0000}"/>
    <cellStyle name="40% - Accent1 14 9 2" xfId="27225" xr:uid="{00000000-0005-0000-0000-00002A4B0000}"/>
    <cellStyle name="40% - Accent1 14_Volatility" xfId="4276" xr:uid="{00000000-0005-0000-0000-00002B4B0000}"/>
    <cellStyle name="40% - Accent1 15" xfId="4277" xr:uid="{00000000-0005-0000-0000-00002C4B0000}"/>
    <cellStyle name="40% - Accent1 15 10" xfId="19352" xr:uid="{00000000-0005-0000-0000-00002D4B0000}"/>
    <cellStyle name="40% - Accent1 15 10 2" xfId="31044" xr:uid="{00000000-0005-0000-0000-00002E4B0000}"/>
    <cellStyle name="40% - Accent1 15 11" xfId="23398" xr:uid="{00000000-0005-0000-0000-00002F4B0000}"/>
    <cellStyle name="40% - Accent1 15 2" xfId="4278" xr:uid="{00000000-0005-0000-0000-0000304B0000}"/>
    <cellStyle name="40% - Accent1 15 2 2" xfId="4279" xr:uid="{00000000-0005-0000-0000-0000314B0000}"/>
    <cellStyle name="40% - Accent1 15 2 2 2" xfId="4280" xr:uid="{00000000-0005-0000-0000-0000324B0000}"/>
    <cellStyle name="40% - Accent1 15 2 2 2 2" xfId="15404" xr:uid="{00000000-0005-0000-0000-0000334B0000}"/>
    <cellStyle name="40% - Accent1 15 2 2 2 2 2" xfId="27261" xr:uid="{00000000-0005-0000-0000-0000344B0000}"/>
    <cellStyle name="40% - Accent1 15 2 2 2 3" xfId="19355" xr:uid="{00000000-0005-0000-0000-0000354B0000}"/>
    <cellStyle name="40% - Accent1 15 2 2 2 3 2" xfId="31047" xr:uid="{00000000-0005-0000-0000-0000364B0000}"/>
    <cellStyle name="40% - Accent1 15 2 2 2 4" xfId="23401" xr:uid="{00000000-0005-0000-0000-0000374B0000}"/>
    <cellStyle name="40% - Accent1 15 2 2 3" xfId="4281" xr:uid="{00000000-0005-0000-0000-0000384B0000}"/>
    <cellStyle name="40% - Accent1 15 2 2 3 2" xfId="15405" xr:uid="{00000000-0005-0000-0000-0000394B0000}"/>
    <cellStyle name="40% - Accent1 15 2 2 3 2 2" xfId="27262" xr:uid="{00000000-0005-0000-0000-00003A4B0000}"/>
    <cellStyle name="40% - Accent1 15 2 2 3 3" xfId="19356" xr:uid="{00000000-0005-0000-0000-00003B4B0000}"/>
    <cellStyle name="40% - Accent1 15 2 2 3 3 2" xfId="31048" xr:uid="{00000000-0005-0000-0000-00003C4B0000}"/>
    <cellStyle name="40% - Accent1 15 2 2 3 4" xfId="23402" xr:uid="{00000000-0005-0000-0000-00003D4B0000}"/>
    <cellStyle name="40% - Accent1 15 2 2 4" xfId="15403" xr:uid="{00000000-0005-0000-0000-00003E4B0000}"/>
    <cellStyle name="40% - Accent1 15 2 2 4 2" xfId="27260" xr:uid="{00000000-0005-0000-0000-00003F4B0000}"/>
    <cellStyle name="40% - Accent1 15 2 2 5" xfId="19354" xr:uid="{00000000-0005-0000-0000-0000404B0000}"/>
    <cellStyle name="40% - Accent1 15 2 2 5 2" xfId="31046" xr:uid="{00000000-0005-0000-0000-0000414B0000}"/>
    <cellStyle name="40% - Accent1 15 2 2 6" xfId="23400" xr:uid="{00000000-0005-0000-0000-0000424B0000}"/>
    <cellStyle name="40% - Accent1 15 2 3" xfId="4282" xr:uid="{00000000-0005-0000-0000-0000434B0000}"/>
    <cellStyle name="40% - Accent1 15 2 3 2" xfId="4283" xr:uid="{00000000-0005-0000-0000-0000444B0000}"/>
    <cellStyle name="40% - Accent1 15 2 3 2 2" xfId="15407" xr:uid="{00000000-0005-0000-0000-0000454B0000}"/>
    <cellStyle name="40% - Accent1 15 2 3 2 2 2" xfId="27264" xr:uid="{00000000-0005-0000-0000-0000464B0000}"/>
    <cellStyle name="40% - Accent1 15 2 3 2 3" xfId="19358" xr:uid="{00000000-0005-0000-0000-0000474B0000}"/>
    <cellStyle name="40% - Accent1 15 2 3 2 3 2" xfId="31050" xr:uid="{00000000-0005-0000-0000-0000484B0000}"/>
    <cellStyle name="40% - Accent1 15 2 3 2 4" xfId="23404" xr:uid="{00000000-0005-0000-0000-0000494B0000}"/>
    <cellStyle name="40% - Accent1 15 2 3 3" xfId="4284" xr:uid="{00000000-0005-0000-0000-00004A4B0000}"/>
    <cellStyle name="40% - Accent1 15 2 3 3 2" xfId="15408" xr:uid="{00000000-0005-0000-0000-00004B4B0000}"/>
    <cellStyle name="40% - Accent1 15 2 3 3 2 2" xfId="27265" xr:uid="{00000000-0005-0000-0000-00004C4B0000}"/>
    <cellStyle name="40% - Accent1 15 2 3 3 3" xfId="19359" xr:uid="{00000000-0005-0000-0000-00004D4B0000}"/>
    <cellStyle name="40% - Accent1 15 2 3 3 3 2" xfId="31051" xr:uid="{00000000-0005-0000-0000-00004E4B0000}"/>
    <cellStyle name="40% - Accent1 15 2 3 3 4" xfId="23405" xr:uid="{00000000-0005-0000-0000-00004F4B0000}"/>
    <cellStyle name="40% - Accent1 15 2 3 4" xfId="15406" xr:uid="{00000000-0005-0000-0000-0000504B0000}"/>
    <cellStyle name="40% - Accent1 15 2 3 4 2" xfId="27263" xr:uid="{00000000-0005-0000-0000-0000514B0000}"/>
    <cellStyle name="40% - Accent1 15 2 3 5" xfId="19357" xr:uid="{00000000-0005-0000-0000-0000524B0000}"/>
    <cellStyle name="40% - Accent1 15 2 3 5 2" xfId="31049" xr:uid="{00000000-0005-0000-0000-0000534B0000}"/>
    <cellStyle name="40% - Accent1 15 2 3 6" xfId="23403" xr:uid="{00000000-0005-0000-0000-0000544B0000}"/>
    <cellStyle name="40% - Accent1 15 2 4" xfId="4285" xr:uid="{00000000-0005-0000-0000-0000554B0000}"/>
    <cellStyle name="40% - Accent1 15 2 4 2" xfId="4286" xr:uid="{00000000-0005-0000-0000-0000564B0000}"/>
    <cellStyle name="40% - Accent1 15 2 4 2 2" xfId="15410" xr:uid="{00000000-0005-0000-0000-0000574B0000}"/>
    <cellStyle name="40% - Accent1 15 2 4 2 2 2" xfId="27267" xr:uid="{00000000-0005-0000-0000-0000584B0000}"/>
    <cellStyle name="40% - Accent1 15 2 4 2 3" xfId="19361" xr:uid="{00000000-0005-0000-0000-0000594B0000}"/>
    <cellStyle name="40% - Accent1 15 2 4 2 3 2" xfId="31053" xr:uid="{00000000-0005-0000-0000-00005A4B0000}"/>
    <cellStyle name="40% - Accent1 15 2 4 2 4" xfId="23407" xr:uid="{00000000-0005-0000-0000-00005B4B0000}"/>
    <cellStyle name="40% - Accent1 15 2 4 3" xfId="4287" xr:uid="{00000000-0005-0000-0000-00005C4B0000}"/>
    <cellStyle name="40% - Accent1 15 2 4 3 2" xfId="15411" xr:uid="{00000000-0005-0000-0000-00005D4B0000}"/>
    <cellStyle name="40% - Accent1 15 2 4 3 2 2" xfId="27268" xr:uid="{00000000-0005-0000-0000-00005E4B0000}"/>
    <cellStyle name="40% - Accent1 15 2 4 3 3" xfId="19362" xr:uid="{00000000-0005-0000-0000-00005F4B0000}"/>
    <cellStyle name="40% - Accent1 15 2 4 3 3 2" xfId="31054" xr:uid="{00000000-0005-0000-0000-0000604B0000}"/>
    <cellStyle name="40% - Accent1 15 2 4 3 4" xfId="23408" xr:uid="{00000000-0005-0000-0000-0000614B0000}"/>
    <cellStyle name="40% - Accent1 15 2 4 4" xfId="15409" xr:uid="{00000000-0005-0000-0000-0000624B0000}"/>
    <cellStyle name="40% - Accent1 15 2 4 4 2" xfId="27266" xr:uid="{00000000-0005-0000-0000-0000634B0000}"/>
    <cellStyle name="40% - Accent1 15 2 4 5" xfId="19360" xr:uid="{00000000-0005-0000-0000-0000644B0000}"/>
    <cellStyle name="40% - Accent1 15 2 4 5 2" xfId="31052" xr:uid="{00000000-0005-0000-0000-0000654B0000}"/>
    <cellStyle name="40% - Accent1 15 2 4 6" xfId="23406" xr:uid="{00000000-0005-0000-0000-0000664B0000}"/>
    <cellStyle name="40% - Accent1 15 2 5" xfId="4288" xr:uid="{00000000-0005-0000-0000-0000674B0000}"/>
    <cellStyle name="40% - Accent1 15 2 5 2" xfId="15412" xr:uid="{00000000-0005-0000-0000-0000684B0000}"/>
    <cellStyle name="40% - Accent1 15 2 5 2 2" xfId="27269" xr:uid="{00000000-0005-0000-0000-0000694B0000}"/>
    <cellStyle name="40% - Accent1 15 2 5 3" xfId="19363" xr:uid="{00000000-0005-0000-0000-00006A4B0000}"/>
    <cellStyle name="40% - Accent1 15 2 5 3 2" xfId="31055" xr:uid="{00000000-0005-0000-0000-00006B4B0000}"/>
    <cellStyle name="40% - Accent1 15 2 5 4" xfId="23409" xr:uid="{00000000-0005-0000-0000-00006C4B0000}"/>
    <cellStyle name="40% - Accent1 15 2 6" xfId="4289" xr:uid="{00000000-0005-0000-0000-00006D4B0000}"/>
    <cellStyle name="40% - Accent1 15 2 6 2" xfId="15413" xr:uid="{00000000-0005-0000-0000-00006E4B0000}"/>
    <cellStyle name="40% - Accent1 15 2 6 2 2" xfId="27270" xr:uid="{00000000-0005-0000-0000-00006F4B0000}"/>
    <cellStyle name="40% - Accent1 15 2 6 3" xfId="19364" xr:uid="{00000000-0005-0000-0000-0000704B0000}"/>
    <cellStyle name="40% - Accent1 15 2 6 3 2" xfId="31056" xr:uid="{00000000-0005-0000-0000-0000714B0000}"/>
    <cellStyle name="40% - Accent1 15 2 6 4" xfId="23410" xr:uid="{00000000-0005-0000-0000-0000724B0000}"/>
    <cellStyle name="40% - Accent1 15 2 7" xfId="15402" xr:uid="{00000000-0005-0000-0000-0000734B0000}"/>
    <cellStyle name="40% - Accent1 15 2 7 2" xfId="27259" xr:uid="{00000000-0005-0000-0000-0000744B0000}"/>
    <cellStyle name="40% - Accent1 15 2 8" xfId="19353" xr:uid="{00000000-0005-0000-0000-0000754B0000}"/>
    <cellStyle name="40% - Accent1 15 2 8 2" xfId="31045" xr:uid="{00000000-0005-0000-0000-0000764B0000}"/>
    <cellStyle name="40% - Accent1 15 2 9" xfId="23399" xr:uid="{00000000-0005-0000-0000-0000774B0000}"/>
    <cellStyle name="40% - Accent1 15 2_Volatility" xfId="4290" xr:uid="{00000000-0005-0000-0000-0000784B0000}"/>
    <cellStyle name="40% - Accent1 15 3" xfId="4291" xr:uid="{00000000-0005-0000-0000-0000794B0000}"/>
    <cellStyle name="40% - Accent1 15 3 2" xfId="4292" xr:uid="{00000000-0005-0000-0000-00007A4B0000}"/>
    <cellStyle name="40% - Accent1 15 3 2 2" xfId="4293" xr:uid="{00000000-0005-0000-0000-00007B4B0000}"/>
    <cellStyle name="40% - Accent1 15 3 2 2 2" xfId="15416" xr:uid="{00000000-0005-0000-0000-00007C4B0000}"/>
    <cellStyle name="40% - Accent1 15 3 2 2 2 2" xfId="27273" xr:uid="{00000000-0005-0000-0000-00007D4B0000}"/>
    <cellStyle name="40% - Accent1 15 3 2 2 3" xfId="19367" xr:uid="{00000000-0005-0000-0000-00007E4B0000}"/>
    <cellStyle name="40% - Accent1 15 3 2 2 3 2" xfId="31059" xr:uid="{00000000-0005-0000-0000-00007F4B0000}"/>
    <cellStyle name="40% - Accent1 15 3 2 2 4" xfId="23413" xr:uid="{00000000-0005-0000-0000-0000804B0000}"/>
    <cellStyle name="40% - Accent1 15 3 2 3" xfId="4294" xr:uid="{00000000-0005-0000-0000-0000814B0000}"/>
    <cellStyle name="40% - Accent1 15 3 2 3 2" xfId="15417" xr:uid="{00000000-0005-0000-0000-0000824B0000}"/>
    <cellStyle name="40% - Accent1 15 3 2 3 2 2" xfId="27274" xr:uid="{00000000-0005-0000-0000-0000834B0000}"/>
    <cellStyle name="40% - Accent1 15 3 2 3 3" xfId="19368" xr:uid="{00000000-0005-0000-0000-0000844B0000}"/>
    <cellStyle name="40% - Accent1 15 3 2 3 3 2" xfId="31060" xr:uid="{00000000-0005-0000-0000-0000854B0000}"/>
    <cellStyle name="40% - Accent1 15 3 2 3 4" xfId="23414" xr:uid="{00000000-0005-0000-0000-0000864B0000}"/>
    <cellStyle name="40% - Accent1 15 3 2 4" xfId="15415" xr:uid="{00000000-0005-0000-0000-0000874B0000}"/>
    <cellStyle name="40% - Accent1 15 3 2 4 2" xfId="27272" xr:uid="{00000000-0005-0000-0000-0000884B0000}"/>
    <cellStyle name="40% - Accent1 15 3 2 5" xfId="19366" xr:uid="{00000000-0005-0000-0000-0000894B0000}"/>
    <cellStyle name="40% - Accent1 15 3 2 5 2" xfId="31058" xr:uid="{00000000-0005-0000-0000-00008A4B0000}"/>
    <cellStyle name="40% - Accent1 15 3 2 6" xfId="23412" xr:uid="{00000000-0005-0000-0000-00008B4B0000}"/>
    <cellStyle name="40% - Accent1 15 3 3" xfId="4295" xr:uid="{00000000-0005-0000-0000-00008C4B0000}"/>
    <cellStyle name="40% - Accent1 15 3 3 2" xfId="4296" xr:uid="{00000000-0005-0000-0000-00008D4B0000}"/>
    <cellStyle name="40% - Accent1 15 3 3 2 2" xfId="15419" xr:uid="{00000000-0005-0000-0000-00008E4B0000}"/>
    <cellStyle name="40% - Accent1 15 3 3 2 2 2" xfId="27276" xr:uid="{00000000-0005-0000-0000-00008F4B0000}"/>
    <cellStyle name="40% - Accent1 15 3 3 2 3" xfId="19370" xr:uid="{00000000-0005-0000-0000-0000904B0000}"/>
    <cellStyle name="40% - Accent1 15 3 3 2 3 2" xfId="31062" xr:uid="{00000000-0005-0000-0000-0000914B0000}"/>
    <cellStyle name="40% - Accent1 15 3 3 2 4" xfId="23416" xr:uid="{00000000-0005-0000-0000-0000924B0000}"/>
    <cellStyle name="40% - Accent1 15 3 3 3" xfId="4297" xr:uid="{00000000-0005-0000-0000-0000934B0000}"/>
    <cellStyle name="40% - Accent1 15 3 3 3 2" xfId="15420" xr:uid="{00000000-0005-0000-0000-0000944B0000}"/>
    <cellStyle name="40% - Accent1 15 3 3 3 2 2" xfId="27277" xr:uid="{00000000-0005-0000-0000-0000954B0000}"/>
    <cellStyle name="40% - Accent1 15 3 3 3 3" xfId="19371" xr:uid="{00000000-0005-0000-0000-0000964B0000}"/>
    <cellStyle name="40% - Accent1 15 3 3 3 3 2" xfId="31063" xr:uid="{00000000-0005-0000-0000-0000974B0000}"/>
    <cellStyle name="40% - Accent1 15 3 3 3 4" xfId="23417" xr:uid="{00000000-0005-0000-0000-0000984B0000}"/>
    <cellStyle name="40% - Accent1 15 3 3 4" xfId="15418" xr:uid="{00000000-0005-0000-0000-0000994B0000}"/>
    <cellStyle name="40% - Accent1 15 3 3 4 2" xfId="27275" xr:uid="{00000000-0005-0000-0000-00009A4B0000}"/>
    <cellStyle name="40% - Accent1 15 3 3 5" xfId="19369" xr:uid="{00000000-0005-0000-0000-00009B4B0000}"/>
    <cellStyle name="40% - Accent1 15 3 3 5 2" xfId="31061" xr:uid="{00000000-0005-0000-0000-00009C4B0000}"/>
    <cellStyle name="40% - Accent1 15 3 3 6" xfId="23415" xr:uid="{00000000-0005-0000-0000-00009D4B0000}"/>
    <cellStyle name="40% - Accent1 15 3 4" xfId="4298" xr:uid="{00000000-0005-0000-0000-00009E4B0000}"/>
    <cellStyle name="40% - Accent1 15 3 4 2" xfId="15421" xr:uid="{00000000-0005-0000-0000-00009F4B0000}"/>
    <cellStyle name="40% - Accent1 15 3 4 2 2" xfId="27278" xr:uid="{00000000-0005-0000-0000-0000A04B0000}"/>
    <cellStyle name="40% - Accent1 15 3 4 3" xfId="19372" xr:uid="{00000000-0005-0000-0000-0000A14B0000}"/>
    <cellStyle name="40% - Accent1 15 3 4 3 2" xfId="31064" xr:uid="{00000000-0005-0000-0000-0000A24B0000}"/>
    <cellStyle name="40% - Accent1 15 3 4 4" xfId="23418" xr:uid="{00000000-0005-0000-0000-0000A34B0000}"/>
    <cellStyle name="40% - Accent1 15 3 5" xfId="4299" xr:uid="{00000000-0005-0000-0000-0000A44B0000}"/>
    <cellStyle name="40% - Accent1 15 3 5 2" xfId="15422" xr:uid="{00000000-0005-0000-0000-0000A54B0000}"/>
    <cellStyle name="40% - Accent1 15 3 5 2 2" xfId="27279" xr:uid="{00000000-0005-0000-0000-0000A64B0000}"/>
    <cellStyle name="40% - Accent1 15 3 5 3" xfId="19373" xr:uid="{00000000-0005-0000-0000-0000A74B0000}"/>
    <cellStyle name="40% - Accent1 15 3 5 3 2" xfId="31065" xr:uid="{00000000-0005-0000-0000-0000A84B0000}"/>
    <cellStyle name="40% - Accent1 15 3 5 4" xfId="23419" xr:uid="{00000000-0005-0000-0000-0000A94B0000}"/>
    <cellStyle name="40% - Accent1 15 3 6" xfId="15414" xr:uid="{00000000-0005-0000-0000-0000AA4B0000}"/>
    <cellStyle name="40% - Accent1 15 3 6 2" xfId="27271" xr:uid="{00000000-0005-0000-0000-0000AB4B0000}"/>
    <cellStyle name="40% - Accent1 15 3 7" xfId="19365" xr:uid="{00000000-0005-0000-0000-0000AC4B0000}"/>
    <cellStyle name="40% - Accent1 15 3 7 2" xfId="31057" xr:uid="{00000000-0005-0000-0000-0000AD4B0000}"/>
    <cellStyle name="40% - Accent1 15 3 8" xfId="23411" xr:uid="{00000000-0005-0000-0000-0000AE4B0000}"/>
    <cellStyle name="40% - Accent1 15 3_Volatility" xfId="4300" xr:uid="{00000000-0005-0000-0000-0000AF4B0000}"/>
    <cellStyle name="40% - Accent1 15 4" xfId="4301" xr:uid="{00000000-0005-0000-0000-0000B04B0000}"/>
    <cellStyle name="40% - Accent1 15 4 2" xfId="4302" xr:uid="{00000000-0005-0000-0000-0000B14B0000}"/>
    <cellStyle name="40% - Accent1 15 4 2 2" xfId="15424" xr:uid="{00000000-0005-0000-0000-0000B24B0000}"/>
    <cellStyle name="40% - Accent1 15 4 2 2 2" xfId="27281" xr:uid="{00000000-0005-0000-0000-0000B34B0000}"/>
    <cellStyle name="40% - Accent1 15 4 2 3" xfId="19375" xr:uid="{00000000-0005-0000-0000-0000B44B0000}"/>
    <cellStyle name="40% - Accent1 15 4 2 3 2" xfId="31067" xr:uid="{00000000-0005-0000-0000-0000B54B0000}"/>
    <cellStyle name="40% - Accent1 15 4 2 4" xfId="23421" xr:uid="{00000000-0005-0000-0000-0000B64B0000}"/>
    <cellStyle name="40% - Accent1 15 4 3" xfId="4303" xr:uid="{00000000-0005-0000-0000-0000B74B0000}"/>
    <cellStyle name="40% - Accent1 15 4 3 2" xfId="15425" xr:uid="{00000000-0005-0000-0000-0000B84B0000}"/>
    <cellStyle name="40% - Accent1 15 4 3 2 2" xfId="27282" xr:uid="{00000000-0005-0000-0000-0000B94B0000}"/>
    <cellStyle name="40% - Accent1 15 4 3 3" xfId="19376" xr:uid="{00000000-0005-0000-0000-0000BA4B0000}"/>
    <cellStyle name="40% - Accent1 15 4 3 3 2" xfId="31068" xr:uid="{00000000-0005-0000-0000-0000BB4B0000}"/>
    <cellStyle name="40% - Accent1 15 4 3 4" xfId="23422" xr:uid="{00000000-0005-0000-0000-0000BC4B0000}"/>
    <cellStyle name="40% - Accent1 15 4 4" xfId="15423" xr:uid="{00000000-0005-0000-0000-0000BD4B0000}"/>
    <cellStyle name="40% - Accent1 15 4 4 2" xfId="27280" xr:uid="{00000000-0005-0000-0000-0000BE4B0000}"/>
    <cellStyle name="40% - Accent1 15 4 5" xfId="19374" xr:uid="{00000000-0005-0000-0000-0000BF4B0000}"/>
    <cellStyle name="40% - Accent1 15 4 5 2" xfId="31066" xr:uid="{00000000-0005-0000-0000-0000C04B0000}"/>
    <cellStyle name="40% - Accent1 15 4 6" xfId="23420" xr:uid="{00000000-0005-0000-0000-0000C14B0000}"/>
    <cellStyle name="40% - Accent1 15 5" xfId="4304" xr:uid="{00000000-0005-0000-0000-0000C24B0000}"/>
    <cellStyle name="40% - Accent1 15 5 2" xfId="4305" xr:uid="{00000000-0005-0000-0000-0000C34B0000}"/>
    <cellStyle name="40% - Accent1 15 5 2 2" xfId="15427" xr:uid="{00000000-0005-0000-0000-0000C44B0000}"/>
    <cellStyle name="40% - Accent1 15 5 2 2 2" xfId="27284" xr:uid="{00000000-0005-0000-0000-0000C54B0000}"/>
    <cellStyle name="40% - Accent1 15 5 2 3" xfId="19378" xr:uid="{00000000-0005-0000-0000-0000C64B0000}"/>
    <cellStyle name="40% - Accent1 15 5 2 3 2" xfId="31070" xr:uid="{00000000-0005-0000-0000-0000C74B0000}"/>
    <cellStyle name="40% - Accent1 15 5 2 4" xfId="23424" xr:uid="{00000000-0005-0000-0000-0000C84B0000}"/>
    <cellStyle name="40% - Accent1 15 5 3" xfId="4306" xr:uid="{00000000-0005-0000-0000-0000C94B0000}"/>
    <cellStyle name="40% - Accent1 15 5 3 2" xfId="15428" xr:uid="{00000000-0005-0000-0000-0000CA4B0000}"/>
    <cellStyle name="40% - Accent1 15 5 3 2 2" xfId="27285" xr:uid="{00000000-0005-0000-0000-0000CB4B0000}"/>
    <cellStyle name="40% - Accent1 15 5 3 3" xfId="19379" xr:uid="{00000000-0005-0000-0000-0000CC4B0000}"/>
    <cellStyle name="40% - Accent1 15 5 3 3 2" xfId="31071" xr:uid="{00000000-0005-0000-0000-0000CD4B0000}"/>
    <cellStyle name="40% - Accent1 15 5 3 4" xfId="23425" xr:uid="{00000000-0005-0000-0000-0000CE4B0000}"/>
    <cellStyle name="40% - Accent1 15 5 4" xfId="15426" xr:uid="{00000000-0005-0000-0000-0000CF4B0000}"/>
    <cellStyle name="40% - Accent1 15 5 4 2" xfId="27283" xr:uid="{00000000-0005-0000-0000-0000D04B0000}"/>
    <cellStyle name="40% - Accent1 15 5 5" xfId="19377" xr:uid="{00000000-0005-0000-0000-0000D14B0000}"/>
    <cellStyle name="40% - Accent1 15 5 5 2" xfId="31069" xr:uid="{00000000-0005-0000-0000-0000D24B0000}"/>
    <cellStyle name="40% - Accent1 15 5 6" xfId="23423" xr:uid="{00000000-0005-0000-0000-0000D34B0000}"/>
    <cellStyle name="40% - Accent1 15 6" xfId="4307" xr:uid="{00000000-0005-0000-0000-0000D44B0000}"/>
    <cellStyle name="40% - Accent1 15 6 2" xfId="4308" xr:uid="{00000000-0005-0000-0000-0000D54B0000}"/>
    <cellStyle name="40% - Accent1 15 6 2 2" xfId="15430" xr:uid="{00000000-0005-0000-0000-0000D64B0000}"/>
    <cellStyle name="40% - Accent1 15 6 2 2 2" xfId="27287" xr:uid="{00000000-0005-0000-0000-0000D74B0000}"/>
    <cellStyle name="40% - Accent1 15 6 2 3" xfId="19381" xr:uid="{00000000-0005-0000-0000-0000D84B0000}"/>
    <cellStyle name="40% - Accent1 15 6 2 3 2" xfId="31073" xr:uid="{00000000-0005-0000-0000-0000D94B0000}"/>
    <cellStyle name="40% - Accent1 15 6 2 4" xfId="23427" xr:uid="{00000000-0005-0000-0000-0000DA4B0000}"/>
    <cellStyle name="40% - Accent1 15 6 3" xfId="4309" xr:uid="{00000000-0005-0000-0000-0000DB4B0000}"/>
    <cellStyle name="40% - Accent1 15 6 3 2" xfId="15431" xr:uid="{00000000-0005-0000-0000-0000DC4B0000}"/>
    <cellStyle name="40% - Accent1 15 6 3 2 2" xfId="27288" xr:uid="{00000000-0005-0000-0000-0000DD4B0000}"/>
    <cellStyle name="40% - Accent1 15 6 3 3" xfId="19382" xr:uid="{00000000-0005-0000-0000-0000DE4B0000}"/>
    <cellStyle name="40% - Accent1 15 6 3 3 2" xfId="31074" xr:uid="{00000000-0005-0000-0000-0000DF4B0000}"/>
    <cellStyle name="40% - Accent1 15 6 3 4" xfId="23428" xr:uid="{00000000-0005-0000-0000-0000E04B0000}"/>
    <cellStyle name="40% - Accent1 15 6 4" xfId="15429" xr:uid="{00000000-0005-0000-0000-0000E14B0000}"/>
    <cellStyle name="40% - Accent1 15 6 4 2" xfId="27286" xr:uid="{00000000-0005-0000-0000-0000E24B0000}"/>
    <cellStyle name="40% - Accent1 15 6 5" xfId="19380" xr:uid="{00000000-0005-0000-0000-0000E34B0000}"/>
    <cellStyle name="40% - Accent1 15 6 5 2" xfId="31072" xr:uid="{00000000-0005-0000-0000-0000E44B0000}"/>
    <cellStyle name="40% - Accent1 15 6 6" xfId="23426" xr:uid="{00000000-0005-0000-0000-0000E54B0000}"/>
    <cellStyle name="40% - Accent1 15 7" xfId="4310" xr:uid="{00000000-0005-0000-0000-0000E64B0000}"/>
    <cellStyle name="40% - Accent1 15 7 2" xfId="15432" xr:uid="{00000000-0005-0000-0000-0000E74B0000}"/>
    <cellStyle name="40% - Accent1 15 7 2 2" xfId="27289" xr:uid="{00000000-0005-0000-0000-0000E84B0000}"/>
    <cellStyle name="40% - Accent1 15 7 3" xfId="19383" xr:uid="{00000000-0005-0000-0000-0000E94B0000}"/>
    <cellStyle name="40% - Accent1 15 7 3 2" xfId="31075" xr:uid="{00000000-0005-0000-0000-0000EA4B0000}"/>
    <cellStyle name="40% - Accent1 15 7 4" xfId="23429" xr:uid="{00000000-0005-0000-0000-0000EB4B0000}"/>
    <cellStyle name="40% - Accent1 15 8" xfId="4311" xr:uid="{00000000-0005-0000-0000-0000EC4B0000}"/>
    <cellStyle name="40% - Accent1 15 8 2" xfId="15433" xr:uid="{00000000-0005-0000-0000-0000ED4B0000}"/>
    <cellStyle name="40% - Accent1 15 8 2 2" xfId="27290" xr:uid="{00000000-0005-0000-0000-0000EE4B0000}"/>
    <cellStyle name="40% - Accent1 15 8 3" xfId="19384" xr:uid="{00000000-0005-0000-0000-0000EF4B0000}"/>
    <cellStyle name="40% - Accent1 15 8 3 2" xfId="31076" xr:uid="{00000000-0005-0000-0000-0000F04B0000}"/>
    <cellStyle name="40% - Accent1 15 8 4" xfId="23430" xr:uid="{00000000-0005-0000-0000-0000F14B0000}"/>
    <cellStyle name="40% - Accent1 15 9" xfId="15401" xr:uid="{00000000-0005-0000-0000-0000F24B0000}"/>
    <cellStyle name="40% - Accent1 15 9 2" xfId="27258" xr:uid="{00000000-0005-0000-0000-0000F34B0000}"/>
    <cellStyle name="40% - Accent1 15_Volatility" xfId="4312" xr:uid="{00000000-0005-0000-0000-0000F44B0000}"/>
    <cellStyle name="40% - Accent1 16" xfId="4313" xr:uid="{00000000-0005-0000-0000-0000F54B0000}"/>
    <cellStyle name="40% - Accent1 16 2" xfId="15434" xr:uid="{00000000-0005-0000-0000-0000F64B0000}"/>
    <cellStyle name="40% - Accent1 16 2 2" xfId="27291" xr:uid="{00000000-0005-0000-0000-0000F74B0000}"/>
    <cellStyle name="40% - Accent1 16 3" xfId="19385" xr:uid="{00000000-0005-0000-0000-0000F84B0000}"/>
    <cellStyle name="40% - Accent1 16 3 2" xfId="31077" xr:uid="{00000000-0005-0000-0000-0000F94B0000}"/>
    <cellStyle name="40% - Accent1 16 4" xfId="23431" xr:uid="{00000000-0005-0000-0000-0000FA4B0000}"/>
    <cellStyle name="40% - Accent1 17" xfId="4314" xr:uid="{00000000-0005-0000-0000-0000FB4B0000}"/>
    <cellStyle name="40% - Accent1 17 2" xfId="15435" xr:uid="{00000000-0005-0000-0000-0000FC4B0000}"/>
    <cellStyle name="40% - Accent1 17 2 2" xfId="27292" xr:uid="{00000000-0005-0000-0000-0000FD4B0000}"/>
    <cellStyle name="40% - Accent1 17 3" xfId="19386" xr:uid="{00000000-0005-0000-0000-0000FE4B0000}"/>
    <cellStyle name="40% - Accent1 17 3 2" xfId="31078" xr:uid="{00000000-0005-0000-0000-0000FF4B0000}"/>
    <cellStyle name="40% - Accent1 17 4" xfId="23432" xr:uid="{00000000-0005-0000-0000-0000004C0000}"/>
    <cellStyle name="40% - Accent1 18" xfId="4315" xr:uid="{00000000-0005-0000-0000-0000014C0000}"/>
    <cellStyle name="40% - Accent1 18 2" xfId="15436" xr:uid="{00000000-0005-0000-0000-0000024C0000}"/>
    <cellStyle name="40% - Accent1 18 2 2" xfId="27293" xr:uid="{00000000-0005-0000-0000-0000034C0000}"/>
    <cellStyle name="40% - Accent1 18 3" xfId="19387" xr:uid="{00000000-0005-0000-0000-0000044C0000}"/>
    <cellStyle name="40% - Accent1 18 3 2" xfId="31079" xr:uid="{00000000-0005-0000-0000-0000054C0000}"/>
    <cellStyle name="40% - Accent1 18 4" xfId="23433" xr:uid="{00000000-0005-0000-0000-0000064C0000}"/>
    <cellStyle name="40% - Accent1 19" xfId="4316" xr:uid="{00000000-0005-0000-0000-0000074C0000}"/>
    <cellStyle name="40% - Accent1 19 2" xfId="15437" xr:uid="{00000000-0005-0000-0000-0000084C0000}"/>
    <cellStyle name="40% - Accent1 19 2 2" xfId="27294" xr:uid="{00000000-0005-0000-0000-0000094C0000}"/>
    <cellStyle name="40% - Accent1 19 3" xfId="19388" xr:uid="{00000000-0005-0000-0000-00000A4C0000}"/>
    <cellStyle name="40% - Accent1 19 3 2" xfId="31080" xr:uid="{00000000-0005-0000-0000-00000B4C0000}"/>
    <cellStyle name="40% - Accent1 19 4" xfId="23434" xr:uid="{00000000-0005-0000-0000-00000C4C0000}"/>
    <cellStyle name="40% - Accent1 2" xfId="4317" xr:uid="{00000000-0005-0000-0000-00000D4C0000}"/>
    <cellStyle name="40% - Accent1 2 10" xfId="19389" xr:uid="{00000000-0005-0000-0000-00000E4C0000}"/>
    <cellStyle name="40% - Accent1 2 10 2" xfId="31081" xr:uid="{00000000-0005-0000-0000-00000F4C0000}"/>
    <cellStyle name="40% - Accent1 2 11" xfId="23435" xr:uid="{00000000-0005-0000-0000-0000104C0000}"/>
    <cellStyle name="40% - Accent1 2 2" xfId="4318" xr:uid="{00000000-0005-0000-0000-0000114C0000}"/>
    <cellStyle name="40% - Accent1 2 2 2" xfId="4319" xr:uid="{00000000-0005-0000-0000-0000124C0000}"/>
    <cellStyle name="40% - Accent1 2 2 2 2" xfId="4320" xr:uid="{00000000-0005-0000-0000-0000134C0000}"/>
    <cellStyle name="40% - Accent1 2 2 2 2 2" xfId="15441" xr:uid="{00000000-0005-0000-0000-0000144C0000}"/>
    <cellStyle name="40% - Accent1 2 2 2 2 2 2" xfId="27298" xr:uid="{00000000-0005-0000-0000-0000154C0000}"/>
    <cellStyle name="40% - Accent1 2 2 2 2 3" xfId="19392" xr:uid="{00000000-0005-0000-0000-0000164C0000}"/>
    <cellStyle name="40% - Accent1 2 2 2 2 3 2" xfId="31084" xr:uid="{00000000-0005-0000-0000-0000174C0000}"/>
    <cellStyle name="40% - Accent1 2 2 2 2 4" xfId="23438" xr:uid="{00000000-0005-0000-0000-0000184C0000}"/>
    <cellStyle name="40% - Accent1 2 2 2 3" xfId="4321" xr:uid="{00000000-0005-0000-0000-0000194C0000}"/>
    <cellStyle name="40% - Accent1 2 2 2 3 2" xfId="15442" xr:uid="{00000000-0005-0000-0000-00001A4C0000}"/>
    <cellStyle name="40% - Accent1 2 2 2 3 2 2" xfId="27299" xr:uid="{00000000-0005-0000-0000-00001B4C0000}"/>
    <cellStyle name="40% - Accent1 2 2 2 3 3" xfId="19393" xr:uid="{00000000-0005-0000-0000-00001C4C0000}"/>
    <cellStyle name="40% - Accent1 2 2 2 3 3 2" xfId="31085" xr:uid="{00000000-0005-0000-0000-00001D4C0000}"/>
    <cellStyle name="40% - Accent1 2 2 2 3 4" xfId="23439" xr:uid="{00000000-0005-0000-0000-00001E4C0000}"/>
    <cellStyle name="40% - Accent1 2 2 2 4" xfId="15440" xr:uid="{00000000-0005-0000-0000-00001F4C0000}"/>
    <cellStyle name="40% - Accent1 2 2 2 4 2" xfId="27297" xr:uid="{00000000-0005-0000-0000-0000204C0000}"/>
    <cellStyle name="40% - Accent1 2 2 2 5" xfId="19391" xr:uid="{00000000-0005-0000-0000-0000214C0000}"/>
    <cellStyle name="40% - Accent1 2 2 2 5 2" xfId="31083" xr:uid="{00000000-0005-0000-0000-0000224C0000}"/>
    <cellStyle name="40% - Accent1 2 2 2 6" xfId="23437" xr:uid="{00000000-0005-0000-0000-0000234C0000}"/>
    <cellStyle name="40% - Accent1 2 2 3" xfId="4322" xr:uid="{00000000-0005-0000-0000-0000244C0000}"/>
    <cellStyle name="40% - Accent1 2 2 3 2" xfId="4323" xr:uid="{00000000-0005-0000-0000-0000254C0000}"/>
    <cellStyle name="40% - Accent1 2 2 3 2 2" xfId="15444" xr:uid="{00000000-0005-0000-0000-0000264C0000}"/>
    <cellStyle name="40% - Accent1 2 2 3 2 2 2" xfId="27301" xr:uid="{00000000-0005-0000-0000-0000274C0000}"/>
    <cellStyle name="40% - Accent1 2 2 3 2 3" xfId="19395" xr:uid="{00000000-0005-0000-0000-0000284C0000}"/>
    <cellStyle name="40% - Accent1 2 2 3 2 3 2" xfId="31087" xr:uid="{00000000-0005-0000-0000-0000294C0000}"/>
    <cellStyle name="40% - Accent1 2 2 3 2 4" xfId="23441" xr:uid="{00000000-0005-0000-0000-00002A4C0000}"/>
    <cellStyle name="40% - Accent1 2 2 3 3" xfId="4324" xr:uid="{00000000-0005-0000-0000-00002B4C0000}"/>
    <cellStyle name="40% - Accent1 2 2 3 3 2" xfId="15445" xr:uid="{00000000-0005-0000-0000-00002C4C0000}"/>
    <cellStyle name="40% - Accent1 2 2 3 3 2 2" xfId="27302" xr:uid="{00000000-0005-0000-0000-00002D4C0000}"/>
    <cellStyle name="40% - Accent1 2 2 3 3 3" xfId="19396" xr:uid="{00000000-0005-0000-0000-00002E4C0000}"/>
    <cellStyle name="40% - Accent1 2 2 3 3 3 2" xfId="31088" xr:uid="{00000000-0005-0000-0000-00002F4C0000}"/>
    <cellStyle name="40% - Accent1 2 2 3 3 4" xfId="23442" xr:uid="{00000000-0005-0000-0000-0000304C0000}"/>
    <cellStyle name="40% - Accent1 2 2 3 4" xfId="15443" xr:uid="{00000000-0005-0000-0000-0000314C0000}"/>
    <cellStyle name="40% - Accent1 2 2 3 4 2" xfId="27300" xr:uid="{00000000-0005-0000-0000-0000324C0000}"/>
    <cellStyle name="40% - Accent1 2 2 3 5" xfId="19394" xr:uid="{00000000-0005-0000-0000-0000334C0000}"/>
    <cellStyle name="40% - Accent1 2 2 3 5 2" xfId="31086" xr:uid="{00000000-0005-0000-0000-0000344C0000}"/>
    <cellStyle name="40% - Accent1 2 2 3 6" xfId="23440" xr:uid="{00000000-0005-0000-0000-0000354C0000}"/>
    <cellStyle name="40% - Accent1 2 2 4" xfId="4325" xr:uid="{00000000-0005-0000-0000-0000364C0000}"/>
    <cellStyle name="40% - Accent1 2 2 4 2" xfId="4326" xr:uid="{00000000-0005-0000-0000-0000374C0000}"/>
    <cellStyle name="40% - Accent1 2 2 4 2 2" xfId="15447" xr:uid="{00000000-0005-0000-0000-0000384C0000}"/>
    <cellStyle name="40% - Accent1 2 2 4 2 2 2" xfId="27304" xr:uid="{00000000-0005-0000-0000-0000394C0000}"/>
    <cellStyle name="40% - Accent1 2 2 4 2 3" xfId="19398" xr:uid="{00000000-0005-0000-0000-00003A4C0000}"/>
    <cellStyle name="40% - Accent1 2 2 4 2 3 2" xfId="31090" xr:uid="{00000000-0005-0000-0000-00003B4C0000}"/>
    <cellStyle name="40% - Accent1 2 2 4 2 4" xfId="23444" xr:uid="{00000000-0005-0000-0000-00003C4C0000}"/>
    <cellStyle name="40% - Accent1 2 2 4 3" xfId="4327" xr:uid="{00000000-0005-0000-0000-00003D4C0000}"/>
    <cellStyle name="40% - Accent1 2 2 4 3 2" xfId="15448" xr:uid="{00000000-0005-0000-0000-00003E4C0000}"/>
    <cellStyle name="40% - Accent1 2 2 4 3 2 2" xfId="27305" xr:uid="{00000000-0005-0000-0000-00003F4C0000}"/>
    <cellStyle name="40% - Accent1 2 2 4 3 3" xfId="19399" xr:uid="{00000000-0005-0000-0000-0000404C0000}"/>
    <cellStyle name="40% - Accent1 2 2 4 3 3 2" xfId="31091" xr:uid="{00000000-0005-0000-0000-0000414C0000}"/>
    <cellStyle name="40% - Accent1 2 2 4 3 4" xfId="23445" xr:uid="{00000000-0005-0000-0000-0000424C0000}"/>
    <cellStyle name="40% - Accent1 2 2 4 4" xfId="15446" xr:uid="{00000000-0005-0000-0000-0000434C0000}"/>
    <cellStyle name="40% - Accent1 2 2 4 4 2" xfId="27303" xr:uid="{00000000-0005-0000-0000-0000444C0000}"/>
    <cellStyle name="40% - Accent1 2 2 4 5" xfId="19397" xr:uid="{00000000-0005-0000-0000-0000454C0000}"/>
    <cellStyle name="40% - Accent1 2 2 4 5 2" xfId="31089" xr:uid="{00000000-0005-0000-0000-0000464C0000}"/>
    <cellStyle name="40% - Accent1 2 2 4 6" xfId="23443" xr:uid="{00000000-0005-0000-0000-0000474C0000}"/>
    <cellStyle name="40% - Accent1 2 2 5" xfId="4328" xr:uid="{00000000-0005-0000-0000-0000484C0000}"/>
    <cellStyle name="40% - Accent1 2 2 5 2" xfId="15449" xr:uid="{00000000-0005-0000-0000-0000494C0000}"/>
    <cellStyle name="40% - Accent1 2 2 5 2 2" xfId="27306" xr:uid="{00000000-0005-0000-0000-00004A4C0000}"/>
    <cellStyle name="40% - Accent1 2 2 5 3" xfId="19400" xr:uid="{00000000-0005-0000-0000-00004B4C0000}"/>
    <cellStyle name="40% - Accent1 2 2 5 3 2" xfId="31092" xr:uid="{00000000-0005-0000-0000-00004C4C0000}"/>
    <cellStyle name="40% - Accent1 2 2 5 4" xfId="23446" xr:uid="{00000000-0005-0000-0000-00004D4C0000}"/>
    <cellStyle name="40% - Accent1 2 2 6" xfId="4329" xr:uid="{00000000-0005-0000-0000-00004E4C0000}"/>
    <cellStyle name="40% - Accent1 2 2 6 2" xfId="15450" xr:uid="{00000000-0005-0000-0000-00004F4C0000}"/>
    <cellStyle name="40% - Accent1 2 2 6 2 2" xfId="27307" xr:uid="{00000000-0005-0000-0000-0000504C0000}"/>
    <cellStyle name="40% - Accent1 2 2 6 3" xfId="19401" xr:uid="{00000000-0005-0000-0000-0000514C0000}"/>
    <cellStyle name="40% - Accent1 2 2 6 3 2" xfId="31093" xr:uid="{00000000-0005-0000-0000-0000524C0000}"/>
    <cellStyle name="40% - Accent1 2 2 6 4" xfId="23447" xr:uid="{00000000-0005-0000-0000-0000534C0000}"/>
    <cellStyle name="40% - Accent1 2 2 7" xfId="15439" xr:uid="{00000000-0005-0000-0000-0000544C0000}"/>
    <cellStyle name="40% - Accent1 2 2 7 2" xfId="27296" xr:uid="{00000000-0005-0000-0000-0000554C0000}"/>
    <cellStyle name="40% - Accent1 2 2 8" xfId="19390" xr:uid="{00000000-0005-0000-0000-0000564C0000}"/>
    <cellStyle name="40% - Accent1 2 2 8 2" xfId="31082" xr:uid="{00000000-0005-0000-0000-0000574C0000}"/>
    <cellStyle name="40% - Accent1 2 2 9" xfId="23436" xr:uid="{00000000-0005-0000-0000-0000584C0000}"/>
    <cellStyle name="40% - Accent1 2 2_Volatility" xfId="4330" xr:uid="{00000000-0005-0000-0000-0000594C0000}"/>
    <cellStyle name="40% - Accent1 2 3" xfId="4331" xr:uid="{00000000-0005-0000-0000-00005A4C0000}"/>
    <cellStyle name="40% - Accent1 2 3 2" xfId="4332" xr:uid="{00000000-0005-0000-0000-00005B4C0000}"/>
    <cellStyle name="40% - Accent1 2 3 2 2" xfId="4333" xr:uid="{00000000-0005-0000-0000-00005C4C0000}"/>
    <cellStyle name="40% - Accent1 2 3 2 2 2" xfId="15453" xr:uid="{00000000-0005-0000-0000-00005D4C0000}"/>
    <cellStyle name="40% - Accent1 2 3 2 2 2 2" xfId="27310" xr:uid="{00000000-0005-0000-0000-00005E4C0000}"/>
    <cellStyle name="40% - Accent1 2 3 2 2 3" xfId="19404" xr:uid="{00000000-0005-0000-0000-00005F4C0000}"/>
    <cellStyle name="40% - Accent1 2 3 2 2 3 2" xfId="31096" xr:uid="{00000000-0005-0000-0000-0000604C0000}"/>
    <cellStyle name="40% - Accent1 2 3 2 2 4" xfId="23450" xr:uid="{00000000-0005-0000-0000-0000614C0000}"/>
    <cellStyle name="40% - Accent1 2 3 2 3" xfId="4334" xr:uid="{00000000-0005-0000-0000-0000624C0000}"/>
    <cellStyle name="40% - Accent1 2 3 2 3 2" xfId="15454" xr:uid="{00000000-0005-0000-0000-0000634C0000}"/>
    <cellStyle name="40% - Accent1 2 3 2 3 2 2" xfId="27311" xr:uid="{00000000-0005-0000-0000-0000644C0000}"/>
    <cellStyle name="40% - Accent1 2 3 2 3 3" xfId="19405" xr:uid="{00000000-0005-0000-0000-0000654C0000}"/>
    <cellStyle name="40% - Accent1 2 3 2 3 3 2" xfId="31097" xr:uid="{00000000-0005-0000-0000-0000664C0000}"/>
    <cellStyle name="40% - Accent1 2 3 2 3 4" xfId="23451" xr:uid="{00000000-0005-0000-0000-0000674C0000}"/>
    <cellStyle name="40% - Accent1 2 3 2 4" xfId="15452" xr:uid="{00000000-0005-0000-0000-0000684C0000}"/>
    <cellStyle name="40% - Accent1 2 3 2 4 2" xfId="27309" xr:uid="{00000000-0005-0000-0000-0000694C0000}"/>
    <cellStyle name="40% - Accent1 2 3 2 5" xfId="19403" xr:uid="{00000000-0005-0000-0000-00006A4C0000}"/>
    <cellStyle name="40% - Accent1 2 3 2 5 2" xfId="31095" xr:uid="{00000000-0005-0000-0000-00006B4C0000}"/>
    <cellStyle name="40% - Accent1 2 3 2 6" xfId="23449" xr:uid="{00000000-0005-0000-0000-00006C4C0000}"/>
    <cellStyle name="40% - Accent1 2 3 3" xfId="4335" xr:uid="{00000000-0005-0000-0000-00006D4C0000}"/>
    <cellStyle name="40% - Accent1 2 3 3 2" xfId="4336" xr:uid="{00000000-0005-0000-0000-00006E4C0000}"/>
    <cellStyle name="40% - Accent1 2 3 3 2 2" xfId="15456" xr:uid="{00000000-0005-0000-0000-00006F4C0000}"/>
    <cellStyle name="40% - Accent1 2 3 3 2 2 2" xfId="27313" xr:uid="{00000000-0005-0000-0000-0000704C0000}"/>
    <cellStyle name="40% - Accent1 2 3 3 2 3" xfId="19407" xr:uid="{00000000-0005-0000-0000-0000714C0000}"/>
    <cellStyle name="40% - Accent1 2 3 3 2 3 2" xfId="31099" xr:uid="{00000000-0005-0000-0000-0000724C0000}"/>
    <cellStyle name="40% - Accent1 2 3 3 2 4" xfId="23453" xr:uid="{00000000-0005-0000-0000-0000734C0000}"/>
    <cellStyle name="40% - Accent1 2 3 3 3" xfId="4337" xr:uid="{00000000-0005-0000-0000-0000744C0000}"/>
    <cellStyle name="40% - Accent1 2 3 3 3 2" xfId="15457" xr:uid="{00000000-0005-0000-0000-0000754C0000}"/>
    <cellStyle name="40% - Accent1 2 3 3 3 2 2" xfId="27314" xr:uid="{00000000-0005-0000-0000-0000764C0000}"/>
    <cellStyle name="40% - Accent1 2 3 3 3 3" xfId="19408" xr:uid="{00000000-0005-0000-0000-0000774C0000}"/>
    <cellStyle name="40% - Accent1 2 3 3 3 3 2" xfId="31100" xr:uid="{00000000-0005-0000-0000-0000784C0000}"/>
    <cellStyle name="40% - Accent1 2 3 3 3 4" xfId="23454" xr:uid="{00000000-0005-0000-0000-0000794C0000}"/>
    <cellStyle name="40% - Accent1 2 3 3 4" xfId="15455" xr:uid="{00000000-0005-0000-0000-00007A4C0000}"/>
    <cellStyle name="40% - Accent1 2 3 3 4 2" xfId="27312" xr:uid="{00000000-0005-0000-0000-00007B4C0000}"/>
    <cellStyle name="40% - Accent1 2 3 3 5" xfId="19406" xr:uid="{00000000-0005-0000-0000-00007C4C0000}"/>
    <cellStyle name="40% - Accent1 2 3 3 5 2" xfId="31098" xr:uid="{00000000-0005-0000-0000-00007D4C0000}"/>
    <cellStyle name="40% - Accent1 2 3 3 6" xfId="23452" xr:uid="{00000000-0005-0000-0000-00007E4C0000}"/>
    <cellStyle name="40% - Accent1 2 3 4" xfId="4338" xr:uid="{00000000-0005-0000-0000-00007F4C0000}"/>
    <cellStyle name="40% - Accent1 2 3 4 2" xfId="15458" xr:uid="{00000000-0005-0000-0000-0000804C0000}"/>
    <cellStyle name="40% - Accent1 2 3 4 2 2" xfId="27315" xr:uid="{00000000-0005-0000-0000-0000814C0000}"/>
    <cellStyle name="40% - Accent1 2 3 4 3" xfId="19409" xr:uid="{00000000-0005-0000-0000-0000824C0000}"/>
    <cellStyle name="40% - Accent1 2 3 4 3 2" xfId="31101" xr:uid="{00000000-0005-0000-0000-0000834C0000}"/>
    <cellStyle name="40% - Accent1 2 3 4 4" xfId="23455" xr:uid="{00000000-0005-0000-0000-0000844C0000}"/>
    <cellStyle name="40% - Accent1 2 3 5" xfId="4339" xr:uid="{00000000-0005-0000-0000-0000854C0000}"/>
    <cellStyle name="40% - Accent1 2 3 5 2" xfId="15459" xr:uid="{00000000-0005-0000-0000-0000864C0000}"/>
    <cellStyle name="40% - Accent1 2 3 5 2 2" xfId="27316" xr:uid="{00000000-0005-0000-0000-0000874C0000}"/>
    <cellStyle name="40% - Accent1 2 3 5 3" xfId="19410" xr:uid="{00000000-0005-0000-0000-0000884C0000}"/>
    <cellStyle name="40% - Accent1 2 3 5 3 2" xfId="31102" xr:uid="{00000000-0005-0000-0000-0000894C0000}"/>
    <cellStyle name="40% - Accent1 2 3 5 4" xfId="23456" xr:uid="{00000000-0005-0000-0000-00008A4C0000}"/>
    <cellStyle name="40% - Accent1 2 3 6" xfId="15451" xr:uid="{00000000-0005-0000-0000-00008B4C0000}"/>
    <cellStyle name="40% - Accent1 2 3 6 2" xfId="27308" xr:uid="{00000000-0005-0000-0000-00008C4C0000}"/>
    <cellStyle name="40% - Accent1 2 3 7" xfId="19402" xr:uid="{00000000-0005-0000-0000-00008D4C0000}"/>
    <cellStyle name="40% - Accent1 2 3 7 2" xfId="31094" xr:uid="{00000000-0005-0000-0000-00008E4C0000}"/>
    <cellStyle name="40% - Accent1 2 3 8" xfId="23448" xr:uid="{00000000-0005-0000-0000-00008F4C0000}"/>
    <cellStyle name="40% - Accent1 2 3_Volatility" xfId="4340" xr:uid="{00000000-0005-0000-0000-0000904C0000}"/>
    <cellStyle name="40% - Accent1 2 4" xfId="4341" xr:uid="{00000000-0005-0000-0000-0000914C0000}"/>
    <cellStyle name="40% - Accent1 2 4 2" xfId="4342" xr:uid="{00000000-0005-0000-0000-0000924C0000}"/>
    <cellStyle name="40% - Accent1 2 4 2 2" xfId="15461" xr:uid="{00000000-0005-0000-0000-0000934C0000}"/>
    <cellStyle name="40% - Accent1 2 4 2 2 2" xfId="27318" xr:uid="{00000000-0005-0000-0000-0000944C0000}"/>
    <cellStyle name="40% - Accent1 2 4 2 3" xfId="19412" xr:uid="{00000000-0005-0000-0000-0000954C0000}"/>
    <cellStyle name="40% - Accent1 2 4 2 3 2" xfId="31104" xr:uid="{00000000-0005-0000-0000-0000964C0000}"/>
    <cellStyle name="40% - Accent1 2 4 2 4" xfId="23458" xr:uid="{00000000-0005-0000-0000-0000974C0000}"/>
    <cellStyle name="40% - Accent1 2 4 3" xfId="4343" xr:uid="{00000000-0005-0000-0000-0000984C0000}"/>
    <cellStyle name="40% - Accent1 2 4 3 2" xfId="15462" xr:uid="{00000000-0005-0000-0000-0000994C0000}"/>
    <cellStyle name="40% - Accent1 2 4 3 2 2" xfId="27319" xr:uid="{00000000-0005-0000-0000-00009A4C0000}"/>
    <cellStyle name="40% - Accent1 2 4 3 3" xfId="19413" xr:uid="{00000000-0005-0000-0000-00009B4C0000}"/>
    <cellStyle name="40% - Accent1 2 4 3 3 2" xfId="31105" xr:uid="{00000000-0005-0000-0000-00009C4C0000}"/>
    <cellStyle name="40% - Accent1 2 4 3 4" xfId="23459" xr:uid="{00000000-0005-0000-0000-00009D4C0000}"/>
    <cellStyle name="40% - Accent1 2 4 4" xfId="15460" xr:uid="{00000000-0005-0000-0000-00009E4C0000}"/>
    <cellStyle name="40% - Accent1 2 4 4 2" xfId="27317" xr:uid="{00000000-0005-0000-0000-00009F4C0000}"/>
    <cellStyle name="40% - Accent1 2 4 5" xfId="19411" xr:uid="{00000000-0005-0000-0000-0000A04C0000}"/>
    <cellStyle name="40% - Accent1 2 4 5 2" xfId="31103" xr:uid="{00000000-0005-0000-0000-0000A14C0000}"/>
    <cellStyle name="40% - Accent1 2 4 6" xfId="23457" xr:uid="{00000000-0005-0000-0000-0000A24C0000}"/>
    <cellStyle name="40% - Accent1 2 5" xfId="4344" xr:uid="{00000000-0005-0000-0000-0000A34C0000}"/>
    <cellStyle name="40% - Accent1 2 5 2" xfId="4345" xr:uid="{00000000-0005-0000-0000-0000A44C0000}"/>
    <cellStyle name="40% - Accent1 2 5 2 2" xfId="15464" xr:uid="{00000000-0005-0000-0000-0000A54C0000}"/>
    <cellStyle name="40% - Accent1 2 5 2 2 2" xfId="27321" xr:uid="{00000000-0005-0000-0000-0000A64C0000}"/>
    <cellStyle name="40% - Accent1 2 5 2 3" xfId="19415" xr:uid="{00000000-0005-0000-0000-0000A74C0000}"/>
    <cellStyle name="40% - Accent1 2 5 2 3 2" xfId="31107" xr:uid="{00000000-0005-0000-0000-0000A84C0000}"/>
    <cellStyle name="40% - Accent1 2 5 2 4" xfId="23461" xr:uid="{00000000-0005-0000-0000-0000A94C0000}"/>
    <cellStyle name="40% - Accent1 2 5 3" xfId="4346" xr:uid="{00000000-0005-0000-0000-0000AA4C0000}"/>
    <cellStyle name="40% - Accent1 2 5 3 2" xfId="15465" xr:uid="{00000000-0005-0000-0000-0000AB4C0000}"/>
    <cellStyle name="40% - Accent1 2 5 3 2 2" xfId="27322" xr:uid="{00000000-0005-0000-0000-0000AC4C0000}"/>
    <cellStyle name="40% - Accent1 2 5 3 3" xfId="19416" xr:uid="{00000000-0005-0000-0000-0000AD4C0000}"/>
    <cellStyle name="40% - Accent1 2 5 3 3 2" xfId="31108" xr:uid="{00000000-0005-0000-0000-0000AE4C0000}"/>
    <cellStyle name="40% - Accent1 2 5 3 4" xfId="23462" xr:uid="{00000000-0005-0000-0000-0000AF4C0000}"/>
    <cellStyle name="40% - Accent1 2 5 4" xfId="15463" xr:uid="{00000000-0005-0000-0000-0000B04C0000}"/>
    <cellStyle name="40% - Accent1 2 5 4 2" xfId="27320" xr:uid="{00000000-0005-0000-0000-0000B14C0000}"/>
    <cellStyle name="40% - Accent1 2 5 5" xfId="19414" xr:uid="{00000000-0005-0000-0000-0000B24C0000}"/>
    <cellStyle name="40% - Accent1 2 5 5 2" xfId="31106" xr:uid="{00000000-0005-0000-0000-0000B34C0000}"/>
    <cellStyle name="40% - Accent1 2 5 6" xfId="23460" xr:uid="{00000000-0005-0000-0000-0000B44C0000}"/>
    <cellStyle name="40% - Accent1 2 6" xfId="4347" xr:uid="{00000000-0005-0000-0000-0000B54C0000}"/>
    <cellStyle name="40% - Accent1 2 6 2" xfId="4348" xr:uid="{00000000-0005-0000-0000-0000B64C0000}"/>
    <cellStyle name="40% - Accent1 2 6 2 2" xfId="15467" xr:uid="{00000000-0005-0000-0000-0000B74C0000}"/>
    <cellStyle name="40% - Accent1 2 6 2 2 2" xfId="27324" xr:uid="{00000000-0005-0000-0000-0000B84C0000}"/>
    <cellStyle name="40% - Accent1 2 6 2 3" xfId="19418" xr:uid="{00000000-0005-0000-0000-0000B94C0000}"/>
    <cellStyle name="40% - Accent1 2 6 2 3 2" xfId="31110" xr:uid="{00000000-0005-0000-0000-0000BA4C0000}"/>
    <cellStyle name="40% - Accent1 2 6 2 4" xfId="23464" xr:uid="{00000000-0005-0000-0000-0000BB4C0000}"/>
    <cellStyle name="40% - Accent1 2 6 3" xfId="4349" xr:uid="{00000000-0005-0000-0000-0000BC4C0000}"/>
    <cellStyle name="40% - Accent1 2 6 3 2" xfId="15468" xr:uid="{00000000-0005-0000-0000-0000BD4C0000}"/>
    <cellStyle name="40% - Accent1 2 6 3 2 2" xfId="27325" xr:uid="{00000000-0005-0000-0000-0000BE4C0000}"/>
    <cellStyle name="40% - Accent1 2 6 3 3" xfId="19419" xr:uid="{00000000-0005-0000-0000-0000BF4C0000}"/>
    <cellStyle name="40% - Accent1 2 6 3 3 2" xfId="31111" xr:uid="{00000000-0005-0000-0000-0000C04C0000}"/>
    <cellStyle name="40% - Accent1 2 6 3 4" xfId="23465" xr:uid="{00000000-0005-0000-0000-0000C14C0000}"/>
    <cellStyle name="40% - Accent1 2 6 4" xfId="15466" xr:uid="{00000000-0005-0000-0000-0000C24C0000}"/>
    <cellStyle name="40% - Accent1 2 6 4 2" xfId="27323" xr:uid="{00000000-0005-0000-0000-0000C34C0000}"/>
    <cellStyle name="40% - Accent1 2 6 5" xfId="19417" xr:uid="{00000000-0005-0000-0000-0000C44C0000}"/>
    <cellStyle name="40% - Accent1 2 6 5 2" xfId="31109" xr:uid="{00000000-0005-0000-0000-0000C54C0000}"/>
    <cellStyle name="40% - Accent1 2 6 6" xfId="23463" xr:uid="{00000000-0005-0000-0000-0000C64C0000}"/>
    <cellStyle name="40% - Accent1 2 7" xfId="4350" xr:uid="{00000000-0005-0000-0000-0000C74C0000}"/>
    <cellStyle name="40% - Accent1 2 7 2" xfId="15469" xr:uid="{00000000-0005-0000-0000-0000C84C0000}"/>
    <cellStyle name="40% - Accent1 2 7 2 2" xfId="27326" xr:uid="{00000000-0005-0000-0000-0000C94C0000}"/>
    <cellStyle name="40% - Accent1 2 7 3" xfId="19420" xr:uid="{00000000-0005-0000-0000-0000CA4C0000}"/>
    <cellStyle name="40% - Accent1 2 7 3 2" xfId="31112" xr:uid="{00000000-0005-0000-0000-0000CB4C0000}"/>
    <cellStyle name="40% - Accent1 2 7 4" xfId="23466" xr:uid="{00000000-0005-0000-0000-0000CC4C0000}"/>
    <cellStyle name="40% - Accent1 2 8" xfId="4351" xr:uid="{00000000-0005-0000-0000-0000CD4C0000}"/>
    <cellStyle name="40% - Accent1 2 8 2" xfId="15470" xr:uid="{00000000-0005-0000-0000-0000CE4C0000}"/>
    <cellStyle name="40% - Accent1 2 8 2 2" xfId="27327" xr:uid="{00000000-0005-0000-0000-0000CF4C0000}"/>
    <cellStyle name="40% - Accent1 2 8 3" xfId="19421" xr:uid="{00000000-0005-0000-0000-0000D04C0000}"/>
    <cellStyle name="40% - Accent1 2 8 3 2" xfId="31113" xr:uid="{00000000-0005-0000-0000-0000D14C0000}"/>
    <cellStyle name="40% - Accent1 2 8 4" xfId="23467" xr:uid="{00000000-0005-0000-0000-0000D24C0000}"/>
    <cellStyle name="40% - Accent1 2 9" xfId="15438" xr:uid="{00000000-0005-0000-0000-0000D34C0000}"/>
    <cellStyle name="40% - Accent1 2 9 2" xfId="27295" xr:uid="{00000000-0005-0000-0000-0000D44C0000}"/>
    <cellStyle name="40% - Accent1 2_Volatility" xfId="4352" xr:uid="{00000000-0005-0000-0000-0000D54C0000}"/>
    <cellStyle name="40% - Accent1 3" xfId="4353" xr:uid="{00000000-0005-0000-0000-0000D64C0000}"/>
    <cellStyle name="40% - Accent1 3 10" xfId="19422" xr:uid="{00000000-0005-0000-0000-0000D74C0000}"/>
    <cellStyle name="40% - Accent1 3 10 2" xfId="31114" xr:uid="{00000000-0005-0000-0000-0000D84C0000}"/>
    <cellStyle name="40% - Accent1 3 11" xfId="23468" xr:uid="{00000000-0005-0000-0000-0000D94C0000}"/>
    <cellStyle name="40% - Accent1 3 2" xfId="4354" xr:uid="{00000000-0005-0000-0000-0000DA4C0000}"/>
    <cellStyle name="40% - Accent1 3 2 2" xfId="4355" xr:uid="{00000000-0005-0000-0000-0000DB4C0000}"/>
    <cellStyle name="40% - Accent1 3 2 2 2" xfId="4356" xr:uid="{00000000-0005-0000-0000-0000DC4C0000}"/>
    <cellStyle name="40% - Accent1 3 2 2 2 2" xfId="15474" xr:uid="{00000000-0005-0000-0000-0000DD4C0000}"/>
    <cellStyle name="40% - Accent1 3 2 2 2 2 2" xfId="27331" xr:uid="{00000000-0005-0000-0000-0000DE4C0000}"/>
    <cellStyle name="40% - Accent1 3 2 2 2 3" xfId="19425" xr:uid="{00000000-0005-0000-0000-0000DF4C0000}"/>
    <cellStyle name="40% - Accent1 3 2 2 2 3 2" xfId="31117" xr:uid="{00000000-0005-0000-0000-0000E04C0000}"/>
    <cellStyle name="40% - Accent1 3 2 2 2 4" xfId="23471" xr:uid="{00000000-0005-0000-0000-0000E14C0000}"/>
    <cellStyle name="40% - Accent1 3 2 2 3" xfId="4357" xr:uid="{00000000-0005-0000-0000-0000E24C0000}"/>
    <cellStyle name="40% - Accent1 3 2 2 3 2" xfId="15475" xr:uid="{00000000-0005-0000-0000-0000E34C0000}"/>
    <cellStyle name="40% - Accent1 3 2 2 3 2 2" xfId="27332" xr:uid="{00000000-0005-0000-0000-0000E44C0000}"/>
    <cellStyle name="40% - Accent1 3 2 2 3 3" xfId="19426" xr:uid="{00000000-0005-0000-0000-0000E54C0000}"/>
    <cellStyle name="40% - Accent1 3 2 2 3 3 2" xfId="31118" xr:uid="{00000000-0005-0000-0000-0000E64C0000}"/>
    <cellStyle name="40% - Accent1 3 2 2 3 4" xfId="23472" xr:uid="{00000000-0005-0000-0000-0000E74C0000}"/>
    <cellStyle name="40% - Accent1 3 2 2 4" xfId="15473" xr:uid="{00000000-0005-0000-0000-0000E84C0000}"/>
    <cellStyle name="40% - Accent1 3 2 2 4 2" xfId="27330" xr:uid="{00000000-0005-0000-0000-0000E94C0000}"/>
    <cellStyle name="40% - Accent1 3 2 2 5" xfId="19424" xr:uid="{00000000-0005-0000-0000-0000EA4C0000}"/>
    <cellStyle name="40% - Accent1 3 2 2 5 2" xfId="31116" xr:uid="{00000000-0005-0000-0000-0000EB4C0000}"/>
    <cellStyle name="40% - Accent1 3 2 2 6" xfId="23470" xr:uid="{00000000-0005-0000-0000-0000EC4C0000}"/>
    <cellStyle name="40% - Accent1 3 2 3" xfId="4358" xr:uid="{00000000-0005-0000-0000-0000ED4C0000}"/>
    <cellStyle name="40% - Accent1 3 2 3 2" xfId="4359" xr:uid="{00000000-0005-0000-0000-0000EE4C0000}"/>
    <cellStyle name="40% - Accent1 3 2 3 2 2" xfId="15477" xr:uid="{00000000-0005-0000-0000-0000EF4C0000}"/>
    <cellStyle name="40% - Accent1 3 2 3 2 2 2" xfId="27334" xr:uid="{00000000-0005-0000-0000-0000F04C0000}"/>
    <cellStyle name="40% - Accent1 3 2 3 2 3" xfId="19428" xr:uid="{00000000-0005-0000-0000-0000F14C0000}"/>
    <cellStyle name="40% - Accent1 3 2 3 2 3 2" xfId="31120" xr:uid="{00000000-0005-0000-0000-0000F24C0000}"/>
    <cellStyle name="40% - Accent1 3 2 3 2 4" xfId="23474" xr:uid="{00000000-0005-0000-0000-0000F34C0000}"/>
    <cellStyle name="40% - Accent1 3 2 3 3" xfId="4360" xr:uid="{00000000-0005-0000-0000-0000F44C0000}"/>
    <cellStyle name="40% - Accent1 3 2 3 3 2" xfId="15478" xr:uid="{00000000-0005-0000-0000-0000F54C0000}"/>
    <cellStyle name="40% - Accent1 3 2 3 3 2 2" xfId="27335" xr:uid="{00000000-0005-0000-0000-0000F64C0000}"/>
    <cellStyle name="40% - Accent1 3 2 3 3 3" xfId="19429" xr:uid="{00000000-0005-0000-0000-0000F74C0000}"/>
    <cellStyle name="40% - Accent1 3 2 3 3 3 2" xfId="31121" xr:uid="{00000000-0005-0000-0000-0000F84C0000}"/>
    <cellStyle name="40% - Accent1 3 2 3 3 4" xfId="23475" xr:uid="{00000000-0005-0000-0000-0000F94C0000}"/>
    <cellStyle name="40% - Accent1 3 2 3 4" xfId="15476" xr:uid="{00000000-0005-0000-0000-0000FA4C0000}"/>
    <cellStyle name="40% - Accent1 3 2 3 4 2" xfId="27333" xr:uid="{00000000-0005-0000-0000-0000FB4C0000}"/>
    <cellStyle name="40% - Accent1 3 2 3 5" xfId="19427" xr:uid="{00000000-0005-0000-0000-0000FC4C0000}"/>
    <cellStyle name="40% - Accent1 3 2 3 5 2" xfId="31119" xr:uid="{00000000-0005-0000-0000-0000FD4C0000}"/>
    <cellStyle name="40% - Accent1 3 2 3 6" xfId="23473" xr:uid="{00000000-0005-0000-0000-0000FE4C0000}"/>
    <cellStyle name="40% - Accent1 3 2 4" xfId="4361" xr:uid="{00000000-0005-0000-0000-0000FF4C0000}"/>
    <cellStyle name="40% - Accent1 3 2 4 2" xfId="4362" xr:uid="{00000000-0005-0000-0000-0000004D0000}"/>
    <cellStyle name="40% - Accent1 3 2 4 2 2" xfId="15480" xr:uid="{00000000-0005-0000-0000-0000014D0000}"/>
    <cellStyle name="40% - Accent1 3 2 4 2 2 2" xfId="27337" xr:uid="{00000000-0005-0000-0000-0000024D0000}"/>
    <cellStyle name="40% - Accent1 3 2 4 2 3" xfId="19431" xr:uid="{00000000-0005-0000-0000-0000034D0000}"/>
    <cellStyle name="40% - Accent1 3 2 4 2 3 2" xfId="31123" xr:uid="{00000000-0005-0000-0000-0000044D0000}"/>
    <cellStyle name="40% - Accent1 3 2 4 2 4" xfId="23477" xr:uid="{00000000-0005-0000-0000-0000054D0000}"/>
    <cellStyle name="40% - Accent1 3 2 4 3" xfId="4363" xr:uid="{00000000-0005-0000-0000-0000064D0000}"/>
    <cellStyle name="40% - Accent1 3 2 4 3 2" xfId="15481" xr:uid="{00000000-0005-0000-0000-0000074D0000}"/>
    <cellStyle name="40% - Accent1 3 2 4 3 2 2" xfId="27338" xr:uid="{00000000-0005-0000-0000-0000084D0000}"/>
    <cellStyle name="40% - Accent1 3 2 4 3 3" xfId="19432" xr:uid="{00000000-0005-0000-0000-0000094D0000}"/>
    <cellStyle name="40% - Accent1 3 2 4 3 3 2" xfId="31124" xr:uid="{00000000-0005-0000-0000-00000A4D0000}"/>
    <cellStyle name="40% - Accent1 3 2 4 3 4" xfId="23478" xr:uid="{00000000-0005-0000-0000-00000B4D0000}"/>
    <cellStyle name="40% - Accent1 3 2 4 4" xfId="15479" xr:uid="{00000000-0005-0000-0000-00000C4D0000}"/>
    <cellStyle name="40% - Accent1 3 2 4 4 2" xfId="27336" xr:uid="{00000000-0005-0000-0000-00000D4D0000}"/>
    <cellStyle name="40% - Accent1 3 2 4 5" xfId="19430" xr:uid="{00000000-0005-0000-0000-00000E4D0000}"/>
    <cellStyle name="40% - Accent1 3 2 4 5 2" xfId="31122" xr:uid="{00000000-0005-0000-0000-00000F4D0000}"/>
    <cellStyle name="40% - Accent1 3 2 4 6" xfId="23476" xr:uid="{00000000-0005-0000-0000-0000104D0000}"/>
    <cellStyle name="40% - Accent1 3 2 5" xfId="4364" xr:uid="{00000000-0005-0000-0000-0000114D0000}"/>
    <cellStyle name="40% - Accent1 3 2 5 2" xfId="15482" xr:uid="{00000000-0005-0000-0000-0000124D0000}"/>
    <cellStyle name="40% - Accent1 3 2 5 2 2" xfId="27339" xr:uid="{00000000-0005-0000-0000-0000134D0000}"/>
    <cellStyle name="40% - Accent1 3 2 5 3" xfId="19433" xr:uid="{00000000-0005-0000-0000-0000144D0000}"/>
    <cellStyle name="40% - Accent1 3 2 5 3 2" xfId="31125" xr:uid="{00000000-0005-0000-0000-0000154D0000}"/>
    <cellStyle name="40% - Accent1 3 2 5 4" xfId="23479" xr:uid="{00000000-0005-0000-0000-0000164D0000}"/>
    <cellStyle name="40% - Accent1 3 2 6" xfId="4365" xr:uid="{00000000-0005-0000-0000-0000174D0000}"/>
    <cellStyle name="40% - Accent1 3 2 6 2" xfId="15483" xr:uid="{00000000-0005-0000-0000-0000184D0000}"/>
    <cellStyle name="40% - Accent1 3 2 6 2 2" xfId="27340" xr:uid="{00000000-0005-0000-0000-0000194D0000}"/>
    <cellStyle name="40% - Accent1 3 2 6 3" xfId="19434" xr:uid="{00000000-0005-0000-0000-00001A4D0000}"/>
    <cellStyle name="40% - Accent1 3 2 6 3 2" xfId="31126" xr:uid="{00000000-0005-0000-0000-00001B4D0000}"/>
    <cellStyle name="40% - Accent1 3 2 6 4" xfId="23480" xr:uid="{00000000-0005-0000-0000-00001C4D0000}"/>
    <cellStyle name="40% - Accent1 3 2 7" xfId="15472" xr:uid="{00000000-0005-0000-0000-00001D4D0000}"/>
    <cellStyle name="40% - Accent1 3 2 7 2" xfId="27329" xr:uid="{00000000-0005-0000-0000-00001E4D0000}"/>
    <cellStyle name="40% - Accent1 3 2 8" xfId="19423" xr:uid="{00000000-0005-0000-0000-00001F4D0000}"/>
    <cellStyle name="40% - Accent1 3 2 8 2" xfId="31115" xr:uid="{00000000-0005-0000-0000-0000204D0000}"/>
    <cellStyle name="40% - Accent1 3 2 9" xfId="23469" xr:uid="{00000000-0005-0000-0000-0000214D0000}"/>
    <cellStyle name="40% - Accent1 3 2_Volatility" xfId="4366" xr:uid="{00000000-0005-0000-0000-0000224D0000}"/>
    <cellStyle name="40% - Accent1 3 3" xfId="4367" xr:uid="{00000000-0005-0000-0000-0000234D0000}"/>
    <cellStyle name="40% - Accent1 3 3 2" xfId="4368" xr:uid="{00000000-0005-0000-0000-0000244D0000}"/>
    <cellStyle name="40% - Accent1 3 3 2 2" xfId="4369" xr:uid="{00000000-0005-0000-0000-0000254D0000}"/>
    <cellStyle name="40% - Accent1 3 3 2 2 2" xfId="15486" xr:uid="{00000000-0005-0000-0000-0000264D0000}"/>
    <cellStyle name="40% - Accent1 3 3 2 2 2 2" xfId="27343" xr:uid="{00000000-0005-0000-0000-0000274D0000}"/>
    <cellStyle name="40% - Accent1 3 3 2 2 3" xfId="19437" xr:uid="{00000000-0005-0000-0000-0000284D0000}"/>
    <cellStyle name="40% - Accent1 3 3 2 2 3 2" xfId="31129" xr:uid="{00000000-0005-0000-0000-0000294D0000}"/>
    <cellStyle name="40% - Accent1 3 3 2 2 4" xfId="23483" xr:uid="{00000000-0005-0000-0000-00002A4D0000}"/>
    <cellStyle name="40% - Accent1 3 3 2 3" xfId="4370" xr:uid="{00000000-0005-0000-0000-00002B4D0000}"/>
    <cellStyle name="40% - Accent1 3 3 2 3 2" xfId="15487" xr:uid="{00000000-0005-0000-0000-00002C4D0000}"/>
    <cellStyle name="40% - Accent1 3 3 2 3 2 2" xfId="27344" xr:uid="{00000000-0005-0000-0000-00002D4D0000}"/>
    <cellStyle name="40% - Accent1 3 3 2 3 3" xfId="19438" xr:uid="{00000000-0005-0000-0000-00002E4D0000}"/>
    <cellStyle name="40% - Accent1 3 3 2 3 3 2" xfId="31130" xr:uid="{00000000-0005-0000-0000-00002F4D0000}"/>
    <cellStyle name="40% - Accent1 3 3 2 3 4" xfId="23484" xr:uid="{00000000-0005-0000-0000-0000304D0000}"/>
    <cellStyle name="40% - Accent1 3 3 2 4" xfId="15485" xr:uid="{00000000-0005-0000-0000-0000314D0000}"/>
    <cellStyle name="40% - Accent1 3 3 2 4 2" xfId="27342" xr:uid="{00000000-0005-0000-0000-0000324D0000}"/>
    <cellStyle name="40% - Accent1 3 3 2 5" xfId="19436" xr:uid="{00000000-0005-0000-0000-0000334D0000}"/>
    <cellStyle name="40% - Accent1 3 3 2 5 2" xfId="31128" xr:uid="{00000000-0005-0000-0000-0000344D0000}"/>
    <cellStyle name="40% - Accent1 3 3 2 6" xfId="23482" xr:uid="{00000000-0005-0000-0000-0000354D0000}"/>
    <cellStyle name="40% - Accent1 3 3 3" xfId="4371" xr:uid="{00000000-0005-0000-0000-0000364D0000}"/>
    <cellStyle name="40% - Accent1 3 3 3 2" xfId="4372" xr:uid="{00000000-0005-0000-0000-0000374D0000}"/>
    <cellStyle name="40% - Accent1 3 3 3 2 2" xfId="15489" xr:uid="{00000000-0005-0000-0000-0000384D0000}"/>
    <cellStyle name="40% - Accent1 3 3 3 2 2 2" xfId="27346" xr:uid="{00000000-0005-0000-0000-0000394D0000}"/>
    <cellStyle name="40% - Accent1 3 3 3 2 3" xfId="19440" xr:uid="{00000000-0005-0000-0000-00003A4D0000}"/>
    <cellStyle name="40% - Accent1 3 3 3 2 3 2" xfId="31132" xr:uid="{00000000-0005-0000-0000-00003B4D0000}"/>
    <cellStyle name="40% - Accent1 3 3 3 2 4" xfId="23486" xr:uid="{00000000-0005-0000-0000-00003C4D0000}"/>
    <cellStyle name="40% - Accent1 3 3 3 3" xfId="4373" xr:uid="{00000000-0005-0000-0000-00003D4D0000}"/>
    <cellStyle name="40% - Accent1 3 3 3 3 2" xfId="15490" xr:uid="{00000000-0005-0000-0000-00003E4D0000}"/>
    <cellStyle name="40% - Accent1 3 3 3 3 2 2" xfId="27347" xr:uid="{00000000-0005-0000-0000-00003F4D0000}"/>
    <cellStyle name="40% - Accent1 3 3 3 3 3" xfId="19441" xr:uid="{00000000-0005-0000-0000-0000404D0000}"/>
    <cellStyle name="40% - Accent1 3 3 3 3 3 2" xfId="31133" xr:uid="{00000000-0005-0000-0000-0000414D0000}"/>
    <cellStyle name="40% - Accent1 3 3 3 3 4" xfId="23487" xr:uid="{00000000-0005-0000-0000-0000424D0000}"/>
    <cellStyle name="40% - Accent1 3 3 3 4" xfId="15488" xr:uid="{00000000-0005-0000-0000-0000434D0000}"/>
    <cellStyle name="40% - Accent1 3 3 3 4 2" xfId="27345" xr:uid="{00000000-0005-0000-0000-0000444D0000}"/>
    <cellStyle name="40% - Accent1 3 3 3 5" xfId="19439" xr:uid="{00000000-0005-0000-0000-0000454D0000}"/>
    <cellStyle name="40% - Accent1 3 3 3 5 2" xfId="31131" xr:uid="{00000000-0005-0000-0000-0000464D0000}"/>
    <cellStyle name="40% - Accent1 3 3 3 6" xfId="23485" xr:uid="{00000000-0005-0000-0000-0000474D0000}"/>
    <cellStyle name="40% - Accent1 3 3 4" xfId="4374" xr:uid="{00000000-0005-0000-0000-0000484D0000}"/>
    <cellStyle name="40% - Accent1 3 3 4 2" xfId="15491" xr:uid="{00000000-0005-0000-0000-0000494D0000}"/>
    <cellStyle name="40% - Accent1 3 3 4 2 2" xfId="27348" xr:uid="{00000000-0005-0000-0000-00004A4D0000}"/>
    <cellStyle name="40% - Accent1 3 3 4 3" xfId="19442" xr:uid="{00000000-0005-0000-0000-00004B4D0000}"/>
    <cellStyle name="40% - Accent1 3 3 4 3 2" xfId="31134" xr:uid="{00000000-0005-0000-0000-00004C4D0000}"/>
    <cellStyle name="40% - Accent1 3 3 4 4" xfId="23488" xr:uid="{00000000-0005-0000-0000-00004D4D0000}"/>
    <cellStyle name="40% - Accent1 3 3 5" xfId="4375" xr:uid="{00000000-0005-0000-0000-00004E4D0000}"/>
    <cellStyle name="40% - Accent1 3 3 5 2" xfId="15492" xr:uid="{00000000-0005-0000-0000-00004F4D0000}"/>
    <cellStyle name="40% - Accent1 3 3 5 2 2" xfId="27349" xr:uid="{00000000-0005-0000-0000-0000504D0000}"/>
    <cellStyle name="40% - Accent1 3 3 5 3" xfId="19443" xr:uid="{00000000-0005-0000-0000-0000514D0000}"/>
    <cellStyle name="40% - Accent1 3 3 5 3 2" xfId="31135" xr:uid="{00000000-0005-0000-0000-0000524D0000}"/>
    <cellStyle name="40% - Accent1 3 3 5 4" xfId="23489" xr:uid="{00000000-0005-0000-0000-0000534D0000}"/>
    <cellStyle name="40% - Accent1 3 3 6" xfId="15484" xr:uid="{00000000-0005-0000-0000-0000544D0000}"/>
    <cellStyle name="40% - Accent1 3 3 6 2" xfId="27341" xr:uid="{00000000-0005-0000-0000-0000554D0000}"/>
    <cellStyle name="40% - Accent1 3 3 7" xfId="19435" xr:uid="{00000000-0005-0000-0000-0000564D0000}"/>
    <cellStyle name="40% - Accent1 3 3 7 2" xfId="31127" xr:uid="{00000000-0005-0000-0000-0000574D0000}"/>
    <cellStyle name="40% - Accent1 3 3 8" xfId="23481" xr:uid="{00000000-0005-0000-0000-0000584D0000}"/>
    <cellStyle name="40% - Accent1 3 3_Volatility" xfId="4376" xr:uid="{00000000-0005-0000-0000-0000594D0000}"/>
    <cellStyle name="40% - Accent1 3 4" xfId="4377" xr:uid="{00000000-0005-0000-0000-00005A4D0000}"/>
    <cellStyle name="40% - Accent1 3 4 2" xfId="4378" xr:uid="{00000000-0005-0000-0000-00005B4D0000}"/>
    <cellStyle name="40% - Accent1 3 4 2 2" xfId="15494" xr:uid="{00000000-0005-0000-0000-00005C4D0000}"/>
    <cellStyle name="40% - Accent1 3 4 2 2 2" xfId="27351" xr:uid="{00000000-0005-0000-0000-00005D4D0000}"/>
    <cellStyle name="40% - Accent1 3 4 2 3" xfId="19445" xr:uid="{00000000-0005-0000-0000-00005E4D0000}"/>
    <cellStyle name="40% - Accent1 3 4 2 3 2" xfId="31137" xr:uid="{00000000-0005-0000-0000-00005F4D0000}"/>
    <cellStyle name="40% - Accent1 3 4 2 4" xfId="23491" xr:uid="{00000000-0005-0000-0000-0000604D0000}"/>
    <cellStyle name="40% - Accent1 3 4 3" xfId="4379" xr:uid="{00000000-0005-0000-0000-0000614D0000}"/>
    <cellStyle name="40% - Accent1 3 4 3 2" xfId="15495" xr:uid="{00000000-0005-0000-0000-0000624D0000}"/>
    <cellStyle name="40% - Accent1 3 4 3 2 2" xfId="27352" xr:uid="{00000000-0005-0000-0000-0000634D0000}"/>
    <cellStyle name="40% - Accent1 3 4 3 3" xfId="19446" xr:uid="{00000000-0005-0000-0000-0000644D0000}"/>
    <cellStyle name="40% - Accent1 3 4 3 3 2" xfId="31138" xr:uid="{00000000-0005-0000-0000-0000654D0000}"/>
    <cellStyle name="40% - Accent1 3 4 3 4" xfId="23492" xr:uid="{00000000-0005-0000-0000-0000664D0000}"/>
    <cellStyle name="40% - Accent1 3 4 4" xfId="15493" xr:uid="{00000000-0005-0000-0000-0000674D0000}"/>
    <cellStyle name="40% - Accent1 3 4 4 2" xfId="27350" xr:uid="{00000000-0005-0000-0000-0000684D0000}"/>
    <cellStyle name="40% - Accent1 3 4 5" xfId="19444" xr:uid="{00000000-0005-0000-0000-0000694D0000}"/>
    <cellStyle name="40% - Accent1 3 4 5 2" xfId="31136" xr:uid="{00000000-0005-0000-0000-00006A4D0000}"/>
    <cellStyle name="40% - Accent1 3 4 6" xfId="23490" xr:uid="{00000000-0005-0000-0000-00006B4D0000}"/>
    <cellStyle name="40% - Accent1 3 5" xfId="4380" xr:uid="{00000000-0005-0000-0000-00006C4D0000}"/>
    <cellStyle name="40% - Accent1 3 5 2" xfId="4381" xr:uid="{00000000-0005-0000-0000-00006D4D0000}"/>
    <cellStyle name="40% - Accent1 3 5 2 2" xfId="15497" xr:uid="{00000000-0005-0000-0000-00006E4D0000}"/>
    <cellStyle name="40% - Accent1 3 5 2 2 2" xfId="27354" xr:uid="{00000000-0005-0000-0000-00006F4D0000}"/>
    <cellStyle name="40% - Accent1 3 5 2 3" xfId="19448" xr:uid="{00000000-0005-0000-0000-0000704D0000}"/>
    <cellStyle name="40% - Accent1 3 5 2 3 2" xfId="31140" xr:uid="{00000000-0005-0000-0000-0000714D0000}"/>
    <cellStyle name="40% - Accent1 3 5 2 4" xfId="23494" xr:uid="{00000000-0005-0000-0000-0000724D0000}"/>
    <cellStyle name="40% - Accent1 3 5 3" xfId="4382" xr:uid="{00000000-0005-0000-0000-0000734D0000}"/>
    <cellStyle name="40% - Accent1 3 5 3 2" xfId="15498" xr:uid="{00000000-0005-0000-0000-0000744D0000}"/>
    <cellStyle name="40% - Accent1 3 5 3 2 2" xfId="27355" xr:uid="{00000000-0005-0000-0000-0000754D0000}"/>
    <cellStyle name="40% - Accent1 3 5 3 3" xfId="19449" xr:uid="{00000000-0005-0000-0000-0000764D0000}"/>
    <cellStyle name="40% - Accent1 3 5 3 3 2" xfId="31141" xr:uid="{00000000-0005-0000-0000-0000774D0000}"/>
    <cellStyle name="40% - Accent1 3 5 3 4" xfId="23495" xr:uid="{00000000-0005-0000-0000-0000784D0000}"/>
    <cellStyle name="40% - Accent1 3 5 4" xfId="15496" xr:uid="{00000000-0005-0000-0000-0000794D0000}"/>
    <cellStyle name="40% - Accent1 3 5 4 2" xfId="27353" xr:uid="{00000000-0005-0000-0000-00007A4D0000}"/>
    <cellStyle name="40% - Accent1 3 5 5" xfId="19447" xr:uid="{00000000-0005-0000-0000-00007B4D0000}"/>
    <cellStyle name="40% - Accent1 3 5 5 2" xfId="31139" xr:uid="{00000000-0005-0000-0000-00007C4D0000}"/>
    <cellStyle name="40% - Accent1 3 5 6" xfId="23493" xr:uid="{00000000-0005-0000-0000-00007D4D0000}"/>
    <cellStyle name="40% - Accent1 3 6" xfId="4383" xr:uid="{00000000-0005-0000-0000-00007E4D0000}"/>
    <cellStyle name="40% - Accent1 3 6 2" xfId="4384" xr:uid="{00000000-0005-0000-0000-00007F4D0000}"/>
    <cellStyle name="40% - Accent1 3 6 2 2" xfId="15500" xr:uid="{00000000-0005-0000-0000-0000804D0000}"/>
    <cellStyle name="40% - Accent1 3 6 2 2 2" xfId="27357" xr:uid="{00000000-0005-0000-0000-0000814D0000}"/>
    <cellStyle name="40% - Accent1 3 6 2 3" xfId="19451" xr:uid="{00000000-0005-0000-0000-0000824D0000}"/>
    <cellStyle name="40% - Accent1 3 6 2 3 2" xfId="31143" xr:uid="{00000000-0005-0000-0000-0000834D0000}"/>
    <cellStyle name="40% - Accent1 3 6 2 4" xfId="23497" xr:uid="{00000000-0005-0000-0000-0000844D0000}"/>
    <cellStyle name="40% - Accent1 3 6 3" xfId="4385" xr:uid="{00000000-0005-0000-0000-0000854D0000}"/>
    <cellStyle name="40% - Accent1 3 6 3 2" xfId="15501" xr:uid="{00000000-0005-0000-0000-0000864D0000}"/>
    <cellStyle name="40% - Accent1 3 6 3 2 2" xfId="27358" xr:uid="{00000000-0005-0000-0000-0000874D0000}"/>
    <cellStyle name="40% - Accent1 3 6 3 3" xfId="19452" xr:uid="{00000000-0005-0000-0000-0000884D0000}"/>
    <cellStyle name="40% - Accent1 3 6 3 3 2" xfId="31144" xr:uid="{00000000-0005-0000-0000-0000894D0000}"/>
    <cellStyle name="40% - Accent1 3 6 3 4" xfId="23498" xr:uid="{00000000-0005-0000-0000-00008A4D0000}"/>
    <cellStyle name="40% - Accent1 3 6 4" xfId="15499" xr:uid="{00000000-0005-0000-0000-00008B4D0000}"/>
    <cellStyle name="40% - Accent1 3 6 4 2" xfId="27356" xr:uid="{00000000-0005-0000-0000-00008C4D0000}"/>
    <cellStyle name="40% - Accent1 3 6 5" xfId="19450" xr:uid="{00000000-0005-0000-0000-00008D4D0000}"/>
    <cellStyle name="40% - Accent1 3 6 5 2" xfId="31142" xr:uid="{00000000-0005-0000-0000-00008E4D0000}"/>
    <cellStyle name="40% - Accent1 3 6 6" xfId="23496" xr:uid="{00000000-0005-0000-0000-00008F4D0000}"/>
    <cellStyle name="40% - Accent1 3 7" xfId="4386" xr:uid="{00000000-0005-0000-0000-0000904D0000}"/>
    <cellStyle name="40% - Accent1 3 7 2" xfId="15502" xr:uid="{00000000-0005-0000-0000-0000914D0000}"/>
    <cellStyle name="40% - Accent1 3 7 2 2" xfId="27359" xr:uid="{00000000-0005-0000-0000-0000924D0000}"/>
    <cellStyle name="40% - Accent1 3 7 3" xfId="19453" xr:uid="{00000000-0005-0000-0000-0000934D0000}"/>
    <cellStyle name="40% - Accent1 3 7 3 2" xfId="31145" xr:uid="{00000000-0005-0000-0000-0000944D0000}"/>
    <cellStyle name="40% - Accent1 3 7 4" xfId="23499" xr:uid="{00000000-0005-0000-0000-0000954D0000}"/>
    <cellStyle name="40% - Accent1 3 8" xfId="4387" xr:uid="{00000000-0005-0000-0000-0000964D0000}"/>
    <cellStyle name="40% - Accent1 3 8 2" xfId="15503" xr:uid="{00000000-0005-0000-0000-0000974D0000}"/>
    <cellStyle name="40% - Accent1 3 8 2 2" xfId="27360" xr:uid="{00000000-0005-0000-0000-0000984D0000}"/>
    <cellStyle name="40% - Accent1 3 8 3" xfId="19454" xr:uid="{00000000-0005-0000-0000-0000994D0000}"/>
    <cellStyle name="40% - Accent1 3 8 3 2" xfId="31146" xr:uid="{00000000-0005-0000-0000-00009A4D0000}"/>
    <cellStyle name="40% - Accent1 3 8 4" xfId="23500" xr:uid="{00000000-0005-0000-0000-00009B4D0000}"/>
    <cellStyle name="40% - Accent1 3 9" xfId="15471" xr:uid="{00000000-0005-0000-0000-00009C4D0000}"/>
    <cellStyle name="40% - Accent1 3 9 2" xfId="27328" xr:uid="{00000000-0005-0000-0000-00009D4D0000}"/>
    <cellStyle name="40% - Accent1 3_Volatility" xfId="4388" xr:uid="{00000000-0005-0000-0000-00009E4D0000}"/>
    <cellStyle name="40% - Accent1 4" xfId="4389" xr:uid="{00000000-0005-0000-0000-00009F4D0000}"/>
    <cellStyle name="40% - Accent1 4 10" xfId="19455" xr:uid="{00000000-0005-0000-0000-0000A04D0000}"/>
    <cellStyle name="40% - Accent1 4 10 2" xfId="31147" xr:uid="{00000000-0005-0000-0000-0000A14D0000}"/>
    <cellStyle name="40% - Accent1 4 11" xfId="23501" xr:uid="{00000000-0005-0000-0000-0000A24D0000}"/>
    <cellStyle name="40% - Accent1 4 2" xfId="4390" xr:uid="{00000000-0005-0000-0000-0000A34D0000}"/>
    <cellStyle name="40% - Accent1 4 2 2" xfId="4391" xr:uid="{00000000-0005-0000-0000-0000A44D0000}"/>
    <cellStyle name="40% - Accent1 4 2 2 2" xfId="4392" xr:uid="{00000000-0005-0000-0000-0000A54D0000}"/>
    <cellStyle name="40% - Accent1 4 2 2 2 2" xfId="15507" xr:uid="{00000000-0005-0000-0000-0000A64D0000}"/>
    <cellStyle name="40% - Accent1 4 2 2 2 2 2" xfId="27364" xr:uid="{00000000-0005-0000-0000-0000A74D0000}"/>
    <cellStyle name="40% - Accent1 4 2 2 2 3" xfId="19458" xr:uid="{00000000-0005-0000-0000-0000A84D0000}"/>
    <cellStyle name="40% - Accent1 4 2 2 2 3 2" xfId="31150" xr:uid="{00000000-0005-0000-0000-0000A94D0000}"/>
    <cellStyle name="40% - Accent1 4 2 2 2 4" xfId="23504" xr:uid="{00000000-0005-0000-0000-0000AA4D0000}"/>
    <cellStyle name="40% - Accent1 4 2 2 3" xfId="4393" xr:uid="{00000000-0005-0000-0000-0000AB4D0000}"/>
    <cellStyle name="40% - Accent1 4 2 2 3 2" xfId="15508" xr:uid="{00000000-0005-0000-0000-0000AC4D0000}"/>
    <cellStyle name="40% - Accent1 4 2 2 3 2 2" xfId="27365" xr:uid="{00000000-0005-0000-0000-0000AD4D0000}"/>
    <cellStyle name="40% - Accent1 4 2 2 3 3" xfId="19459" xr:uid="{00000000-0005-0000-0000-0000AE4D0000}"/>
    <cellStyle name="40% - Accent1 4 2 2 3 3 2" xfId="31151" xr:uid="{00000000-0005-0000-0000-0000AF4D0000}"/>
    <cellStyle name="40% - Accent1 4 2 2 3 4" xfId="23505" xr:uid="{00000000-0005-0000-0000-0000B04D0000}"/>
    <cellStyle name="40% - Accent1 4 2 2 4" xfId="15506" xr:uid="{00000000-0005-0000-0000-0000B14D0000}"/>
    <cellStyle name="40% - Accent1 4 2 2 4 2" xfId="27363" xr:uid="{00000000-0005-0000-0000-0000B24D0000}"/>
    <cellStyle name="40% - Accent1 4 2 2 5" xfId="19457" xr:uid="{00000000-0005-0000-0000-0000B34D0000}"/>
    <cellStyle name="40% - Accent1 4 2 2 5 2" xfId="31149" xr:uid="{00000000-0005-0000-0000-0000B44D0000}"/>
    <cellStyle name="40% - Accent1 4 2 2 6" xfId="23503" xr:uid="{00000000-0005-0000-0000-0000B54D0000}"/>
    <cellStyle name="40% - Accent1 4 2 3" xfId="4394" xr:uid="{00000000-0005-0000-0000-0000B64D0000}"/>
    <cellStyle name="40% - Accent1 4 2 3 2" xfId="4395" xr:uid="{00000000-0005-0000-0000-0000B74D0000}"/>
    <cellStyle name="40% - Accent1 4 2 3 2 2" xfId="15510" xr:uid="{00000000-0005-0000-0000-0000B84D0000}"/>
    <cellStyle name="40% - Accent1 4 2 3 2 2 2" xfId="27367" xr:uid="{00000000-0005-0000-0000-0000B94D0000}"/>
    <cellStyle name="40% - Accent1 4 2 3 2 3" xfId="19461" xr:uid="{00000000-0005-0000-0000-0000BA4D0000}"/>
    <cellStyle name="40% - Accent1 4 2 3 2 3 2" xfId="31153" xr:uid="{00000000-0005-0000-0000-0000BB4D0000}"/>
    <cellStyle name="40% - Accent1 4 2 3 2 4" xfId="23507" xr:uid="{00000000-0005-0000-0000-0000BC4D0000}"/>
    <cellStyle name="40% - Accent1 4 2 3 3" xfId="4396" xr:uid="{00000000-0005-0000-0000-0000BD4D0000}"/>
    <cellStyle name="40% - Accent1 4 2 3 3 2" xfId="15511" xr:uid="{00000000-0005-0000-0000-0000BE4D0000}"/>
    <cellStyle name="40% - Accent1 4 2 3 3 2 2" xfId="27368" xr:uid="{00000000-0005-0000-0000-0000BF4D0000}"/>
    <cellStyle name="40% - Accent1 4 2 3 3 3" xfId="19462" xr:uid="{00000000-0005-0000-0000-0000C04D0000}"/>
    <cellStyle name="40% - Accent1 4 2 3 3 3 2" xfId="31154" xr:uid="{00000000-0005-0000-0000-0000C14D0000}"/>
    <cellStyle name="40% - Accent1 4 2 3 3 4" xfId="23508" xr:uid="{00000000-0005-0000-0000-0000C24D0000}"/>
    <cellStyle name="40% - Accent1 4 2 3 4" xfId="15509" xr:uid="{00000000-0005-0000-0000-0000C34D0000}"/>
    <cellStyle name="40% - Accent1 4 2 3 4 2" xfId="27366" xr:uid="{00000000-0005-0000-0000-0000C44D0000}"/>
    <cellStyle name="40% - Accent1 4 2 3 5" xfId="19460" xr:uid="{00000000-0005-0000-0000-0000C54D0000}"/>
    <cellStyle name="40% - Accent1 4 2 3 5 2" xfId="31152" xr:uid="{00000000-0005-0000-0000-0000C64D0000}"/>
    <cellStyle name="40% - Accent1 4 2 3 6" xfId="23506" xr:uid="{00000000-0005-0000-0000-0000C74D0000}"/>
    <cellStyle name="40% - Accent1 4 2 4" xfId="4397" xr:uid="{00000000-0005-0000-0000-0000C84D0000}"/>
    <cellStyle name="40% - Accent1 4 2 4 2" xfId="4398" xr:uid="{00000000-0005-0000-0000-0000C94D0000}"/>
    <cellStyle name="40% - Accent1 4 2 4 2 2" xfId="15513" xr:uid="{00000000-0005-0000-0000-0000CA4D0000}"/>
    <cellStyle name="40% - Accent1 4 2 4 2 2 2" xfId="27370" xr:uid="{00000000-0005-0000-0000-0000CB4D0000}"/>
    <cellStyle name="40% - Accent1 4 2 4 2 3" xfId="19464" xr:uid="{00000000-0005-0000-0000-0000CC4D0000}"/>
    <cellStyle name="40% - Accent1 4 2 4 2 3 2" xfId="31156" xr:uid="{00000000-0005-0000-0000-0000CD4D0000}"/>
    <cellStyle name="40% - Accent1 4 2 4 2 4" xfId="23510" xr:uid="{00000000-0005-0000-0000-0000CE4D0000}"/>
    <cellStyle name="40% - Accent1 4 2 4 3" xfId="4399" xr:uid="{00000000-0005-0000-0000-0000CF4D0000}"/>
    <cellStyle name="40% - Accent1 4 2 4 3 2" xfId="15514" xr:uid="{00000000-0005-0000-0000-0000D04D0000}"/>
    <cellStyle name="40% - Accent1 4 2 4 3 2 2" xfId="27371" xr:uid="{00000000-0005-0000-0000-0000D14D0000}"/>
    <cellStyle name="40% - Accent1 4 2 4 3 3" xfId="19465" xr:uid="{00000000-0005-0000-0000-0000D24D0000}"/>
    <cellStyle name="40% - Accent1 4 2 4 3 3 2" xfId="31157" xr:uid="{00000000-0005-0000-0000-0000D34D0000}"/>
    <cellStyle name="40% - Accent1 4 2 4 3 4" xfId="23511" xr:uid="{00000000-0005-0000-0000-0000D44D0000}"/>
    <cellStyle name="40% - Accent1 4 2 4 4" xfId="15512" xr:uid="{00000000-0005-0000-0000-0000D54D0000}"/>
    <cellStyle name="40% - Accent1 4 2 4 4 2" xfId="27369" xr:uid="{00000000-0005-0000-0000-0000D64D0000}"/>
    <cellStyle name="40% - Accent1 4 2 4 5" xfId="19463" xr:uid="{00000000-0005-0000-0000-0000D74D0000}"/>
    <cellStyle name="40% - Accent1 4 2 4 5 2" xfId="31155" xr:uid="{00000000-0005-0000-0000-0000D84D0000}"/>
    <cellStyle name="40% - Accent1 4 2 4 6" xfId="23509" xr:uid="{00000000-0005-0000-0000-0000D94D0000}"/>
    <cellStyle name="40% - Accent1 4 2 5" xfId="4400" xr:uid="{00000000-0005-0000-0000-0000DA4D0000}"/>
    <cellStyle name="40% - Accent1 4 2 5 2" xfId="15515" xr:uid="{00000000-0005-0000-0000-0000DB4D0000}"/>
    <cellStyle name="40% - Accent1 4 2 5 2 2" xfId="27372" xr:uid="{00000000-0005-0000-0000-0000DC4D0000}"/>
    <cellStyle name="40% - Accent1 4 2 5 3" xfId="19466" xr:uid="{00000000-0005-0000-0000-0000DD4D0000}"/>
    <cellStyle name="40% - Accent1 4 2 5 3 2" xfId="31158" xr:uid="{00000000-0005-0000-0000-0000DE4D0000}"/>
    <cellStyle name="40% - Accent1 4 2 5 4" xfId="23512" xr:uid="{00000000-0005-0000-0000-0000DF4D0000}"/>
    <cellStyle name="40% - Accent1 4 2 6" xfId="4401" xr:uid="{00000000-0005-0000-0000-0000E04D0000}"/>
    <cellStyle name="40% - Accent1 4 2 6 2" xfId="15516" xr:uid="{00000000-0005-0000-0000-0000E14D0000}"/>
    <cellStyle name="40% - Accent1 4 2 6 2 2" xfId="27373" xr:uid="{00000000-0005-0000-0000-0000E24D0000}"/>
    <cellStyle name="40% - Accent1 4 2 6 3" xfId="19467" xr:uid="{00000000-0005-0000-0000-0000E34D0000}"/>
    <cellStyle name="40% - Accent1 4 2 6 3 2" xfId="31159" xr:uid="{00000000-0005-0000-0000-0000E44D0000}"/>
    <cellStyle name="40% - Accent1 4 2 6 4" xfId="23513" xr:uid="{00000000-0005-0000-0000-0000E54D0000}"/>
    <cellStyle name="40% - Accent1 4 2 7" xfId="15505" xr:uid="{00000000-0005-0000-0000-0000E64D0000}"/>
    <cellStyle name="40% - Accent1 4 2 7 2" xfId="27362" xr:uid="{00000000-0005-0000-0000-0000E74D0000}"/>
    <cellStyle name="40% - Accent1 4 2 8" xfId="19456" xr:uid="{00000000-0005-0000-0000-0000E84D0000}"/>
    <cellStyle name="40% - Accent1 4 2 8 2" xfId="31148" xr:uid="{00000000-0005-0000-0000-0000E94D0000}"/>
    <cellStyle name="40% - Accent1 4 2 9" xfId="23502" xr:uid="{00000000-0005-0000-0000-0000EA4D0000}"/>
    <cellStyle name="40% - Accent1 4 2_Volatility" xfId="4402" xr:uid="{00000000-0005-0000-0000-0000EB4D0000}"/>
    <cellStyle name="40% - Accent1 4 3" xfId="4403" xr:uid="{00000000-0005-0000-0000-0000EC4D0000}"/>
    <cellStyle name="40% - Accent1 4 3 2" xfId="4404" xr:uid="{00000000-0005-0000-0000-0000ED4D0000}"/>
    <cellStyle name="40% - Accent1 4 3 2 2" xfId="4405" xr:uid="{00000000-0005-0000-0000-0000EE4D0000}"/>
    <cellStyle name="40% - Accent1 4 3 2 2 2" xfId="15519" xr:uid="{00000000-0005-0000-0000-0000EF4D0000}"/>
    <cellStyle name="40% - Accent1 4 3 2 2 2 2" xfId="27376" xr:uid="{00000000-0005-0000-0000-0000F04D0000}"/>
    <cellStyle name="40% - Accent1 4 3 2 2 3" xfId="19470" xr:uid="{00000000-0005-0000-0000-0000F14D0000}"/>
    <cellStyle name="40% - Accent1 4 3 2 2 3 2" xfId="31162" xr:uid="{00000000-0005-0000-0000-0000F24D0000}"/>
    <cellStyle name="40% - Accent1 4 3 2 2 4" xfId="23516" xr:uid="{00000000-0005-0000-0000-0000F34D0000}"/>
    <cellStyle name="40% - Accent1 4 3 2 3" xfId="4406" xr:uid="{00000000-0005-0000-0000-0000F44D0000}"/>
    <cellStyle name="40% - Accent1 4 3 2 3 2" xfId="15520" xr:uid="{00000000-0005-0000-0000-0000F54D0000}"/>
    <cellStyle name="40% - Accent1 4 3 2 3 2 2" xfId="27377" xr:uid="{00000000-0005-0000-0000-0000F64D0000}"/>
    <cellStyle name="40% - Accent1 4 3 2 3 3" xfId="19471" xr:uid="{00000000-0005-0000-0000-0000F74D0000}"/>
    <cellStyle name="40% - Accent1 4 3 2 3 3 2" xfId="31163" xr:uid="{00000000-0005-0000-0000-0000F84D0000}"/>
    <cellStyle name="40% - Accent1 4 3 2 3 4" xfId="23517" xr:uid="{00000000-0005-0000-0000-0000F94D0000}"/>
    <cellStyle name="40% - Accent1 4 3 2 4" xfId="15518" xr:uid="{00000000-0005-0000-0000-0000FA4D0000}"/>
    <cellStyle name="40% - Accent1 4 3 2 4 2" xfId="27375" xr:uid="{00000000-0005-0000-0000-0000FB4D0000}"/>
    <cellStyle name="40% - Accent1 4 3 2 5" xfId="19469" xr:uid="{00000000-0005-0000-0000-0000FC4D0000}"/>
    <cellStyle name="40% - Accent1 4 3 2 5 2" xfId="31161" xr:uid="{00000000-0005-0000-0000-0000FD4D0000}"/>
    <cellStyle name="40% - Accent1 4 3 2 6" xfId="23515" xr:uid="{00000000-0005-0000-0000-0000FE4D0000}"/>
    <cellStyle name="40% - Accent1 4 3 3" xfId="4407" xr:uid="{00000000-0005-0000-0000-0000FF4D0000}"/>
    <cellStyle name="40% - Accent1 4 3 3 2" xfId="4408" xr:uid="{00000000-0005-0000-0000-0000004E0000}"/>
    <cellStyle name="40% - Accent1 4 3 3 2 2" xfId="15522" xr:uid="{00000000-0005-0000-0000-0000014E0000}"/>
    <cellStyle name="40% - Accent1 4 3 3 2 2 2" xfId="27379" xr:uid="{00000000-0005-0000-0000-0000024E0000}"/>
    <cellStyle name="40% - Accent1 4 3 3 2 3" xfId="19473" xr:uid="{00000000-0005-0000-0000-0000034E0000}"/>
    <cellStyle name="40% - Accent1 4 3 3 2 3 2" xfId="31165" xr:uid="{00000000-0005-0000-0000-0000044E0000}"/>
    <cellStyle name="40% - Accent1 4 3 3 2 4" xfId="23519" xr:uid="{00000000-0005-0000-0000-0000054E0000}"/>
    <cellStyle name="40% - Accent1 4 3 3 3" xfId="4409" xr:uid="{00000000-0005-0000-0000-0000064E0000}"/>
    <cellStyle name="40% - Accent1 4 3 3 3 2" xfId="15523" xr:uid="{00000000-0005-0000-0000-0000074E0000}"/>
    <cellStyle name="40% - Accent1 4 3 3 3 2 2" xfId="27380" xr:uid="{00000000-0005-0000-0000-0000084E0000}"/>
    <cellStyle name="40% - Accent1 4 3 3 3 3" xfId="19474" xr:uid="{00000000-0005-0000-0000-0000094E0000}"/>
    <cellStyle name="40% - Accent1 4 3 3 3 3 2" xfId="31166" xr:uid="{00000000-0005-0000-0000-00000A4E0000}"/>
    <cellStyle name="40% - Accent1 4 3 3 3 4" xfId="23520" xr:uid="{00000000-0005-0000-0000-00000B4E0000}"/>
    <cellStyle name="40% - Accent1 4 3 3 4" xfId="15521" xr:uid="{00000000-0005-0000-0000-00000C4E0000}"/>
    <cellStyle name="40% - Accent1 4 3 3 4 2" xfId="27378" xr:uid="{00000000-0005-0000-0000-00000D4E0000}"/>
    <cellStyle name="40% - Accent1 4 3 3 5" xfId="19472" xr:uid="{00000000-0005-0000-0000-00000E4E0000}"/>
    <cellStyle name="40% - Accent1 4 3 3 5 2" xfId="31164" xr:uid="{00000000-0005-0000-0000-00000F4E0000}"/>
    <cellStyle name="40% - Accent1 4 3 3 6" xfId="23518" xr:uid="{00000000-0005-0000-0000-0000104E0000}"/>
    <cellStyle name="40% - Accent1 4 3 4" xfId="4410" xr:uid="{00000000-0005-0000-0000-0000114E0000}"/>
    <cellStyle name="40% - Accent1 4 3 4 2" xfId="15524" xr:uid="{00000000-0005-0000-0000-0000124E0000}"/>
    <cellStyle name="40% - Accent1 4 3 4 2 2" xfId="27381" xr:uid="{00000000-0005-0000-0000-0000134E0000}"/>
    <cellStyle name="40% - Accent1 4 3 4 3" xfId="19475" xr:uid="{00000000-0005-0000-0000-0000144E0000}"/>
    <cellStyle name="40% - Accent1 4 3 4 3 2" xfId="31167" xr:uid="{00000000-0005-0000-0000-0000154E0000}"/>
    <cellStyle name="40% - Accent1 4 3 4 4" xfId="23521" xr:uid="{00000000-0005-0000-0000-0000164E0000}"/>
    <cellStyle name="40% - Accent1 4 3 5" xfId="4411" xr:uid="{00000000-0005-0000-0000-0000174E0000}"/>
    <cellStyle name="40% - Accent1 4 3 5 2" xfId="15525" xr:uid="{00000000-0005-0000-0000-0000184E0000}"/>
    <cellStyle name="40% - Accent1 4 3 5 2 2" xfId="27382" xr:uid="{00000000-0005-0000-0000-0000194E0000}"/>
    <cellStyle name="40% - Accent1 4 3 5 3" xfId="19476" xr:uid="{00000000-0005-0000-0000-00001A4E0000}"/>
    <cellStyle name="40% - Accent1 4 3 5 3 2" xfId="31168" xr:uid="{00000000-0005-0000-0000-00001B4E0000}"/>
    <cellStyle name="40% - Accent1 4 3 5 4" xfId="23522" xr:uid="{00000000-0005-0000-0000-00001C4E0000}"/>
    <cellStyle name="40% - Accent1 4 3 6" xfId="15517" xr:uid="{00000000-0005-0000-0000-00001D4E0000}"/>
    <cellStyle name="40% - Accent1 4 3 6 2" xfId="27374" xr:uid="{00000000-0005-0000-0000-00001E4E0000}"/>
    <cellStyle name="40% - Accent1 4 3 7" xfId="19468" xr:uid="{00000000-0005-0000-0000-00001F4E0000}"/>
    <cellStyle name="40% - Accent1 4 3 7 2" xfId="31160" xr:uid="{00000000-0005-0000-0000-0000204E0000}"/>
    <cellStyle name="40% - Accent1 4 3 8" xfId="23514" xr:uid="{00000000-0005-0000-0000-0000214E0000}"/>
    <cellStyle name="40% - Accent1 4 3_Volatility" xfId="4412" xr:uid="{00000000-0005-0000-0000-0000224E0000}"/>
    <cellStyle name="40% - Accent1 4 4" xfId="4413" xr:uid="{00000000-0005-0000-0000-0000234E0000}"/>
    <cellStyle name="40% - Accent1 4 4 2" xfId="4414" xr:uid="{00000000-0005-0000-0000-0000244E0000}"/>
    <cellStyle name="40% - Accent1 4 4 2 2" xfId="15527" xr:uid="{00000000-0005-0000-0000-0000254E0000}"/>
    <cellStyle name="40% - Accent1 4 4 2 2 2" xfId="27384" xr:uid="{00000000-0005-0000-0000-0000264E0000}"/>
    <cellStyle name="40% - Accent1 4 4 2 3" xfId="19478" xr:uid="{00000000-0005-0000-0000-0000274E0000}"/>
    <cellStyle name="40% - Accent1 4 4 2 3 2" xfId="31170" xr:uid="{00000000-0005-0000-0000-0000284E0000}"/>
    <cellStyle name="40% - Accent1 4 4 2 4" xfId="23524" xr:uid="{00000000-0005-0000-0000-0000294E0000}"/>
    <cellStyle name="40% - Accent1 4 4 3" xfId="4415" xr:uid="{00000000-0005-0000-0000-00002A4E0000}"/>
    <cellStyle name="40% - Accent1 4 4 3 2" xfId="15528" xr:uid="{00000000-0005-0000-0000-00002B4E0000}"/>
    <cellStyle name="40% - Accent1 4 4 3 2 2" xfId="27385" xr:uid="{00000000-0005-0000-0000-00002C4E0000}"/>
    <cellStyle name="40% - Accent1 4 4 3 3" xfId="19479" xr:uid="{00000000-0005-0000-0000-00002D4E0000}"/>
    <cellStyle name="40% - Accent1 4 4 3 3 2" xfId="31171" xr:uid="{00000000-0005-0000-0000-00002E4E0000}"/>
    <cellStyle name="40% - Accent1 4 4 3 4" xfId="23525" xr:uid="{00000000-0005-0000-0000-00002F4E0000}"/>
    <cellStyle name="40% - Accent1 4 4 4" xfId="15526" xr:uid="{00000000-0005-0000-0000-0000304E0000}"/>
    <cellStyle name="40% - Accent1 4 4 4 2" xfId="27383" xr:uid="{00000000-0005-0000-0000-0000314E0000}"/>
    <cellStyle name="40% - Accent1 4 4 5" xfId="19477" xr:uid="{00000000-0005-0000-0000-0000324E0000}"/>
    <cellStyle name="40% - Accent1 4 4 5 2" xfId="31169" xr:uid="{00000000-0005-0000-0000-0000334E0000}"/>
    <cellStyle name="40% - Accent1 4 4 6" xfId="23523" xr:uid="{00000000-0005-0000-0000-0000344E0000}"/>
    <cellStyle name="40% - Accent1 4 5" xfId="4416" xr:uid="{00000000-0005-0000-0000-0000354E0000}"/>
    <cellStyle name="40% - Accent1 4 5 2" xfId="4417" xr:uid="{00000000-0005-0000-0000-0000364E0000}"/>
    <cellStyle name="40% - Accent1 4 5 2 2" xfId="15530" xr:uid="{00000000-0005-0000-0000-0000374E0000}"/>
    <cellStyle name="40% - Accent1 4 5 2 2 2" xfId="27387" xr:uid="{00000000-0005-0000-0000-0000384E0000}"/>
    <cellStyle name="40% - Accent1 4 5 2 3" xfId="19481" xr:uid="{00000000-0005-0000-0000-0000394E0000}"/>
    <cellStyle name="40% - Accent1 4 5 2 3 2" xfId="31173" xr:uid="{00000000-0005-0000-0000-00003A4E0000}"/>
    <cellStyle name="40% - Accent1 4 5 2 4" xfId="23527" xr:uid="{00000000-0005-0000-0000-00003B4E0000}"/>
    <cellStyle name="40% - Accent1 4 5 3" xfId="4418" xr:uid="{00000000-0005-0000-0000-00003C4E0000}"/>
    <cellStyle name="40% - Accent1 4 5 3 2" xfId="15531" xr:uid="{00000000-0005-0000-0000-00003D4E0000}"/>
    <cellStyle name="40% - Accent1 4 5 3 2 2" xfId="27388" xr:uid="{00000000-0005-0000-0000-00003E4E0000}"/>
    <cellStyle name="40% - Accent1 4 5 3 3" xfId="19482" xr:uid="{00000000-0005-0000-0000-00003F4E0000}"/>
    <cellStyle name="40% - Accent1 4 5 3 3 2" xfId="31174" xr:uid="{00000000-0005-0000-0000-0000404E0000}"/>
    <cellStyle name="40% - Accent1 4 5 3 4" xfId="23528" xr:uid="{00000000-0005-0000-0000-0000414E0000}"/>
    <cellStyle name="40% - Accent1 4 5 4" xfId="15529" xr:uid="{00000000-0005-0000-0000-0000424E0000}"/>
    <cellStyle name="40% - Accent1 4 5 4 2" xfId="27386" xr:uid="{00000000-0005-0000-0000-0000434E0000}"/>
    <cellStyle name="40% - Accent1 4 5 5" xfId="19480" xr:uid="{00000000-0005-0000-0000-0000444E0000}"/>
    <cellStyle name="40% - Accent1 4 5 5 2" xfId="31172" xr:uid="{00000000-0005-0000-0000-0000454E0000}"/>
    <cellStyle name="40% - Accent1 4 5 6" xfId="23526" xr:uid="{00000000-0005-0000-0000-0000464E0000}"/>
    <cellStyle name="40% - Accent1 4 6" xfId="4419" xr:uid="{00000000-0005-0000-0000-0000474E0000}"/>
    <cellStyle name="40% - Accent1 4 6 2" xfId="4420" xr:uid="{00000000-0005-0000-0000-0000484E0000}"/>
    <cellStyle name="40% - Accent1 4 6 2 2" xfId="15533" xr:uid="{00000000-0005-0000-0000-0000494E0000}"/>
    <cellStyle name="40% - Accent1 4 6 2 2 2" xfId="27390" xr:uid="{00000000-0005-0000-0000-00004A4E0000}"/>
    <cellStyle name="40% - Accent1 4 6 2 3" xfId="19484" xr:uid="{00000000-0005-0000-0000-00004B4E0000}"/>
    <cellStyle name="40% - Accent1 4 6 2 3 2" xfId="31176" xr:uid="{00000000-0005-0000-0000-00004C4E0000}"/>
    <cellStyle name="40% - Accent1 4 6 2 4" xfId="23530" xr:uid="{00000000-0005-0000-0000-00004D4E0000}"/>
    <cellStyle name="40% - Accent1 4 6 3" xfId="4421" xr:uid="{00000000-0005-0000-0000-00004E4E0000}"/>
    <cellStyle name="40% - Accent1 4 6 3 2" xfId="15534" xr:uid="{00000000-0005-0000-0000-00004F4E0000}"/>
    <cellStyle name="40% - Accent1 4 6 3 2 2" xfId="27391" xr:uid="{00000000-0005-0000-0000-0000504E0000}"/>
    <cellStyle name="40% - Accent1 4 6 3 3" xfId="19485" xr:uid="{00000000-0005-0000-0000-0000514E0000}"/>
    <cellStyle name="40% - Accent1 4 6 3 3 2" xfId="31177" xr:uid="{00000000-0005-0000-0000-0000524E0000}"/>
    <cellStyle name="40% - Accent1 4 6 3 4" xfId="23531" xr:uid="{00000000-0005-0000-0000-0000534E0000}"/>
    <cellStyle name="40% - Accent1 4 6 4" xfId="15532" xr:uid="{00000000-0005-0000-0000-0000544E0000}"/>
    <cellStyle name="40% - Accent1 4 6 4 2" xfId="27389" xr:uid="{00000000-0005-0000-0000-0000554E0000}"/>
    <cellStyle name="40% - Accent1 4 6 5" xfId="19483" xr:uid="{00000000-0005-0000-0000-0000564E0000}"/>
    <cellStyle name="40% - Accent1 4 6 5 2" xfId="31175" xr:uid="{00000000-0005-0000-0000-0000574E0000}"/>
    <cellStyle name="40% - Accent1 4 6 6" xfId="23529" xr:uid="{00000000-0005-0000-0000-0000584E0000}"/>
    <cellStyle name="40% - Accent1 4 7" xfId="4422" xr:uid="{00000000-0005-0000-0000-0000594E0000}"/>
    <cellStyle name="40% - Accent1 4 7 2" xfId="15535" xr:uid="{00000000-0005-0000-0000-00005A4E0000}"/>
    <cellStyle name="40% - Accent1 4 7 2 2" xfId="27392" xr:uid="{00000000-0005-0000-0000-00005B4E0000}"/>
    <cellStyle name="40% - Accent1 4 7 3" xfId="19486" xr:uid="{00000000-0005-0000-0000-00005C4E0000}"/>
    <cellStyle name="40% - Accent1 4 7 3 2" xfId="31178" xr:uid="{00000000-0005-0000-0000-00005D4E0000}"/>
    <cellStyle name="40% - Accent1 4 7 4" xfId="23532" xr:uid="{00000000-0005-0000-0000-00005E4E0000}"/>
    <cellStyle name="40% - Accent1 4 8" xfId="4423" xr:uid="{00000000-0005-0000-0000-00005F4E0000}"/>
    <cellStyle name="40% - Accent1 4 8 2" xfId="15536" xr:uid="{00000000-0005-0000-0000-0000604E0000}"/>
    <cellStyle name="40% - Accent1 4 8 2 2" xfId="27393" xr:uid="{00000000-0005-0000-0000-0000614E0000}"/>
    <cellStyle name="40% - Accent1 4 8 3" xfId="19487" xr:uid="{00000000-0005-0000-0000-0000624E0000}"/>
    <cellStyle name="40% - Accent1 4 8 3 2" xfId="31179" xr:uid="{00000000-0005-0000-0000-0000634E0000}"/>
    <cellStyle name="40% - Accent1 4 8 4" xfId="23533" xr:uid="{00000000-0005-0000-0000-0000644E0000}"/>
    <cellStyle name="40% - Accent1 4 9" xfId="15504" xr:uid="{00000000-0005-0000-0000-0000654E0000}"/>
    <cellStyle name="40% - Accent1 4 9 2" xfId="27361" xr:uid="{00000000-0005-0000-0000-0000664E0000}"/>
    <cellStyle name="40% - Accent1 4_Volatility" xfId="4424" xr:uid="{00000000-0005-0000-0000-0000674E0000}"/>
    <cellStyle name="40% - Accent1 5" xfId="4425" xr:uid="{00000000-0005-0000-0000-0000684E0000}"/>
    <cellStyle name="40% - Accent1 5 10" xfId="19488" xr:uid="{00000000-0005-0000-0000-0000694E0000}"/>
    <cellStyle name="40% - Accent1 5 10 2" xfId="31180" xr:uid="{00000000-0005-0000-0000-00006A4E0000}"/>
    <cellStyle name="40% - Accent1 5 11" xfId="23534" xr:uid="{00000000-0005-0000-0000-00006B4E0000}"/>
    <cellStyle name="40% - Accent1 5 2" xfId="4426" xr:uid="{00000000-0005-0000-0000-00006C4E0000}"/>
    <cellStyle name="40% - Accent1 5 2 2" xfId="4427" xr:uid="{00000000-0005-0000-0000-00006D4E0000}"/>
    <cellStyle name="40% - Accent1 5 2 2 2" xfId="4428" xr:uid="{00000000-0005-0000-0000-00006E4E0000}"/>
    <cellStyle name="40% - Accent1 5 2 2 2 2" xfId="15540" xr:uid="{00000000-0005-0000-0000-00006F4E0000}"/>
    <cellStyle name="40% - Accent1 5 2 2 2 2 2" xfId="27397" xr:uid="{00000000-0005-0000-0000-0000704E0000}"/>
    <cellStyle name="40% - Accent1 5 2 2 2 3" xfId="19491" xr:uid="{00000000-0005-0000-0000-0000714E0000}"/>
    <cellStyle name="40% - Accent1 5 2 2 2 3 2" xfId="31183" xr:uid="{00000000-0005-0000-0000-0000724E0000}"/>
    <cellStyle name="40% - Accent1 5 2 2 2 4" xfId="23537" xr:uid="{00000000-0005-0000-0000-0000734E0000}"/>
    <cellStyle name="40% - Accent1 5 2 2 3" xfId="4429" xr:uid="{00000000-0005-0000-0000-0000744E0000}"/>
    <cellStyle name="40% - Accent1 5 2 2 3 2" xfId="15541" xr:uid="{00000000-0005-0000-0000-0000754E0000}"/>
    <cellStyle name="40% - Accent1 5 2 2 3 2 2" xfId="27398" xr:uid="{00000000-0005-0000-0000-0000764E0000}"/>
    <cellStyle name="40% - Accent1 5 2 2 3 3" xfId="19492" xr:uid="{00000000-0005-0000-0000-0000774E0000}"/>
    <cellStyle name="40% - Accent1 5 2 2 3 3 2" xfId="31184" xr:uid="{00000000-0005-0000-0000-0000784E0000}"/>
    <cellStyle name="40% - Accent1 5 2 2 3 4" xfId="23538" xr:uid="{00000000-0005-0000-0000-0000794E0000}"/>
    <cellStyle name="40% - Accent1 5 2 2 4" xfId="15539" xr:uid="{00000000-0005-0000-0000-00007A4E0000}"/>
    <cellStyle name="40% - Accent1 5 2 2 4 2" xfId="27396" xr:uid="{00000000-0005-0000-0000-00007B4E0000}"/>
    <cellStyle name="40% - Accent1 5 2 2 5" xfId="19490" xr:uid="{00000000-0005-0000-0000-00007C4E0000}"/>
    <cellStyle name="40% - Accent1 5 2 2 5 2" xfId="31182" xr:uid="{00000000-0005-0000-0000-00007D4E0000}"/>
    <cellStyle name="40% - Accent1 5 2 2 6" xfId="23536" xr:uid="{00000000-0005-0000-0000-00007E4E0000}"/>
    <cellStyle name="40% - Accent1 5 2 3" xfId="4430" xr:uid="{00000000-0005-0000-0000-00007F4E0000}"/>
    <cellStyle name="40% - Accent1 5 2 3 2" xfId="4431" xr:uid="{00000000-0005-0000-0000-0000804E0000}"/>
    <cellStyle name="40% - Accent1 5 2 3 2 2" xfId="15543" xr:uid="{00000000-0005-0000-0000-0000814E0000}"/>
    <cellStyle name="40% - Accent1 5 2 3 2 2 2" xfId="27400" xr:uid="{00000000-0005-0000-0000-0000824E0000}"/>
    <cellStyle name="40% - Accent1 5 2 3 2 3" xfId="19494" xr:uid="{00000000-0005-0000-0000-0000834E0000}"/>
    <cellStyle name="40% - Accent1 5 2 3 2 3 2" xfId="31186" xr:uid="{00000000-0005-0000-0000-0000844E0000}"/>
    <cellStyle name="40% - Accent1 5 2 3 2 4" xfId="23540" xr:uid="{00000000-0005-0000-0000-0000854E0000}"/>
    <cellStyle name="40% - Accent1 5 2 3 3" xfId="4432" xr:uid="{00000000-0005-0000-0000-0000864E0000}"/>
    <cellStyle name="40% - Accent1 5 2 3 3 2" xfId="15544" xr:uid="{00000000-0005-0000-0000-0000874E0000}"/>
    <cellStyle name="40% - Accent1 5 2 3 3 2 2" xfId="27401" xr:uid="{00000000-0005-0000-0000-0000884E0000}"/>
    <cellStyle name="40% - Accent1 5 2 3 3 3" xfId="19495" xr:uid="{00000000-0005-0000-0000-0000894E0000}"/>
    <cellStyle name="40% - Accent1 5 2 3 3 3 2" xfId="31187" xr:uid="{00000000-0005-0000-0000-00008A4E0000}"/>
    <cellStyle name="40% - Accent1 5 2 3 3 4" xfId="23541" xr:uid="{00000000-0005-0000-0000-00008B4E0000}"/>
    <cellStyle name="40% - Accent1 5 2 3 4" xfId="15542" xr:uid="{00000000-0005-0000-0000-00008C4E0000}"/>
    <cellStyle name="40% - Accent1 5 2 3 4 2" xfId="27399" xr:uid="{00000000-0005-0000-0000-00008D4E0000}"/>
    <cellStyle name="40% - Accent1 5 2 3 5" xfId="19493" xr:uid="{00000000-0005-0000-0000-00008E4E0000}"/>
    <cellStyle name="40% - Accent1 5 2 3 5 2" xfId="31185" xr:uid="{00000000-0005-0000-0000-00008F4E0000}"/>
    <cellStyle name="40% - Accent1 5 2 3 6" xfId="23539" xr:uid="{00000000-0005-0000-0000-0000904E0000}"/>
    <cellStyle name="40% - Accent1 5 2 4" xfId="4433" xr:uid="{00000000-0005-0000-0000-0000914E0000}"/>
    <cellStyle name="40% - Accent1 5 2 4 2" xfId="4434" xr:uid="{00000000-0005-0000-0000-0000924E0000}"/>
    <cellStyle name="40% - Accent1 5 2 4 2 2" xfId="15546" xr:uid="{00000000-0005-0000-0000-0000934E0000}"/>
    <cellStyle name="40% - Accent1 5 2 4 2 2 2" xfId="27403" xr:uid="{00000000-0005-0000-0000-0000944E0000}"/>
    <cellStyle name="40% - Accent1 5 2 4 2 3" xfId="19497" xr:uid="{00000000-0005-0000-0000-0000954E0000}"/>
    <cellStyle name="40% - Accent1 5 2 4 2 3 2" xfId="31189" xr:uid="{00000000-0005-0000-0000-0000964E0000}"/>
    <cellStyle name="40% - Accent1 5 2 4 2 4" xfId="23543" xr:uid="{00000000-0005-0000-0000-0000974E0000}"/>
    <cellStyle name="40% - Accent1 5 2 4 3" xfId="4435" xr:uid="{00000000-0005-0000-0000-0000984E0000}"/>
    <cellStyle name="40% - Accent1 5 2 4 3 2" xfId="15547" xr:uid="{00000000-0005-0000-0000-0000994E0000}"/>
    <cellStyle name="40% - Accent1 5 2 4 3 2 2" xfId="27404" xr:uid="{00000000-0005-0000-0000-00009A4E0000}"/>
    <cellStyle name="40% - Accent1 5 2 4 3 3" xfId="19498" xr:uid="{00000000-0005-0000-0000-00009B4E0000}"/>
    <cellStyle name="40% - Accent1 5 2 4 3 3 2" xfId="31190" xr:uid="{00000000-0005-0000-0000-00009C4E0000}"/>
    <cellStyle name="40% - Accent1 5 2 4 3 4" xfId="23544" xr:uid="{00000000-0005-0000-0000-00009D4E0000}"/>
    <cellStyle name="40% - Accent1 5 2 4 4" xfId="15545" xr:uid="{00000000-0005-0000-0000-00009E4E0000}"/>
    <cellStyle name="40% - Accent1 5 2 4 4 2" xfId="27402" xr:uid="{00000000-0005-0000-0000-00009F4E0000}"/>
    <cellStyle name="40% - Accent1 5 2 4 5" xfId="19496" xr:uid="{00000000-0005-0000-0000-0000A04E0000}"/>
    <cellStyle name="40% - Accent1 5 2 4 5 2" xfId="31188" xr:uid="{00000000-0005-0000-0000-0000A14E0000}"/>
    <cellStyle name="40% - Accent1 5 2 4 6" xfId="23542" xr:uid="{00000000-0005-0000-0000-0000A24E0000}"/>
    <cellStyle name="40% - Accent1 5 2 5" xfId="4436" xr:uid="{00000000-0005-0000-0000-0000A34E0000}"/>
    <cellStyle name="40% - Accent1 5 2 5 2" xfId="15548" xr:uid="{00000000-0005-0000-0000-0000A44E0000}"/>
    <cellStyle name="40% - Accent1 5 2 5 2 2" xfId="27405" xr:uid="{00000000-0005-0000-0000-0000A54E0000}"/>
    <cellStyle name="40% - Accent1 5 2 5 3" xfId="19499" xr:uid="{00000000-0005-0000-0000-0000A64E0000}"/>
    <cellStyle name="40% - Accent1 5 2 5 3 2" xfId="31191" xr:uid="{00000000-0005-0000-0000-0000A74E0000}"/>
    <cellStyle name="40% - Accent1 5 2 5 4" xfId="23545" xr:uid="{00000000-0005-0000-0000-0000A84E0000}"/>
    <cellStyle name="40% - Accent1 5 2 6" xfId="4437" xr:uid="{00000000-0005-0000-0000-0000A94E0000}"/>
    <cellStyle name="40% - Accent1 5 2 6 2" xfId="15549" xr:uid="{00000000-0005-0000-0000-0000AA4E0000}"/>
    <cellStyle name="40% - Accent1 5 2 6 2 2" xfId="27406" xr:uid="{00000000-0005-0000-0000-0000AB4E0000}"/>
    <cellStyle name="40% - Accent1 5 2 6 3" xfId="19500" xr:uid="{00000000-0005-0000-0000-0000AC4E0000}"/>
    <cellStyle name="40% - Accent1 5 2 6 3 2" xfId="31192" xr:uid="{00000000-0005-0000-0000-0000AD4E0000}"/>
    <cellStyle name="40% - Accent1 5 2 6 4" xfId="23546" xr:uid="{00000000-0005-0000-0000-0000AE4E0000}"/>
    <cellStyle name="40% - Accent1 5 2 7" xfId="15538" xr:uid="{00000000-0005-0000-0000-0000AF4E0000}"/>
    <cellStyle name="40% - Accent1 5 2 7 2" xfId="27395" xr:uid="{00000000-0005-0000-0000-0000B04E0000}"/>
    <cellStyle name="40% - Accent1 5 2 8" xfId="19489" xr:uid="{00000000-0005-0000-0000-0000B14E0000}"/>
    <cellStyle name="40% - Accent1 5 2 8 2" xfId="31181" xr:uid="{00000000-0005-0000-0000-0000B24E0000}"/>
    <cellStyle name="40% - Accent1 5 2 9" xfId="23535" xr:uid="{00000000-0005-0000-0000-0000B34E0000}"/>
    <cellStyle name="40% - Accent1 5 2_Volatility" xfId="4438" xr:uid="{00000000-0005-0000-0000-0000B44E0000}"/>
    <cellStyle name="40% - Accent1 5 3" xfId="4439" xr:uid="{00000000-0005-0000-0000-0000B54E0000}"/>
    <cellStyle name="40% - Accent1 5 3 2" xfId="4440" xr:uid="{00000000-0005-0000-0000-0000B64E0000}"/>
    <cellStyle name="40% - Accent1 5 3 2 2" xfId="4441" xr:uid="{00000000-0005-0000-0000-0000B74E0000}"/>
    <cellStyle name="40% - Accent1 5 3 2 2 2" xfId="15552" xr:uid="{00000000-0005-0000-0000-0000B84E0000}"/>
    <cellStyle name="40% - Accent1 5 3 2 2 2 2" xfId="27409" xr:uid="{00000000-0005-0000-0000-0000B94E0000}"/>
    <cellStyle name="40% - Accent1 5 3 2 2 3" xfId="19503" xr:uid="{00000000-0005-0000-0000-0000BA4E0000}"/>
    <cellStyle name="40% - Accent1 5 3 2 2 3 2" xfId="31195" xr:uid="{00000000-0005-0000-0000-0000BB4E0000}"/>
    <cellStyle name="40% - Accent1 5 3 2 2 4" xfId="23549" xr:uid="{00000000-0005-0000-0000-0000BC4E0000}"/>
    <cellStyle name="40% - Accent1 5 3 2 3" xfId="4442" xr:uid="{00000000-0005-0000-0000-0000BD4E0000}"/>
    <cellStyle name="40% - Accent1 5 3 2 3 2" xfId="15553" xr:uid="{00000000-0005-0000-0000-0000BE4E0000}"/>
    <cellStyle name="40% - Accent1 5 3 2 3 2 2" xfId="27410" xr:uid="{00000000-0005-0000-0000-0000BF4E0000}"/>
    <cellStyle name="40% - Accent1 5 3 2 3 3" xfId="19504" xr:uid="{00000000-0005-0000-0000-0000C04E0000}"/>
    <cellStyle name="40% - Accent1 5 3 2 3 3 2" xfId="31196" xr:uid="{00000000-0005-0000-0000-0000C14E0000}"/>
    <cellStyle name="40% - Accent1 5 3 2 3 4" xfId="23550" xr:uid="{00000000-0005-0000-0000-0000C24E0000}"/>
    <cellStyle name="40% - Accent1 5 3 2 4" xfId="15551" xr:uid="{00000000-0005-0000-0000-0000C34E0000}"/>
    <cellStyle name="40% - Accent1 5 3 2 4 2" xfId="27408" xr:uid="{00000000-0005-0000-0000-0000C44E0000}"/>
    <cellStyle name="40% - Accent1 5 3 2 5" xfId="19502" xr:uid="{00000000-0005-0000-0000-0000C54E0000}"/>
    <cellStyle name="40% - Accent1 5 3 2 5 2" xfId="31194" xr:uid="{00000000-0005-0000-0000-0000C64E0000}"/>
    <cellStyle name="40% - Accent1 5 3 2 6" xfId="23548" xr:uid="{00000000-0005-0000-0000-0000C74E0000}"/>
    <cellStyle name="40% - Accent1 5 3 3" xfId="4443" xr:uid="{00000000-0005-0000-0000-0000C84E0000}"/>
    <cellStyle name="40% - Accent1 5 3 3 2" xfId="4444" xr:uid="{00000000-0005-0000-0000-0000C94E0000}"/>
    <cellStyle name="40% - Accent1 5 3 3 2 2" xfId="15555" xr:uid="{00000000-0005-0000-0000-0000CA4E0000}"/>
    <cellStyle name="40% - Accent1 5 3 3 2 2 2" xfId="27412" xr:uid="{00000000-0005-0000-0000-0000CB4E0000}"/>
    <cellStyle name="40% - Accent1 5 3 3 2 3" xfId="19506" xr:uid="{00000000-0005-0000-0000-0000CC4E0000}"/>
    <cellStyle name="40% - Accent1 5 3 3 2 3 2" xfId="31198" xr:uid="{00000000-0005-0000-0000-0000CD4E0000}"/>
    <cellStyle name="40% - Accent1 5 3 3 2 4" xfId="23552" xr:uid="{00000000-0005-0000-0000-0000CE4E0000}"/>
    <cellStyle name="40% - Accent1 5 3 3 3" xfId="4445" xr:uid="{00000000-0005-0000-0000-0000CF4E0000}"/>
    <cellStyle name="40% - Accent1 5 3 3 3 2" xfId="15556" xr:uid="{00000000-0005-0000-0000-0000D04E0000}"/>
    <cellStyle name="40% - Accent1 5 3 3 3 2 2" xfId="27413" xr:uid="{00000000-0005-0000-0000-0000D14E0000}"/>
    <cellStyle name="40% - Accent1 5 3 3 3 3" xfId="19507" xr:uid="{00000000-0005-0000-0000-0000D24E0000}"/>
    <cellStyle name="40% - Accent1 5 3 3 3 3 2" xfId="31199" xr:uid="{00000000-0005-0000-0000-0000D34E0000}"/>
    <cellStyle name="40% - Accent1 5 3 3 3 4" xfId="23553" xr:uid="{00000000-0005-0000-0000-0000D44E0000}"/>
    <cellStyle name="40% - Accent1 5 3 3 4" xfId="15554" xr:uid="{00000000-0005-0000-0000-0000D54E0000}"/>
    <cellStyle name="40% - Accent1 5 3 3 4 2" xfId="27411" xr:uid="{00000000-0005-0000-0000-0000D64E0000}"/>
    <cellStyle name="40% - Accent1 5 3 3 5" xfId="19505" xr:uid="{00000000-0005-0000-0000-0000D74E0000}"/>
    <cellStyle name="40% - Accent1 5 3 3 5 2" xfId="31197" xr:uid="{00000000-0005-0000-0000-0000D84E0000}"/>
    <cellStyle name="40% - Accent1 5 3 3 6" xfId="23551" xr:uid="{00000000-0005-0000-0000-0000D94E0000}"/>
    <cellStyle name="40% - Accent1 5 3 4" xfId="4446" xr:uid="{00000000-0005-0000-0000-0000DA4E0000}"/>
    <cellStyle name="40% - Accent1 5 3 4 2" xfId="15557" xr:uid="{00000000-0005-0000-0000-0000DB4E0000}"/>
    <cellStyle name="40% - Accent1 5 3 4 2 2" xfId="27414" xr:uid="{00000000-0005-0000-0000-0000DC4E0000}"/>
    <cellStyle name="40% - Accent1 5 3 4 3" xfId="19508" xr:uid="{00000000-0005-0000-0000-0000DD4E0000}"/>
    <cellStyle name="40% - Accent1 5 3 4 3 2" xfId="31200" xr:uid="{00000000-0005-0000-0000-0000DE4E0000}"/>
    <cellStyle name="40% - Accent1 5 3 4 4" xfId="23554" xr:uid="{00000000-0005-0000-0000-0000DF4E0000}"/>
    <cellStyle name="40% - Accent1 5 3 5" xfId="4447" xr:uid="{00000000-0005-0000-0000-0000E04E0000}"/>
    <cellStyle name="40% - Accent1 5 3 5 2" xfId="15558" xr:uid="{00000000-0005-0000-0000-0000E14E0000}"/>
    <cellStyle name="40% - Accent1 5 3 5 2 2" xfId="27415" xr:uid="{00000000-0005-0000-0000-0000E24E0000}"/>
    <cellStyle name="40% - Accent1 5 3 5 3" xfId="19509" xr:uid="{00000000-0005-0000-0000-0000E34E0000}"/>
    <cellStyle name="40% - Accent1 5 3 5 3 2" xfId="31201" xr:uid="{00000000-0005-0000-0000-0000E44E0000}"/>
    <cellStyle name="40% - Accent1 5 3 5 4" xfId="23555" xr:uid="{00000000-0005-0000-0000-0000E54E0000}"/>
    <cellStyle name="40% - Accent1 5 3 6" xfId="15550" xr:uid="{00000000-0005-0000-0000-0000E64E0000}"/>
    <cellStyle name="40% - Accent1 5 3 6 2" xfId="27407" xr:uid="{00000000-0005-0000-0000-0000E74E0000}"/>
    <cellStyle name="40% - Accent1 5 3 7" xfId="19501" xr:uid="{00000000-0005-0000-0000-0000E84E0000}"/>
    <cellStyle name="40% - Accent1 5 3 7 2" xfId="31193" xr:uid="{00000000-0005-0000-0000-0000E94E0000}"/>
    <cellStyle name="40% - Accent1 5 3 8" xfId="23547" xr:uid="{00000000-0005-0000-0000-0000EA4E0000}"/>
    <cellStyle name="40% - Accent1 5 3_Volatility" xfId="4448" xr:uid="{00000000-0005-0000-0000-0000EB4E0000}"/>
    <cellStyle name="40% - Accent1 5 4" xfId="4449" xr:uid="{00000000-0005-0000-0000-0000EC4E0000}"/>
    <cellStyle name="40% - Accent1 5 4 2" xfId="4450" xr:uid="{00000000-0005-0000-0000-0000ED4E0000}"/>
    <cellStyle name="40% - Accent1 5 4 2 2" xfId="15560" xr:uid="{00000000-0005-0000-0000-0000EE4E0000}"/>
    <cellStyle name="40% - Accent1 5 4 2 2 2" xfId="27417" xr:uid="{00000000-0005-0000-0000-0000EF4E0000}"/>
    <cellStyle name="40% - Accent1 5 4 2 3" xfId="19511" xr:uid="{00000000-0005-0000-0000-0000F04E0000}"/>
    <cellStyle name="40% - Accent1 5 4 2 3 2" xfId="31203" xr:uid="{00000000-0005-0000-0000-0000F14E0000}"/>
    <cellStyle name="40% - Accent1 5 4 2 4" xfId="23557" xr:uid="{00000000-0005-0000-0000-0000F24E0000}"/>
    <cellStyle name="40% - Accent1 5 4 3" xfId="4451" xr:uid="{00000000-0005-0000-0000-0000F34E0000}"/>
    <cellStyle name="40% - Accent1 5 4 3 2" xfId="15561" xr:uid="{00000000-0005-0000-0000-0000F44E0000}"/>
    <cellStyle name="40% - Accent1 5 4 3 2 2" xfId="27418" xr:uid="{00000000-0005-0000-0000-0000F54E0000}"/>
    <cellStyle name="40% - Accent1 5 4 3 3" xfId="19512" xr:uid="{00000000-0005-0000-0000-0000F64E0000}"/>
    <cellStyle name="40% - Accent1 5 4 3 3 2" xfId="31204" xr:uid="{00000000-0005-0000-0000-0000F74E0000}"/>
    <cellStyle name="40% - Accent1 5 4 3 4" xfId="23558" xr:uid="{00000000-0005-0000-0000-0000F84E0000}"/>
    <cellStyle name="40% - Accent1 5 4 4" xfId="15559" xr:uid="{00000000-0005-0000-0000-0000F94E0000}"/>
    <cellStyle name="40% - Accent1 5 4 4 2" xfId="27416" xr:uid="{00000000-0005-0000-0000-0000FA4E0000}"/>
    <cellStyle name="40% - Accent1 5 4 5" xfId="19510" xr:uid="{00000000-0005-0000-0000-0000FB4E0000}"/>
    <cellStyle name="40% - Accent1 5 4 5 2" xfId="31202" xr:uid="{00000000-0005-0000-0000-0000FC4E0000}"/>
    <cellStyle name="40% - Accent1 5 4 6" xfId="23556" xr:uid="{00000000-0005-0000-0000-0000FD4E0000}"/>
    <cellStyle name="40% - Accent1 5 5" xfId="4452" xr:uid="{00000000-0005-0000-0000-0000FE4E0000}"/>
    <cellStyle name="40% - Accent1 5 5 2" xfId="4453" xr:uid="{00000000-0005-0000-0000-0000FF4E0000}"/>
    <cellStyle name="40% - Accent1 5 5 2 2" xfId="15563" xr:uid="{00000000-0005-0000-0000-0000004F0000}"/>
    <cellStyle name="40% - Accent1 5 5 2 2 2" xfId="27420" xr:uid="{00000000-0005-0000-0000-0000014F0000}"/>
    <cellStyle name="40% - Accent1 5 5 2 3" xfId="19514" xr:uid="{00000000-0005-0000-0000-0000024F0000}"/>
    <cellStyle name="40% - Accent1 5 5 2 3 2" xfId="31206" xr:uid="{00000000-0005-0000-0000-0000034F0000}"/>
    <cellStyle name="40% - Accent1 5 5 2 4" xfId="23560" xr:uid="{00000000-0005-0000-0000-0000044F0000}"/>
    <cellStyle name="40% - Accent1 5 5 3" xfId="4454" xr:uid="{00000000-0005-0000-0000-0000054F0000}"/>
    <cellStyle name="40% - Accent1 5 5 3 2" xfId="15564" xr:uid="{00000000-0005-0000-0000-0000064F0000}"/>
    <cellStyle name="40% - Accent1 5 5 3 2 2" xfId="27421" xr:uid="{00000000-0005-0000-0000-0000074F0000}"/>
    <cellStyle name="40% - Accent1 5 5 3 3" xfId="19515" xr:uid="{00000000-0005-0000-0000-0000084F0000}"/>
    <cellStyle name="40% - Accent1 5 5 3 3 2" xfId="31207" xr:uid="{00000000-0005-0000-0000-0000094F0000}"/>
    <cellStyle name="40% - Accent1 5 5 3 4" xfId="23561" xr:uid="{00000000-0005-0000-0000-00000A4F0000}"/>
    <cellStyle name="40% - Accent1 5 5 4" xfId="15562" xr:uid="{00000000-0005-0000-0000-00000B4F0000}"/>
    <cellStyle name="40% - Accent1 5 5 4 2" xfId="27419" xr:uid="{00000000-0005-0000-0000-00000C4F0000}"/>
    <cellStyle name="40% - Accent1 5 5 5" xfId="19513" xr:uid="{00000000-0005-0000-0000-00000D4F0000}"/>
    <cellStyle name="40% - Accent1 5 5 5 2" xfId="31205" xr:uid="{00000000-0005-0000-0000-00000E4F0000}"/>
    <cellStyle name="40% - Accent1 5 5 6" xfId="23559" xr:uid="{00000000-0005-0000-0000-00000F4F0000}"/>
    <cellStyle name="40% - Accent1 5 6" xfId="4455" xr:uid="{00000000-0005-0000-0000-0000104F0000}"/>
    <cellStyle name="40% - Accent1 5 6 2" xfId="4456" xr:uid="{00000000-0005-0000-0000-0000114F0000}"/>
    <cellStyle name="40% - Accent1 5 6 2 2" xfId="15566" xr:uid="{00000000-0005-0000-0000-0000124F0000}"/>
    <cellStyle name="40% - Accent1 5 6 2 2 2" xfId="27423" xr:uid="{00000000-0005-0000-0000-0000134F0000}"/>
    <cellStyle name="40% - Accent1 5 6 2 3" xfId="19517" xr:uid="{00000000-0005-0000-0000-0000144F0000}"/>
    <cellStyle name="40% - Accent1 5 6 2 3 2" xfId="31209" xr:uid="{00000000-0005-0000-0000-0000154F0000}"/>
    <cellStyle name="40% - Accent1 5 6 2 4" xfId="23563" xr:uid="{00000000-0005-0000-0000-0000164F0000}"/>
    <cellStyle name="40% - Accent1 5 6 3" xfId="4457" xr:uid="{00000000-0005-0000-0000-0000174F0000}"/>
    <cellStyle name="40% - Accent1 5 6 3 2" xfId="15567" xr:uid="{00000000-0005-0000-0000-0000184F0000}"/>
    <cellStyle name="40% - Accent1 5 6 3 2 2" xfId="27424" xr:uid="{00000000-0005-0000-0000-0000194F0000}"/>
    <cellStyle name="40% - Accent1 5 6 3 3" xfId="19518" xr:uid="{00000000-0005-0000-0000-00001A4F0000}"/>
    <cellStyle name="40% - Accent1 5 6 3 3 2" xfId="31210" xr:uid="{00000000-0005-0000-0000-00001B4F0000}"/>
    <cellStyle name="40% - Accent1 5 6 3 4" xfId="23564" xr:uid="{00000000-0005-0000-0000-00001C4F0000}"/>
    <cellStyle name="40% - Accent1 5 6 4" xfId="15565" xr:uid="{00000000-0005-0000-0000-00001D4F0000}"/>
    <cellStyle name="40% - Accent1 5 6 4 2" xfId="27422" xr:uid="{00000000-0005-0000-0000-00001E4F0000}"/>
    <cellStyle name="40% - Accent1 5 6 5" xfId="19516" xr:uid="{00000000-0005-0000-0000-00001F4F0000}"/>
    <cellStyle name="40% - Accent1 5 6 5 2" xfId="31208" xr:uid="{00000000-0005-0000-0000-0000204F0000}"/>
    <cellStyle name="40% - Accent1 5 6 6" xfId="23562" xr:uid="{00000000-0005-0000-0000-0000214F0000}"/>
    <cellStyle name="40% - Accent1 5 7" xfId="4458" xr:uid="{00000000-0005-0000-0000-0000224F0000}"/>
    <cellStyle name="40% - Accent1 5 7 2" xfId="15568" xr:uid="{00000000-0005-0000-0000-0000234F0000}"/>
    <cellStyle name="40% - Accent1 5 7 2 2" xfId="27425" xr:uid="{00000000-0005-0000-0000-0000244F0000}"/>
    <cellStyle name="40% - Accent1 5 7 3" xfId="19519" xr:uid="{00000000-0005-0000-0000-0000254F0000}"/>
    <cellStyle name="40% - Accent1 5 7 3 2" xfId="31211" xr:uid="{00000000-0005-0000-0000-0000264F0000}"/>
    <cellStyle name="40% - Accent1 5 7 4" xfId="23565" xr:uid="{00000000-0005-0000-0000-0000274F0000}"/>
    <cellStyle name="40% - Accent1 5 8" xfId="4459" xr:uid="{00000000-0005-0000-0000-0000284F0000}"/>
    <cellStyle name="40% - Accent1 5 8 2" xfId="15569" xr:uid="{00000000-0005-0000-0000-0000294F0000}"/>
    <cellStyle name="40% - Accent1 5 8 2 2" xfId="27426" xr:uid="{00000000-0005-0000-0000-00002A4F0000}"/>
    <cellStyle name="40% - Accent1 5 8 3" xfId="19520" xr:uid="{00000000-0005-0000-0000-00002B4F0000}"/>
    <cellStyle name="40% - Accent1 5 8 3 2" xfId="31212" xr:uid="{00000000-0005-0000-0000-00002C4F0000}"/>
    <cellStyle name="40% - Accent1 5 8 4" xfId="23566" xr:uid="{00000000-0005-0000-0000-00002D4F0000}"/>
    <cellStyle name="40% - Accent1 5 9" xfId="15537" xr:uid="{00000000-0005-0000-0000-00002E4F0000}"/>
    <cellStyle name="40% - Accent1 5 9 2" xfId="27394" xr:uid="{00000000-0005-0000-0000-00002F4F0000}"/>
    <cellStyle name="40% - Accent1 5_Volatility" xfId="4460" xr:uid="{00000000-0005-0000-0000-0000304F0000}"/>
    <cellStyle name="40% - Accent1 6" xfId="4461" xr:uid="{00000000-0005-0000-0000-0000314F0000}"/>
    <cellStyle name="40% - Accent1 6 10" xfId="19521" xr:uid="{00000000-0005-0000-0000-0000324F0000}"/>
    <cellStyle name="40% - Accent1 6 10 2" xfId="31213" xr:uid="{00000000-0005-0000-0000-0000334F0000}"/>
    <cellStyle name="40% - Accent1 6 11" xfId="23567" xr:uid="{00000000-0005-0000-0000-0000344F0000}"/>
    <cellStyle name="40% - Accent1 6 2" xfId="4462" xr:uid="{00000000-0005-0000-0000-0000354F0000}"/>
    <cellStyle name="40% - Accent1 6 2 2" xfId="4463" xr:uid="{00000000-0005-0000-0000-0000364F0000}"/>
    <cellStyle name="40% - Accent1 6 2 2 2" xfId="4464" xr:uid="{00000000-0005-0000-0000-0000374F0000}"/>
    <cellStyle name="40% - Accent1 6 2 2 2 2" xfId="15573" xr:uid="{00000000-0005-0000-0000-0000384F0000}"/>
    <cellStyle name="40% - Accent1 6 2 2 2 2 2" xfId="27430" xr:uid="{00000000-0005-0000-0000-0000394F0000}"/>
    <cellStyle name="40% - Accent1 6 2 2 2 3" xfId="19524" xr:uid="{00000000-0005-0000-0000-00003A4F0000}"/>
    <cellStyle name="40% - Accent1 6 2 2 2 3 2" xfId="31216" xr:uid="{00000000-0005-0000-0000-00003B4F0000}"/>
    <cellStyle name="40% - Accent1 6 2 2 2 4" xfId="23570" xr:uid="{00000000-0005-0000-0000-00003C4F0000}"/>
    <cellStyle name="40% - Accent1 6 2 2 3" xfId="4465" xr:uid="{00000000-0005-0000-0000-00003D4F0000}"/>
    <cellStyle name="40% - Accent1 6 2 2 3 2" xfId="15574" xr:uid="{00000000-0005-0000-0000-00003E4F0000}"/>
    <cellStyle name="40% - Accent1 6 2 2 3 2 2" xfId="27431" xr:uid="{00000000-0005-0000-0000-00003F4F0000}"/>
    <cellStyle name="40% - Accent1 6 2 2 3 3" xfId="19525" xr:uid="{00000000-0005-0000-0000-0000404F0000}"/>
    <cellStyle name="40% - Accent1 6 2 2 3 3 2" xfId="31217" xr:uid="{00000000-0005-0000-0000-0000414F0000}"/>
    <cellStyle name="40% - Accent1 6 2 2 3 4" xfId="23571" xr:uid="{00000000-0005-0000-0000-0000424F0000}"/>
    <cellStyle name="40% - Accent1 6 2 2 4" xfId="15572" xr:uid="{00000000-0005-0000-0000-0000434F0000}"/>
    <cellStyle name="40% - Accent1 6 2 2 4 2" xfId="27429" xr:uid="{00000000-0005-0000-0000-0000444F0000}"/>
    <cellStyle name="40% - Accent1 6 2 2 5" xfId="19523" xr:uid="{00000000-0005-0000-0000-0000454F0000}"/>
    <cellStyle name="40% - Accent1 6 2 2 5 2" xfId="31215" xr:uid="{00000000-0005-0000-0000-0000464F0000}"/>
    <cellStyle name="40% - Accent1 6 2 2 6" xfId="23569" xr:uid="{00000000-0005-0000-0000-0000474F0000}"/>
    <cellStyle name="40% - Accent1 6 2 3" xfId="4466" xr:uid="{00000000-0005-0000-0000-0000484F0000}"/>
    <cellStyle name="40% - Accent1 6 2 3 2" xfId="4467" xr:uid="{00000000-0005-0000-0000-0000494F0000}"/>
    <cellStyle name="40% - Accent1 6 2 3 2 2" xfId="15576" xr:uid="{00000000-0005-0000-0000-00004A4F0000}"/>
    <cellStyle name="40% - Accent1 6 2 3 2 2 2" xfId="27433" xr:uid="{00000000-0005-0000-0000-00004B4F0000}"/>
    <cellStyle name="40% - Accent1 6 2 3 2 3" xfId="19527" xr:uid="{00000000-0005-0000-0000-00004C4F0000}"/>
    <cellStyle name="40% - Accent1 6 2 3 2 3 2" xfId="31219" xr:uid="{00000000-0005-0000-0000-00004D4F0000}"/>
    <cellStyle name="40% - Accent1 6 2 3 2 4" xfId="23573" xr:uid="{00000000-0005-0000-0000-00004E4F0000}"/>
    <cellStyle name="40% - Accent1 6 2 3 3" xfId="4468" xr:uid="{00000000-0005-0000-0000-00004F4F0000}"/>
    <cellStyle name="40% - Accent1 6 2 3 3 2" xfId="15577" xr:uid="{00000000-0005-0000-0000-0000504F0000}"/>
    <cellStyle name="40% - Accent1 6 2 3 3 2 2" xfId="27434" xr:uid="{00000000-0005-0000-0000-0000514F0000}"/>
    <cellStyle name="40% - Accent1 6 2 3 3 3" xfId="19528" xr:uid="{00000000-0005-0000-0000-0000524F0000}"/>
    <cellStyle name="40% - Accent1 6 2 3 3 3 2" xfId="31220" xr:uid="{00000000-0005-0000-0000-0000534F0000}"/>
    <cellStyle name="40% - Accent1 6 2 3 3 4" xfId="23574" xr:uid="{00000000-0005-0000-0000-0000544F0000}"/>
    <cellStyle name="40% - Accent1 6 2 3 4" xfId="15575" xr:uid="{00000000-0005-0000-0000-0000554F0000}"/>
    <cellStyle name="40% - Accent1 6 2 3 4 2" xfId="27432" xr:uid="{00000000-0005-0000-0000-0000564F0000}"/>
    <cellStyle name="40% - Accent1 6 2 3 5" xfId="19526" xr:uid="{00000000-0005-0000-0000-0000574F0000}"/>
    <cellStyle name="40% - Accent1 6 2 3 5 2" xfId="31218" xr:uid="{00000000-0005-0000-0000-0000584F0000}"/>
    <cellStyle name="40% - Accent1 6 2 3 6" xfId="23572" xr:uid="{00000000-0005-0000-0000-0000594F0000}"/>
    <cellStyle name="40% - Accent1 6 2 4" xfId="4469" xr:uid="{00000000-0005-0000-0000-00005A4F0000}"/>
    <cellStyle name="40% - Accent1 6 2 4 2" xfId="4470" xr:uid="{00000000-0005-0000-0000-00005B4F0000}"/>
    <cellStyle name="40% - Accent1 6 2 4 2 2" xfId="15579" xr:uid="{00000000-0005-0000-0000-00005C4F0000}"/>
    <cellStyle name="40% - Accent1 6 2 4 2 2 2" xfId="27436" xr:uid="{00000000-0005-0000-0000-00005D4F0000}"/>
    <cellStyle name="40% - Accent1 6 2 4 2 3" xfId="19530" xr:uid="{00000000-0005-0000-0000-00005E4F0000}"/>
    <cellStyle name="40% - Accent1 6 2 4 2 3 2" xfId="31222" xr:uid="{00000000-0005-0000-0000-00005F4F0000}"/>
    <cellStyle name="40% - Accent1 6 2 4 2 4" xfId="23576" xr:uid="{00000000-0005-0000-0000-0000604F0000}"/>
    <cellStyle name="40% - Accent1 6 2 4 3" xfId="4471" xr:uid="{00000000-0005-0000-0000-0000614F0000}"/>
    <cellStyle name="40% - Accent1 6 2 4 3 2" xfId="15580" xr:uid="{00000000-0005-0000-0000-0000624F0000}"/>
    <cellStyle name="40% - Accent1 6 2 4 3 2 2" xfId="27437" xr:uid="{00000000-0005-0000-0000-0000634F0000}"/>
    <cellStyle name="40% - Accent1 6 2 4 3 3" xfId="19531" xr:uid="{00000000-0005-0000-0000-0000644F0000}"/>
    <cellStyle name="40% - Accent1 6 2 4 3 3 2" xfId="31223" xr:uid="{00000000-0005-0000-0000-0000654F0000}"/>
    <cellStyle name="40% - Accent1 6 2 4 3 4" xfId="23577" xr:uid="{00000000-0005-0000-0000-0000664F0000}"/>
    <cellStyle name="40% - Accent1 6 2 4 4" xfId="15578" xr:uid="{00000000-0005-0000-0000-0000674F0000}"/>
    <cellStyle name="40% - Accent1 6 2 4 4 2" xfId="27435" xr:uid="{00000000-0005-0000-0000-0000684F0000}"/>
    <cellStyle name="40% - Accent1 6 2 4 5" xfId="19529" xr:uid="{00000000-0005-0000-0000-0000694F0000}"/>
    <cellStyle name="40% - Accent1 6 2 4 5 2" xfId="31221" xr:uid="{00000000-0005-0000-0000-00006A4F0000}"/>
    <cellStyle name="40% - Accent1 6 2 4 6" xfId="23575" xr:uid="{00000000-0005-0000-0000-00006B4F0000}"/>
    <cellStyle name="40% - Accent1 6 2 5" xfId="4472" xr:uid="{00000000-0005-0000-0000-00006C4F0000}"/>
    <cellStyle name="40% - Accent1 6 2 5 2" xfId="15581" xr:uid="{00000000-0005-0000-0000-00006D4F0000}"/>
    <cellStyle name="40% - Accent1 6 2 5 2 2" xfId="27438" xr:uid="{00000000-0005-0000-0000-00006E4F0000}"/>
    <cellStyle name="40% - Accent1 6 2 5 3" xfId="19532" xr:uid="{00000000-0005-0000-0000-00006F4F0000}"/>
    <cellStyle name="40% - Accent1 6 2 5 3 2" xfId="31224" xr:uid="{00000000-0005-0000-0000-0000704F0000}"/>
    <cellStyle name="40% - Accent1 6 2 5 4" xfId="23578" xr:uid="{00000000-0005-0000-0000-0000714F0000}"/>
    <cellStyle name="40% - Accent1 6 2 6" xfId="4473" xr:uid="{00000000-0005-0000-0000-0000724F0000}"/>
    <cellStyle name="40% - Accent1 6 2 6 2" xfId="15582" xr:uid="{00000000-0005-0000-0000-0000734F0000}"/>
    <cellStyle name="40% - Accent1 6 2 6 2 2" xfId="27439" xr:uid="{00000000-0005-0000-0000-0000744F0000}"/>
    <cellStyle name="40% - Accent1 6 2 6 3" xfId="19533" xr:uid="{00000000-0005-0000-0000-0000754F0000}"/>
    <cellStyle name="40% - Accent1 6 2 6 3 2" xfId="31225" xr:uid="{00000000-0005-0000-0000-0000764F0000}"/>
    <cellStyle name="40% - Accent1 6 2 6 4" xfId="23579" xr:uid="{00000000-0005-0000-0000-0000774F0000}"/>
    <cellStyle name="40% - Accent1 6 2 7" xfId="15571" xr:uid="{00000000-0005-0000-0000-0000784F0000}"/>
    <cellStyle name="40% - Accent1 6 2 7 2" xfId="27428" xr:uid="{00000000-0005-0000-0000-0000794F0000}"/>
    <cellStyle name="40% - Accent1 6 2 8" xfId="19522" xr:uid="{00000000-0005-0000-0000-00007A4F0000}"/>
    <cellStyle name="40% - Accent1 6 2 8 2" xfId="31214" xr:uid="{00000000-0005-0000-0000-00007B4F0000}"/>
    <cellStyle name="40% - Accent1 6 2 9" xfId="23568" xr:uid="{00000000-0005-0000-0000-00007C4F0000}"/>
    <cellStyle name="40% - Accent1 6 2_Volatility" xfId="4474" xr:uid="{00000000-0005-0000-0000-00007D4F0000}"/>
    <cellStyle name="40% - Accent1 6 3" xfId="4475" xr:uid="{00000000-0005-0000-0000-00007E4F0000}"/>
    <cellStyle name="40% - Accent1 6 3 2" xfId="4476" xr:uid="{00000000-0005-0000-0000-00007F4F0000}"/>
    <cellStyle name="40% - Accent1 6 3 2 2" xfId="4477" xr:uid="{00000000-0005-0000-0000-0000804F0000}"/>
    <cellStyle name="40% - Accent1 6 3 2 2 2" xfId="15585" xr:uid="{00000000-0005-0000-0000-0000814F0000}"/>
    <cellStyle name="40% - Accent1 6 3 2 2 2 2" xfId="27442" xr:uid="{00000000-0005-0000-0000-0000824F0000}"/>
    <cellStyle name="40% - Accent1 6 3 2 2 3" xfId="19536" xr:uid="{00000000-0005-0000-0000-0000834F0000}"/>
    <cellStyle name="40% - Accent1 6 3 2 2 3 2" xfId="31228" xr:uid="{00000000-0005-0000-0000-0000844F0000}"/>
    <cellStyle name="40% - Accent1 6 3 2 2 4" xfId="23582" xr:uid="{00000000-0005-0000-0000-0000854F0000}"/>
    <cellStyle name="40% - Accent1 6 3 2 3" xfId="4478" xr:uid="{00000000-0005-0000-0000-0000864F0000}"/>
    <cellStyle name="40% - Accent1 6 3 2 3 2" xfId="15586" xr:uid="{00000000-0005-0000-0000-0000874F0000}"/>
    <cellStyle name="40% - Accent1 6 3 2 3 2 2" xfId="27443" xr:uid="{00000000-0005-0000-0000-0000884F0000}"/>
    <cellStyle name="40% - Accent1 6 3 2 3 3" xfId="19537" xr:uid="{00000000-0005-0000-0000-0000894F0000}"/>
    <cellStyle name="40% - Accent1 6 3 2 3 3 2" xfId="31229" xr:uid="{00000000-0005-0000-0000-00008A4F0000}"/>
    <cellStyle name="40% - Accent1 6 3 2 3 4" xfId="23583" xr:uid="{00000000-0005-0000-0000-00008B4F0000}"/>
    <cellStyle name="40% - Accent1 6 3 2 4" xfId="15584" xr:uid="{00000000-0005-0000-0000-00008C4F0000}"/>
    <cellStyle name="40% - Accent1 6 3 2 4 2" xfId="27441" xr:uid="{00000000-0005-0000-0000-00008D4F0000}"/>
    <cellStyle name="40% - Accent1 6 3 2 5" xfId="19535" xr:uid="{00000000-0005-0000-0000-00008E4F0000}"/>
    <cellStyle name="40% - Accent1 6 3 2 5 2" xfId="31227" xr:uid="{00000000-0005-0000-0000-00008F4F0000}"/>
    <cellStyle name="40% - Accent1 6 3 2 6" xfId="23581" xr:uid="{00000000-0005-0000-0000-0000904F0000}"/>
    <cellStyle name="40% - Accent1 6 3 3" xfId="4479" xr:uid="{00000000-0005-0000-0000-0000914F0000}"/>
    <cellStyle name="40% - Accent1 6 3 3 2" xfId="4480" xr:uid="{00000000-0005-0000-0000-0000924F0000}"/>
    <cellStyle name="40% - Accent1 6 3 3 2 2" xfId="15588" xr:uid="{00000000-0005-0000-0000-0000934F0000}"/>
    <cellStyle name="40% - Accent1 6 3 3 2 2 2" xfId="27445" xr:uid="{00000000-0005-0000-0000-0000944F0000}"/>
    <cellStyle name="40% - Accent1 6 3 3 2 3" xfId="19539" xr:uid="{00000000-0005-0000-0000-0000954F0000}"/>
    <cellStyle name="40% - Accent1 6 3 3 2 3 2" xfId="31231" xr:uid="{00000000-0005-0000-0000-0000964F0000}"/>
    <cellStyle name="40% - Accent1 6 3 3 2 4" xfId="23585" xr:uid="{00000000-0005-0000-0000-0000974F0000}"/>
    <cellStyle name="40% - Accent1 6 3 3 3" xfId="4481" xr:uid="{00000000-0005-0000-0000-0000984F0000}"/>
    <cellStyle name="40% - Accent1 6 3 3 3 2" xfId="15589" xr:uid="{00000000-0005-0000-0000-0000994F0000}"/>
    <cellStyle name="40% - Accent1 6 3 3 3 2 2" xfId="27446" xr:uid="{00000000-0005-0000-0000-00009A4F0000}"/>
    <cellStyle name="40% - Accent1 6 3 3 3 3" xfId="19540" xr:uid="{00000000-0005-0000-0000-00009B4F0000}"/>
    <cellStyle name="40% - Accent1 6 3 3 3 3 2" xfId="31232" xr:uid="{00000000-0005-0000-0000-00009C4F0000}"/>
    <cellStyle name="40% - Accent1 6 3 3 3 4" xfId="23586" xr:uid="{00000000-0005-0000-0000-00009D4F0000}"/>
    <cellStyle name="40% - Accent1 6 3 3 4" xfId="15587" xr:uid="{00000000-0005-0000-0000-00009E4F0000}"/>
    <cellStyle name="40% - Accent1 6 3 3 4 2" xfId="27444" xr:uid="{00000000-0005-0000-0000-00009F4F0000}"/>
    <cellStyle name="40% - Accent1 6 3 3 5" xfId="19538" xr:uid="{00000000-0005-0000-0000-0000A04F0000}"/>
    <cellStyle name="40% - Accent1 6 3 3 5 2" xfId="31230" xr:uid="{00000000-0005-0000-0000-0000A14F0000}"/>
    <cellStyle name="40% - Accent1 6 3 3 6" xfId="23584" xr:uid="{00000000-0005-0000-0000-0000A24F0000}"/>
    <cellStyle name="40% - Accent1 6 3 4" xfId="4482" xr:uid="{00000000-0005-0000-0000-0000A34F0000}"/>
    <cellStyle name="40% - Accent1 6 3 4 2" xfId="15590" xr:uid="{00000000-0005-0000-0000-0000A44F0000}"/>
    <cellStyle name="40% - Accent1 6 3 4 2 2" xfId="27447" xr:uid="{00000000-0005-0000-0000-0000A54F0000}"/>
    <cellStyle name="40% - Accent1 6 3 4 3" xfId="19541" xr:uid="{00000000-0005-0000-0000-0000A64F0000}"/>
    <cellStyle name="40% - Accent1 6 3 4 3 2" xfId="31233" xr:uid="{00000000-0005-0000-0000-0000A74F0000}"/>
    <cellStyle name="40% - Accent1 6 3 4 4" xfId="23587" xr:uid="{00000000-0005-0000-0000-0000A84F0000}"/>
    <cellStyle name="40% - Accent1 6 3 5" xfId="4483" xr:uid="{00000000-0005-0000-0000-0000A94F0000}"/>
    <cellStyle name="40% - Accent1 6 3 5 2" xfId="15591" xr:uid="{00000000-0005-0000-0000-0000AA4F0000}"/>
    <cellStyle name="40% - Accent1 6 3 5 2 2" xfId="27448" xr:uid="{00000000-0005-0000-0000-0000AB4F0000}"/>
    <cellStyle name="40% - Accent1 6 3 5 3" xfId="19542" xr:uid="{00000000-0005-0000-0000-0000AC4F0000}"/>
    <cellStyle name="40% - Accent1 6 3 5 3 2" xfId="31234" xr:uid="{00000000-0005-0000-0000-0000AD4F0000}"/>
    <cellStyle name="40% - Accent1 6 3 5 4" xfId="23588" xr:uid="{00000000-0005-0000-0000-0000AE4F0000}"/>
    <cellStyle name="40% - Accent1 6 3 6" xfId="15583" xr:uid="{00000000-0005-0000-0000-0000AF4F0000}"/>
    <cellStyle name="40% - Accent1 6 3 6 2" xfId="27440" xr:uid="{00000000-0005-0000-0000-0000B04F0000}"/>
    <cellStyle name="40% - Accent1 6 3 7" xfId="19534" xr:uid="{00000000-0005-0000-0000-0000B14F0000}"/>
    <cellStyle name="40% - Accent1 6 3 7 2" xfId="31226" xr:uid="{00000000-0005-0000-0000-0000B24F0000}"/>
    <cellStyle name="40% - Accent1 6 3 8" xfId="23580" xr:uid="{00000000-0005-0000-0000-0000B34F0000}"/>
    <cellStyle name="40% - Accent1 6 3_Volatility" xfId="4484" xr:uid="{00000000-0005-0000-0000-0000B44F0000}"/>
    <cellStyle name="40% - Accent1 6 4" xfId="4485" xr:uid="{00000000-0005-0000-0000-0000B54F0000}"/>
    <cellStyle name="40% - Accent1 6 4 2" xfId="4486" xr:uid="{00000000-0005-0000-0000-0000B64F0000}"/>
    <cellStyle name="40% - Accent1 6 4 2 2" xfId="15593" xr:uid="{00000000-0005-0000-0000-0000B74F0000}"/>
    <cellStyle name="40% - Accent1 6 4 2 2 2" xfId="27450" xr:uid="{00000000-0005-0000-0000-0000B84F0000}"/>
    <cellStyle name="40% - Accent1 6 4 2 3" xfId="19544" xr:uid="{00000000-0005-0000-0000-0000B94F0000}"/>
    <cellStyle name="40% - Accent1 6 4 2 3 2" xfId="31236" xr:uid="{00000000-0005-0000-0000-0000BA4F0000}"/>
    <cellStyle name="40% - Accent1 6 4 2 4" xfId="23590" xr:uid="{00000000-0005-0000-0000-0000BB4F0000}"/>
    <cellStyle name="40% - Accent1 6 4 3" xfId="4487" xr:uid="{00000000-0005-0000-0000-0000BC4F0000}"/>
    <cellStyle name="40% - Accent1 6 4 3 2" xfId="15594" xr:uid="{00000000-0005-0000-0000-0000BD4F0000}"/>
    <cellStyle name="40% - Accent1 6 4 3 2 2" xfId="27451" xr:uid="{00000000-0005-0000-0000-0000BE4F0000}"/>
    <cellStyle name="40% - Accent1 6 4 3 3" xfId="19545" xr:uid="{00000000-0005-0000-0000-0000BF4F0000}"/>
    <cellStyle name="40% - Accent1 6 4 3 3 2" xfId="31237" xr:uid="{00000000-0005-0000-0000-0000C04F0000}"/>
    <cellStyle name="40% - Accent1 6 4 3 4" xfId="23591" xr:uid="{00000000-0005-0000-0000-0000C14F0000}"/>
    <cellStyle name="40% - Accent1 6 4 4" xfId="15592" xr:uid="{00000000-0005-0000-0000-0000C24F0000}"/>
    <cellStyle name="40% - Accent1 6 4 4 2" xfId="27449" xr:uid="{00000000-0005-0000-0000-0000C34F0000}"/>
    <cellStyle name="40% - Accent1 6 4 5" xfId="19543" xr:uid="{00000000-0005-0000-0000-0000C44F0000}"/>
    <cellStyle name="40% - Accent1 6 4 5 2" xfId="31235" xr:uid="{00000000-0005-0000-0000-0000C54F0000}"/>
    <cellStyle name="40% - Accent1 6 4 6" xfId="23589" xr:uid="{00000000-0005-0000-0000-0000C64F0000}"/>
    <cellStyle name="40% - Accent1 6 5" xfId="4488" xr:uid="{00000000-0005-0000-0000-0000C74F0000}"/>
    <cellStyle name="40% - Accent1 6 5 2" xfId="4489" xr:uid="{00000000-0005-0000-0000-0000C84F0000}"/>
    <cellStyle name="40% - Accent1 6 5 2 2" xfId="15596" xr:uid="{00000000-0005-0000-0000-0000C94F0000}"/>
    <cellStyle name="40% - Accent1 6 5 2 2 2" xfId="27453" xr:uid="{00000000-0005-0000-0000-0000CA4F0000}"/>
    <cellStyle name="40% - Accent1 6 5 2 3" xfId="19547" xr:uid="{00000000-0005-0000-0000-0000CB4F0000}"/>
    <cellStyle name="40% - Accent1 6 5 2 3 2" xfId="31239" xr:uid="{00000000-0005-0000-0000-0000CC4F0000}"/>
    <cellStyle name="40% - Accent1 6 5 2 4" xfId="23593" xr:uid="{00000000-0005-0000-0000-0000CD4F0000}"/>
    <cellStyle name="40% - Accent1 6 5 3" xfId="4490" xr:uid="{00000000-0005-0000-0000-0000CE4F0000}"/>
    <cellStyle name="40% - Accent1 6 5 3 2" xfId="15597" xr:uid="{00000000-0005-0000-0000-0000CF4F0000}"/>
    <cellStyle name="40% - Accent1 6 5 3 2 2" xfId="27454" xr:uid="{00000000-0005-0000-0000-0000D04F0000}"/>
    <cellStyle name="40% - Accent1 6 5 3 3" xfId="19548" xr:uid="{00000000-0005-0000-0000-0000D14F0000}"/>
    <cellStyle name="40% - Accent1 6 5 3 3 2" xfId="31240" xr:uid="{00000000-0005-0000-0000-0000D24F0000}"/>
    <cellStyle name="40% - Accent1 6 5 3 4" xfId="23594" xr:uid="{00000000-0005-0000-0000-0000D34F0000}"/>
    <cellStyle name="40% - Accent1 6 5 4" xfId="15595" xr:uid="{00000000-0005-0000-0000-0000D44F0000}"/>
    <cellStyle name="40% - Accent1 6 5 4 2" xfId="27452" xr:uid="{00000000-0005-0000-0000-0000D54F0000}"/>
    <cellStyle name="40% - Accent1 6 5 5" xfId="19546" xr:uid="{00000000-0005-0000-0000-0000D64F0000}"/>
    <cellStyle name="40% - Accent1 6 5 5 2" xfId="31238" xr:uid="{00000000-0005-0000-0000-0000D74F0000}"/>
    <cellStyle name="40% - Accent1 6 5 6" xfId="23592" xr:uid="{00000000-0005-0000-0000-0000D84F0000}"/>
    <cellStyle name="40% - Accent1 6 6" xfId="4491" xr:uid="{00000000-0005-0000-0000-0000D94F0000}"/>
    <cellStyle name="40% - Accent1 6 6 2" xfId="4492" xr:uid="{00000000-0005-0000-0000-0000DA4F0000}"/>
    <cellStyle name="40% - Accent1 6 6 2 2" xfId="15599" xr:uid="{00000000-0005-0000-0000-0000DB4F0000}"/>
    <cellStyle name="40% - Accent1 6 6 2 2 2" xfId="27456" xr:uid="{00000000-0005-0000-0000-0000DC4F0000}"/>
    <cellStyle name="40% - Accent1 6 6 2 3" xfId="19550" xr:uid="{00000000-0005-0000-0000-0000DD4F0000}"/>
    <cellStyle name="40% - Accent1 6 6 2 3 2" xfId="31242" xr:uid="{00000000-0005-0000-0000-0000DE4F0000}"/>
    <cellStyle name="40% - Accent1 6 6 2 4" xfId="23596" xr:uid="{00000000-0005-0000-0000-0000DF4F0000}"/>
    <cellStyle name="40% - Accent1 6 6 3" xfId="4493" xr:uid="{00000000-0005-0000-0000-0000E04F0000}"/>
    <cellStyle name="40% - Accent1 6 6 3 2" xfId="15600" xr:uid="{00000000-0005-0000-0000-0000E14F0000}"/>
    <cellStyle name="40% - Accent1 6 6 3 2 2" xfId="27457" xr:uid="{00000000-0005-0000-0000-0000E24F0000}"/>
    <cellStyle name="40% - Accent1 6 6 3 3" xfId="19551" xr:uid="{00000000-0005-0000-0000-0000E34F0000}"/>
    <cellStyle name="40% - Accent1 6 6 3 3 2" xfId="31243" xr:uid="{00000000-0005-0000-0000-0000E44F0000}"/>
    <cellStyle name="40% - Accent1 6 6 3 4" xfId="23597" xr:uid="{00000000-0005-0000-0000-0000E54F0000}"/>
    <cellStyle name="40% - Accent1 6 6 4" xfId="15598" xr:uid="{00000000-0005-0000-0000-0000E64F0000}"/>
    <cellStyle name="40% - Accent1 6 6 4 2" xfId="27455" xr:uid="{00000000-0005-0000-0000-0000E74F0000}"/>
    <cellStyle name="40% - Accent1 6 6 5" xfId="19549" xr:uid="{00000000-0005-0000-0000-0000E84F0000}"/>
    <cellStyle name="40% - Accent1 6 6 5 2" xfId="31241" xr:uid="{00000000-0005-0000-0000-0000E94F0000}"/>
    <cellStyle name="40% - Accent1 6 6 6" xfId="23595" xr:uid="{00000000-0005-0000-0000-0000EA4F0000}"/>
    <cellStyle name="40% - Accent1 6 7" xfId="4494" xr:uid="{00000000-0005-0000-0000-0000EB4F0000}"/>
    <cellStyle name="40% - Accent1 6 7 2" xfId="15601" xr:uid="{00000000-0005-0000-0000-0000EC4F0000}"/>
    <cellStyle name="40% - Accent1 6 7 2 2" xfId="27458" xr:uid="{00000000-0005-0000-0000-0000ED4F0000}"/>
    <cellStyle name="40% - Accent1 6 7 3" xfId="19552" xr:uid="{00000000-0005-0000-0000-0000EE4F0000}"/>
    <cellStyle name="40% - Accent1 6 7 3 2" xfId="31244" xr:uid="{00000000-0005-0000-0000-0000EF4F0000}"/>
    <cellStyle name="40% - Accent1 6 7 4" xfId="23598" xr:uid="{00000000-0005-0000-0000-0000F04F0000}"/>
    <cellStyle name="40% - Accent1 6 8" xfId="4495" xr:uid="{00000000-0005-0000-0000-0000F14F0000}"/>
    <cellStyle name="40% - Accent1 6 8 2" xfId="15602" xr:uid="{00000000-0005-0000-0000-0000F24F0000}"/>
    <cellStyle name="40% - Accent1 6 8 2 2" xfId="27459" xr:uid="{00000000-0005-0000-0000-0000F34F0000}"/>
    <cellStyle name="40% - Accent1 6 8 3" xfId="19553" xr:uid="{00000000-0005-0000-0000-0000F44F0000}"/>
    <cellStyle name="40% - Accent1 6 8 3 2" xfId="31245" xr:uid="{00000000-0005-0000-0000-0000F54F0000}"/>
    <cellStyle name="40% - Accent1 6 8 4" xfId="23599" xr:uid="{00000000-0005-0000-0000-0000F64F0000}"/>
    <cellStyle name="40% - Accent1 6 9" xfId="15570" xr:uid="{00000000-0005-0000-0000-0000F74F0000}"/>
    <cellStyle name="40% - Accent1 6 9 2" xfId="27427" xr:uid="{00000000-0005-0000-0000-0000F84F0000}"/>
    <cellStyle name="40% - Accent1 6_Volatility" xfId="4496" xr:uid="{00000000-0005-0000-0000-0000F94F0000}"/>
    <cellStyle name="40% - Accent1 7" xfId="4497" xr:uid="{00000000-0005-0000-0000-0000FA4F0000}"/>
    <cellStyle name="40% - Accent1 7 10" xfId="19554" xr:uid="{00000000-0005-0000-0000-0000FB4F0000}"/>
    <cellStyle name="40% - Accent1 7 10 2" xfId="31246" xr:uid="{00000000-0005-0000-0000-0000FC4F0000}"/>
    <cellStyle name="40% - Accent1 7 11" xfId="23600" xr:uid="{00000000-0005-0000-0000-0000FD4F0000}"/>
    <cellStyle name="40% - Accent1 7 2" xfId="4498" xr:uid="{00000000-0005-0000-0000-0000FE4F0000}"/>
    <cellStyle name="40% - Accent1 7 2 2" xfId="4499" xr:uid="{00000000-0005-0000-0000-0000FF4F0000}"/>
    <cellStyle name="40% - Accent1 7 2 2 2" xfId="4500" xr:uid="{00000000-0005-0000-0000-000000500000}"/>
    <cellStyle name="40% - Accent1 7 2 2 2 2" xfId="15606" xr:uid="{00000000-0005-0000-0000-000001500000}"/>
    <cellStyle name="40% - Accent1 7 2 2 2 2 2" xfId="27463" xr:uid="{00000000-0005-0000-0000-000002500000}"/>
    <cellStyle name="40% - Accent1 7 2 2 2 3" xfId="19557" xr:uid="{00000000-0005-0000-0000-000003500000}"/>
    <cellStyle name="40% - Accent1 7 2 2 2 3 2" xfId="31249" xr:uid="{00000000-0005-0000-0000-000004500000}"/>
    <cellStyle name="40% - Accent1 7 2 2 2 4" xfId="23603" xr:uid="{00000000-0005-0000-0000-000005500000}"/>
    <cellStyle name="40% - Accent1 7 2 2 3" xfId="4501" xr:uid="{00000000-0005-0000-0000-000006500000}"/>
    <cellStyle name="40% - Accent1 7 2 2 3 2" xfId="15607" xr:uid="{00000000-0005-0000-0000-000007500000}"/>
    <cellStyle name="40% - Accent1 7 2 2 3 2 2" xfId="27464" xr:uid="{00000000-0005-0000-0000-000008500000}"/>
    <cellStyle name="40% - Accent1 7 2 2 3 3" xfId="19558" xr:uid="{00000000-0005-0000-0000-000009500000}"/>
    <cellStyle name="40% - Accent1 7 2 2 3 3 2" xfId="31250" xr:uid="{00000000-0005-0000-0000-00000A500000}"/>
    <cellStyle name="40% - Accent1 7 2 2 3 4" xfId="23604" xr:uid="{00000000-0005-0000-0000-00000B500000}"/>
    <cellStyle name="40% - Accent1 7 2 2 4" xfId="15605" xr:uid="{00000000-0005-0000-0000-00000C500000}"/>
    <cellStyle name="40% - Accent1 7 2 2 4 2" xfId="27462" xr:uid="{00000000-0005-0000-0000-00000D500000}"/>
    <cellStyle name="40% - Accent1 7 2 2 5" xfId="19556" xr:uid="{00000000-0005-0000-0000-00000E500000}"/>
    <cellStyle name="40% - Accent1 7 2 2 5 2" xfId="31248" xr:uid="{00000000-0005-0000-0000-00000F500000}"/>
    <cellStyle name="40% - Accent1 7 2 2 6" xfId="23602" xr:uid="{00000000-0005-0000-0000-000010500000}"/>
    <cellStyle name="40% - Accent1 7 2 3" xfId="4502" xr:uid="{00000000-0005-0000-0000-000011500000}"/>
    <cellStyle name="40% - Accent1 7 2 3 2" xfId="4503" xr:uid="{00000000-0005-0000-0000-000012500000}"/>
    <cellStyle name="40% - Accent1 7 2 3 2 2" xfId="15609" xr:uid="{00000000-0005-0000-0000-000013500000}"/>
    <cellStyle name="40% - Accent1 7 2 3 2 2 2" xfId="27466" xr:uid="{00000000-0005-0000-0000-000014500000}"/>
    <cellStyle name="40% - Accent1 7 2 3 2 3" xfId="19560" xr:uid="{00000000-0005-0000-0000-000015500000}"/>
    <cellStyle name="40% - Accent1 7 2 3 2 3 2" xfId="31252" xr:uid="{00000000-0005-0000-0000-000016500000}"/>
    <cellStyle name="40% - Accent1 7 2 3 2 4" xfId="23606" xr:uid="{00000000-0005-0000-0000-000017500000}"/>
    <cellStyle name="40% - Accent1 7 2 3 3" xfId="4504" xr:uid="{00000000-0005-0000-0000-000018500000}"/>
    <cellStyle name="40% - Accent1 7 2 3 3 2" xfId="15610" xr:uid="{00000000-0005-0000-0000-000019500000}"/>
    <cellStyle name="40% - Accent1 7 2 3 3 2 2" xfId="27467" xr:uid="{00000000-0005-0000-0000-00001A500000}"/>
    <cellStyle name="40% - Accent1 7 2 3 3 3" xfId="19561" xr:uid="{00000000-0005-0000-0000-00001B500000}"/>
    <cellStyle name="40% - Accent1 7 2 3 3 3 2" xfId="31253" xr:uid="{00000000-0005-0000-0000-00001C500000}"/>
    <cellStyle name="40% - Accent1 7 2 3 3 4" xfId="23607" xr:uid="{00000000-0005-0000-0000-00001D500000}"/>
    <cellStyle name="40% - Accent1 7 2 3 4" xfId="15608" xr:uid="{00000000-0005-0000-0000-00001E500000}"/>
    <cellStyle name="40% - Accent1 7 2 3 4 2" xfId="27465" xr:uid="{00000000-0005-0000-0000-00001F500000}"/>
    <cellStyle name="40% - Accent1 7 2 3 5" xfId="19559" xr:uid="{00000000-0005-0000-0000-000020500000}"/>
    <cellStyle name="40% - Accent1 7 2 3 5 2" xfId="31251" xr:uid="{00000000-0005-0000-0000-000021500000}"/>
    <cellStyle name="40% - Accent1 7 2 3 6" xfId="23605" xr:uid="{00000000-0005-0000-0000-000022500000}"/>
    <cellStyle name="40% - Accent1 7 2 4" xfId="4505" xr:uid="{00000000-0005-0000-0000-000023500000}"/>
    <cellStyle name="40% - Accent1 7 2 4 2" xfId="4506" xr:uid="{00000000-0005-0000-0000-000024500000}"/>
    <cellStyle name="40% - Accent1 7 2 4 2 2" xfId="15612" xr:uid="{00000000-0005-0000-0000-000025500000}"/>
    <cellStyle name="40% - Accent1 7 2 4 2 2 2" xfId="27469" xr:uid="{00000000-0005-0000-0000-000026500000}"/>
    <cellStyle name="40% - Accent1 7 2 4 2 3" xfId="19563" xr:uid="{00000000-0005-0000-0000-000027500000}"/>
    <cellStyle name="40% - Accent1 7 2 4 2 3 2" xfId="31255" xr:uid="{00000000-0005-0000-0000-000028500000}"/>
    <cellStyle name="40% - Accent1 7 2 4 2 4" xfId="23609" xr:uid="{00000000-0005-0000-0000-000029500000}"/>
    <cellStyle name="40% - Accent1 7 2 4 3" xfId="4507" xr:uid="{00000000-0005-0000-0000-00002A500000}"/>
    <cellStyle name="40% - Accent1 7 2 4 3 2" xfId="15613" xr:uid="{00000000-0005-0000-0000-00002B500000}"/>
    <cellStyle name="40% - Accent1 7 2 4 3 2 2" xfId="27470" xr:uid="{00000000-0005-0000-0000-00002C500000}"/>
    <cellStyle name="40% - Accent1 7 2 4 3 3" xfId="19564" xr:uid="{00000000-0005-0000-0000-00002D500000}"/>
    <cellStyle name="40% - Accent1 7 2 4 3 3 2" xfId="31256" xr:uid="{00000000-0005-0000-0000-00002E500000}"/>
    <cellStyle name="40% - Accent1 7 2 4 3 4" xfId="23610" xr:uid="{00000000-0005-0000-0000-00002F500000}"/>
    <cellStyle name="40% - Accent1 7 2 4 4" xfId="15611" xr:uid="{00000000-0005-0000-0000-000030500000}"/>
    <cellStyle name="40% - Accent1 7 2 4 4 2" xfId="27468" xr:uid="{00000000-0005-0000-0000-000031500000}"/>
    <cellStyle name="40% - Accent1 7 2 4 5" xfId="19562" xr:uid="{00000000-0005-0000-0000-000032500000}"/>
    <cellStyle name="40% - Accent1 7 2 4 5 2" xfId="31254" xr:uid="{00000000-0005-0000-0000-000033500000}"/>
    <cellStyle name="40% - Accent1 7 2 4 6" xfId="23608" xr:uid="{00000000-0005-0000-0000-000034500000}"/>
    <cellStyle name="40% - Accent1 7 2 5" xfId="4508" xr:uid="{00000000-0005-0000-0000-000035500000}"/>
    <cellStyle name="40% - Accent1 7 2 5 2" xfId="15614" xr:uid="{00000000-0005-0000-0000-000036500000}"/>
    <cellStyle name="40% - Accent1 7 2 5 2 2" xfId="27471" xr:uid="{00000000-0005-0000-0000-000037500000}"/>
    <cellStyle name="40% - Accent1 7 2 5 3" xfId="19565" xr:uid="{00000000-0005-0000-0000-000038500000}"/>
    <cellStyle name="40% - Accent1 7 2 5 3 2" xfId="31257" xr:uid="{00000000-0005-0000-0000-000039500000}"/>
    <cellStyle name="40% - Accent1 7 2 5 4" xfId="23611" xr:uid="{00000000-0005-0000-0000-00003A500000}"/>
    <cellStyle name="40% - Accent1 7 2 6" xfId="4509" xr:uid="{00000000-0005-0000-0000-00003B500000}"/>
    <cellStyle name="40% - Accent1 7 2 6 2" xfId="15615" xr:uid="{00000000-0005-0000-0000-00003C500000}"/>
    <cellStyle name="40% - Accent1 7 2 6 2 2" xfId="27472" xr:uid="{00000000-0005-0000-0000-00003D500000}"/>
    <cellStyle name="40% - Accent1 7 2 6 3" xfId="19566" xr:uid="{00000000-0005-0000-0000-00003E500000}"/>
    <cellStyle name="40% - Accent1 7 2 6 3 2" xfId="31258" xr:uid="{00000000-0005-0000-0000-00003F500000}"/>
    <cellStyle name="40% - Accent1 7 2 6 4" xfId="23612" xr:uid="{00000000-0005-0000-0000-000040500000}"/>
    <cellStyle name="40% - Accent1 7 2 7" xfId="15604" xr:uid="{00000000-0005-0000-0000-000041500000}"/>
    <cellStyle name="40% - Accent1 7 2 7 2" xfId="27461" xr:uid="{00000000-0005-0000-0000-000042500000}"/>
    <cellStyle name="40% - Accent1 7 2 8" xfId="19555" xr:uid="{00000000-0005-0000-0000-000043500000}"/>
    <cellStyle name="40% - Accent1 7 2 8 2" xfId="31247" xr:uid="{00000000-0005-0000-0000-000044500000}"/>
    <cellStyle name="40% - Accent1 7 2 9" xfId="23601" xr:uid="{00000000-0005-0000-0000-000045500000}"/>
    <cellStyle name="40% - Accent1 7 2_Volatility" xfId="4510" xr:uid="{00000000-0005-0000-0000-000046500000}"/>
    <cellStyle name="40% - Accent1 7 3" xfId="4511" xr:uid="{00000000-0005-0000-0000-000047500000}"/>
    <cellStyle name="40% - Accent1 7 3 2" xfId="4512" xr:uid="{00000000-0005-0000-0000-000048500000}"/>
    <cellStyle name="40% - Accent1 7 3 2 2" xfId="4513" xr:uid="{00000000-0005-0000-0000-000049500000}"/>
    <cellStyle name="40% - Accent1 7 3 2 2 2" xfId="15618" xr:uid="{00000000-0005-0000-0000-00004A500000}"/>
    <cellStyle name="40% - Accent1 7 3 2 2 2 2" xfId="27475" xr:uid="{00000000-0005-0000-0000-00004B500000}"/>
    <cellStyle name="40% - Accent1 7 3 2 2 3" xfId="19569" xr:uid="{00000000-0005-0000-0000-00004C500000}"/>
    <cellStyle name="40% - Accent1 7 3 2 2 3 2" xfId="31261" xr:uid="{00000000-0005-0000-0000-00004D500000}"/>
    <cellStyle name="40% - Accent1 7 3 2 2 4" xfId="23615" xr:uid="{00000000-0005-0000-0000-00004E500000}"/>
    <cellStyle name="40% - Accent1 7 3 2 3" xfId="4514" xr:uid="{00000000-0005-0000-0000-00004F500000}"/>
    <cellStyle name="40% - Accent1 7 3 2 3 2" xfId="15619" xr:uid="{00000000-0005-0000-0000-000050500000}"/>
    <cellStyle name="40% - Accent1 7 3 2 3 2 2" xfId="27476" xr:uid="{00000000-0005-0000-0000-000051500000}"/>
    <cellStyle name="40% - Accent1 7 3 2 3 3" xfId="19570" xr:uid="{00000000-0005-0000-0000-000052500000}"/>
    <cellStyle name="40% - Accent1 7 3 2 3 3 2" xfId="31262" xr:uid="{00000000-0005-0000-0000-000053500000}"/>
    <cellStyle name="40% - Accent1 7 3 2 3 4" xfId="23616" xr:uid="{00000000-0005-0000-0000-000054500000}"/>
    <cellStyle name="40% - Accent1 7 3 2 4" xfId="15617" xr:uid="{00000000-0005-0000-0000-000055500000}"/>
    <cellStyle name="40% - Accent1 7 3 2 4 2" xfId="27474" xr:uid="{00000000-0005-0000-0000-000056500000}"/>
    <cellStyle name="40% - Accent1 7 3 2 5" xfId="19568" xr:uid="{00000000-0005-0000-0000-000057500000}"/>
    <cellStyle name="40% - Accent1 7 3 2 5 2" xfId="31260" xr:uid="{00000000-0005-0000-0000-000058500000}"/>
    <cellStyle name="40% - Accent1 7 3 2 6" xfId="23614" xr:uid="{00000000-0005-0000-0000-000059500000}"/>
    <cellStyle name="40% - Accent1 7 3 3" xfId="4515" xr:uid="{00000000-0005-0000-0000-00005A500000}"/>
    <cellStyle name="40% - Accent1 7 3 3 2" xfId="4516" xr:uid="{00000000-0005-0000-0000-00005B500000}"/>
    <cellStyle name="40% - Accent1 7 3 3 2 2" xfId="15621" xr:uid="{00000000-0005-0000-0000-00005C500000}"/>
    <cellStyle name="40% - Accent1 7 3 3 2 2 2" xfId="27478" xr:uid="{00000000-0005-0000-0000-00005D500000}"/>
    <cellStyle name="40% - Accent1 7 3 3 2 3" xfId="19572" xr:uid="{00000000-0005-0000-0000-00005E500000}"/>
    <cellStyle name="40% - Accent1 7 3 3 2 3 2" xfId="31264" xr:uid="{00000000-0005-0000-0000-00005F500000}"/>
    <cellStyle name="40% - Accent1 7 3 3 2 4" xfId="23618" xr:uid="{00000000-0005-0000-0000-000060500000}"/>
    <cellStyle name="40% - Accent1 7 3 3 3" xfId="4517" xr:uid="{00000000-0005-0000-0000-000061500000}"/>
    <cellStyle name="40% - Accent1 7 3 3 3 2" xfId="15622" xr:uid="{00000000-0005-0000-0000-000062500000}"/>
    <cellStyle name="40% - Accent1 7 3 3 3 2 2" xfId="27479" xr:uid="{00000000-0005-0000-0000-000063500000}"/>
    <cellStyle name="40% - Accent1 7 3 3 3 3" xfId="19573" xr:uid="{00000000-0005-0000-0000-000064500000}"/>
    <cellStyle name="40% - Accent1 7 3 3 3 3 2" xfId="31265" xr:uid="{00000000-0005-0000-0000-000065500000}"/>
    <cellStyle name="40% - Accent1 7 3 3 3 4" xfId="23619" xr:uid="{00000000-0005-0000-0000-000066500000}"/>
    <cellStyle name="40% - Accent1 7 3 3 4" xfId="15620" xr:uid="{00000000-0005-0000-0000-000067500000}"/>
    <cellStyle name="40% - Accent1 7 3 3 4 2" xfId="27477" xr:uid="{00000000-0005-0000-0000-000068500000}"/>
    <cellStyle name="40% - Accent1 7 3 3 5" xfId="19571" xr:uid="{00000000-0005-0000-0000-000069500000}"/>
    <cellStyle name="40% - Accent1 7 3 3 5 2" xfId="31263" xr:uid="{00000000-0005-0000-0000-00006A500000}"/>
    <cellStyle name="40% - Accent1 7 3 3 6" xfId="23617" xr:uid="{00000000-0005-0000-0000-00006B500000}"/>
    <cellStyle name="40% - Accent1 7 3 4" xfId="4518" xr:uid="{00000000-0005-0000-0000-00006C500000}"/>
    <cellStyle name="40% - Accent1 7 3 4 2" xfId="15623" xr:uid="{00000000-0005-0000-0000-00006D500000}"/>
    <cellStyle name="40% - Accent1 7 3 4 2 2" xfId="27480" xr:uid="{00000000-0005-0000-0000-00006E500000}"/>
    <cellStyle name="40% - Accent1 7 3 4 3" xfId="19574" xr:uid="{00000000-0005-0000-0000-00006F500000}"/>
    <cellStyle name="40% - Accent1 7 3 4 3 2" xfId="31266" xr:uid="{00000000-0005-0000-0000-000070500000}"/>
    <cellStyle name="40% - Accent1 7 3 4 4" xfId="23620" xr:uid="{00000000-0005-0000-0000-000071500000}"/>
    <cellStyle name="40% - Accent1 7 3 5" xfId="4519" xr:uid="{00000000-0005-0000-0000-000072500000}"/>
    <cellStyle name="40% - Accent1 7 3 5 2" xfId="15624" xr:uid="{00000000-0005-0000-0000-000073500000}"/>
    <cellStyle name="40% - Accent1 7 3 5 2 2" xfId="27481" xr:uid="{00000000-0005-0000-0000-000074500000}"/>
    <cellStyle name="40% - Accent1 7 3 5 3" xfId="19575" xr:uid="{00000000-0005-0000-0000-000075500000}"/>
    <cellStyle name="40% - Accent1 7 3 5 3 2" xfId="31267" xr:uid="{00000000-0005-0000-0000-000076500000}"/>
    <cellStyle name="40% - Accent1 7 3 5 4" xfId="23621" xr:uid="{00000000-0005-0000-0000-000077500000}"/>
    <cellStyle name="40% - Accent1 7 3 6" xfId="15616" xr:uid="{00000000-0005-0000-0000-000078500000}"/>
    <cellStyle name="40% - Accent1 7 3 6 2" xfId="27473" xr:uid="{00000000-0005-0000-0000-000079500000}"/>
    <cellStyle name="40% - Accent1 7 3 7" xfId="19567" xr:uid="{00000000-0005-0000-0000-00007A500000}"/>
    <cellStyle name="40% - Accent1 7 3 7 2" xfId="31259" xr:uid="{00000000-0005-0000-0000-00007B500000}"/>
    <cellStyle name="40% - Accent1 7 3 8" xfId="23613" xr:uid="{00000000-0005-0000-0000-00007C500000}"/>
    <cellStyle name="40% - Accent1 7 3_Volatility" xfId="4520" xr:uid="{00000000-0005-0000-0000-00007D500000}"/>
    <cellStyle name="40% - Accent1 7 4" xfId="4521" xr:uid="{00000000-0005-0000-0000-00007E500000}"/>
    <cellStyle name="40% - Accent1 7 4 2" xfId="4522" xr:uid="{00000000-0005-0000-0000-00007F500000}"/>
    <cellStyle name="40% - Accent1 7 4 2 2" xfId="15626" xr:uid="{00000000-0005-0000-0000-000080500000}"/>
    <cellStyle name="40% - Accent1 7 4 2 2 2" xfId="27483" xr:uid="{00000000-0005-0000-0000-000081500000}"/>
    <cellStyle name="40% - Accent1 7 4 2 3" xfId="19577" xr:uid="{00000000-0005-0000-0000-000082500000}"/>
    <cellStyle name="40% - Accent1 7 4 2 3 2" xfId="31269" xr:uid="{00000000-0005-0000-0000-000083500000}"/>
    <cellStyle name="40% - Accent1 7 4 2 4" xfId="23623" xr:uid="{00000000-0005-0000-0000-000084500000}"/>
    <cellStyle name="40% - Accent1 7 4 3" xfId="4523" xr:uid="{00000000-0005-0000-0000-000085500000}"/>
    <cellStyle name="40% - Accent1 7 4 3 2" xfId="15627" xr:uid="{00000000-0005-0000-0000-000086500000}"/>
    <cellStyle name="40% - Accent1 7 4 3 2 2" xfId="27484" xr:uid="{00000000-0005-0000-0000-000087500000}"/>
    <cellStyle name="40% - Accent1 7 4 3 3" xfId="19578" xr:uid="{00000000-0005-0000-0000-000088500000}"/>
    <cellStyle name="40% - Accent1 7 4 3 3 2" xfId="31270" xr:uid="{00000000-0005-0000-0000-000089500000}"/>
    <cellStyle name="40% - Accent1 7 4 3 4" xfId="23624" xr:uid="{00000000-0005-0000-0000-00008A500000}"/>
    <cellStyle name="40% - Accent1 7 4 4" xfId="15625" xr:uid="{00000000-0005-0000-0000-00008B500000}"/>
    <cellStyle name="40% - Accent1 7 4 4 2" xfId="27482" xr:uid="{00000000-0005-0000-0000-00008C500000}"/>
    <cellStyle name="40% - Accent1 7 4 5" xfId="19576" xr:uid="{00000000-0005-0000-0000-00008D500000}"/>
    <cellStyle name="40% - Accent1 7 4 5 2" xfId="31268" xr:uid="{00000000-0005-0000-0000-00008E500000}"/>
    <cellStyle name="40% - Accent1 7 4 6" xfId="23622" xr:uid="{00000000-0005-0000-0000-00008F500000}"/>
    <cellStyle name="40% - Accent1 7 5" xfId="4524" xr:uid="{00000000-0005-0000-0000-000090500000}"/>
    <cellStyle name="40% - Accent1 7 5 2" xfId="4525" xr:uid="{00000000-0005-0000-0000-000091500000}"/>
    <cellStyle name="40% - Accent1 7 5 2 2" xfId="15629" xr:uid="{00000000-0005-0000-0000-000092500000}"/>
    <cellStyle name="40% - Accent1 7 5 2 2 2" xfId="27486" xr:uid="{00000000-0005-0000-0000-000093500000}"/>
    <cellStyle name="40% - Accent1 7 5 2 3" xfId="19580" xr:uid="{00000000-0005-0000-0000-000094500000}"/>
    <cellStyle name="40% - Accent1 7 5 2 3 2" xfId="31272" xr:uid="{00000000-0005-0000-0000-000095500000}"/>
    <cellStyle name="40% - Accent1 7 5 2 4" xfId="23626" xr:uid="{00000000-0005-0000-0000-000096500000}"/>
    <cellStyle name="40% - Accent1 7 5 3" xfId="4526" xr:uid="{00000000-0005-0000-0000-000097500000}"/>
    <cellStyle name="40% - Accent1 7 5 3 2" xfId="15630" xr:uid="{00000000-0005-0000-0000-000098500000}"/>
    <cellStyle name="40% - Accent1 7 5 3 2 2" xfId="27487" xr:uid="{00000000-0005-0000-0000-000099500000}"/>
    <cellStyle name="40% - Accent1 7 5 3 3" xfId="19581" xr:uid="{00000000-0005-0000-0000-00009A500000}"/>
    <cellStyle name="40% - Accent1 7 5 3 3 2" xfId="31273" xr:uid="{00000000-0005-0000-0000-00009B500000}"/>
    <cellStyle name="40% - Accent1 7 5 3 4" xfId="23627" xr:uid="{00000000-0005-0000-0000-00009C500000}"/>
    <cellStyle name="40% - Accent1 7 5 4" xfId="15628" xr:uid="{00000000-0005-0000-0000-00009D500000}"/>
    <cellStyle name="40% - Accent1 7 5 4 2" xfId="27485" xr:uid="{00000000-0005-0000-0000-00009E500000}"/>
    <cellStyle name="40% - Accent1 7 5 5" xfId="19579" xr:uid="{00000000-0005-0000-0000-00009F500000}"/>
    <cellStyle name="40% - Accent1 7 5 5 2" xfId="31271" xr:uid="{00000000-0005-0000-0000-0000A0500000}"/>
    <cellStyle name="40% - Accent1 7 5 6" xfId="23625" xr:uid="{00000000-0005-0000-0000-0000A1500000}"/>
    <cellStyle name="40% - Accent1 7 6" xfId="4527" xr:uid="{00000000-0005-0000-0000-0000A2500000}"/>
    <cellStyle name="40% - Accent1 7 6 2" xfId="4528" xr:uid="{00000000-0005-0000-0000-0000A3500000}"/>
    <cellStyle name="40% - Accent1 7 6 2 2" xfId="15632" xr:uid="{00000000-0005-0000-0000-0000A4500000}"/>
    <cellStyle name="40% - Accent1 7 6 2 2 2" xfId="27489" xr:uid="{00000000-0005-0000-0000-0000A5500000}"/>
    <cellStyle name="40% - Accent1 7 6 2 3" xfId="19583" xr:uid="{00000000-0005-0000-0000-0000A6500000}"/>
    <cellStyle name="40% - Accent1 7 6 2 3 2" xfId="31275" xr:uid="{00000000-0005-0000-0000-0000A7500000}"/>
    <cellStyle name="40% - Accent1 7 6 2 4" xfId="23629" xr:uid="{00000000-0005-0000-0000-0000A8500000}"/>
    <cellStyle name="40% - Accent1 7 6 3" xfId="4529" xr:uid="{00000000-0005-0000-0000-0000A9500000}"/>
    <cellStyle name="40% - Accent1 7 6 3 2" xfId="15633" xr:uid="{00000000-0005-0000-0000-0000AA500000}"/>
    <cellStyle name="40% - Accent1 7 6 3 2 2" xfId="27490" xr:uid="{00000000-0005-0000-0000-0000AB500000}"/>
    <cellStyle name="40% - Accent1 7 6 3 3" xfId="19584" xr:uid="{00000000-0005-0000-0000-0000AC500000}"/>
    <cellStyle name="40% - Accent1 7 6 3 3 2" xfId="31276" xr:uid="{00000000-0005-0000-0000-0000AD500000}"/>
    <cellStyle name="40% - Accent1 7 6 3 4" xfId="23630" xr:uid="{00000000-0005-0000-0000-0000AE500000}"/>
    <cellStyle name="40% - Accent1 7 6 4" xfId="15631" xr:uid="{00000000-0005-0000-0000-0000AF500000}"/>
    <cellStyle name="40% - Accent1 7 6 4 2" xfId="27488" xr:uid="{00000000-0005-0000-0000-0000B0500000}"/>
    <cellStyle name="40% - Accent1 7 6 5" xfId="19582" xr:uid="{00000000-0005-0000-0000-0000B1500000}"/>
    <cellStyle name="40% - Accent1 7 6 5 2" xfId="31274" xr:uid="{00000000-0005-0000-0000-0000B2500000}"/>
    <cellStyle name="40% - Accent1 7 6 6" xfId="23628" xr:uid="{00000000-0005-0000-0000-0000B3500000}"/>
    <cellStyle name="40% - Accent1 7 7" xfId="4530" xr:uid="{00000000-0005-0000-0000-0000B4500000}"/>
    <cellStyle name="40% - Accent1 7 7 2" xfId="15634" xr:uid="{00000000-0005-0000-0000-0000B5500000}"/>
    <cellStyle name="40% - Accent1 7 7 2 2" xfId="27491" xr:uid="{00000000-0005-0000-0000-0000B6500000}"/>
    <cellStyle name="40% - Accent1 7 7 3" xfId="19585" xr:uid="{00000000-0005-0000-0000-0000B7500000}"/>
    <cellStyle name="40% - Accent1 7 7 3 2" xfId="31277" xr:uid="{00000000-0005-0000-0000-0000B8500000}"/>
    <cellStyle name="40% - Accent1 7 7 4" xfId="23631" xr:uid="{00000000-0005-0000-0000-0000B9500000}"/>
    <cellStyle name="40% - Accent1 7 8" xfId="4531" xr:uid="{00000000-0005-0000-0000-0000BA500000}"/>
    <cellStyle name="40% - Accent1 7 8 2" xfId="15635" xr:uid="{00000000-0005-0000-0000-0000BB500000}"/>
    <cellStyle name="40% - Accent1 7 8 2 2" xfId="27492" xr:uid="{00000000-0005-0000-0000-0000BC500000}"/>
    <cellStyle name="40% - Accent1 7 8 3" xfId="19586" xr:uid="{00000000-0005-0000-0000-0000BD500000}"/>
    <cellStyle name="40% - Accent1 7 8 3 2" xfId="31278" xr:uid="{00000000-0005-0000-0000-0000BE500000}"/>
    <cellStyle name="40% - Accent1 7 8 4" xfId="23632" xr:uid="{00000000-0005-0000-0000-0000BF500000}"/>
    <cellStyle name="40% - Accent1 7 9" xfId="15603" xr:uid="{00000000-0005-0000-0000-0000C0500000}"/>
    <cellStyle name="40% - Accent1 7 9 2" xfId="27460" xr:uid="{00000000-0005-0000-0000-0000C1500000}"/>
    <cellStyle name="40% - Accent1 7_Volatility" xfId="4532" xr:uid="{00000000-0005-0000-0000-0000C2500000}"/>
    <cellStyle name="40% - Accent1 8" xfId="4533" xr:uid="{00000000-0005-0000-0000-0000C3500000}"/>
    <cellStyle name="40% - Accent1 8 10" xfId="19587" xr:uid="{00000000-0005-0000-0000-0000C4500000}"/>
    <cellStyle name="40% - Accent1 8 10 2" xfId="31279" xr:uid="{00000000-0005-0000-0000-0000C5500000}"/>
    <cellStyle name="40% - Accent1 8 11" xfId="23633" xr:uid="{00000000-0005-0000-0000-0000C6500000}"/>
    <cellStyle name="40% - Accent1 8 2" xfId="4534" xr:uid="{00000000-0005-0000-0000-0000C7500000}"/>
    <cellStyle name="40% - Accent1 8 2 2" xfId="4535" xr:uid="{00000000-0005-0000-0000-0000C8500000}"/>
    <cellStyle name="40% - Accent1 8 2 2 2" xfId="4536" xr:uid="{00000000-0005-0000-0000-0000C9500000}"/>
    <cellStyle name="40% - Accent1 8 2 2 2 2" xfId="15639" xr:uid="{00000000-0005-0000-0000-0000CA500000}"/>
    <cellStyle name="40% - Accent1 8 2 2 2 2 2" xfId="27496" xr:uid="{00000000-0005-0000-0000-0000CB500000}"/>
    <cellStyle name="40% - Accent1 8 2 2 2 3" xfId="19590" xr:uid="{00000000-0005-0000-0000-0000CC500000}"/>
    <cellStyle name="40% - Accent1 8 2 2 2 3 2" xfId="31282" xr:uid="{00000000-0005-0000-0000-0000CD500000}"/>
    <cellStyle name="40% - Accent1 8 2 2 2 4" xfId="23636" xr:uid="{00000000-0005-0000-0000-0000CE500000}"/>
    <cellStyle name="40% - Accent1 8 2 2 3" xfId="4537" xr:uid="{00000000-0005-0000-0000-0000CF500000}"/>
    <cellStyle name="40% - Accent1 8 2 2 3 2" xfId="15640" xr:uid="{00000000-0005-0000-0000-0000D0500000}"/>
    <cellStyle name="40% - Accent1 8 2 2 3 2 2" xfId="27497" xr:uid="{00000000-0005-0000-0000-0000D1500000}"/>
    <cellStyle name="40% - Accent1 8 2 2 3 3" xfId="19591" xr:uid="{00000000-0005-0000-0000-0000D2500000}"/>
    <cellStyle name="40% - Accent1 8 2 2 3 3 2" xfId="31283" xr:uid="{00000000-0005-0000-0000-0000D3500000}"/>
    <cellStyle name="40% - Accent1 8 2 2 3 4" xfId="23637" xr:uid="{00000000-0005-0000-0000-0000D4500000}"/>
    <cellStyle name="40% - Accent1 8 2 2 4" xfId="15638" xr:uid="{00000000-0005-0000-0000-0000D5500000}"/>
    <cellStyle name="40% - Accent1 8 2 2 4 2" xfId="27495" xr:uid="{00000000-0005-0000-0000-0000D6500000}"/>
    <cellStyle name="40% - Accent1 8 2 2 5" xfId="19589" xr:uid="{00000000-0005-0000-0000-0000D7500000}"/>
    <cellStyle name="40% - Accent1 8 2 2 5 2" xfId="31281" xr:uid="{00000000-0005-0000-0000-0000D8500000}"/>
    <cellStyle name="40% - Accent1 8 2 2 6" xfId="23635" xr:uid="{00000000-0005-0000-0000-0000D9500000}"/>
    <cellStyle name="40% - Accent1 8 2 3" xfId="4538" xr:uid="{00000000-0005-0000-0000-0000DA500000}"/>
    <cellStyle name="40% - Accent1 8 2 3 2" xfId="4539" xr:uid="{00000000-0005-0000-0000-0000DB500000}"/>
    <cellStyle name="40% - Accent1 8 2 3 2 2" xfId="15642" xr:uid="{00000000-0005-0000-0000-0000DC500000}"/>
    <cellStyle name="40% - Accent1 8 2 3 2 2 2" xfId="27499" xr:uid="{00000000-0005-0000-0000-0000DD500000}"/>
    <cellStyle name="40% - Accent1 8 2 3 2 3" xfId="19593" xr:uid="{00000000-0005-0000-0000-0000DE500000}"/>
    <cellStyle name="40% - Accent1 8 2 3 2 3 2" xfId="31285" xr:uid="{00000000-0005-0000-0000-0000DF500000}"/>
    <cellStyle name="40% - Accent1 8 2 3 2 4" xfId="23639" xr:uid="{00000000-0005-0000-0000-0000E0500000}"/>
    <cellStyle name="40% - Accent1 8 2 3 3" xfId="4540" xr:uid="{00000000-0005-0000-0000-0000E1500000}"/>
    <cellStyle name="40% - Accent1 8 2 3 3 2" xfId="15643" xr:uid="{00000000-0005-0000-0000-0000E2500000}"/>
    <cellStyle name="40% - Accent1 8 2 3 3 2 2" xfId="27500" xr:uid="{00000000-0005-0000-0000-0000E3500000}"/>
    <cellStyle name="40% - Accent1 8 2 3 3 3" xfId="19594" xr:uid="{00000000-0005-0000-0000-0000E4500000}"/>
    <cellStyle name="40% - Accent1 8 2 3 3 3 2" xfId="31286" xr:uid="{00000000-0005-0000-0000-0000E5500000}"/>
    <cellStyle name="40% - Accent1 8 2 3 3 4" xfId="23640" xr:uid="{00000000-0005-0000-0000-0000E6500000}"/>
    <cellStyle name="40% - Accent1 8 2 3 4" xfId="15641" xr:uid="{00000000-0005-0000-0000-0000E7500000}"/>
    <cellStyle name="40% - Accent1 8 2 3 4 2" xfId="27498" xr:uid="{00000000-0005-0000-0000-0000E8500000}"/>
    <cellStyle name="40% - Accent1 8 2 3 5" xfId="19592" xr:uid="{00000000-0005-0000-0000-0000E9500000}"/>
    <cellStyle name="40% - Accent1 8 2 3 5 2" xfId="31284" xr:uid="{00000000-0005-0000-0000-0000EA500000}"/>
    <cellStyle name="40% - Accent1 8 2 3 6" xfId="23638" xr:uid="{00000000-0005-0000-0000-0000EB500000}"/>
    <cellStyle name="40% - Accent1 8 2 4" xfId="4541" xr:uid="{00000000-0005-0000-0000-0000EC500000}"/>
    <cellStyle name="40% - Accent1 8 2 4 2" xfId="4542" xr:uid="{00000000-0005-0000-0000-0000ED500000}"/>
    <cellStyle name="40% - Accent1 8 2 4 2 2" xfId="15645" xr:uid="{00000000-0005-0000-0000-0000EE500000}"/>
    <cellStyle name="40% - Accent1 8 2 4 2 2 2" xfId="27502" xr:uid="{00000000-0005-0000-0000-0000EF500000}"/>
    <cellStyle name="40% - Accent1 8 2 4 2 3" xfId="19596" xr:uid="{00000000-0005-0000-0000-0000F0500000}"/>
    <cellStyle name="40% - Accent1 8 2 4 2 3 2" xfId="31288" xr:uid="{00000000-0005-0000-0000-0000F1500000}"/>
    <cellStyle name="40% - Accent1 8 2 4 2 4" xfId="23642" xr:uid="{00000000-0005-0000-0000-0000F2500000}"/>
    <cellStyle name="40% - Accent1 8 2 4 3" xfId="4543" xr:uid="{00000000-0005-0000-0000-0000F3500000}"/>
    <cellStyle name="40% - Accent1 8 2 4 3 2" xfId="15646" xr:uid="{00000000-0005-0000-0000-0000F4500000}"/>
    <cellStyle name="40% - Accent1 8 2 4 3 2 2" xfId="27503" xr:uid="{00000000-0005-0000-0000-0000F5500000}"/>
    <cellStyle name="40% - Accent1 8 2 4 3 3" xfId="19597" xr:uid="{00000000-0005-0000-0000-0000F6500000}"/>
    <cellStyle name="40% - Accent1 8 2 4 3 3 2" xfId="31289" xr:uid="{00000000-0005-0000-0000-0000F7500000}"/>
    <cellStyle name="40% - Accent1 8 2 4 3 4" xfId="23643" xr:uid="{00000000-0005-0000-0000-0000F8500000}"/>
    <cellStyle name="40% - Accent1 8 2 4 4" xfId="15644" xr:uid="{00000000-0005-0000-0000-0000F9500000}"/>
    <cellStyle name="40% - Accent1 8 2 4 4 2" xfId="27501" xr:uid="{00000000-0005-0000-0000-0000FA500000}"/>
    <cellStyle name="40% - Accent1 8 2 4 5" xfId="19595" xr:uid="{00000000-0005-0000-0000-0000FB500000}"/>
    <cellStyle name="40% - Accent1 8 2 4 5 2" xfId="31287" xr:uid="{00000000-0005-0000-0000-0000FC500000}"/>
    <cellStyle name="40% - Accent1 8 2 4 6" xfId="23641" xr:uid="{00000000-0005-0000-0000-0000FD500000}"/>
    <cellStyle name="40% - Accent1 8 2 5" xfId="4544" xr:uid="{00000000-0005-0000-0000-0000FE500000}"/>
    <cellStyle name="40% - Accent1 8 2 5 2" xfId="15647" xr:uid="{00000000-0005-0000-0000-0000FF500000}"/>
    <cellStyle name="40% - Accent1 8 2 5 2 2" xfId="27504" xr:uid="{00000000-0005-0000-0000-000000510000}"/>
    <cellStyle name="40% - Accent1 8 2 5 3" xfId="19598" xr:uid="{00000000-0005-0000-0000-000001510000}"/>
    <cellStyle name="40% - Accent1 8 2 5 3 2" xfId="31290" xr:uid="{00000000-0005-0000-0000-000002510000}"/>
    <cellStyle name="40% - Accent1 8 2 5 4" xfId="23644" xr:uid="{00000000-0005-0000-0000-000003510000}"/>
    <cellStyle name="40% - Accent1 8 2 6" xfId="4545" xr:uid="{00000000-0005-0000-0000-000004510000}"/>
    <cellStyle name="40% - Accent1 8 2 6 2" xfId="15648" xr:uid="{00000000-0005-0000-0000-000005510000}"/>
    <cellStyle name="40% - Accent1 8 2 6 2 2" xfId="27505" xr:uid="{00000000-0005-0000-0000-000006510000}"/>
    <cellStyle name="40% - Accent1 8 2 6 3" xfId="19599" xr:uid="{00000000-0005-0000-0000-000007510000}"/>
    <cellStyle name="40% - Accent1 8 2 6 3 2" xfId="31291" xr:uid="{00000000-0005-0000-0000-000008510000}"/>
    <cellStyle name="40% - Accent1 8 2 6 4" xfId="23645" xr:uid="{00000000-0005-0000-0000-000009510000}"/>
    <cellStyle name="40% - Accent1 8 2 7" xfId="15637" xr:uid="{00000000-0005-0000-0000-00000A510000}"/>
    <cellStyle name="40% - Accent1 8 2 7 2" xfId="27494" xr:uid="{00000000-0005-0000-0000-00000B510000}"/>
    <cellStyle name="40% - Accent1 8 2 8" xfId="19588" xr:uid="{00000000-0005-0000-0000-00000C510000}"/>
    <cellStyle name="40% - Accent1 8 2 8 2" xfId="31280" xr:uid="{00000000-0005-0000-0000-00000D510000}"/>
    <cellStyle name="40% - Accent1 8 2 9" xfId="23634" xr:uid="{00000000-0005-0000-0000-00000E510000}"/>
    <cellStyle name="40% - Accent1 8 2_Volatility" xfId="4546" xr:uid="{00000000-0005-0000-0000-00000F510000}"/>
    <cellStyle name="40% - Accent1 8 3" xfId="4547" xr:uid="{00000000-0005-0000-0000-000010510000}"/>
    <cellStyle name="40% - Accent1 8 3 2" xfId="4548" xr:uid="{00000000-0005-0000-0000-000011510000}"/>
    <cellStyle name="40% - Accent1 8 3 2 2" xfId="4549" xr:uid="{00000000-0005-0000-0000-000012510000}"/>
    <cellStyle name="40% - Accent1 8 3 2 2 2" xfId="15651" xr:uid="{00000000-0005-0000-0000-000013510000}"/>
    <cellStyle name="40% - Accent1 8 3 2 2 2 2" xfId="27508" xr:uid="{00000000-0005-0000-0000-000014510000}"/>
    <cellStyle name="40% - Accent1 8 3 2 2 3" xfId="19602" xr:uid="{00000000-0005-0000-0000-000015510000}"/>
    <cellStyle name="40% - Accent1 8 3 2 2 3 2" xfId="31294" xr:uid="{00000000-0005-0000-0000-000016510000}"/>
    <cellStyle name="40% - Accent1 8 3 2 2 4" xfId="23648" xr:uid="{00000000-0005-0000-0000-000017510000}"/>
    <cellStyle name="40% - Accent1 8 3 2 3" xfId="4550" xr:uid="{00000000-0005-0000-0000-000018510000}"/>
    <cellStyle name="40% - Accent1 8 3 2 3 2" xfId="15652" xr:uid="{00000000-0005-0000-0000-000019510000}"/>
    <cellStyle name="40% - Accent1 8 3 2 3 2 2" xfId="27509" xr:uid="{00000000-0005-0000-0000-00001A510000}"/>
    <cellStyle name="40% - Accent1 8 3 2 3 3" xfId="19603" xr:uid="{00000000-0005-0000-0000-00001B510000}"/>
    <cellStyle name="40% - Accent1 8 3 2 3 3 2" xfId="31295" xr:uid="{00000000-0005-0000-0000-00001C510000}"/>
    <cellStyle name="40% - Accent1 8 3 2 3 4" xfId="23649" xr:uid="{00000000-0005-0000-0000-00001D510000}"/>
    <cellStyle name="40% - Accent1 8 3 2 4" xfId="15650" xr:uid="{00000000-0005-0000-0000-00001E510000}"/>
    <cellStyle name="40% - Accent1 8 3 2 4 2" xfId="27507" xr:uid="{00000000-0005-0000-0000-00001F510000}"/>
    <cellStyle name="40% - Accent1 8 3 2 5" xfId="19601" xr:uid="{00000000-0005-0000-0000-000020510000}"/>
    <cellStyle name="40% - Accent1 8 3 2 5 2" xfId="31293" xr:uid="{00000000-0005-0000-0000-000021510000}"/>
    <cellStyle name="40% - Accent1 8 3 2 6" xfId="23647" xr:uid="{00000000-0005-0000-0000-000022510000}"/>
    <cellStyle name="40% - Accent1 8 3 3" xfId="4551" xr:uid="{00000000-0005-0000-0000-000023510000}"/>
    <cellStyle name="40% - Accent1 8 3 3 2" xfId="4552" xr:uid="{00000000-0005-0000-0000-000024510000}"/>
    <cellStyle name="40% - Accent1 8 3 3 2 2" xfId="15654" xr:uid="{00000000-0005-0000-0000-000025510000}"/>
    <cellStyle name="40% - Accent1 8 3 3 2 2 2" xfId="27511" xr:uid="{00000000-0005-0000-0000-000026510000}"/>
    <cellStyle name="40% - Accent1 8 3 3 2 3" xfId="19605" xr:uid="{00000000-0005-0000-0000-000027510000}"/>
    <cellStyle name="40% - Accent1 8 3 3 2 3 2" xfId="31297" xr:uid="{00000000-0005-0000-0000-000028510000}"/>
    <cellStyle name="40% - Accent1 8 3 3 2 4" xfId="23651" xr:uid="{00000000-0005-0000-0000-000029510000}"/>
    <cellStyle name="40% - Accent1 8 3 3 3" xfId="4553" xr:uid="{00000000-0005-0000-0000-00002A510000}"/>
    <cellStyle name="40% - Accent1 8 3 3 3 2" xfId="15655" xr:uid="{00000000-0005-0000-0000-00002B510000}"/>
    <cellStyle name="40% - Accent1 8 3 3 3 2 2" xfId="27512" xr:uid="{00000000-0005-0000-0000-00002C510000}"/>
    <cellStyle name="40% - Accent1 8 3 3 3 3" xfId="19606" xr:uid="{00000000-0005-0000-0000-00002D510000}"/>
    <cellStyle name="40% - Accent1 8 3 3 3 3 2" xfId="31298" xr:uid="{00000000-0005-0000-0000-00002E510000}"/>
    <cellStyle name="40% - Accent1 8 3 3 3 4" xfId="23652" xr:uid="{00000000-0005-0000-0000-00002F510000}"/>
    <cellStyle name="40% - Accent1 8 3 3 4" xfId="15653" xr:uid="{00000000-0005-0000-0000-000030510000}"/>
    <cellStyle name="40% - Accent1 8 3 3 4 2" xfId="27510" xr:uid="{00000000-0005-0000-0000-000031510000}"/>
    <cellStyle name="40% - Accent1 8 3 3 5" xfId="19604" xr:uid="{00000000-0005-0000-0000-000032510000}"/>
    <cellStyle name="40% - Accent1 8 3 3 5 2" xfId="31296" xr:uid="{00000000-0005-0000-0000-000033510000}"/>
    <cellStyle name="40% - Accent1 8 3 3 6" xfId="23650" xr:uid="{00000000-0005-0000-0000-000034510000}"/>
    <cellStyle name="40% - Accent1 8 3 4" xfId="4554" xr:uid="{00000000-0005-0000-0000-000035510000}"/>
    <cellStyle name="40% - Accent1 8 3 4 2" xfId="15656" xr:uid="{00000000-0005-0000-0000-000036510000}"/>
    <cellStyle name="40% - Accent1 8 3 4 2 2" xfId="27513" xr:uid="{00000000-0005-0000-0000-000037510000}"/>
    <cellStyle name="40% - Accent1 8 3 4 3" xfId="19607" xr:uid="{00000000-0005-0000-0000-000038510000}"/>
    <cellStyle name="40% - Accent1 8 3 4 3 2" xfId="31299" xr:uid="{00000000-0005-0000-0000-000039510000}"/>
    <cellStyle name="40% - Accent1 8 3 4 4" xfId="23653" xr:uid="{00000000-0005-0000-0000-00003A510000}"/>
    <cellStyle name="40% - Accent1 8 3 5" xfId="4555" xr:uid="{00000000-0005-0000-0000-00003B510000}"/>
    <cellStyle name="40% - Accent1 8 3 5 2" xfId="15657" xr:uid="{00000000-0005-0000-0000-00003C510000}"/>
    <cellStyle name="40% - Accent1 8 3 5 2 2" xfId="27514" xr:uid="{00000000-0005-0000-0000-00003D510000}"/>
    <cellStyle name="40% - Accent1 8 3 5 3" xfId="19608" xr:uid="{00000000-0005-0000-0000-00003E510000}"/>
    <cellStyle name="40% - Accent1 8 3 5 3 2" xfId="31300" xr:uid="{00000000-0005-0000-0000-00003F510000}"/>
    <cellStyle name="40% - Accent1 8 3 5 4" xfId="23654" xr:uid="{00000000-0005-0000-0000-000040510000}"/>
    <cellStyle name="40% - Accent1 8 3 6" xfId="15649" xr:uid="{00000000-0005-0000-0000-000041510000}"/>
    <cellStyle name="40% - Accent1 8 3 6 2" xfId="27506" xr:uid="{00000000-0005-0000-0000-000042510000}"/>
    <cellStyle name="40% - Accent1 8 3 7" xfId="19600" xr:uid="{00000000-0005-0000-0000-000043510000}"/>
    <cellStyle name="40% - Accent1 8 3 7 2" xfId="31292" xr:uid="{00000000-0005-0000-0000-000044510000}"/>
    <cellStyle name="40% - Accent1 8 3 8" xfId="23646" xr:uid="{00000000-0005-0000-0000-000045510000}"/>
    <cellStyle name="40% - Accent1 8 3_Volatility" xfId="4556" xr:uid="{00000000-0005-0000-0000-000046510000}"/>
    <cellStyle name="40% - Accent1 8 4" xfId="4557" xr:uid="{00000000-0005-0000-0000-000047510000}"/>
    <cellStyle name="40% - Accent1 8 4 2" xfId="4558" xr:uid="{00000000-0005-0000-0000-000048510000}"/>
    <cellStyle name="40% - Accent1 8 4 2 2" xfId="15659" xr:uid="{00000000-0005-0000-0000-000049510000}"/>
    <cellStyle name="40% - Accent1 8 4 2 2 2" xfId="27516" xr:uid="{00000000-0005-0000-0000-00004A510000}"/>
    <cellStyle name="40% - Accent1 8 4 2 3" xfId="19610" xr:uid="{00000000-0005-0000-0000-00004B510000}"/>
    <cellStyle name="40% - Accent1 8 4 2 3 2" xfId="31302" xr:uid="{00000000-0005-0000-0000-00004C510000}"/>
    <cellStyle name="40% - Accent1 8 4 2 4" xfId="23656" xr:uid="{00000000-0005-0000-0000-00004D510000}"/>
    <cellStyle name="40% - Accent1 8 4 3" xfId="4559" xr:uid="{00000000-0005-0000-0000-00004E510000}"/>
    <cellStyle name="40% - Accent1 8 4 3 2" xfId="15660" xr:uid="{00000000-0005-0000-0000-00004F510000}"/>
    <cellStyle name="40% - Accent1 8 4 3 2 2" xfId="27517" xr:uid="{00000000-0005-0000-0000-000050510000}"/>
    <cellStyle name="40% - Accent1 8 4 3 3" xfId="19611" xr:uid="{00000000-0005-0000-0000-000051510000}"/>
    <cellStyle name="40% - Accent1 8 4 3 3 2" xfId="31303" xr:uid="{00000000-0005-0000-0000-000052510000}"/>
    <cellStyle name="40% - Accent1 8 4 3 4" xfId="23657" xr:uid="{00000000-0005-0000-0000-000053510000}"/>
    <cellStyle name="40% - Accent1 8 4 4" xfId="15658" xr:uid="{00000000-0005-0000-0000-000054510000}"/>
    <cellStyle name="40% - Accent1 8 4 4 2" xfId="27515" xr:uid="{00000000-0005-0000-0000-000055510000}"/>
    <cellStyle name="40% - Accent1 8 4 5" xfId="19609" xr:uid="{00000000-0005-0000-0000-000056510000}"/>
    <cellStyle name="40% - Accent1 8 4 5 2" xfId="31301" xr:uid="{00000000-0005-0000-0000-000057510000}"/>
    <cellStyle name="40% - Accent1 8 4 6" xfId="23655" xr:uid="{00000000-0005-0000-0000-000058510000}"/>
    <cellStyle name="40% - Accent1 8 5" xfId="4560" xr:uid="{00000000-0005-0000-0000-000059510000}"/>
    <cellStyle name="40% - Accent1 8 5 2" xfId="4561" xr:uid="{00000000-0005-0000-0000-00005A510000}"/>
    <cellStyle name="40% - Accent1 8 5 2 2" xfId="15662" xr:uid="{00000000-0005-0000-0000-00005B510000}"/>
    <cellStyle name="40% - Accent1 8 5 2 2 2" xfId="27519" xr:uid="{00000000-0005-0000-0000-00005C510000}"/>
    <cellStyle name="40% - Accent1 8 5 2 3" xfId="19613" xr:uid="{00000000-0005-0000-0000-00005D510000}"/>
    <cellStyle name="40% - Accent1 8 5 2 3 2" xfId="31305" xr:uid="{00000000-0005-0000-0000-00005E510000}"/>
    <cellStyle name="40% - Accent1 8 5 2 4" xfId="23659" xr:uid="{00000000-0005-0000-0000-00005F510000}"/>
    <cellStyle name="40% - Accent1 8 5 3" xfId="4562" xr:uid="{00000000-0005-0000-0000-000060510000}"/>
    <cellStyle name="40% - Accent1 8 5 3 2" xfId="15663" xr:uid="{00000000-0005-0000-0000-000061510000}"/>
    <cellStyle name="40% - Accent1 8 5 3 2 2" xfId="27520" xr:uid="{00000000-0005-0000-0000-000062510000}"/>
    <cellStyle name="40% - Accent1 8 5 3 3" xfId="19614" xr:uid="{00000000-0005-0000-0000-000063510000}"/>
    <cellStyle name="40% - Accent1 8 5 3 3 2" xfId="31306" xr:uid="{00000000-0005-0000-0000-000064510000}"/>
    <cellStyle name="40% - Accent1 8 5 3 4" xfId="23660" xr:uid="{00000000-0005-0000-0000-000065510000}"/>
    <cellStyle name="40% - Accent1 8 5 4" xfId="15661" xr:uid="{00000000-0005-0000-0000-000066510000}"/>
    <cellStyle name="40% - Accent1 8 5 4 2" xfId="27518" xr:uid="{00000000-0005-0000-0000-000067510000}"/>
    <cellStyle name="40% - Accent1 8 5 5" xfId="19612" xr:uid="{00000000-0005-0000-0000-000068510000}"/>
    <cellStyle name="40% - Accent1 8 5 5 2" xfId="31304" xr:uid="{00000000-0005-0000-0000-000069510000}"/>
    <cellStyle name="40% - Accent1 8 5 6" xfId="23658" xr:uid="{00000000-0005-0000-0000-00006A510000}"/>
    <cellStyle name="40% - Accent1 8 6" xfId="4563" xr:uid="{00000000-0005-0000-0000-00006B510000}"/>
    <cellStyle name="40% - Accent1 8 6 2" xfId="4564" xr:uid="{00000000-0005-0000-0000-00006C510000}"/>
    <cellStyle name="40% - Accent1 8 6 2 2" xfId="15665" xr:uid="{00000000-0005-0000-0000-00006D510000}"/>
    <cellStyle name="40% - Accent1 8 6 2 2 2" xfId="27522" xr:uid="{00000000-0005-0000-0000-00006E510000}"/>
    <cellStyle name="40% - Accent1 8 6 2 3" xfId="19616" xr:uid="{00000000-0005-0000-0000-00006F510000}"/>
    <cellStyle name="40% - Accent1 8 6 2 3 2" xfId="31308" xr:uid="{00000000-0005-0000-0000-000070510000}"/>
    <cellStyle name="40% - Accent1 8 6 2 4" xfId="23662" xr:uid="{00000000-0005-0000-0000-000071510000}"/>
    <cellStyle name="40% - Accent1 8 6 3" xfId="4565" xr:uid="{00000000-0005-0000-0000-000072510000}"/>
    <cellStyle name="40% - Accent1 8 6 3 2" xfId="15666" xr:uid="{00000000-0005-0000-0000-000073510000}"/>
    <cellStyle name="40% - Accent1 8 6 3 2 2" xfId="27523" xr:uid="{00000000-0005-0000-0000-000074510000}"/>
    <cellStyle name="40% - Accent1 8 6 3 3" xfId="19617" xr:uid="{00000000-0005-0000-0000-000075510000}"/>
    <cellStyle name="40% - Accent1 8 6 3 3 2" xfId="31309" xr:uid="{00000000-0005-0000-0000-000076510000}"/>
    <cellStyle name="40% - Accent1 8 6 3 4" xfId="23663" xr:uid="{00000000-0005-0000-0000-000077510000}"/>
    <cellStyle name="40% - Accent1 8 6 4" xfId="15664" xr:uid="{00000000-0005-0000-0000-000078510000}"/>
    <cellStyle name="40% - Accent1 8 6 4 2" xfId="27521" xr:uid="{00000000-0005-0000-0000-000079510000}"/>
    <cellStyle name="40% - Accent1 8 6 5" xfId="19615" xr:uid="{00000000-0005-0000-0000-00007A510000}"/>
    <cellStyle name="40% - Accent1 8 6 5 2" xfId="31307" xr:uid="{00000000-0005-0000-0000-00007B510000}"/>
    <cellStyle name="40% - Accent1 8 6 6" xfId="23661" xr:uid="{00000000-0005-0000-0000-00007C510000}"/>
    <cellStyle name="40% - Accent1 8 7" xfId="4566" xr:uid="{00000000-0005-0000-0000-00007D510000}"/>
    <cellStyle name="40% - Accent1 8 7 2" xfId="15667" xr:uid="{00000000-0005-0000-0000-00007E510000}"/>
    <cellStyle name="40% - Accent1 8 7 2 2" xfId="27524" xr:uid="{00000000-0005-0000-0000-00007F510000}"/>
    <cellStyle name="40% - Accent1 8 7 3" xfId="19618" xr:uid="{00000000-0005-0000-0000-000080510000}"/>
    <cellStyle name="40% - Accent1 8 7 3 2" xfId="31310" xr:uid="{00000000-0005-0000-0000-000081510000}"/>
    <cellStyle name="40% - Accent1 8 7 4" xfId="23664" xr:uid="{00000000-0005-0000-0000-000082510000}"/>
    <cellStyle name="40% - Accent1 8 8" xfId="4567" xr:uid="{00000000-0005-0000-0000-000083510000}"/>
    <cellStyle name="40% - Accent1 8 8 2" xfId="15668" xr:uid="{00000000-0005-0000-0000-000084510000}"/>
    <cellStyle name="40% - Accent1 8 8 2 2" xfId="27525" xr:uid="{00000000-0005-0000-0000-000085510000}"/>
    <cellStyle name="40% - Accent1 8 8 3" xfId="19619" xr:uid="{00000000-0005-0000-0000-000086510000}"/>
    <cellStyle name="40% - Accent1 8 8 3 2" xfId="31311" xr:uid="{00000000-0005-0000-0000-000087510000}"/>
    <cellStyle name="40% - Accent1 8 8 4" xfId="23665" xr:uid="{00000000-0005-0000-0000-000088510000}"/>
    <cellStyle name="40% - Accent1 8 9" xfId="15636" xr:uid="{00000000-0005-0000-0000-000089510000}"/>
    <cellStyle name="40% - Accent1 8 9 2" xfId="27493" xr:uid="{00000000-0005-0000-0000-00008A510000}"/>
    <cellStyle name="40% - Accent1 8_Volatility" xfId="4568" xr:uid="{00000000-0005-0000-0000-00008B510000}"/>
    <cellStyle name="40% - Accent1 9" xfId="4569" xr:uid="{00000000-0005-0000-0000-00008C510000}"/>
    <cellStyle name="40% - Accent1 9 10" xfId="19620" xr:uid="{00000000-0005-0000-0000-00008D510000}"/>
    <cellStyle name="40% - Accent1 9 10 2" xfId="31312" xr:uid="{00000000-0005-0000-0000-00008E510000}"/>
    <cellStyle name="40% - Accent1 9 11" xfId="23666" xr:uid="{00000000-0005-0000-0000-00008F510000}"/>
    <cellStyle name="40% - Accent1 9 2" xfId="4570" xr:uid="{00000000-0005-0000-0000-000090510000}"/>
    <cellStyle name="40% - Accent1 9 2 2" xfId="4571" xr:uid="{00000000-0005-0000-0000-000091510000}"/>
    <cellStyle name="40% - Accent1 9 2 2 2" xfId="4572" xr:uid="{00000000-0005-0000-0000-000092510000}"/>
    <cellStyle name="40% - Accent1 9 2 2 2 2" xfId="15672" xr:uid="{00000000-0005-0000-0000-000093510000}"/>
    <cellStyle name="40% - Accent1 9 2 2 2 2 2" xfId="27529" xr:uid="{00000000-0005-0000-0000-000094510000}"/>
    <cellStyle name="40% - Accent1 9 2 2 2 3" xfId="19623" xr:uid="{00000000-0005-0000-0000-000095510000}"/>
    <cellStyle name="40% - Accent1 9 2 2 2 3 2" xfId="31315" xr:uid="{00000000-0005-0000-0000-000096510000}"/>
    <cellStyle name="40% - Accent1 9 2 2 2 4" xfId="23669" xr:uid="{00000000-0005-0000-0000-000097510000}"/>
    <cellStyle name="40% - Accent1 9 2 2 3" xfId="4573" xr:uid="{00000000-0005-0000-0000-000098510000}"/>
    <cellStyle name="40% - Accent1 9 2 2 3 2" xfId="15673" xr:uid="{00000000-0005-0000-0000-000099510000}"/>
    <cellStyle name="40% - Accent1 9 2 2 3 2 2" xfId="27530" xr:uid="{00000000-0005-0000-0000-00009A510000}"/>
    <cellStyle name="40% - Accent1 9 2 2 3 3" xfId="19624" xr:uid="{00000000-0005-0000-0000-00009B510000}"/>
    <cellStyle name="40% - Accent1 9 2 2 3 3 2" xfId="31316" xr:uid="{00000000-0005-0000-0000-00009C510000}"/>
    <cellStyle name="40% - Accent1 9 2 2 3 4" xfId="23670" xr:uid="{00000000-0005-0000-0000-00009D510000}"/>
    <cellStyle name="40% - Accent1 9 2 2 4" xfId="15671" xr:uid="{00000000-0005-0000-0000-00009E510000}"/>
    <cellStyle name="40% - Accent1 9 2 2 4 2" xfId="27528" xr:uid="{00000000-0005-0000-0000-00009F510000}"/>
    <cellStyle name="40% - Accent1 9 2 2 5" xfId="19622" xr:uid="{00000000-0005-0000-0000-0000A0510000}"/>
    <cellStyle name="40% - Accent1 9 2 2 5 2" xfId="31314" xr:uid="{00000000-0005-0000-0000-0000A1510000}"/>
    <cellStyle name="40% - Accent1 9 2 2 6" xfId="23668" xr:uid="{00000000-0005-0000-0000-0000A2510000}"/>
    <cellStyle name="40% - Accent1 9 2 3" xfId="4574" xr:uid="{00000000-0005-0000-0000-0000A3510000}"/>
    <cellStyle name="40% - Accent1 9 2 3 2" xfId="4575" xr:uid="{00000000-0005-0000-0000-0000A4510000}"/>
    <cellStyle name="40% - Accent1 9 2 3 2 2" xfId="15675" xr:uid="{00000000-0005-0000-0000-0000A5510000}"/>
    <cellStyle name="40% - Accent1 9 2 3 2 2 2" xfId="27532" xr:uid="{00000000-0005-0000-0000-0000A6510000}"/>
    <cellStyle name="40% - Accent1 9 2 3 2 3" xfId="19626" xr:uid="{00000000-0005-0000-0000-0000A7510000}"/>
    <cellStyle name="40% - Accent1 9 2 3 2 3 2" xfId="31318" xr:uid="{00000000-0005-0000-0000-0000A8510000}"/>
    <cellStyle name="40% - Accent1 9 2 3 2 4" xfId="23672" xr:uid="{00000000-0005-0000-0000-0000A9510000}"/>
    <cellStyle name="40% - Accent1 9 2 3 3" xfId="4576" xr:uid="{00000000-0005-0000-0000-0000AA510000}"/>
    <cellStyle name="40% - Accent1 9 2 3 3 2" xfId="15676" xr:uid="{00000000-0005-0000-0000-0000AB510000}"/>
    <cellStyle name="40% - Accent1 9 2 3 3 2 2" xfId="27533" xr:uid="{00000000-0005-0000-0000-0000AC510000}"/>
    <cellStyle name="40% - Accent1 9 2 3 3 3" xfId="19627" xr:uid="{00000000-0005-0000-0000-0000AD510000}"/>
    <cellStyle name="40% - Accent1 9 2 3 3 3 2" xfId="31319" xr:uid="{00000000-0005-0000-0000-0000AE510000}"/>
    <cellStyle name="40% - Accent1 9 2 3 3 4" xfId="23673" xr:uid="{00000000-0005-0000-0000-0000AF510000}"/>
    <cellStyle name="40% - Accent1 9 2 3 4" xfId="15674" xr:uid="{00000000-0005-0000-0000-0000B0510000}"/>
    <cellStyle name="40% - Accent1 9 2 3 4 2" xfId="27531" xr:uid="{00000000-0005-0000-0000-0000B1510000}"/>
    <cellStyle name="40% - Accent1 9 2 3 5" xfId="19625" xr:uid="{00000000-0005-0000-0000-0000B2510000}"/>
    <cellStyle name="40% - Accent1 9 2 3 5 2" xfId="31317" xr:uid="{00000000-0005-0000-0000-0000B3510000}"/>
    <cellStyle name="40% - Accent1 9 2 3 6" xfId="23671" xr:uid="{00000000-0005-0000-0000-0000B4510000}"/>
    <cellStyle name="40% - Accent1 9 2 4" xfId="4577" xr:uid="{00000000-0005-0000-0000-0000B5510000}"/>
    <cellStyle name="40% - Accent1 9 2 4 2" xfId="4578" xr:uid="{00000000-0005-0000-0000-0000B6510000}"/>
    <cellStyle name="40% - Accent1 9 2 4 2 2" xfId="15678" xr:uid="{00000000-0005-0000-0000-0000B7510000}"/>
    <cellStyle name="40% - Accent1 9 2 4 2 2 2" xfId="27535" xr:uid="{00000000-0005-0000-0000-0000B8510000}"/>
    <cellStyle name="40% - Accent1 9 2 4 2 3" xfId="19629" xr:uid="{00000000-0005-0000-0000-0000B9510000}"/>
    <cellStyle name="40% - Accent1 9 2 4 2 3 2" xfId="31321" xr:uid="{00000000-0005-0000-0000-0000BA510000}"/>
    <cellStyle name="40% - Accent1 9 2 4 2 4" xfId="23675" xr:uid="{00000000-0005-0000-0000-0000BB510000}"/>
    <cellStyle name="40% - Accent1 9 2 4 3" xfId="4579" xr:uid="{00000000-0005-0000-0000-0000BC510000}"/>
    <cellStyle name="40% - Accent1 9 2 4 3 2" xfId="15679" xr:uid="{00000000-0005-0000-0000-0000BD510000}"/>
    <cellStyle name="40% - Accent1 9 2 4 3 2 2" xfId="27536" xr:uid="{00000000-0005-0000-0000-0000BE510000}"/>
    <cellStyle name="40% - Accent1 9 2 4 3 3" xfId="19630" xr:uid="{00000000-0005-0000-0000-0000BF510000}"/>
    <cellStyle name="40% - Accent1 9 2 4 3 3 2" xfId="31322" xr:uid="{00000000-0005-0000-0000-0000C0510000}"/>
    <cellStyle name="40% - Accent1 9 2 4 3 4" xfId="23676" xr:uid="{00000000-0005-0000-0000-0000C1510000}"/>
    <cellStyle name="40% - Accent1 9 2 4 4" xfId="15677" xr:uid="{00000000-0005-0000-0000-0000C2510000}"/>
    <cellStyle name="40% - Accent1 9 2 4 4 2" xfId="27534" xr:uid="{00000000-0005-0000-0000-0000C3510000}"/>
    <cellStyle name="40% - Accent1 9 2 4 5" xfId="19628" xr:uid="{00000000-0005-0000-0000-0000C4510000}"/>
    <cellStyle name="40% - Accent1 9 2 4 5 2" xfId="31320" xr:uid="{00000000-0005-0000-0000-0000C5510000}"/>
    <cellStyle name="40% - Accent1 9 2 4 6" xfId="23674" xr:uid="{00000000-0005-0000-0000-0000C6510000}"/>
    <cellStyle name="40% - Accent1 9 2 5" xfId="4580" xr:uid="{00000000-0005-0000-0000-0000C7510000}"/>
    <cellStyle name="40% - Accent1 9 2 5 2" xfId="15680" xr:uid="{00000000-0005-0000-0000-0000C8510000}"/>
    <cellStyle name="40% - Accent1 9 2 5 2 2" xfId="27537" xr:uid="{00000000-0005-0000-0000-0000C9510000}"/>
    <cellStyle name="40% - Accent1 9 2 5 3" xfId="19631" xr:uid="{00000000-0005-0000-0000-0000CA510000}"/>
    <cellStyle name="40% - Accent1 9 2 5 3 2" xfId="31323" xr:uid="{00000000-0005-0000-0000-0000CB510000}"/>
    <cellStyle name="40% - Accent1 9 2 5 4" xfId="23677" xr:uid="{00000000-0005-0000-0000-0000CC510000}"/>
    <cellStyle name="40% - Accent1 9 2 6" xfId="4581" xr:uid="{00000000-0005-0000-0000-0000CD510000}"/>
    <cellStyle name="40% - Accent1 9 2 6 2" xfId="15681" xr:uid="{00000000-0005-0000-0000-0000CE510000}"/>
    <cellStyle name="40% - Accent1 9 2 6 2 2" xfId="27538" xr:uid="{00000000-0005-0000-0000-0000CF510000}"/>
    <cellStyle name="40% - Accent1 9 2 6 3" xfId="19632" xr:uid="{00000000-0005-0000-0000-0000D0510000}"/>
    <cellStyle name="40% - Accent1 9 2 6 3 2" xfId="31324" xr:uid="{00000000-0005-0000-0000-0000D1510000}"/>
    <cellStyle name="40% - Accent1 9 2 6 4" xfId="23678" xr:uid="{00000000-0005-0000-0000-0000D2510000}"/>
    <cellStyle name="40% - Accent1 9 2 7" xfId="15670" xr:uid="{00000000-0005-0000-0000-0000D3510000}"/>
    <cellStyle name="40% - Accent1 9 2 7 2" xfId="27527" xr:uid="{00000000-0005-0000-0000-0000D4510000}"/>
    <cellStyle name="40% - Accent1 9 2 8" xfId="19621" xr:uid="{00000000-0005-0000-0000-0000D5510000}"/>
    <cellStyle name="40% - Accent1 9 2 8 2" xfId="31313" xr:uid="{00000000-0005-0000-0000-0000D6510000}"/>
    <cellStyle name="40% - Accent1 9 2 9" xfId="23667" xr:uid="{00000000-0005-0000-0000-0000D7510000}"/>
    <cellStyle name="40% - Accent1 9 2_Volatility" xfId="4582" xr:uid="{00000000-0005-0000-0000-0000D8510000}"/>
    <cellStyle name="40% - Accent1 9 3" xfId="4583" xr:uid="{00000000-0005-0000-0000-0000D9510000}"/>
    <cellStyle name="40% - Accent1 9 3 2" xfId="4584" xr:uid="{00000000-0005-0000-0000-0000DA510000}"/>
    <cellStyle name="40% - Accent1 9 3 2 2" xfId="4585" xr:uid="{00000000-0005-0000-0000-0000DB510000}"/>
    <cellStyle name="40% - Accent1 9 3 2 2 2" xfId="15684" xr:uid="{00000000-0005-0000-0000-0000DC510000}"/>
    <cellStyle name="40% - Accent1 9 3 2 2 2 2" xfId="27541" xr:uid="{00000000-0005-0000-0000-0000DD510000}"/>
    <cellStyle name="40% - Accent1 9 3 2 2 3" xfId="19635" xr:uid="{00000000-0005-0000-0000-0000DE510000}"/>
    <cellStyle name="40% - Accent1 9 3 2 2 3 2" xfId="31327" xr:uid="{00000000-0005-0000-0000-0000DF510000}"/>
    <cellStyle name="40% - Accent1 9 3 2 2 4" xfId="23681" xr:uid="{00000000-0005-0000-0000-0000E0510000}"/>
    <cellStyle name="40% - Accent1 9 3 2 3" xfId="4586" xr:uid="{00000000-0005-0000-0000-0000E1510000}"/>
    <cellStyle name="40% - Accent1 9 3 2 3 2" xfId="15685" xr:uid="{00000000-0005-0000-0000-0000E2510000}"/>
    <cellStyle name="40% - Accent1 9 3 2 3 2 2" xfId="27542" xr:uid="{00000000-0005-0000-0000-0000E3510000}"/>
    <cellStyle name="40% - Accent1 9 3 2 3 3" xfId="19636" xr:uid="{00000000-0005-0000-0000-0000E4510000}"/>
    <cellStyle name="40% - Accent1 9 3 2 3 3 2" xfId="31328" xr:uid="{00000000-0005-0000-0000-0000E5510000}"/>
    <cellStyle name="40% - Accent1 9 3 2 3 4" xfId="23682" xr:uid="{00000000-0005-0000-0000-0000E6510000}"/>
    <cellStyle name="40% - Accent1 9 3 2 4" xfId="15683" xr:uid="{00000000-0005-0000-0000-0000E7510000}"/>
    <cellStyle name="40% - Accent1 9 3 2 4 2" xfId="27540" xr:uid="{00000000-0005-0000-0000-0000E8510000}"/>
    <cellStyle name="40% - Accent1 9 3 2 5" xfId="19634" xr:uid="{00000000-0005-0000-0000-0000E9510000}"/>
    <cellStyle name="40% - Accent1 9 3 2 5 2" xfId="31326" xr:uid="{00000000-0005-0000-0000-0000EA510000}"/>
    <cellStyle name="40% - Accent1 9 3 2 6" xfId="23680" xr:uid="{00000000-0005-0000-0000-0000EB510000}"/>
    <cellStyle name="40% - Accent1 9 3 3" xfId="4587" xr:uid="{00000000-0005-0000-0000-0000EC510000}"/>
    <cellStyle name="40% - Accent1 9 3 3 2" xfId="4588" xr:uid="{00000000-0005-0000-0000-0000ED510000}"/>
    <cellStyle name="40% - Accent1 9 3 3 2 2" xfId="15687" xr:uid="{00000000-0005-0000-0000-0000EE510000}"/>
    <cellStyle name="40% - Accent1 9 3 3 2 2 2" xfId="27544" xr:uid="{00000000-0005-0000-0000-0000EF510000}"/>
    <cellStyle name="40% - Accent1 9 3 3 2 3" xfId="19638" xr:uid="{00000000-0005-0000-0000-0000F0510000}"/>
    <cellStyle name="40% - Accent1 9 3 3 2 3 2" xfId="31330" xr:uid="{00000000-0005-0000-0000-0000F1510000}"/>
    <cellStyle name="40% - Accent1 9 3 3 2 4" xfId="23684" xr:uid="{00000000-0005-0000-0000-0000F2510000}"/>
    <cellStyle name="40% - Accent1 9 3 3 3" xfId="4589" xr:uid="{00000000-0005-0000-0000-0000F3510000}"/>
    <cellStyle name="40% - Accent1 9 3 3 3 2" xfId="15688" xr:uid="{00000000-0005-0000-0000-0000F4510000}"/>
    <cellStyle name="40% - Accent1 9 3 3 3 2 2" xfId="27545" xr:uid="{00000000-0005-0000-0000-0000F5510000}"/>
    <cellStyle name="40% - Accent1 9 3 3 3 3" xfId="19639" xr:uid="{00000000-0005-0000-0000-0000F6510000}"/>
    <cellStyle name="40% - Accent1 9 3 3 3 3 2" xfId="31331" xr:uid="{00000000-0005-0000-0000-0000F7510000}"/>
    <cellStyle name="40% - Accent1 9 3 3 3 4" xfId="23685" xr:uid="{00000000-0005-0000-0000-0000F8510000}"/>
    <cellStyle name="40% - Accent1 9 3 3 4" xfId="15686" xr:uid="{00000000-0005-0000-0000-0000F9510000}"/>
    <cellStyle name="40% - Accent1 9 3 3 4 2" xfId="27543" xr:uid="{00000000-0005-0000-0000-0000FA510000}"/>
    <cellStyle name="40% - Accent1 9 3 3 5" xfId="19637" xr:uid="{00000000-0005-0000-0000-0000FB510000}"/>
    <cellStyle name="40% - Accent1 9 3 3 5 2" xfId="31329" xr:uid="{00000000-0005-0000-0000-0000FC510000}"/>
    <cellStyle name="40% - Accent1 9 3 3 6" xfId="23683" xr:uid="{00000000-0005-0000-0000-0000FD510000}"/>
    <cellStyle name="40% - Accent1 9 3 4" xfId="4590" xr:uid="{00000000-0005-0000-0000-0000FE510000}"/>
    <cellStyle name="40% - Accent1 9 3 4 2" xfId="15689" xr:uid="{00000000-0005-0000-0000-0000FF510000}"/>
    <cellStyle name="40% - Accent1 9 3 4 2 2" xfId="27546" xr:uid="{00000000-0005-0000-0000-000000520000}"/>
    <cellStyle name="40% - Accent1 9 3 4 3" xfId="19640" xr:uid="{00000000-0005-0000-0000-000001520000}"/>
    <cellStyle name="40% - Accent1 9 3 4 3 2" xfId="31332" xr:uid="{00000000-0005-0000-0000-000002520000}"/>
    <cellStyle name="40% - Accent1 9 3 4 4" xfId="23686" xr:uid="{00000000-0005-0000-0000-000003520000}"/>
    <cellStyle name="40% - Accent1 9 3 5" xfId="4591" xr:uid="{00000000-0005-0000-0000-000004520000}"/>
    <cellStyle name="40% - Accent1 9 3 5 2" xfId="15690" xr:uid="{00000000-0005-0000-0000-000005520000}"/>
    <cellStyle name="40% - Accent1 9 3 5 2 2" xfId="27547" xr:uid="{00000000-0005-0000-0000-000006520000}"/>
    <cellStyle name="40% - Accent1 9 3 5 3" xfId="19641" xr:uid="{00000000-0005-0000-0000-000007520000}"/>
    <cellStyle name="40% - Accent1 9 3 5 3 2" xfId="31333" xr:uid="{00000000-0005-0000-0000-000008520000}"/>
    <cellStyle name="40% - Accent1 9 3 5 4" xfId="23687" xr:uid="{00000000-0005-0000-0000-000009520000}"/>
    <cellStyle name="40% - Accent1 9 3 6" xfId="15682" xr:uid="{00000000-0005-0000-0000-00000A520000}"/>
    <cellStyle name="40% - Accent1 9 3 6 2" xfId="27539" xr:uid="{00000000-0005-0000-0000-00000B520000}"/>
    <cellStyle name="40% - Accent1 9 3 7" xfId="19633" xr:uid="{00000000-0005-0000-0000-00000C520000}"/>
    <cellStyle name="40% - Accent1 9 3 7 2" xfId="31325" xr:uid="{00000000-0005-0000-0000-00000D520000}"/>
    <cellStyle name="40% - Accent1 9 3 8" xfId="23679" xr:uid="{00000000-0005-0000-0000-00000E520000}"/>
    <cellStyle name="40% - Accent1 9 3_Volatility" xfId="4592" xr:uid="{00000000-0005-0000-0000-00000F520000}"/>
    <cellStyle name="40% - Accent1 9 4" xfId="4593" xr:uid="{00000000-0005-0000-0000-000010520000}"/>
    <cellStyle name="40% - Accent1 9 4 2" xfId="4594" xr:uid="{00000000-0005-0000-0000-000011520000}"/>
    <cellStyle name="40% - Accent1 9 4 2 2" xfId="15692" xr:uid="{00000000-0005-0000-0000-000012520000}"/>
    <cellStyle name="40% - Accent1 9 4 2 2 2" xfId="27549" xr:uid="{00000000-0005-0000-0000-000013520000}"/>
    <cellStyle name="40% - Accent1 9 4 2 3" xfId="19643" xr:uid="{00000000-0005-0000-0000-000014520000}"/>
    <cellStyle name="40% - Accent1 9 4 2 3 2" xfId="31335" xr:uid="{00000000-0005-0000-0000-000015520000}"/>
    <cellStyle name="40% - Accent1 9 4 2 4" xfId="23689" xr:uid="{00000000-0005-0000-0000-000016520000}"/>
    <cellStyle name="40% - Accent1 9 4 3" xfId="4595" xr:uid="{00000000-0005-0000-0000-000017520000}"/>
    <cellStyle name="40% - Accent1 9 4 3 2" xfId="15693" xr:uid="{00000000-0005-0000-0000-000018520000}"/>
    <cellStyle name="40% - Accent1 9 4 3 2 2" xfId="27550" xr:uid="{00000000-0005-0000-0000-000019520000}"/>
    <cellStyle name="40% - Accent1 9 4 3 3" xfId="19644" xr:uid="{00000000-0005-0000-0000-00001A520000}"/>
    <cellStyle name="40% - Accent1 9 4 3 3 2" xfId="31336" xr:uid="{00000000-0005-0000-0000-00001B520000}"/>
    <cellStyle name="40% - Accent1 9 4 3 4" xfId="23690" xr:uid="{00000000-0005-0000-0000-00001C520000}"/>
    <cellStyle name="40% - Accent1 9 4 4" xfId="15691" xr:uid="{00000000-0005-0000-0000-00001D520000}"/>
    <cellStyle name="40% - Accent1 9 4 4 2" xfId="27548" xr:uid="{00000000-0005-0000-0000-00001E520000}"/>
    <cellStyle name="40% - Accent1 9 4 5" xfId="19642" xr:uid="{00000000-0005-0000-0000-00001F520000}"/>
    <cellStyle name="40% - Accent1 9 4 5 2" xfId="31334" xr:uid="{00000000-0005-0000-0000-000020520000}"/>
    <cellStyle name="40% - Accent1 9 4 6" xfId="23688" xr:uid="{00000000-0005-0000-0000-000021520000}"/>
    <cellStyle name="40% - Accent1 9 5" xfId="4596" xr:uid="{00000000-0005-0000-0000-000022520000}"/>
    <cellStyle name="40% - Accent1 9 5 2" xfId="4597" xr:uid="{00000000-0005-0000-0000-000023520000}"/>
    <cellStyle name="40% - Accent1 9 5 2 2" xfId="15695" xr:uid="{00000000-0005-0000-0000-000024520000}"/>
    <cellStyle name="40% - Accent1 9 5 2 2 2" xfId="27552" xr:uid="{00000000-0005-0000-0000-000025520000}"/>
    <cellStyle name="40% - Accent1 9 5 2 3" xfId="19646" xr:uid="{00000000-0005-0000-0000-000026520000}"/>
    <cellStyle name="40% - Accent1 9 5 2 3 2" xfId="31338" xr:uid="{00000000-0005-0000-0000-000027520000}"/>
    <cellStyle name="40% - Accent1 9 5 2 4" xfId="23692" xr:uid="{00000000-0005-0000-0000-000028520000}"/>
    <cellStyle name="40% - Accent1 9 5 3" xfId="4598" xr:uid="{00000000-0005-0000-0000-000029520000}"/>
    <cellStyle name="40% - Accent1 9 5 3 2" xfId="15696" xr:uid="{00000000-0005-0000-0000-00002A520000}"/>
    <cellStyle name="40% - Accent1 9 5 3 2 2" xfId="27553" xr:uid="{00000000-0005-0000-0000-00002B520000}"/>
    <cellStyle name="40% - Accent1 9 5 3 3" xfId="19647" xr:uid="{00000000-0005-0000-0000-00002C520000}"/>
    <cellStyle name="40% - Accent1 9 5 3 3 2" xfId="31339" xr:uid="{00000000-0005-0000-0000-00002D520000}"/>
    <cellStyle name="40% - Accent1 9 5 3 4" xfId="23693" xr:uid="{00000000-0005-0000-0000-00002E520000}"/>
    <cellStyle name="40% - Accent1 9 5 4" xfId="15694" xr:uid="{00000000-0005-0000-0000-00002F520000}"/>
    <cellStyle name="40% - Accent1 9 5 4 2" xfId="27551" xr:uid="{00000000-0005-0000-0000-000030520000}"/>
    <cellStyle name="40% - Accent1 9 5 5" xfId="19645" xr:uid="{00000000-0005-0000-0000-000031520000}"/>
    <cellStyle name="40% - Accent1 9 5 5 2" xfId="31337" xr:uid="{00000000-0005-0000-0000-000032520000}"/>
    <cellStyle name="40% - Accent1 9 5 6" xfId="23691" xr:uid="{00000000-0005-0000-0000-000033520000}"/>
    <cellStyle name="40% - Accent1 9 6" xfId="4599" xr:uid="{00000000-0005-0000-0000-000034520000}"/>
    <cellStyle name="40% - Accent1 9 6 2" xfId="4600" xr:uid="{00000000-0005-0000-0000-000035520000}"/>
    <cellStyle name="40% - Accent1 9 6 2 2" xfId="15698" xr:uid="{00000000-0005-0000-0000-000036520000}"/>
    <cellStyle name="40% - Accent1 9 6 2 2 2" xfId="27555" xr:uid="{00000000-0005-0000-0000-000037520000}"/>
    <cellStyle name="40% - Accent1 9 6 2 3" xfId="19649" xr:uid="{00000000-0005-0000-0000-000038520000}"/>
    <cellStyle name="40% - Accent1 9 6 2 3 2" xfId="31341" xr:uid="{00000000-0005-0000-0000-000039520000}"/>
    <cellStyle name="40% - Accent1 9 6 2 4" xfId="23695" xr:uid="{00000000-0005-0000-0000-00003A520000}"/>
    <cellStyle name="40% - Accent1 9 6 3" xfId="4601" xr:uid="{00000000-0005-0000-0000-00003B520000}"/>
    <cellStyle name="40% - Accent1 9 6 3 2" xfId="15699" xr:uid="{00000000-0005-0000-0000-00003C520000}"/>
    <cellStyle name="40% - Accent1 9 6 3 2 2" xfId="27556" xr:uid="{00000000-0005-0000-0000-00003D520000}"/>
    <cellStyle name="40% - Accent1 9 6 3 3" xfId="19650" xr:uid="{00000000-0005-0000-0000-00003E520000}"/>
    <cellStyle name="40% - Accent1 9 6 3 3 2" xfId="31342" xr:uid="{00000000-0005-0000-0000-00003F520000}"/>
    <cellStyle name="40% - Accent1 9 6 3 4" xfId="23696" xr:uid="{00000000-0005-0000-0000-000040520000}"/>
    <cellStyle name="40% - Accent1 9 6 4" xfId="15697" xr:uid="{00000000-0005-0000-0000-000041520000}"/>
    <cellStyle name="40% - Accent1 9 6 4 2" xfId="27554" xr:uid="{00000000-0005-0000-0000-000042520000}"/>
    <cellStyle name="40% - Accent1 9 6 5" xfId="19648" xr:uid="{00000000-0005-0000-0000-000043520000}"/>
    <cellStyle name="40% - Accent1 9 6 5 2" xfId="31340" xr:uid="{00000000-0005-0000-0000-000044520000}"/>
    <cellStyle name="40% - Accent1 9 6 6" xfId="23694" xr:uid="{00000000-0005-0000-0000-000045520000}"/>
    <cellStyle name="40% - Accent1 9 7" xfId="4602" xr:uid="{00000000-0005-0000-0000-000046520000}"/>
    <cellStyle name="40% - Accent1 9 7 2" xfId="15700" xr:uid="{00000000-0005-0000-0000-000047520000}"/>
    <cellStyle name="40% - Accent1 9 7 2 2" xfId="27557" xr:uid="{00000000-0005-0000-0000-000048520000}"/>
    <cellStyle name="40% - Accent1 9 7 3" xfId="19651" xr:uid="{00000000-0005-0000-0000-000049520000}"/>
    <cellStyle name="40% - Accent1 9 7 3 2" xfId="31343" xr:uid="{00000000-0005-0000-0000-00004A520000}"/>
    <cellStyle name="40% - Accent1 9 7 4" xfId="23697" xr:uid="{00000000-0005-0000-0000-00004B520000}"/>
    <cellStyle name="40% - Accent1 9 8" xfId="4603" xr:uid="{00000000-0005-0000-0000-00004C520000}"/>
    <cellStyle name="40% - Accent1 9 8 2" xfId="15701" xr:uid="{00000000-0005-0000-0000-00004D520000}"/>
    <cellStyle name="40% - Accent1 9 8 2 2" xfId="27558" xr:uid="{00000000-0005-0000-0000-00004E520000}"/>
    <cellStyle name="40% - Accent1 9 8 3" xfId="19652" xr:uid="{00000000-0005-0000-0000-00004F520000}"/>
    <cellStyle name="40% - Accent1 9 8 3 2" xfId="31344" xr:uid="{00000000-0005-0000-0000-000050520000}"/>
    <cellStyle name="40% - Accent1 9 8 4" xfId="23698" xr:uid="{00000000-0005-0000-0000-000051520000}"/>
    <cellStyle name="40% - Accent1 9 9" xfId="15669" xr:uid="{00000000-0005-0000-0000-000052520000}"/>
    <cellStyle name="40% - Accent1 9 9 2" xfId="27526" xr:uid="{00000000-0005-0000-0000-000053520000}"/>
    <cellStyle name="40% - Accent1 9_Volatility" xfId="4604" xr:uid="{00000000-0005-0000-0000-000054520000}"/>
    <cellStyle name="40% - Accent2 10" xfId="4605" xr:uid="{00000000-0005-0000-0000-000055520000}"/>
    <cellStyle name="40% - Accent2 10 10" xfId="19653" xr:uid="{00000000-0005-0000-0000-000056520000}"/>
    <cellStyle name="40% - Accent2 10 10 2" xfId="31345" xr:uid="{00000000-0005-0000-0000-000057520000}"/>
    <cellStyle name="40% - Accent2 10 11" xfId="23699" xr:uid="{00000000-0005-0000-0000-000058520000}"/>
    <cellStyle name="40% - Accent2 10 2" xfId="4606" xr:uid="{00000000-0005-0000-0000-000059520000}"/>
    <cellStyle name="40% - Accent2 10 2 2" xfId="4607" xr:uid="{00000000-0005-0000-0000-00005A520000}"/>
    <cellStyle name="40% - Accent2 10 2 2 2" xfId="4608" xr:uid="{00000000-0005-0000-0000-00005B520000}"/>
    <cellStyle name="40% - Accent2 10 2 2 2 2" xfId="15705" xr:uid="{00000000-0005-0000-0000-00005C520000}"/>
    <cellStyle name="40% - Accent2 10 2 2 2 2 2" xfId="27562" xr:uid="{00000000-0005-0000-0000-00005D520000}"/>
    <cellStyle name="40% - Accent2 10 2 2 2 3" xfId="19656" xr:uid="{00000000-0005-0000-0000-00005E520000}"/>
    <cellStyle name="40% - Accent2 10 2 2 2 3 2" xfId="31348" xr:uid="{00000000-0005-0000-0000-00005F520000}"/>
    <cellStyle name="40% - Accent2 10 2 2 2 4" xfId="23702" xr:uid="{00000000-0005-0000-0000-000060520000}"/>
    <cellStyle name="40% - Accent2 10 2 2 3" xfId="4609" xr:uid="{00000000-0005-0000-0000-000061520000}"/>
    <cellStyle name="40% - Accent2 10 2 2 3 2" xfId="15706" xr:uid="{00000000-0005-0000-0000-000062520000}"/>
    <cellStyle name="40% - Accent2 10 2 2 3 2 2" xfId="27563" xr:uid="{00000000-0005-0000-0000-000063520000}"/>
    <cellStyle name="40% - Accent2 10 2 2 3 3" xfId="19657" xr:uid="{00000000-0005-0000-0000-000064520000}"/>
    <cellStyle name="40% - Accent2 10 2 2 3 3 2" xfId="31349" xr:uid="{00000000-0005-0000-0000-000065520000}"/>
    <cellStyle name="40% - Accent2 10 2 2 3 4" xfId="23703" xr:uid="{00000000-0005-0000-0000-000066520000}"/>
    <cellStyle name="40% - Accent2 10 2 2 4" xfId="15704" xr:uid="{00000000-0005-0000-0000-000067520000}"/>
    <cellStyle name="40% - Accent2 10 2 2 4 2" xfId="27561" xr:uid="{00000000-0005-0000-0000-000068520000}"/>
    <cellStyle name="40% - Accent2 10 2 2 5" xfId="19655" xr:uid="{00000000-0005-0000-0000-000069520000}"/>
    <cellStyle name="40% - Accent2 10 2 2 5 2" xfId="31347" xr:uid="{00000000-0005-0000-0000-00006A520000}"/>
    <cellStyle name="40% - Accent2 10 2 2 6" xfId="23701" xr:uid="{00000000-0005-0000-0000-00006B520000}"/>
    <cellStyle name="40% - Accent2 10 2 3" xfId="4610" xr:uid="{00000000-0005-0000-0000-00006C520000}"/>
    <cellStyle name="40% - Accent2 10 2 3 2" xfId="4611" xr:uid="{00000000-0005-0000-0000-00006D520000}"/>
    <cellStyle name="40% - Accent2 10 2 3 2 2" xfId="15708" xr:uid="{00000000-0005-0000-0000-00006E520000}"/>
    <cellStyle name="40% - Accent2 10 2 3 2 2 2" xfId="27565" xr:uid="{00000000-0005-0000-0000-00006F520000}"/>
    <cellStyle name="40% - Accent2 10 2 3 2 3" xfId="19659" xr:uid="{00000000-0005-0000-0000-000070520000}"/>
    <cellStyle name="40% - Accent2 10 2 3 2 3 2" xfId="31351" xr:uid="{00000000-0005-0000-0000-000071520000}"/>
    <cellStyle name="40% - Accent2 10 2 3 2 4" xfId="23705" xr:uid="{00000000-0005-0000-0000-000072520000}"/>
    <cellStyle name="40% - Accent2 10 2 3 3" xfId="4612" xr:uid="{00000000-0005-0000-0000-000073520000}"/>
    <cellStyle name="40% - Accent2 10 2 3 3 2" xfId="15709" xr:uid="{00000000-0005-0000-0000-000074520000}"/>
    <cellStyle name="40% - Accent2 10 2 3 3 2 2" xfId="27566" xr:uid="{00000000-0005-0000-0000-000075520000}"/>
    <cellStyle name="40% - Accent2 10 2 3 3 3" xfId="19660" xr:uid="{00000000-0005-0000-0000-000076520000}"/>
    <cellStyle name="40% - Accent2 10 2 3 3 3 2" xfId="31352" xr:uid="{00000000-0005-0000-0000-000077520000}"/>
    <cellStyle name="40% - Accent2 10 2 3 3 4" xfId="23706" xr:uid="{00000000-0005-0000-0000-000078520000}"/>
    <cellStyle name="40% - Accent2 10 2 3 4" xfId="15707" xr:uid="{00000000-0005-0000-0000-000079520000}"/>
    <cellStyle name="40% - Accent2 10 2 3 4 2" xfId="27564" xr:uid="{00000000-0005-0000-0000-00007A520000}"/>
    <cellStyle name="40% - Accent2 10 2 3 5" xfId="19658" xr:uid="{00000000-0005-0000-0000-00007B520000}"/>
    <cellStyle name="40% - Accent2 10 2 3 5 2" xfId="31350" xr:uid="{00000000-0005-0000-0000-00007C520000}"/>
    <cellStyle name="40% - Accent2 10 2 3 6" xfId="23704" xr:uid="{00000000-0005-0000-0000-00007D520000}"/>
    <cellStyle name="40% - Accent2 10 2 4" xfId="4613" xr:uid="{00000000-0005-0000-0000-00007E520000}"/>
    <cellStyle name="40% - Accent2 10 2 4 2" xfId="4614" xr:uid="{00000000-0005-0000-0000-00007F520000}"/>
    <cellStyle name="40% - Accent2 10 2 4 2 2" xfId="15711" xr:uid="{00000000-0005-0000-0000-000080520000}"/>
    <cellStyle name="40% - Accent2 10 2 4 2 2 2" xfId="27568" xr:uid="{00000000-0005-0000-0000-000081520000}"/>
    <cellStyle name="40% - Accent2 10 2 4 2 3" xfId="19662" xr:uid="{00000000-0005-0000-0000-000082520000}"/>
    <cellStyle name="40% - Accent2 10 2 4 2 3 2" xfId="31354" xr:uid="{00000000-0005-0000-0000-000083520000}"/>
    <cellStyle name="40% - Accent2 10 2 4 2 4" xfId="23708" xr:uid="{00000000-0005-0000-0000-000084520000}"/>
    <cellStyle name="40% - Accent2 10 2 4 3" xfId="4615" xr:uid="{00000000-0005-0000-0000-000085520000}"/>
    <cellStyle name="40% - Accent2 10 2 4 3 2" xfId="15712" xr:uid="{00000000-0005-0000-0000-000086520000}"/>
    <cellStyle name="40% - Accent2 10 2 4 3 2 2" xfId="27569" xr:uid="{00000000-0005-0000-0000-000087520000}"/>
    <cellStyle name="40% - Accent2 10 2 4 3 3" xfId="19663" xr:uid="{00000000-0005-0000-0000-000088520000}"/>
    <cellStyle name="40% - Accent2 10 2 4 3 3 2" xfId="31355" xr:uid="{00000000-0005-0000-0000-000089520000}"/>
    <cellStyle name="40% - Accent2 10 2 4 3 4" xfId="23709" xr:uid="{00000000-0005-0000-0000-00008A520000}"/>
    <cellStyle name="40% - Accent2 10 2 4 4" xfId="15710" xr:uid="{00000000-0005-0000-0000-00008B520000}"/>
    <cellStyle name="40% - Accent2 10 2 4 4 2" xfId="27567" xr:uid="{00000000-0005-0000-0000-00008C520000}"/>
    <cellStyle name="40% - Accent2 10 2 4 5" xfId="19661" xr:uid="{00000000-0005-0000-0000-00008D520000}"/>
    <cellStyle name="40% - Accent2 10 2 4 5 2" xfId="31353" xr:uid="{00000000-0005-0000-0000-00008E520000}"/>
    <cellStyle name="40% - Accent2 10 2 4 6" xfId="23707" xr:uid="{00000000-0005-0000-0000-00008F520000}"/>
    <cellStyle name="40% - Accent2 10 2 5" xfId="4616" xr:uid="{00000000-0005-0000-0000-000090520000}"/>
    <cellStyle name="40% - Accent2 10 2 5 2" xfId="15713" xr:uid="{00000000-0005-0000-0000-000091520000}"/>
    <cellStyle name="40% - Accent2 10 2 5 2 2" xfId="27570" xr:uid="{00000000-0005-0000-0000-000092520000}"/>
    <cellStyle name="40% - Accent2 10 2 5 3" xfId="19664" xr:uid="{00000000-0005-0000-0000-000093520000}"/>
    <cellStyle name="40% - Accent2 10 2 5 3 2" xfId="31356" xr:uid="{00000000-0005-0000-0000-000094520000}"/>
    <cellStyle name="40% - Accent2 10 2 5 4" xfId="23710" xr:uid="{00000000-0005-0000-0000-000095520000}"/>
    <cellStyle name="40% - Accent2 10 2 6" xfId="4617" xr:uid="{00000000-0005-0000-0000-000096520000}"/>
    <cellStyle name="40% - Accent2 10 2 6 2" xfId="15714" xr:uid="{00000000-0005-0000-0000-000097520000}"/>
    <cellStyle name="40% - Accent2 10 2 6 2 2" xfId="27571" xr:uid="{00000000-0005-0000-0000-000098520000}"/>
    <cellStyle name="40% - Accent2 10 2 6 3" xfId="19665" xr:uid="{00000000-0005-0000-0000-000099520000}"/>
    <cellStyle name="40% - Accent2 10 2 6 3 2" xfId="31357" xr:uid="{00000000-0005-0000-0000-00009A520000}"/>
    <cellStyle name="40% - Accent2 10 2 6 4" xfId="23711" xr:uid="{00000000-0005-0000-0000-00009B520000}"/>
    <cellStyle name="40% - Accent2 10 2 7" xfId="15703" xr:uid="{00000000-0005-0000-0000-00009C520000}"/>
    <cellStyle name="40% - Accent2 10 2 7 2" xfId="27560" xr:uid="{00000000-0005-0000-0000-00009D520000}"/>
    <cellStyle name="40% - Accent2 10 2 8" xfId="19654" xr:uid="{00000000-0005-0000-0000-00009E520000}"/>
    <cellStyle name="40% - Accent2 10 2 8 2" xfId="31346" xr:uid="{00000000-0005-0000-0000-00009F520000}"/>
    <cellStyle name="40% - Accent2 10 2 9" xfId="23700" xr:uid="{00000000-0005-0000-0000-0000A0520000}"/>
    <cellStyle name="40% - Accent2 10 2_Volatility" xfId="4618" xr:uid="{00000000-0005-0000-0000-0000A1520000}"/>
    <cellStyle name="40% - Accent2 10 3" xfId="4619" xr:uid="{00000000-0005-0000-0000-0000A2520000}"/>
    <cellStyle name="40% - Accent2 10 3 2" xfId="4620" xr:uid="{00000000-0005-0000-0000-0000A3520000}"/>
    <cellStyle name="40% - Accent2 10 3 2 2" xfId="4621" xr:uid="{00000000-0005-0000-0000-0000A4520000}"/>
    <cellStyle name="40% - Accent2 10 3 2 2 2" xfId="15717" xr:uid="{00000000-0005-0000-0000-0000A5520000}"/>
    <cellStyle name="40% - Accent2 10 3 2 2 2 2" xfId="27574" xr:uid="{00000000-0005-0000-0000-0000A6520000}"/>
    <cellStyle name="40% - Accent2 10 3 2 2 3" xfId="19668" xr:uid="{00000000-0005-0000-0000-0000A7520000}"/>
    <cellStyle name="40% - Accent2 10 3 2 2 3 2" xfId="31360" xr:uid="{00000000-0005-0000-0000-0000A8520000}"/>
    <cellStyle name="40% - Accent2 10 3 2 2 4" xfId="23714" xr:uid="{00000000-0005-0000-0000-0000A9520000}"/>
    <cellStyle name="40% - Accent2 10 3 2 3" xfId="4622" xr:uid="{00000000-0005-0000-0000-0000AA520000}"/>
    <cellStyle name="40% - Accent2 10 3 2 3 2" xfId="15718" xr:uid="{00000000-0005-0000-0000-0000AB520000}"/>
    <cellStyle name="40% - Accent2 10 3 2 3 2 2" xfId="27575" xr:uid="{00000000-0005-0000-0000-0000AC520000}"/>
    <cellStyle name="40% - Accent2 10 3 2 3 3" xfId="19669" xr:uid="{00000000-0005-0000-0000-0000AD520000}"/>
    <cellStyle name="40% - Accent2 10 3 2 3 3 2" xfId="31361" xr:uid="{00000000-0005-0000-0000-0000AE520000}"/>
    <cellStyle name="40% - Accent2 10 3 2 3 4" xfId="23715" xr:uid="{00000000-0005-0000-0000-0000AF520000}"/>
    <cellStyle name="40% - Accent2 10 3 2 4" xfId="15716" xr:uid="{00000000-0005-0000-0000-0000B0520000}"/>
    <cellStyle name="40% - Accent2 10 3 2 4 2" xfId="27573" xr:uid="{00000000-0005-0000-0000-0000B1520000}"/>
    <cellStyle name="40% - Accent2 10 3 2 5" xfId="19667" xr:uid="{00000000-0005-0000-0000-0000B2520000}"/>
    <cellStyle name="40% - Accent2 10 3 2 5 2" xfId="31359" xr:uid="{00000000-0005-0000-0000-0000B3520000}"/>
    <cellStyle name="40% - Accent2 10 3 2 6" xfId="23713" xr:uid="{00000000-0005-0000-0000-0000B4520000}"/>
    <cellStyle name="40% - Accent2 10 3 3" xfId="4623" xr:uid="{00000000-0005-0000-0000-0000B5520000}"/>
    <cellStyle name="40% - Accent2 10 3 3 2" xfId="4624" xr:uid="{00000000-0005-0000-0000-0000B6520000}"/>
    <cellStyle name="40% - Accent2 10 3 3 2 2" xfId="15720" xr:uid="{00000000-0005-0000-0000-0000B7520000}"/>
    <cellStyle name="40% - Accent2 10 3 3 2 2 2" xfId="27577" xr:uid="{00000000-0005-0000-0000-0000B8520000}"/>
    <cellStyle name="40% - Accent2 10 3 3 2 3" xfId="19671" xr:uid="{00000000-0005-0000-0000-0000B9520000}"/>
    <cellStyle name="40% - Accent2 10 3 3 2 3 2" xfId="31363" xr:uid="{00000000-0005-0000-0000-0000BA520000}"/>
    <cellStyle name="40% - Accent2 10 3 3 2 4" xfId="23717" xr:uid="{00000000-0005-0000-0000-0000BB520000}"/>
    <cellStyle name="40% - Accent2 10 3 3 3" xfId="4625" xr:uid="{00000000-0005-0000-0000-0000BC520000}"/>
    <cellStyle name="40% - Accent2 10 3 3 3 2" xfId="15721" xr:uid="{00000000-0005-0000-0000-0000BD520000}"/>
    <cellStyle name="40% - Accent2 10 3 3 3 2 2" xfId="27578" xr:uid="{00000000-0005-0000-0000-0000BE520000}"/>
    <cellStyle name="40% - Accent2 10 3 3 3 3" xfId="19672" xr:uid="{00000000-0005-0000-0000-0000BF520000}"/>
    <cellStyle name="40% - Accent2 10 3 3 3 3 2" xfId="31364" xr:uid="{00000000-0005-0000-0000-0000C0520000}"/>
    <cellStyle name="40% - Accent2 10 3 3 3 4" xfId="23718" xr:uid="{00000000-0005-0000-0000-0000C1520000}"/>
    <cellStyle name="40% - Accent2 10 3 3 4" xfId="15719" xr:uid="{00000000-0005-0000-0000-0000C2520000}"/>
    <cellStyle name="40% - Accent2 10 3 3 4 2" xfId="27576" xr:uid="{00000000-0005-0000-0000-0000C3520000}"/>
    <cellStyle name="40% - Accent2 10 3 3 5" xfId="19670" xr:uid="{00000000-0005-0000-0000-0000C4520000}"/>
    <cellStyle name="40% - Accent2 10 3 3 5 2" xfId="31362" xr:uid="{00000000-0005-0000-0000-0000C5520000}"/>
    <cellStyle name="40% - Accent2 10 3 3 6" xfId="23716" xr:uid="{00000000-0005-0000-0000-0000C6520000}"/>
    <cellStyle name="40% - Accent2 10 3 4" xfId="4626" xr:uid="{00000000-0005-0000-0000-0000C7520000}"/>
    <cellStyle name="40% - Accent2 10 3 4 2" xfId="15722" xr:uid="{00000000-0005-0000-0000-0000C8520000}"/>
    <cellStyle name="40% - Accent2 10 3 4 2 2" xfId="27579" xr:uid="{00000000-0005-0000-0000-0000C9520000}"/>
    <cellStyle name="40% - Accent2 10 3 4 3" xfId="19673" xr:uid="{00000000-0005-0000-0000-0000CA520000}"/>
    <cellStyle name="40% - Accent2 10 3 4 3 2" xfId="31365" xr:uid="{00000000-0005-0000-0000-0000CB520000}"/>
    <cellStyle name="40% - Accent2 10 3 4 4" xfId="23719" xr:uid="{00000000-0005-0000-0000-0000CC520000}"/>
    <cellStyle name="40% - Accent2 10 3 5" xfId="4627" xr:uid="{00000000-0005-0000-0000-0000CD520000}"/>
    <cellStyle name="40% - Accent2 10 3 5 2" xfId="15723" xr:uid="{00000000-0005-0000-0000-0000CE520000}"/>
    <cellStyle name="40% - Accent2 10 3 5 2 2" xfId="27580" xr:uid="{00000000-0005-0000-0000-0000CF520000}"/>
    <cellStyle name="40% - Accent2 10 3 5 3" xfId="19674" xr:uid="{00000000-0005-0000-0000-0000D0520000}"/>
    <cellStyle name="40% - Accent2 10 3 5 3 2" xfId="31366" xr:uid="{00000000-0005-0000-0000-0000D1520000}"/>
    <cellStyle name="40% - Accent2 10 3 5 4" xfId="23720" xr:uid="{00000000-0005-0000-0000-0000D2520000}"/>
    <cellStyle name="40% - Accent2 10 3 6" xfId="15715" xr:uid="{00000000-0005-0000-0000-0000D3520000}"/>
    <cellStyle name="40% - Accent2 10 3 6 2" xfId="27572" xr:uid="{00000000-0005-0000-0000-0000D4520000}"/>
    <cellStyle name="40% - Accent2 10 3 7" xfId="19666" xr:uid="{00000000-0005-0000-0000-0000D5520000}"/>
    <cellStyle name="40% - Accent2 10 3 7 2" xfId="31358" xr:uid="{00000000-0005-0000-0000-0000D6520000}"/>
    <cellStyle name="40% - Accent2 10 3 8" xfId="23712" xr:uid="{00000000-0005-0000-0000-0000D7520000}"/>
    <cellStyle name="40% - Accent2 10 3_Volatility" xfId="4628" xr:uid="{00000000-0005-0000-0000-0000D8520000}"/>
    <cellStyle name="40% - Accent2 10 4" xfId="4629" xr:uid="{00000000-0005-0000-0000-0000D9520000}"/>
    <cellStyle name="40% - Accent2 10 4 2" xfId="4630" xr:uid="{00000000-0005-0000-0000-0000DA520000}"/>
    <cellStyle name="40% - Accent2 10 4 2 2" xfId="15725" xr:uid="{00000000-0005-0000-0000-0000DB520000}"/>
    <cellStyle name="40% - Accent2 10 4 2 2 2" xfId="27582" xr:uid="{00000000-0005-0000-0000-0000DC520000}"/>
    <cellStyle name="40% - Accent2 10 4 2 3" xfId="19676" xr:uid="{00000000-0005-0000-0000-0000DD520000}"/>
    <cellStyle name="40% - Accent2 10 4 2 3 2" xfId="31368" xr:uid="{00000000-0005-0000-0000-0000DE520000}"/>
    <cellStyle name="40% - Accent2 10 4 2 4" xfId="23722" xr:uid="{00000000-0005-0000-0000-0000DF520000}"/>
    <cellStyle name="40% - Accent2 10 4 3" xfId="4631" xr:uid="{00000000-0005-0000-0000-0000E0520000}"/>
    <cellStyle name="40% - Accent2 10 4 3 2" xfId="15726" xr:uid="{00000000-0005-0000-0000-0000E1520000}"/>
    <cellStyle name="40% - Accent2 10 4 3 2 2" xfId="27583" xr:uid="{00000000-0005-0000-0000-0000E2520000}"/>
    <cellStyle name="40% - Accent2 10 4 3 3" xfId="19677" xr:uid="{00000000-0005-0000-0000-0000E3520000}"/>
    <cellStyle name="40% - Accent2 10 4 3 3 2" xfId="31369" xr:uid="{00000000-0005-0000-0000-0000E4520000}"/>
    <cellStyle name="40% - Accent2 10 4 3 4" xfId="23723" xr:uid="{00000000-0005-0000-0000-0000E5520000}"/>
    <cellStyle name="40% - Accent2 10 4 4" xfId="15724" xr:uid="{00000000-0005-0000-0000-0000E6520000}"/>
    <cellStyle name="40% - Accent2 10 4 4 2" xfId="27581" xr:uid="{00000000-0005-0000-0000-0000E7520000}"/>
    <cellStyle name="40% - Accent2 10 4 5" xfId="19675" xr:uid="{00000000-0005-0000-0000-0000E8520000}"/>
    <cellStyle name="40% - Accent2 10 4 5 2" xfId="31367" xr:uid="{00000000-0005-0000-0000-0000E9520000}"/>
    <cellStyle name="40% - Accent2 10 4 6" xfId="23721" xr:uid="{00000000-0005-0000-0000-0000EA520000}"/>
    <cellStyle name="40% - Accent2 10 5" xfId="4632" xr:uid="{00000000-0005-0000-0000-0000EB520000}"/>
    <cellStyle name="40% - Accent2 10 5 2" xfId="4633" xr:uid="{00000000-0005-0000-0000-0000EC520000}"/>
    <cellStyle name="40% - Accent2 10 5 2 2" xfId="15728" xr:uid="{00000000-0005-0000-0000-0000ED520000}"/>
    <cellStyle name="40% - Accent2 10 5 2 2 2" xfId="27585" xr:uid="{00000000-0005-0000-0000-0000EE520000}"/>
    <cellStyle name="40% - Accent2 10 5 2 3" xfId="19679" xr:uid="{00000000-0005-0000-0000-0000EF520000}"/>
    <cellStyle name="40% - Accent2 10 5 2 3 2" xfId="31371" xr:uid="{00000000-0005-0000-0000-0000F0520000}"/>
    <cellStyle name="40% - Accent2 10 5 2 4" xfId="23725" xr:uid="{00000000-0005-0000-0000-0000F1520000}"/>
    <cellStyle name="40% - Accent2 10 5 3" xfId="4634" xr:uid="{00000000-0005-0000-0000-0000F2520000}"/>
    <cellStyle name="40% - Accent2 10 5 3 2" xfId="15729" xr:uid="{00000000-0005-0000-0000-0000F3520000}"/>
    <cellStyle name="40% - Accent2 10 5 3 2 2" xfId="27586" xr:uid="{00000000-0005-0000-0000-0000F4520000}"/>
    <cellStyle name="40% - Accent2 10 5 3 3" xfId="19680" xr:uid="{00000000-0005-0000-0000-0000F5520000}"/>
    <cellStyle name="40% - Accent2 10 5 3 3 2" xfId="31372" xr:uid="{00000000-0005-0000-0000-0000F6520000}"/>
    <cellStyle name="40% - Accent2 10 5 3 4" xfId="23726" xr:uid="{00000000-0005-0000-0000-0000F7520000}"/>
    <cellStyle name="40% - Accent2 10 5 4" xfId="15727" xr:uid="{00000000-0005-0000-0000-0000F8520000}"/>
    <cellStyle name="40% - Accent2 10 5 4 2" xfId="27584" xr:uid="{00000000-0005-0000-0000-0000F9520000}"/>
    <cellStyle name="40% - Accent2 10 5 5" xfId="19678" xr:uid="{00000000-0005-0000-0000-0000FA520000}"/>
    <cellStyle name="40% - Accent2 10 5 5 2" xfId="31370" xr:uid="{00000000-0005-0000-0000-0000FB520000}"/>
    <cellStyle name="40% - Accent2 10 5 6" xfId="23724" xr:uid="{00000000-0005-0000-0000-0000FC520000}"/>
    <cellStyle name="40% - Accent2 10 6" xfId="4635" xr:uid="{00000000-0005-0000-0000-0000FD520000}"/>
    <cellStyle name="40% - Accent2 10 6 2" xfId="4636" xr:uid="{00000000-0005-0000-0000-0000FE520000}"/>
    <cellStyle name="40% - Accent2 10 6 2 2" xfId="15731" xr:uid="{00000000-0005-0000-0000-0000FF520000}"/>
    <cellStyle name="40% - Accent2 10 6 2 2 2" xfId="27588" xr:uid="{00000000-0005-0000-0000-000000530000}"/>
    <cellStyle name="40% - Accent2 10 6 2 3" xfId="19682" xr:uid="{00000000-0005-0000-0000-000001530000}"/>
    <cellStyle name="40% - Accent2 10 6 2 3 2" xfId="31374" xr:uid="{00000000-0005-0000-0000-000002530000}"/>
    <cellStyle name="40% - Accent2 10 6 2 4" xfId="23728" xr:uid="{00000000-0005-0000-0000-000003530000}"/>
    <cellStyle name="40% - Accent2 10 6 3" xfId="4637" xr:uid="{00000000-0005-0000-0000-000004530000}"/>
    <cellStyle name="40% - Accent2 10 6 3 2" xfId="15732" xr:uid="{00000000-0005-0000-0000-000005530000}"/>
    <cellStyle name="40% - Accent2 10 6 3 2 2" xfId="27589" xr:uid="{00000000-0005-0000-0000-000006530000}"/>
    <cellStyle name="40% - Accent2 10 6 3 3" xfId="19683" xr:uid="{00000000-0005-0000-0000-000007530000}"/>
    <cellStyle name="40% - Accent2 10 6 3 3 2" xfId="31375" xr:uid="{00000000-0005-0000-0000-000008530000}"/>
    <cellStyle name="40% - Accent2 10 6 3 4" xfId="23729" xr:uid="{00000000-0005-0000-0000-000009530000}"/>
    <cellStyle name="40% - Accent2 10 6 4" xfId="15730" xr:uid="{00000000-0005-0000-0000-00000A530000}"/>
    <cellStyle name="40% - Accent2 10 6 4 2" xfId="27587" xr:uid="{00000000-0005-0000-0000-00000B530000}"/>
    <cellStyle name="40% - Accent2 10 6 5" xfId="19681" xr:uid="{00000000-0005-0000-0000-00000C530000}"/>
    <cellStyle name="40% - Accent2 10 6 5 2" xfId="31373" xr:uid="{00000000-0005-0000-0000-00000D530000}"/>
    <cellStyle name="40% - Accent2 10 6 6" xfId="23727" xr:uid="{00000000-0005-0000-0000-00000E530000}"/>
    <cellStyle name="40% - Accent2 10 7" xfId="4638" xr:uid="{00000000-0005-0000-0000-00000F530000}"/>
    <cellStyle name="40% - Accent2 10 7 2" xfId="15733" xr:uid="{00000000-0005-0000-0000-000010530000}"/>
    <cellStyle name="40% - Accent2 10 7 2 2" xfId="27590" xr:uid="{00000000-0005-0000-0000-000011530000}"/>
    <cellStyle name="40% - Accent2 10 7 3" xfId="19684" xr:uid="{00000000-0005-0000-0000-000012530000}"/>
    <cellStyle name="40% - Accent2 10 7 3 2" xfId="31376" xr:uid="{00000000-0005-0000-0000-000013530000}"/>
    <cellStyle name="40% - Accent2 10 7 4" xfId="23730" xr:uid="{00000000-0005-0000-0000-000014530000}"/>
    <cellStyle name="40% - Accent2 10 8" xfId="4639" xr:uid="{00000000-0005-0000-0000-000015530000}"/>
    <cellStyle name="40% - Accent2 10 8 2" xfId="15734" xr:uid="{00000000-0005-0000-0000-000016530000}"/>
    <cellStyle name="40% - Accent2 10 8 2 2" xfId="27591" xr:uid="{00000000-0005-0000-0000-000017530000}"/>
    <cellStyle name="40% - Accent2 10 8 3" xfId="19685" xr:uid="{00000000-0005-0000-0000-000018530000}"/>
    <cellStyle name="40% - Accent2 10 8 3 2" xfId="31377" xr:uid="{00000000-0005-0000-0000-000019530000}"/>
    <cellStyle name="40% - Accent2 10 8 4" xfId="23731" xr:uid="{00000000-0005-0000-0000-00001A530000}"/>
    <cellStyle name="40% - Accent2 10 9" xfId="15702" xr:uid="{00000000-0005-0000-0000-00001B530000}"/>
    <cellStyle name="40% - Accent2 10 9 2" xfId="27559" xr:uid="{00000000-0005-0000-0000-00001C530000}"/>
    <cellStyle name="40% - Accent2 10_Volatility" xfId="4640" xr:uid="{00000000-0005-0000-0000-00001D530000}"/>
    <cellStyle name="40% - Accent2 11" xfId="4641" xr:uid="{00000000-0005-0000-0000-00001E530000}"/>
    <cellStyle name="40% - Accent2 11 10" xfId="19686" xr:uid="{00000000-0005-0000-0000-00001F530000}"/>
    <cellStyle name="40% - Accent2 11 10 2" xfId="31378" xr:uid="{00000000-0005-0000-0000-000020530000}"/>
    <cellStyle name="40% - Accent2 11 11" xfId="23732" xr:uid="{00000000-0005-0000-0000-000021530000}"/>
    <cellStyle name="40% - Accent2 11 2" xfId="4642" xr:uid="{00000000-0005-0000-0000-000022530000}"/>
    <cellStyle name="40% - Accent2 11 2 2" xfId="4643" xr:uid="{00000000-0005-0000-0000-000023530000}"/>
    <cellStyle name="40% - Accent2 11 2 2 2" xfId="4644" xr:uid="{00000000-0005-0000-0000-000024530000}"/>
    <cellStyle name="40% - Accent2 11 2 2 2 2" xfId="15738" xr:uid="{00000000-0005-0000-0000-000025530000}"/>
    <cellStyle name="40% - Accent2 11 2 2 2 2 2" xfId="27595" xr:uid="{00000000-0005-0000-0000-000026530000}"/>
    <cellStyle name="40% - Accent2 11 2 2 2 3" xfId="19689" xr:uid="{00000000-0005-0000-0000-000027530000}"/>
    <cellStyle name="40% - Accent2 11 2 2 2 3 2" xfId="31381" xr:uid="{00000000-0005-0000-0000-000028530000}"/>
    <cellStyle name="40% - Accent2 11 2 2 2 4" xfId="23735" xr:uid="{00000000-0005-0000-0000-000029530000}"/>
    <cellStyle name="40% - Accent2 11 2 2 3" xfId="4645" xr:uid="{00000000-0005-0000-0000-00002A530000}"/>
    <cellStyle name="40% - Accent2 11 2 2 3 2" xfId="15739" xr:uid="{00000000-0005-0000-0000-00002B530000}"/>
    <cellStyle name="40% - Accent2 11 2 2 3 2 2" xfId="27596" xr:uid="{00000000-0005-0000-0000-00002C530000}"/>
    <cellStyle name="40% - Accent2 11 2 2 3 3" xfId="19690" xr:uid="{00000000-0005-0000-0000-00002D530000}"/>
    <cellStyle name="40% - Accent2 11 2 2 3 3 2" xfId="31382" xr:uid="{00000000-0005-0000-0000-00002E530000}"/>
    <cellStyle name="40% - Accent2 11 2 2 3 4" xfId="23736" xr:uid="{00000000-0005-0000-0000-00002F530000}"/>
    <cellStyle name="40% - Accent2 11 2 2 4" xfId="15737" xr:uid="{00000000-0005-0000-0000-000030530000}"/>
    <cellStyle name="40% - Accent2 11 2 2 4 2" xfId="27594" xr:uid="{00000000-0005-0000-0000-000031530000}"/>
    <cellStyle name="40% - Accent2 11 2 2 5" xfId="19688" xr:uid="{00000000-0005-0000-0000-000032530000}"/>
    <cellStyle name="40% - Accent2 11 2 2 5 2" xfId="31380" xr:uid="{00000000-0005-0000-0000-000033530000}"/>
    <cellStyle name="40% - Accent2 11 2 2 6" xfId="23734" xr:uid="{00000000-0005-0000-0000-000034530000}"/>
    <cellStyle name="40% - Accent2 11 2 3" xfId="4646" xr:uid="{00000000-0005-0000-0000-000035530000}"/>
    <cellStyle name="40% - Accent2 11 2 3 2" xfId="4647" xr:uid="{00000000-0005-0000-0000-000036530000}"/>
    <cellStyle name="40% - Accent2 11 2 3 2 2" xfId="15741" xr:uid="{00000000-0005-0000-0000-000037530000}"/>
    <cellStyle name="40% - Accent2 11 2 3 2 2 2" xfId="27598" xr:uid="{00000000-0005-0000-0000-000038530000}"/>
    <cellStyle name="40% - Accent2 11 2 3 2 3" xfId="19692" xr:uid="{00000000-0005-0000-0000-000039530000}"/>
    <cellStyle name="40% - Accent2 11 2 3 2 3 2" xfId="31384" xr:uid="{00000000-0005-0000-0000-00003A530000}"/>
    <cellStyle name="40% - Accent2 11 2 3 2 4" xfId="23738" xr:uid="{00000000-0005-0000-0000-00003B530000}"/>
    <cellStyle name="40% - Accent2 11 2 3 3" xfId="4648" xr:uid="{00000000-0005-0000-0000-00003C530000}"/>
    <cellStyle name="40% - Accent2 11 2 3 3 2" xfId="15742" xr:uid="{00000000-0005-0000-0000-00003D530000}"/>
    <cellStyle name="40% - Accent2 11 2 3 3 2 2" xfId="27599" xr:uid="{00000000-0005-0000-0000-00003E530000}"/>
    <cellStyle name="40% - Accent2 11 2 3 3 3" xfId="19693" xr:uid="{00000000-0005-0000-0000-00003F530000}"/>
    <cellStyle name="40% - Accent2 11 2 3 3 3 2" xfId="31385" xr:uid="{00000000-0005-0000-0000-000040530000}"/>
    <cellStyle name="40% - Accent2 11 2 3 3 4" xfId="23739" xr:uid="{00000000-0005-0000-0000-000041530000}"/>
    <cellStyle name="40% - Accent2 11 2 3 4" xfId="15740" xr:uid="{00000000-0005-0000-0000-000042530000}"/>
    <cellStyle name="40% - Accent2 11 2 3 4 2" xfId="27597" xr:uid="{00000000-0005-0000-0000-000043530000}"/>
    <cellStyle name="40% - Accent2 11 2 3 5" xfId="19691" xr:uid="{00000000-0005-0000-0000-000044530000}"/>
    <cellStyle name="40% - Accent2 11 2 3 5 2" xfId="31383" xr:uid="{00000000-0005-0000-0000-000045530000}"/>
    <cellStyle name="40% - Accent2 11 2 3 6" xfId="23737" xr:uid="{00000000-0005-0000-0000-000046530000}"/>
    <cellStyle name="40% - Accent2 11 2 4" xfId="4649" xr:uid="{00000000-0005-0000-0000-000047530000}"/>
    <cellStyle name="40% - Accent2 11 2 4 2" xfId="4650" xr:uid="{00000000-0005-0000-0000-000048530000}"/>
    <cellStyle name="40% - Accent2 11 2 4 2 2" xfId="15744" xr:uid="{00000000-0005-0000-0000-000049530000}"/>
    <cellStyle name="40% - Accent2 11 2 4 2 2 2" xfId="27601" xr:uid="{00000000-0005-0000-0000-00004A530000}"/>
    <cellStyle name="40% - Accent2 11 2 4 2 3" xfId="19695" xr:uid="{00000000-0005-0000-0000-00004B530000}"/>
    <cellStyle name="40% - Accent2 11 2 4 2 3 2" xfId="31387" xr:uid="{00000000-0005-0000-0000-00004C530000}"/>
    <cellStyle name="40% - Accent2 11 2 4 2 4" xfId="23741" xr:uid="{00000000-0005-0000-0000-00004D530000}"/>
    <cellStyle name="40% - Accent2 11 2 4 3" xfId="4651" xr:uid="{00000000-0005-0000-0000-00004E530000}"/>
    <cellStyle name="40% - Accent2 11 2 4 3 2" xfId="15745" xr:uid="{00000000-0005-0000-0000-00004F530000}"/>
    <cellStyle name="40% - Accent2 11 2 4 3 2 2" xfId="27602" xr:uid="{00000000-0005-0000-0000-000050530000}"/>
    <cellStyle name="40% - Accent2 11 2 4 3 3" xfId="19696" xr:uid="{00000000-0005-0000-0000-000051530000}"/>
    <cellStyle name="40% - Accent2 11 2 4 3 3 2" xfId="31388" xr:uid="{00000000-0005-0000-0000-000052530000}"/>
    <cellStyle name="40% - Accent2 11 2 4 3 4" xfId="23742" xr:uid="{00000000-0005-0000-0000-000053530000}"/>
    <cellStyle name="40% - Accent2 11 2 4 4" xfId="15743" xr:uid="{00000000-0005-0000-0000-000054530000}"/>
    <cellStyle name="40% - Accent2 11 2 4 4 2" xfId="27600" xr:uid="{00000000-0005-0000-0000-000055530000}"/>
    <cellStyle name="40% - Accent2 11 2 4 5" xfId="19694" xr:uid="{00000000-0005-0000-0000-000056530000}"/>
    <cellStyle name="40% - Accent2 11 2 4 5 2" xfId="31386" xr:uid="{00000000-0005-0000-0000-000057530000}"/>
    <cellStyle name="40% - Accent2 11 2 4 6" xfId="23740" xr:uid="{00000000-0005-0000-0000-000058530000}"/>
    <cellStyle name="40% - Accent2 11 2 5" xfId="4652" xr:uid="{00000000-0005-0000-0000-000059530000}"/>
    <cellStyle name="40% - Accent2 11 2 5 2" xfId="15746" xr:uid="{00000000-0005-0000-0000-00005A530000}"/>
    <cellStyle name="40% - Accent2 11 2 5 2 2" xfId="27603" xr:uid="{00000000-0005-0000-0000-00005B530000}"/>
    <cellStyle name="40% - Accent2 11 2 5 3" xfId="19697" xr:uid="{00000000-0005-0000-0000-00005C530000}"/>
    <cellStyle name="40% - Accent2 11 2 5 3 2" xfId="31389" xr:uid="{00000000-0005-0000-0000-00005D530000}"/>
    <cellStyle name="40% - Accent2 11 2 5 4" xfId="23743" xr:uid="{00000000-0005-0000-0000-00005E530000}"/>
    <cellStyle name="40% - Accent2 11 2 6" xfId="4653" xr:uid="{00000000-0005-0000-0000-00005F530000}"/>
    <cellStyle name="40% - Accent2 11 2 6 2" xfId="15747" xr:uid="{00000000-0005-0000-0000-000060530000}"/>
    <cellStyle name="40% - Accent2 11 2 6 2 2" xfId="27604" xr:uid="{00000000-0005-0000-0000-000061530000}"/>
    <cellStyle name="40% - Accent2 11 2 6 3" xfId="19698" xr:uid="{00000000-0005-0000-0000-000062530000}"/>
    <cellStyle name="40% - Accent2 11 2 6 3 2" xfId="31390" xr:uid="{00000000-0005-0000-0000-000063530000}"/>
    <cellStyle name="40% - Accent2 11 2 6 4" xfId="23744" xr:uid="{00000000-0005-0000-0000-000064530000}"/>
    <cellStyle name="40% - Accent2 11 2 7" xfId="15736" xr:uid="{00000000-0005-0000-0000-000065530000}"/>
    <cellStyle name="40% - Accent2 11 2 7 2" xfId="27593" xr:uid="{00000000-0005-0000-0000-000066530000}"/>
    <cellStyle name="40% - Accent2 11 2 8" xfId="19687" xr:uid="{00000000-0005-0000-0000-000067530000}"/>
    <cellStyle name="40% - Accent2 11 2 8 2" xfId="31379" xr:uid="{00000000-0005-0000-0000-000068530000}"/>
    <cellStyle name="40% - Accent2 11 2 9" xfId="23733" xr:uid="{00000000-0005-0000-0000-000069530000}"/>
    <cellStyle name="40% - Accent2 11 2_Volatility" xfId="4654" xr:uid="{00000000-0005-0000-0000-00006A530000}"/>
    <cellStyle name="40% - Accent2 11 3" xfId="4655" xr:uid="{00000000-0005-0000-0000-00006B530000}"/>
    <cellStyle name="40% - Accent2 11 3 2" xfId="4656" xr:uid="{00000000-0005-0000-0000-00006C530000}"/>
    <cellStyle name="40% - Accent2 11 3 2 2" xfId="4657" xr:uid="{00000000-0005-0000-0000-00006D530000}"/>
    <cellStyle name="40% - Accent2 11 3 2 2 2" xfId="15750" xr:uid="{00000000-0005-0000-0000-00006E530000}"/>
    <cellStyle name="40% - Accent2 11 3 2 2 2 2" xfId="27607" xr:uid="{00000000-0005-0000-0000-00006F530000}"/>
    <cellStyle name="40% - Accent2 11 3 2 2 3" xfId="19701" xr:uid="{00000000-0005-0000-0000-000070530000}"/>
    <cellStyle name="40% - Accent2 11 3 2 2 3 2" xfId="31393" xr:uid="{00000000-0005-0000-0000-000071530000}"/>
    <cellStyle name="40% - Accent2 11 3 2 2 4" xfId="23747" xr:uid="{00000000-0005-0000-0000-000072530000}"/>
    <cellStyle name="40% - Accent2 11 3 2 3" xfId="4658" xr:uid="{00000000-0005-0000-0000-000073530000}"/>
    <cellStyle name="40% - Accent2 11 3 2 3 2" xfId="15751" xr:uid="{00000000-0005-0000-0000-000074530000}"/>
    <cellStyle name="40% - Accent2 11 3 2 3 2 2" xfId="27608" xr:uid="{00000000-0005-0000-0000-000075530000}"/>
    <cellStyle name="40% - Accent2 11 3 2 3 3" xfId="19702" xr:uid="{00000000-0005-0000-0000-000076530000}"/>
    <cellStyle name="40% - Accent2 11 3 2 3 3 2" xfId="31394" xr:uid="{00000000-0005-0000-0000-000077530000}"/>
    <cellStyle name="40% - Accent2 11 3 2 3 4" xfId="23748" xr:uid="{00000000-0005-0000-0000-000078530000}"/>
    <cellStyle name="40% - Accent2 11 3 2 4" xfId="15749" xr:uid="{00000000-0005-0000-0000-000079530000}"/>
    <cellStyle name="40% - Accent2 11 3 2 4 2" xfId="27606" xr:uid="{00000000-0005-0000-0000-00007A530000}"/>
    <cellStyle name="40% - Accent2 11 3 2 5" xfId="19700" xr:uid="{00000000-0005-0000-0000-00007B530000}"/>
    <cellStyle name="40% - Accent2 11 3 2 5 2" xfId="31392" xr:uid="{00000000-0005-0000-0000-00007C530000}"/>
    <cellStyle name="40% - Accent2 11 3 2 6" xfId="23746" xr:uid="{00000000-0005-0000-0000-00007D530000}"/>
    <cellStyle name="40% - Accent2 11 3 3" xfId="4659" xr:uid="{00000000-0005-0000-0000-00007E530000}"/>
    <cellStyle name="40% - Accent2 11 3 3 2" xfId="4660" xr:uid="{00000000-0005-0000-0000-00007F530000}"/>
    <cellStyle name="40% - Accent2 11 3 3 2 2" xfId="15753" xr:uid="{00000000-0005-0000-0000-000080530000}"/>
    <cellStyle name="40% - Accent2 11 3 3 2 2 2" xfId="27610" xr:uid="{00000000-0005-0000-0000-000081530000}"/>
    <cellStyle name="40% - Accent2 11 3 3 2 3" xfId="19704" xr:uid="{00000000-0005-0000-0000-000082530000}"/>
    <cellStyle name="40% - Accent2 11 3 3 2 3 2" xfId="31396" xr:uid="{00000000-0005-0000-0000-000083530000}"/>
    <cellStyle name="40% - Accent2 11 3 3 2 4" xfId="23750" xr:uid="{00000000-0005-0000-0000-000084530000}"/>
    <cellStyle name="40% - Accent2 11 3 3 3" xfId="4661" xr:uid="{00000000-0005-0000-0000-000085530000}"/>
    <cellStyle name="40% - Accent2 11 3 3 3 2" xfId="15754" xr:uid="{00000000-0005-0000-0000-000086530000}"/>
    <cellStyle name="40% - Accent2 11 3 3 3 2 2" xfId="27611" xr:uid="{00000000-0005-0000-0000-000087530000}"/>
    <cellStyle name="40% - Accent2 11 3 3 3 3" xfId="19705" xr:uid="{00000000-0005-0000-0000-000088530000}"/>
    <cellStyle name="40% - Accent2 11 3 3 3 3 2" xfId="31397" xr:uid="{00000000-0005-0000-0000-000089530000}"/>
    <cellStyle name="40% - Accent2 11 3 3 3 4" xfId="23751" xr:uid="{00000000-0005-0000-0000-00008A530000}"/>
    <cellStyle name="40% - Accent2 11 3 3 4" xfId="15752" xr:uid="{00000000-0005-0000-0000-00008B530000}"/>
    <cellStyle name="40% - Accent2 11 3 3 4 2" xfId="27609" xr:uid="{00000000-0005-0000-0000-00008C530000}"/>
    <cellStyle name="40% - Accent2 11 3 3 5" xfId="19703" xr:uid="{00000000-0005-0000-0000-00008D530000}"/>
    <cellStyle name="40% - Accent2 11 3 3 5 2" xfId="31395" xr:uid="{00000000-0005-0000-0000-00008E530000}"/>
    <cellStyle name="40% - Accent2 11 3 3 6" xfId="23749" xr:uid="{00000000-0005-0000-0000-00008F530000}"/>
    <cellStyle name="40% - Accent2 11 3 4" xfId="4662" xr:uid="{00000000-0005-0000-0000-000090530000}"/>
    <cellStyle name="40% - Accent2 11 3 4 2" xfId="15755" xr:uid="{00000000-0005-0000-0000-000091530000}"/>
    <cellStyle name="40% - Accent2 11 3 4 2 2" xfId="27612" xr:uid="{00000000-0005-0000-0000-000092530000}"/>
    <cellStyle name="40% - Accent2 11 3 4 3" xfId="19706" xr:uid="{00000000-0005-0000-0000-000093530000}"/>
    <cellStyle name="40% - Accent2 11 3 4 3 2" xfId="31398" xr:uid="{00000000-0005-0000-0000-000094530000}"/>
    <cellStyle name="40% - Accent2 11 3 4 4" xfId="23752" xr:uid="{00000000-0005-0000-0000-000095530000}"/>
    <cellStyle name="40% - Accent2 11 3 5" xfId="4663" xr:uid="{00000000-0005-0000-0000-000096530000}"/>
    <cellStyle name="40% - Accent2 11 3 5 2" xfId="15756" xr:uid="{00000000-0005-0000-0000-000097530000}"/>
    <cellStyle name="40% - Accent2 11 3 5 2 2" xfId="27613" xr:uid="{00000000-0005-0000-0000-000098530000}"/>
    <cellStyle name="40% - Accent2 11 3 5 3" xfId="19707" xr:uid="{00000000-0005-0000-0000-000099530000}"/>
    <cellStyle name="40% - Accent2 11 3 5 3 2" xfId="31399" xr:uid="{00000000-0005-0000-0000-00009A530000}"/>
    <cellStyle name="40% - Accent2 11 3 5 4" xfId="23753" xr:uid="{00000000-0005-0000-0000-00009B530000}"/>
    <cellStyle name="40% - Accent2 11 3 6" xfId="15748" xr:uid="{00000000-0005-0000-0000-00009C530000}"/>
    <cellStyle name="40% - Accent2 11 3 6 2" xfId="27605" xr:uid="{00000000-0005-0000-0000-00009D530000}"/>
    <cellStyle name="40% - Accent2 11 3 7" xfId="19699" xr:uid="{00000000-0005-0000-0000-00009E530000}"/>
    <cellStyle name="40% - Accent2 11 3 7 2" xfId="31391" xr:uid="{00000000-0005-0000-0000-00009F530000}"/>
    <cellStyle name="40% - Accent2 11 3 8" xfId="23745" xr:uid="{00000000-0005-0000-0000-0000A0530000}"/>
    <cellStyle name="40% - Accent2 11 3_Volatility" xfId="4664" xr:uid="{00000000-0005-0000-0000-0000A1530000}"/>
    <cellStyle name="40% - Accent2 11 4" xfId="4665" xr:uid="{00000000-0005-0000-0000-0000A2530000}"/>
    <cellStyle name="40% - Accent2 11 4 2" xfId="4666" xr:uid="{00000000-0005-0000-0000-0000A3530000}"/>
    <cellStyle name="40% - Accent2 11 4 2 2" xfId="15758" xr:uid="{00000000-0005-0000-0000-0000A4530000}"/>
    <cellStyle name="40% - Accent2 11 4 2 2 2" xfId="27615" xr:uid="{00000000-0005-0000-0000-0000A5530000}"/>
    <cellStyle name="40% - Accent2 11 4 2 3" xfId="19709" xr:uid="{00000000-0005-0000-0000-0000A6530000}"/>
    <cellStyle name="40% - Accent2 11 4 2 3 2" xfId="31401" xr:uid="{00000000-0005-0000-0000-0000A7530000}"/>
    <cellStyle name="40% - Accent2 11 4 2 4" xfId="23755" xr:uid="{00000000-0005-0000-0000-0000A8530000}"/>
    <cellStyle name="40% - Accent2 11 4 3" xfId="4667" xr:uid="{00000000-0005-0000-0000-0000A9530000}"/>
    <cellStyle name="40% - Accent2 11 4 3 2" xfId="15759" xr:uid="{00000000-0005-0000-0000-0000AA530000}"/>
    <cellStyle name="40% - Accent2 11 4 3 2 2" xfId="27616" xr:uid="{00000000-0005-0000-0000-0000AB530000}"/>
    <cellStyle name="40% - Accent2 11 4 3 3" xfId="19710" xr:uid="{00000000-0005-0000-0000-0000AC530000}"/>
    <cellStyle name="40% - Accent2 11 4 3 3 2" xfId="31402" xr:uid="{00000000-0005-0000-0000-0000AD530000}"/>
    <cellStyle name="40% - Accent2 11 4 3 4" xfId="23756" xr:uid="{00000000-0005-0000-0000-0000AE530000}"/>
    <cellStyle name="40% - Accent2 11 4 4" xfId="15757" xr:uid="{00000000-0005-0000-0000-0000AF530000}"/>
    <cellStyle name="40% - Accent2 11 4 4 2" xfId="27614" xr:uid="{00000000-0005-0000-0000-0000B0530000}"/>
    <cellStyle name="40% - Accent2 11 4 5" xfId="19708" xr:uid="{00000000-0005-0000-0000-0000B1530000}"/>
    <cellStyle name="40% - Accent2 11 4 5 2" xfId="31400" xr:uid="{00000000-0005-0000-0000-0000B2530000}"/>
    <cellStyle name="40% - Accent2 11 4 6" xfId="23754" xr:uid="{00000000-0005-0000-0000-0000B3530000}"/>
    <cellStyle name="40% - Accent2 11 5" xfId="4668" xr:uid="{00000000-0005-0000-0000-0000B4530000}"/>
    <cellStyle name="40% - Accent2 11 5 2" xfId="4669" xr:uid="{00000000-0005-0000-0000-0000B5530000}"/>
    <cellStyle name="40% - Accent2 11 5 2 2" xfId="15761" xr:uid="{00000000-0005-0000-0000-0000B6530000}"/>
    <cellStyle name="40% - Accent2 11 5 2 2 2" xfId="27618" xr:uid="{00000000-0005-0000-0000-0000B7530000}"/>
    <cellStyle name="40% - Accent2 11 5 2 3" xfId="19712" xr:uid="{00000000-0005-0000-0000-0000B8530000}"/>
    <cellStyle name="40% - Accent2 11 5 2 3 2" xfId="31404" xr:uid="{00000000-0005-0000-0000-0000B9530000}"/>
    <cellStyle name="40% - Accent2 11 5 2 4" xfId="23758" xr:uid="{00000000-0005-0000-0000-0000BA530000}"/>
    <cellStyle name="40% - Accent2 11 5 3" xfId="4670" xr:uid="{00000000-0005-0000-0000-0000BB530000}"/>
    <cellStyle name="40% - Accent2 11 5 3 2" xfId="15762" xr:uid="{00000000-0005-0000-0000-0000BC530000}"/>
    <cellStyle name="40% - Accent2 11 5 3 2 2" xfId="27619" xr:uid="{00000000-0005-0000-0000-0000BD530000}"/>
    <cellStyle name="40% - Accent2 11 5 3 3" xfId="19713" xr:uid="{00000000-0005-0000-0000-0000BE530000}"/>
    <cellStyle name="40% - Accent2 11 5 3 3 2" xfId="31405" xr:uid="{00000000-0005-0000-0000-0000BF530000}"/>
    <cellStyle name="40% - Accent2 11 5 3 4" xfId="23759" xr:uid="{00000000-0005-0000-0000-0000C0530000}"/>
    <cellStyle name="40% - Accent2 11 5 4" xfId="15760" xr:uid="{00000000-0005-0000-0000-0000C1530000}"/>
    <cellStyle name="40% - Accent2 11 5 4 2" xfId="27617" xr:uid="{00000000-0005-0000-0000-0000C2530000}"/>
    <cellStyle name="40% - Accent2 11 5 5" xfId="19711" xr:uid="{00000000-0005-0000-0000-0000C3530000}"/>
    <cellStyle name="40% - Accent2 11 5 5 2" xfId="31403" xr:uid="{00000000-0005-0000-0000-0000C4530000}"/>
    <cellStyle name="40% - Accent2 11 5 6" xfId="23757" xr:uid="{00000000-0005-0000-0000-0000C5530000}"/>
    <cellStyle name="40% - Accent2 11 6" xfId="4671" xr:uid="{00000000-0005-0000-0000-0000C6530000}"/>
    <cellStyle name="40% - Accent2 11 6 2" xfId="4672" xr:uid="{00000000-0005-0000-0000-0000C7530000}"/>
    <cellStyle name="40% - Accent2 11 6 2 2" xfId="15764" xr:uid="{00000000-0005-0000-0000-0000C8530000}"/>
    <cellStyle name="40% - Accent2 11 6 2 2 2" xfId="27621" xr:uid="{00000000-0005-0000-0000-0000C9530000}"/>
    <cellStyle name="40% - Accent2 11 6 2 3" xfId="19715" xr:uid="{00000000-0005-0000-0000-0000CA530000}"/>
    <cellStyle name="40% - Accent2 11 6 2 3 2" xfId="31407" xr:uid="{00000000-0005-0000-0000-0000CB530000}"/>
    <cellStyle name="40% - Accent2 11 6 2 4" xfId="23761" xr:uid="{00000000-0005-0000-0000-0000CC530000}"/>
    <cellStyle name="40% - Accent2 11 6 3" xfId="4673" xr:uid="{00000000-0005-0000-0000-0000CD530000}"/>
    <cellStyle name="40% - Accent2 11 6 3 2" xfId="15765" xr:uid="{00000000-0005-0000-0000-0000CE530000}"/>
    <cellStyle name="40% - Accent2 11 6 3 2 2" xfId="27622" xr:uid="{00000000-0005-0000-0000-0000CF530000}"/>
    <cellStyle name="40% - Accent2 11 6 3 3" xfId="19716" xr:uid="{00000000-0005-0000-0000-0000D0530000}"/>
    <cellStyle name="40% - Accent2 11 6 3 3 2" xfId="31408" xr:uid="{00000000-0005-0000-0000-0000D1530000}"/>
    <cellStyle name="40% - Accent2 11 6 3 4" xfId="23762" xr:uid="{00000000-0005-0000-0000-0000D2530000}"/>
    <cellStyle name="40% - Accent2 11 6 4" xfId="15763" xr:uid="{00000000-0005-0000-0000-0000D3530000}"/>
    <cellStyle name="40% - Accent2 11 6 4 2" xfId="27620" xr:uid="{00000000-0005-0000-0000-0000D4530000}"/>
    <cellStyle name="40% - Accent2 11 6 5" xfId="19714" xr:uid="{00000000-0005-0000-0000-0000D5530000}"/>
    <cellStyle name="40% - Accent2 11 6 5 2" xfId="31406" xr:uid="{00000000-0005-0000-0000-0000D6530000}"/>
    <cellStyle name="40% - Accent2 11 6 6" xfId="23760" xr:uid="{00000000-0005-0000-0000-0000D7530000}"/>
    <cellStyle name="40% - Accent2 11 7" xfId="4674" xr:uid="{00000000-0005-0000-0000-0000D8530000}"/>
    <cellStyle name="40% - Accent2 11 7 2" xfId="15766" xr:uid="{00000000-0005-0000-0000-0000D9530000}"/>
    <cellStyle name="40% - Accent2 11 7 2 2" xfId="27623" xr:uid="{00000000-0005-0000-0000-0000DA530000}"/>
    <cellStyle name="40% - Accent2 11 7 3" xfId="19717" xr:uid="{00000000-0005-0000-0000-0000DB530000}"/>
    <cellStyle name="40% - Accent2 11 7 3 2" xfId="31409" xr:uid="{00000000-0005-0000-0000-0000DC530000}"/>
    <cellStyle name="40% - Accent2 11 7 4" xfId="23763" xr:uid="{00000000-0005-0000-0000-0000DD530000}"/>
    <cellStyle name="40% - Accent2 11 8" xfId="4675" xr:uid="{00000000-0005-0000-0000-0000DE530000}"/>
    <cellStyle name="40% - Accent2 11 8 2" xfId="15767" xr:uid="{00000000-0005-0000-0000-0000DF530000}"/>
    <cellStyle name="40% - Accent2 11 8 2 2" xfId="27624" xr:uid="{00000000-0005-0000-0000-0000E0530000}"/>
    <cellStyle name="40% - Accent2 11 8 3" xfId="19718" xr:uid="{00000000-0005-0000-0000-0000E1530000}"/>
    <cellStyle name="40% - Accent2 11 8 3 2" xfId="31410" xr:uid="{00000000-0005-0000-0000-0000E2530000}"/>
    <cellStyle name="40% - Accent2 11 8 4" xfId="23764" xr:uid="{00000000-0005-0000-0000-0000E3530000}"/>
    <cellStyle name="40% - Accent2 11 9" xfId="15735" xr:uid="{00000000-0005-0000-0000-0000E4530000}"/>
    <cellStyle name="40% - Accent2 11 9 2" xfId="27592" xr:uid="{00000000-0005-0000-0000-0000E5530000}"/>
    <cellStyle name="40% - Accent2 11_Volatility" xfId="4676" xr:uid="{00000000-0005-0000-0000-0000E6530000}"/>
    <cellStyle name="40% - Accent2 12" xfId="4677" xr:uid="{00000000-0005-0000-0000-0000E7530000}"/>
    <cellStyle name="40% - Accent2 12 10" xfId="19719" xr:uid="{00000000-0005-0000-0000-0000E8530000}"/>
    <cellStyle name="40% - Accent2 12 10 2" xfId="31411" xr:uid="{00000000-0005-0000-0000-0000E9530000}"/>
    <cellStyle name="40% - Accent2 12 11" xfId="23765" xr:uid="{00000000-0005-0000-0000-0000EA530000}"/>
    <cellStyle name="40% - Accent2 12 2" xfId="4678" xr:uid="{00000000-0005-0000-0000-0000EB530000}"/>
    <cellStyle name="40% - Accent2 12 2 2" xfId="4679" xr:uid="{00000000-0005-0000-0000-0000EC530000}"/>
    <cellStyle name="40% - Accent2 12 2 2 2" xfId="4680" xr:uid="{00000000-0005-0000-0000-0000ED530000}"/>
    <cellStyle name="40% - Accent2 12 2 2 2 2" xfId="15771" xr:uid="{00000000-0005-0000-0000-0000EE530000}"/>
    <cellStyle name="40% - Accent2 12 2 2 2 2 2" xfId="27628" xr:uid="{00000000-0005-0000-0000-0000EF530000}"/>
    <cellStyle name="40% - Accent2 12 2 2 2 3" xfId="19722" xr:uid="{00000000-0005-0000-0000-0000F0530000}"/>
    <cellStyle name="40% - Accent2 12 2 2 2 3 2" xfId="31414" xr:uid="{00000000-0005-0000-0000-0000F1530000}"/>
    <cellStyle name="40% - Accent2 12 2 2 2 4" xfId="23768" xr:uid="{00000000-0005-0000-0000-0000F2530000}"/>
    <cellStyle name="40% - Accent2 12 2 2 3" xfId="4681" xr:uid="{00000000-0005-0000-0000-0000F3530000}"/>
    <cellStyle name="40% - Accent2 12 2 2 3 2" xfId="15772" xr:uid="{00000000-0005-0000-0000-0000F4530000}"/>
    <cellStyle name="40% - Accent2 12 2 2 3 2 2" xfId="27629" xr:uid="{00000000-0005-0000-0000-0000F5530000}"/>
    <cellStyle name="40% - Accent2 12 2 2 3 3" xfId="19723" xr:uid="{00000000-0005-0000-0000-0000F6530000}"/>
    <cellStyle name="40% - Accent2 12 2 2 3 3 2" xfId="31415" xr:uid="{00000000-0005-0000-0000-0000F7530000}"/>
    <cellStyle name="40% - Accent2 12 2 2 3 4" xfId="23769" xr:uid="{00000000-0005-0000-0000-0000F8530000}"/>
    <cellStyle name="40% - Accent2 12 2 2 4" xfId="15770" xr:uid="{00000000-0005-0000-0000-0000F9530000}"/>
    <cellStyle name="40% - Accent2 12 2 2 4 2" xfId="27627" xr:uid="{00000000-0005-0000-0000-0000FA530000}"/>
    <cellStyle name="40% - Accent2 12 2 2 5" xfId="19721" xr:uid="{00000000-0005-0000-0000-0000FB530000}"/>
    <cellStyle name="40% - Accent2 12 2 2 5 2" xfId="31413" xr:uid="{00000000-0005-0000-0000-0000FC530000}"/>
    <cellStyle name="40% - Accent2 12 2 2 6" xfId="23767" xr:uid="{00000000-0005-0000-0000-0000FD530000}"/>
    <cellStyle name="40% - Accent2 12 2 3" xfId="4682" xr:uid="{00000000-0005-0000-0000-0000FE530000}"/>
    <cellStyle name="40% - Accent2 12 2 3 2" xfId="4683" xr:uid="{00000000-0005-0000-0000-0000FF530000}"/>
    <cellStyle name="40% - Accent2 12 2 3 2 2" xfId="15774" xr:uid="{00000000-0005-0000-0000-000000540000}"/>
    <cellStyle name="40% - Accent2 12 2 3 2 2 2" xfId="27631" xr:uid="{00000000-0005-0000-0000-000001540000}"/>
    <cellStyle name="40% - Accent2 12 2 3 2 3" xfId="19725" xr:uid="{00000000-0005-0000-0000-000002540000}"/>
    <cellStyle name="40% - Accent2 12 2 3 2 3 2" xfId="31417" xr:uid="{00000000-0005-0000-0000-000003540000}"/>
    <cellStyle name="40% - Accent2 12 2 3 2 4" xfId="23771" xr:uid="{00000000-0005-0000-0000-000004540000}"/>
    <cellStyle name="40% - Accent2 12 2 3 3" xfId="4684" xr:uid="{00000000-0005-0000-0000-000005540000}"/>
    <cellStyle name="40% - Accent2 12 2 3 3 2" xfId="15775" xr:uid="{00000000-0005-0000-0000-000006540000}"/>
    <cellStyle name="40% - Accent2 12 2 3 3 2 2" xfId="27632" xr:uid="{00000000-0005-0000-0000-000007540000}"/>
    <cellStyle name="40% - Accent2 12 2 3 3 3" xfId="19726" xr:uid="{00000000-0005-0000-0000-000008540000}"/>
    <cellStyle name="40% - Accent2 12 2 3 3 3 2" xfId="31418" xr:uid="{00000000-0005-0000-0000-000009540000}"/>
    <cellStyle name="40% - Accent2 12 2 3 3 4" xfId="23772" xr:uid="{00000000-0005-0000-0000-00000A540000}"/>
    <cellStyle name="40% - Accent2 12 2 3 4" xfId="15773" xr:uid="{00000000-0005-0000-0000-00000B540000}"/>
    <cellStyle name="40% - Accent2 12 2 3 4 2" xfId="27630" xr:uid="{00000000-0005-0000-0000-00000C540000}"/>
    <cellStyle name="40% - Accent2 12 2 3 5" xfId="19724" xr:uid="{00000000-0005-0000-0000-00000D540000}"/>
    <cellStyle name="40% - Accent2 12 2 3 5 2" xfId="31416" xr:uid="{00000000-0005-0000-0000-00000E540000}"/>
    <cellStyle name="40% - Accent2 12 2 3 6" xfId="23770" xr:uid="{00000000-0005-0000-0000-00000F540000}"/>
    <cellStyle name="40% - Accent2 12 2 4" xfId="4685" xr:uid="{00000000-0005-0000-0000-000010540000}"/>
    <cellStyle name="40% - Accent2 12 2 4 2" xfId="4686" xr:uid="{00000000-0005-0000-0000-000011540000}"/>
    <cellStyle name="40% - Accent2 12 2 4 2 2" xfId="15777" xr:uid="{00000000-0005-0000-0000-000012540000}"/>
    <cellStyle name="40% - Accent2 12 2 4 2 2 2" xfId="27634" xr:uid="{00000000-0005-0000-0000-000013540000}"/>
    <cellStyle name="40% - Accent2 12 2 4 2 3" xfId="19728" xr:uid="{00000000-0005-0000-0000-000014540000}"/>
    <cellStyle name="40% - Accent2 12 2 4 2 3 2" xfId="31420" xr:uid="{00000000-0005-0000-0000-000015540000}"/>
    <cellStyle name="40% - Accent2 12 2 4 2 4" xfId="23774" xr:uid="{00000000-0005-0000-0000-000016540000}"/>
    <cellStyle name="40% - Accent2 12 2 4 3" xfId="4687" xr:uid="{00000000-0005-0000-0000-000017540000}"/>
    <cellStyle name="40% - Accent2 12 2 4 3 2" xfId="15778" xr:uid="{00000000-0005-0000-0000-000018540000}"/>
    <cellStyle name="40% - Accent2 12 2 4 3 2 2" xfId="27635" xr:uid="{00000000-0005-0000-0000-000019540000}"/>
    <cellStyle name="40% - Accent2 12 2 4 3 3" xfId="19729" xr:uid="{00000000-0005-0000-0000-00001A540000}"/>
    <cellStyle name="40% - Accent2 12 2 4 3 3 2" xfId="31421" xr:uid="{00000000-0005-0000-0000-00001B540000}"/>
    <cellStyle name="40% - Accent2 12 2 4 3 4" xfId="23775" xr:uid="{00000000-0005-0000-0000-00001C540000}"/>
    <cellStyle name="40% - Accent2 12 2 4 4" xfId="15776" xr:uid="{00000000-0005-0000-0000-00001D540000}"/>
    <cellStyle name="40% - Accent2 12 2 4 4 2" xfId="27633" xr:uid="{00000000-0005-0000-0000-00001E540000}"/>
    <cellStyle name="40% - Accent2 12 2 4 5" xfId="19727" xr:uid="{00000000-0005-0000-0000-00001F540000}"/>
    <cellStyle name="40% - Accent2 12 2 4 5 2" xfId="31419" xr:uid="{00000000-0005-0000-0000-000020540000}"/>
    <cellStyle name="40% - Accent2 12 2 4 6" xfId="23773" xr:uid="{00000000-0005-0000-0000-000021540000}"/>
    <cellStyle name="40% - Accent2 12 2 5" xfId="4688" xr:uid="{00000000-0005-0000-0000-000022540000}"/>
    <cellStyle name="40% - Accent2 12 2 5 2" xfId="15779" xr:uid="{00000000-0005-0000-0000-000023540000}"/>
    <cellStyle name="40% - Accent2 12 2 5 2 2" xfId="27636" xr:uid="{00000000-0005-0000-0000-000024540000}"/>
    <cellStyle name="40% - Accent2 12 2 5 3" xfId="19730" xr:uid="{00000000-0005-0000-0000-000025540000}"/>
    <cellStyle name="40% - Accent2 12 2 5 3 2" xfId="31422" xr:uid="{00000000-0005-0000-0000-000026540000}"/>
    <cellStyle name="40% - Accent2 12 2 5 4" xfId="23776" xr:uid="{00000000-0005-0000-0000-000027540000}"/>
    <cellStyle name="40% - Accent2 12 2 6" xfId="4689" xr:uid="{00000000-0005-0000-0000-000028540000}"/>
    <cellStyle name="40% - Accent2 12 2 6 2" xfId="15780" xr:uid="{00000000-0005-0000-0000-000029540000}"/>
    <cellStyle name="40% - Accent2 12 2 6 2 2" xfId="27637" xr:uid="{00000000-0005-0000-0000-00002A540000}"/>
    <cellStyle name="40% - Accent2 12 2 6 3" xfId="19731" xr:uid="{00000000-0005-0000-0000-00002B540000}"/>
    <cellStyle name="40% - Accent2 12 2 6 3 2" xfId="31423" xr:uid="{00000000-0005-0000-0000-00002C540000}"/>
    <cellStyle name="40% - Accent2 12 2 6 4" xfId="23777" xr:uid="{00000000-0005-0000-0000-00002D540000}"/>
    <cellStyle name="40% - Accent2 12 2 7" xfId="15769" xr:uid="{00000000-0005-0000-0000-00002E540000}"/>
    <cellStyle name="40% - Accent2 12 2 7 2" xfId="27626" xr:uid="{00000000-0005-0000-0000-00002F540000}"/>
    <cellStyle name="40% - Accent2 12 2 8" xfId="19720" xr:uid="{00000000-0005-0000-0000-000030540000}"/>
    <cellStyle name="40% - Accent2 12 2 8 2" xfId="31412" xr:uid="{00000000-0005-0000-0000-000031540000}"/>
    <cellStyle name="40% - Accent2 12 2 9" xfId="23766" xr:uid="{00000000-0005-0000-0000-000032540000}"/>
    <cellStyle name="40% - Accent2 12 2_Volatility" xfId="4690" xr:uid="{00000000-0005-0000-0000-000033540000}"/>
    <cellStyle name="40% - Accent2 12 3" xfId="4691" xr:uid="{00000000-0005-0000-0000-000034540000}"/>
    <cellStyle name="40% - Accent2 12 3 2" xfId="4692" xr:uid="{00000000-0005-0000-0000-000035540000}"/>
    <cellStyle name="40% - Accent2 12 3 2 2" xfId="4693" xr:uid="{00000000-0005-0000-0000-000036540000}"/>
    <cellStyle name="40% - Accent2 12 3 2 2 2" xfId="15783" xr:uid="{00000000-0005-0000-0000-000037540000}"/>
    <cellStyle name="40% - Accent2 12 3 2 2 2 2" xfId="27640" xr:uid="{00000000-0005-0000-0000-000038540000}"/>
    <cellStyle name="40% - Accent2 12 3 2 2 3" xfId="19734" xr:uid="{00000000-0005-0000-0000-000039540000}"/>
    <cellStyle name="40% - Accent2 12 3 2 2 3 2" xfId="31426" xr:uid="{00000000-0005-0000-0000-00003A540000}"/>
    <cellStyle name="40% - Accent2 12 3 2 2 4" xfId="23780" xr:uid="{00000000-0005-0000-0000-00003B540000}"/>
    <cellStyle name="40% - Accent2 12 3 2 3" xfId="4694" xr:uid="{00000000-0005-0000-0000-00003C540000}"/>
    <cellStyle name="40% - Accent2 12 3 2 3 2" xfId="15784" xr:uid="{00000000-0005-0000-0000-00003D540000}"/>
    <cellStyle name="40% - Accent2 12 3 2 3 2 2" xfId="27641" xr:uid="{00000000-0005-0000-0000-00003E540000}"/>
    <cellStyle name="40% - Accent2 12 3 2 3 3" xfId="19735" xr:uid="{00000000-0005-0000-0000-00003F540000}"/>
    <cellStyle name="40% - Accent2 12 3 2 3 3 2" xfId="31427" xr:uid="{00000000-0005-0000-0000-000040540000}"/>
    <cellStyle name="40% - Accent2 12 3 2 3 4" xfId="23781" xr:uid="{00000000-0005-0000-0000-000041540000}"/>
    <cellStyle name="40% - Accent2 12 3 2 4" xfId="15782" xr:uid="{00000000-0005-0000-0000-000042540000}"/>
    <cellStyle name="40% - Accent2 12 3 2 4 2" xfId="27639" xr:uid="{00000000-0005-0000-0000-000043540000}"/>
    <cellStyle name="40% - Accent2 12 3 2 5" xfId="19733" xr:uid="{00000000-0005-0000-0000-000044540000}"/>
    <cellStyle name="40% - Accent2 12 3 2 5 2" xfId="31425" xr:uid="{00000000-0005-0000-0000-000045540000}"/>
    <cellStyle name="40% - Accent2 12 3 2 6" xfId="23779" xr:uid="{00000000-0005-0000-0000-000046540000}"/>
    <cellStyle name="40% - Accent2 12 3 3" xfId="4695" xr:uid="{00000000-0005-0000-0000-000047540000}"/>
    <cellStyle name="40% - Accent2 12 3 3 2" xfId="4696" xr:uid="{00000000-0005-0000-0000-000048540000}"/>
    <cellStyle name="40% - Accent2 12 3 3 2 2" xfId="15786" xr:uid="{00000000-0005-0000-0000-000049540000}"/>
    <cellStyle name="40% - Accent2 12 3 3 2 2 2" xfId="27643" xr:uid="{00000000-0005-0000-0000-00004A540000}"/>
    <cellStyle name="40% - Accent2 12 3 3 2 3" xfId="19737" xr:uid="{00000000-0005-0000-0000-00004B540000}"/>
    <cellStyle name="40% - Accent2 12 3 3 2 3 2" xfId="31429" xr:uid="{00000000-0005-0000-0000-00004C540000}"/>
    <cellStyle name="40% - Accent2 12 3 3 2 4" xfId="23783" xr:uid="{00000000-0005-0000-0000-00004D540000}"/>
    <cellStyle name="40% - Accent2 12 3 3 3" xfId="4697" xr:uid="{00000000-0005-0000-0000-00004E540000}"/>
    <cellStyle name="40% - Accent2 12 3 3 3 2" xfId="15787" xr:uid="{00000000-0005-0000-0000-00004F540000}"/>
    <cellStyle name="40% - Accent2 12 3 3 3 2 2" xfId="27644" xr:uid="{00000000-0005-0000-0000-000050540000}"/>
    <cellStyle name="40% - Accent2 12 3 3 3 3" xfId="19738" xr:uid="{00000000-0005-0000-0000-000051540000}"/>
    <cellStyle name="40% - Accent2 12 3 3 3 3 2" xfId="31430" xr:uid="{00000000-0005-0000-0000-000052540000}"/>
    <cellStyle name="40% - Accent2 12 3 3 3 4" xfId="23784" xr:uid="{00000000-0005-0000-0000-000053540000}"/>
    <cellStyle name="40% - Accent2 12 3 3 4" xfId="15785" xr:uid="{00000000-0005-0000-0000-000054540000}"/>
    <cellStyle name="40% - Accent2 12 3 3 4 2" xfId="27642" xr:uid="{00000000-0005-0000-0000-000055540000}"/>
    <cellStyle name="40% - Accent2 12 3 3 5" xfId="19736" xr:uid="{00000000-0005-0000-0000-000056540000}"/>
    <cellStyle name="40% - Accent2 12 3 3 5 2" xfId="31428" xr:uid="{00000000-0005-0000-0000-000057540000}"/>
    <cellStyle name="40% - Accent2 12 3 3 6" xfId="23782" xr:uid="{00000000-0005-0000-0000-000058540000}"/>
    <cellStyle name="40% - Accent2 12 3 4" xfId="4698" xr:uid="{00000000-0005-0000-0000-000059540000}"/>
    <cellStyle name="40% - Accent2 12 3 4 2" xfId="15788" xr:uid="{00000000-0005-0000-0000-00005A540000}"/>
    <cellStyle name="40% - Accent2 12 3 4 2 2" xfId="27645" xr:uid="{00000000-0005-0000-0000-00005B540000}"/>
    <cellStyle name="40% - Accent2 12 3 4 3" xfId="19739" xr:uid="{00000000-0005-0000-0000-00005C540000}"/>
    <cellStyle name="40% - Accent2 12 3 4 3 2" xfId="31431" xr:uid="{00000000-0005-0000-0000-00005D540000}"/>
    <cellStyle name="40% - Accent2 12 3 4 4" xfId="23785" xr:uid="{00000000-0005-0000-0000-00005E540000}"/>
    <cellStyle name="40% - Accent2 12 3 5" xfId="4699" xr:uid="{00000000-0005-0000-0000-00005F540000}"/>
    <cellStyle name="40% - Accent2 12 3 5 2" xfId="15789" xr:uid="{00000000-0005-0000-0000-000060540000}"/>
    <cellStyle name="40% - Accent2 12 3 5 2 2" xfId="27646" xr:uid="{00000000-0005-0000-0000-000061540000}"/>
    <cellStyle name="40% - Accent2 12 3 5 3" xfId="19740" xr:uid="{00000000-0005-0000-0000-000062540000}"/>
    <cellStyle name="40% - Accent2 12 3 5 3 2" xfId="31432" xr:uid="{00000000-0005-0000-0000-000063540000}"/>
    <cellStyle name="40% - Accent2 12 3 5 4" xfId="23786" xr:uid="{00000000-0005-0000-0000-000064540000}"/>
    <cellStyle name="40% - Accent2 12 3 6" xfId="15781" xr:uid="{00000000-0005-0000-0000-000065540000}"/>
    <cellStyle name="40% - Accent2 12 3 6 2" xfId="27638" xr:uid="{00000000-0005-0000-0000-000066540000}"/>
    <cellStyle name="40% - Accent2 12 3 7" xfId="19732" xr:uid="{00000000-0005-0000-0000-000067540000}"/>
    <cellStyle name="40% - Accent2 12 3 7 2" xfId="31424" xr:uid="{00000000-0005-0000-0000-000068540000}"/>
    <cellStyle name="40% - Accent2 12 3 8" xfId="23778" xr:uid="{00000000-0005-0000-0000-000069540000}"/>
    <cellStyle name="40% - Accent2 12 3_Volatility" xfId="4700" xr:uid="{00000000-0005-0000-0000-00006A540000}"/>
    <cellStyle name="40% - Accent2 12 4" xfId="4701" xr:uid="{00000000-0005-0000-0000-00006B540000}"/>
    <cellStyle name="40% - Accent2 12 4 2" xfId="4702" xr:uid="{00000000-0005-0000-0000-00006C540000}"/>
    <cellStyle name="40% - Accent2 12 4 2 2" xfId="15791" xr:uid="{00000000-0005-0000-0000-00006D540000}"/>
    <cellStyle name="40% - Accent2 12 4 2 2 2" xfId="27648" xr:uid="{00000000-0005-0000-0000-00006E540000}"/>
    <cellStyle name="40% - Accent2 12 4 2 3" xfId="19742" xr:uid="{00000000-0005-0000-0000-00006F540000}"/>
    <cellStyle name="40% - Accent2 12 4 2 3 2" xfId="31434" xr:uid="{00000000-0005-0000-0000-000070540000}"/>
    <cellStyle name="40% - Accent2 12 4 2 4" xfId="23788" xr:uid="{00000000-0005-0000-0000-000071540000}"/>
    <cellStyle name="40% - Accent2 12 4 3" xfId="4703" xr:uid="{00000000-0005-0000-0000-000072540000}"/>
    <cellStyle name="40% - Accent2 12 4 3 2" xfId="15792" xr:uid="{00000000-0005-0000-0000-000073540000}"/>
    <cellStyle name="40% - Accent2 12 4 3 2 2" xfId="27649" xr:uid="{00000000-0005-0000-0000-000074540000}"/>
    <cellStyle name="40% - Accent2 12 4 3 3" xfId="19743" xr:uid="{00000000-0005-0000-0000-000075540000}"/>
    <cellStyle name="40% - Accent2 12 4 3 3 2" xfId="31435" xr:uid="{00000000-0005-0000-0000-000076540000}"/>
    <cellStyle name="40% - Accent2 12 4 3 4" xfId="23789" xr:uid="{00000000-0005-0000-0000-000077540000}"/>
    <cellStyle name="40% - Accent2 12 4 4" xfId="15790" xr:uid="{00000000-0005-0000-0000-000078540000}"/>
    <cellStyle name="40% - Accent2 12 4 4 2" xfId="27647" xr:uid="{00000000-0005-0000-0000-000079540000}"/>
    <cellStyle name="40% - Accent2 12 4 5" xfId="19741" xr:uid="{00000000-0005-0000-0000-00007A540000}"/>
    <cellStyle name="40% - Accent2 12 4 5 2" xfId="31433" xr:uid="{00000000-0005-0000-0000-00007B540000}"/>
    <cellStyle name="40% - Accent2 12 4 6" xfId="23787" xr:uid="{00000000-0005-0000-0000-00007C540000}"/>
    <cellStyle name="40% - Accent2 12 5" xfId="4704" xr:uid="{00000000-0005-0000-0000-00007D540000}"/>
    <cellStyle name="40% - Accent2 12 5 2" xfId="4705" xr:uid="{00000000-0005-0000-0000-00007E540000}"/>
    <cellStyle name="40% - Accent2 12 5 2 2" xfId="15794" xr:uid="{00000000-0005-0000-0000-00007F540000}"/>
    <cellStyle name="40% - Accent2 12 5 2 2 2" xfId="27651" xr:uid="{00000000-0005-0000-0000-000080540000}"/>
    <cellStyle name="40% - Accent2 12 5 2 3" xfId="19745" xr:uid="{00000000-0005-0000-0000-000081540000}"/>
    <cellStyle name="40% - Accent2 12 5 2 3 2" xfId="31437" xr:uid="{00000000-0005-0000-0000-000082540000}"/>
    <cellStyle name="40% - Accent2 12 5 2 4" xfId="23791" xr:uid="{00000000-0005-0000-0000-000083540000}"/>
    <cellStyle name="40% - Accent2 12 5 3" xfId="4706" xr:uid="{00000000-0005-0000-0000-000084540000}"/>
    <cellStyle name="40% - Accent2 12 5 3 2" xfId="15795" xr:uid="{00000000-0005-0000-0000-000085540000}"/>
    <cellStyle name="40% - Accent2 12 5 3 2 2" xfId="27652" xr:uid="{00000000-0005-0000-0000-000086540000}"/>
    <cellStyle name="40% - Accent2 12 5 3 3" xfId="19746" xr:uid="{00000000-0005-0000-0000-000087540000}"/>
    <cellStyle name="40% - Accent2 12 5 3 3 2" xfId="31438" xr:uid="{00000000-0005-0000-0000-000088540000}"/>
    <cellStyle name="40% - Accent2 12 5 3 4" xfId="23792" xr:uid="{00000000-0005-0000-0000-000089540000}"/>
    <cellStyle name="40% - Accent2 12 5 4" xfId="15793" xr:uid="{00000000-0005-0000-0000-00008A540000}"/>
    <cellStyle name="40% - Accent2 12 5 4 2" xfId="27650" xr:uid="{00000000-0005-0000-0000-00008B540000}"/>
    <cellStyle name="40% - Accent2 12 5 5" xfId="19744" xr:uid="{00000000-0005-0000-0000-00008C540000}"/>
    <cellStyle name="40% - Accent2 12 5 5 2" xfId="31436" xr:uid="{00000000-0005-0000-0000-00008D540000}"/>
    <cellStyle name="40% - Accent2 12 5 6" xfId="23790" xr:uid="{00000000-0005-0000-0000-00008E540000}"/>
    <cellStyle name="40% - Accent2 12 6" xfId="4707" xr:uid="{00000000-0005-0000-0000-00008F540000}"/>
    <cellStyle name="40% - Accent2 12 6 2" xfId="4708" xr:uid="{00000000-0005-0000-0000-000090540000}"/>
    <cellStyle name="40% - Accent2 12 6 2 2" xfId="15797" xr:uid="{00000000-0005-0000-0000-000091540000}"/>
    <cellStyle name="40% - Accent2 12 6 2 2 2" xfId="27654" xr:uid="{00000000-0005-0000-0000-000092540000}"/>
    <cellStyle name="40% - Accent2 12 6 2 3" xfId="19748" xr:uid="{00000000-0005-0000-0000-000093540000}"/>
    <cellStyle name="40% - Accent2 12 6 2 3 2" xfId="31440" xr:uid="{00000000-0005-0000-0000-000094540000}"/>
    <cellStyle name="40% - Accent2 12 6 2 4" xfId="23794" xr:uid="{00000000-0005-0000-0000-000095540000}"/>
    <cellStyle name="40% - Accent2 12 6 3" xfId="4709" xr:uid="{00000000-0005-0000-0000-000096540000}"/>
    <cellStyle name="40% - Accent2 12 6 3 2" xfId="15798" xr:uid="{00000000-0005-0000-0000-000097540000}"/>
    <cellStyle name="40% - Accent2 12 6 3 2 2" xfId="27655" xr:uid="{00000000-0005-0000-0000-000098540000}"/>
    <cellStyle name="40% - Accent2 12 6 3 3" xfId="19749" xr:uid="{00000000-0005-0000-0000-000099540000}"/>
    <cellStyle name="40% - Accent2 12 6 3 3 2" xfId="31441" xr:uid="{00000000-0005-0000-0000-00009A540000}"/>
    <cellStyle name="40% - Accent2 12 6 3 4" xfId="23795" xr:uid="{00000000-0005-0000-0000-00009B540000}"/>
    <cellStyle name="40% - Accent2 12 6 4" xfId="15796" xr:uid="{00000000-0005-0000-0000-00009C540000}"/>
    <cellStyle name="40% - Accent2 12 6 4 2" xfId="27653" xr:uid="{00000000-0005-0000-0000-00009D540000}"/>
    <cellStyle name="40% - Accent2 12 6 5" xfId="19747" xr:uid="{00000000-0005-0000-0000-00009E540000}"/>
    <cellStyle name="40% - Accent2 12 6 5 2" xfId="31439" xr:uid="{00000000-0005-0000-0000-00009F540000}"/>
    <cellStyle name="40% - Accent2 12 6 6" xfId="23793" xr:uid="{00000000-0005-0000-0000-0000A0540000}"/>
    <cellStyle name="40% - Accent2 12 7" xfId="4710" xr:uid="{00000000-0005-0000-0000-0000A1540000}"/>
    <cellStyle name="40% - Accent2 12 7 2" xfId="15799" xr:uid="{00000000-0005-0000-0000-0000A2540000}"/>
    <cellStyle name="40% - Accent2 12 7 2 2" xfId="27656" xr:uid="{00000000-0005-0000-0000-0000A3540000}"/>
    <cellStyle name="40% - Accent2 12 7 3" xfId="19750" xr:uid="{00000000-0005-0000-0000-0000A4540000}"/>
    <cellStyle name="40% - Accent2 12 7 3 2" xfId="31442" xr:uid="{00000000-0005-0000-0000-0000A5540000}"/>
    <cellStyle name="40% - Accent2 12 7 4" xfId="23796" xr:uid="{00000000-0005-0000-0000-0000A6540000}"/>
    <cellStyle name="40% - Accent2 12 8" xfId="4711" xr:uid="{00000000-0005-0000-0000-0000A7540000}"/>
    <cellStyle name="40% - Accent2 12 8 2" xfId="15800" xr:uid="{00000000-0005-0000-0000-0000A8540000}"/>
    <cellStyle name="40% - Accent2 12 8 2 2" xfId="27657" xr:uid="{00000000-0005-0000-0000-0000A9540000}"/>
    <cellStyle name="40% - Accent2 12 8 3" xfId="19751" xr:uid="{00000000-0005-0000-0000-0000AA540000}"/>
    <cellStyle name="40% - Accent2 12 8 3 2" xfId="31443" xr:uid="{00000000-0005-0000-0000-0000AB540000}"/>
    <cellStyle name="40% - Accent2 12 8 4" xfId="23797" xr:uid="{00000000-0005-0000-0000-0000AC540000}"/>
    <cellStyle name="40% - Accent2 12 9" xfId="15768" xr:uid="{00000000-0005-0000-0000-0000AD540000}"/>
    <cellStyle name="40% - Accent2 12 9 2" xfId="27625" xr:uid="{00000000-0005-0000-0000-0000AE540000}"/>
    <cellStyle name="40% - Accent2 12_Volatility" xfId="4712" xr:uid="{00000000-0005-0000-0000-0000AF540000}"/>
    <cellStyle name="40% - Accent2 13" xfId="4713" xr:uid="{00000000-0005-0000-0000-0000B0540000}"/>
    <cellStyle name="40% - Accent2 13 10" xfId="19752" xr:uid="{00000000-0005-0000-0000-0000B1540000}"/>
    <cellStyle name="40% - Accent2 13 10 2" xfId="31444" xr:uid="{00000000-0005-0000-0000-0000B2540000}"/>
    <cellStyle name="40% - Accent2 13 11" xfId="23798" xr:uid="{00000000-0005-0000-0000-0000B3540000}"/>
    <cellStyle name="40% - Accent2 13 2" xfId="4714" xr:uid="{00000000-0005-0000-0000-0000B4540000}"/>
    <cellStyle name="40% - Accent2 13 2 2" xfId="4715" xr:uid="{00000000-0005-0000-0000-0000B5540000}"/>
    <cellStyle name="40% - Accent2 13 2 2 2" xfId="4716" xr:uid="{00000000-0005-0000-0000-0000B6540000}"/>
    <cellStyle name="40% - Accent2 13 2 2 2 2" xfId="15804" xr:uid="{00000000-0005-0000-0000-0000B7540000}"/>
    <cellStyle name="40% - Accent2 13 2 2 2 2 2" xfId="27661" xr:uid="{00000000-0005-0000-0000-0000B8540000}"/>
    <cellStyle name="40% - Accent2 13 2 2 2 3" xfId="19755" xr:uid="{00000000-0005-0000-0000-0000B9540000}"/>
    <cellStyle name="40% - Accent2 13 2 2 2 3 2" xfId="31447" xr:uid="{00000000-0005-0000-0000-0000BA540000}"/>
    <cellStyle name="40% - Accent2 13 2 2 2 4" xfId="23801" xr:uid="{00000000-0005-0000-0000-0000BB540000}"/>
    <cellStyle name="40% - Accent2 13 2 2 3" xfId="4717" xr:uid="{00000000-0005-0000-0000-0000BC540000}"/>
    <cellStyle name="40% - Accent2 13 2 2 3 2" xfId="15805" xr:uid="{00000000-0005-0000-0000-0000BD540000}"/>
    <cellStyle name="40% - Accent2 13 2 2 3 2 2" xfId="27662" xr:uid="{00000000-0005-0000-0000-0000BE540000}"/>
    <cellStyle name="40% - Accent2 13 2 2 3 3" xfId="19756" xr:uid="{00000000-0005-0000-0000-0000BF540000}"/>
    <cellStyle name="40% - Accent2 13 2 2 3 3 2" xfId="31448" xr:uid="{00000000-0005-0000-0000-0000C0540000}"/>
    <cellStyle name="40% - Accent2 13 2 2 3 4" xfId="23802" xr:uid="{00000000-0005-0000-0000-0000C1540000}"/>
    <cellStyle name="40% - Accent2 13 2 2 4" xfId="15803" xr:uid="{00000000-0005-0000-0000-0000C2540000}"/>
    <cellStyle name="40% - Accent2 13 2 2 4 2" xfId="27660" xr:uid="{00000000-0005-0000-0000-0000C3540000}"/>
    <cellStyle name="40% - Accent2 13 2 2 5" xfId="19754" xr:uid="{00000000-0005-0000-0000-0000C4540000}"/>
    <cellStyle name="40% - Accent2 13 2 2 5 2" xfId="31446" xr:uid="{00000000-0005-0000-0000-0000C5540000}"/>
    <cellStyle name="40% - Accent2 13 2 2 6" xfId="23800" xr:uid="{00000000-0005-0000-0000-0000C6540000}"/>
    <cellStyle name="40% - Accent2 13 2 3" xfId="4718" xr:uid="{00000000-0005-0000-0000-0000C7540000}"/>
    <cellStyle name="40% - Accent2 13 2 3 2" xfId="4719" xr:uid="{00000000-0005-0000-0000-0000C8540000}"/>
    <cellStyle name="40% - Accent2 13 2 3 2 2" xfId="15807" xr:uid="{00000000-0005-0000-0000-0000C9540000}"/>
    <cellStyle name="40% - Accent2 13 2 3 2 2 2" xfId="27664" xr:uid="{00000000-0005-0000-0000-0000CA540000}"/>
    <cellStyle name="40% - Accent2 13 2 3 2 3" xfId="19758" xr:uid="{00000000-0005-0000-0000-0000CB540000}"/>
    <cellStyle name="40% - Accent2 13 2 3 2 3 2" xfId="31450" xr:uid="{00000000-0005-0000-0000-0000CC540000}"/>
    <cellStyle name="40% - Accent2 13 2 3 2 4" xfId="23804" xr:uid="{00000000-0005-0000-0000-0000CD540000}"/>
    <cellStyle name="40% - Accent2 13 2 3 3" xfId="4720" xr:uid="{00000000-0005-0000-0000-0000CE540000}"/>
    <cellStyle name="40% - Accent2 13 2 3 3 2" xfId="15808" xr:uid="{00000000-0005-0000-0000-0000CF540000}"/>
    <cellStyle name="40% - Accent2 13 2 3 3 2 2" xfId="27665" xr:uid="{00000000-0005-0000-0000-0000D0540000}"/>
    <cellStyle name="40% - Accent2 13 2 3 3 3" xfId="19759" xr:uid="{00000000-0005-0000-0000-0000D1540000}"/>
    <cellStyle name="40% - Accent2 13 2 3 3 3 2" xfId="31451" xr:uid="{00000000-0005-0000-0000-0000D2540000}"/>
    <cellStyle name="40% - Accent2 13 2 3 3 4" xfId="23805" xr:uid="{00000000-0005-0000-0000-0000D3540000}"/>
    <cellStyle name="40% - Accent2 13 2 3 4" xfId="15806" xr:uid="{00000000-0005-0000-0000-0000D4540000}"/>
    <cellStyle name="40% - Accent2 13 2 3 4 2" xfId="27663" xr:uid="{00000000-0005-0000-0000-0000D5540000}"/>
    <cellStyle name="40% - Accent2 13 2 3 5" xfId="19757" xr:uid="{00000000-0005-0000-0000-0000D6540000}"/>
    <cellStyle name="40% - Accent2 13 2 3 5 2" xfId="31449" xr:uid="{00000000-0005-0000-0000-0000D7540000}"/>
    <cellStyle name="40% - Accent2 13 2 3 6" xfId="23803" xr:uid="{00000000-0005-0000-0000-0000D8540000}"/>
    <cellStyle name="40% - Accent2 13 2 4" xfId="4721" xr:uid="{00000000-0005-0000-0000-0000D9540000}"/>
    <cellStyle name="40% - Accent2 13 2 4 2" xfId="4722" xr:uid="{00000000-0005-0000-0000-0000DA540000}"/>
    <cellStyle name="40% - Accent2 13 2 4 2 2" xfId="15810" xr:uid="{00000000-0005-0000-0000-0000DB540000}"/>
    <cellStyle name="40% - Accent2 13 2 4 2 2 2" xfId="27667" xr:uid="{00000000-0005-0000-0000-0000DC540000}"/>
    <cellStyle name="40% - Accent2 13 2 4 2 3" xfId="19761" xr:uid="{00000000-0005-0000-0000-0000DD540000}"/>
    <cellStyle name="40% - Accent2 13 2 4 2 3 2" xfId="31453" xr:uid="{00000000-0005-0000-0000-0000DE540000}"/>
    <cellStyle name="40% - Accent2 13 2 4 2 4" xfId="23807" xr:uid="{00000000-0005-0000-0000-0000DF540000}"/>
    <cellStyle name="40% - Accent2 13 2 4 3" xfId="4723" xr:uid="{00000000-0005-0000-0000-0000E0540000}"/>
    <cellStyle name="40% - Accent2 13 2 4 3 2" xfId="15811" xr:uid="{00000000-0005-0000-0000-0000E1540000}"/>
    <cellStyle name="40% - Accent2 13 2 4 3 2 2" xfId="27668" xr:uid="{00000000-0005-0000-0000-0000E2540000}"/>
    <cellStyle name="40% - Accent2 13 2 4 3 3" xfId="19762" xr:uid="{00000000-0005-0000-0000-0000E3540000}"/>
    <cellStyle name="40% - Accent2 13 2 4 3 3 2" xfId="31454" xr:uid="{00000000-0005-0000-0000-0000E4540000}"/>
    <cellStyle name="40% - Accent2 13 2 4 3 4" xfId="23808" xr:uid="{00000000-0005-0000-0000-0000E5540000}"/>
    <cellStyle name="40% - Accent2 13 2 4 4" xfId="15809" xr:uid="{00000000-0005-0000-0000-0000E6540000}"/>
    <cellStyle name="40% - Accent2 13 2 4 4 2" xfId="27666" xr:uid="{00000000-0005-0000-0000-0000E7540000}"/>
    <cellStyle name="40% - Accent2 13 2 4 5" xfId="19760" xr:uid="{00000000-0005-0000-0000-0000E8540000}"/>
    <cellStyle name="40% - Accent2 13 2 4 5 2" xfId="31452" xr:uid="{00000000-0005-0000-0000-0000E9540000}"/>
    <cellStyle name="40% - Accent2 13 2 4 6" xfId="23806" xr:uid="{00000000-0005-0000-0000-0000EA540000}"/>
    <cellStyle name="40% - Accent2 13 2 5" xfId="4724" xr:uid="{00000000-0005-0000-0000-0000EB540000}"/>
    <cellStyle name="40% - Accent2 13 2 5 2" xfId="15812" xr:uid="{00000000-0005-0000-0000-0000EC540000}"/>
    <cellStyle name="40% - Accent2 13 2 5 2 2" xfId="27669" xr:uid="{00000000-0005-0000-0000-0000ED540000}"/>
    <cellStyle name="40% - Accent2 13 2 5 3" xfId="19763" xr:uid="{00000000-0005-0000-0000-0000EE540000}"/>
    <cellStyle name="40% - Accent2 13 2 5 3 2" xfId="31455" xr:uid="{00000000-0005-0000-0000-0000EF540000}"/>
    <cellStyle name="40% - Accent2 13 2 5 4" xfId="23809" xr:uid="{00000000-0005-0000-0000-0000F0540000}"/>
    <cellStyle name="40% - Accent2 13 2 6" xfId="4725" xr:uid="{00000000-0005-0000-0000-0000F1540000}"/>
    <cellStyle name="40% - Accent2 13 2 6 2" xfId="15813" xr:uid="{00000000-0005-0000-0000-0000F2540000}"/>
    <cellStyle name="40% - Accent2 13 2 6 2 2" xfId="27670" xr:uid="{00000000-0005-0000-0000-0000F3540000}"/>
    <cellStyle name="40% - Accent2 13 2 6 3" xfId="19764" xr:uid="{00000000-0005-0000-0000-0000F4540000}"/>
    <cellStyle name="40% - Accent2 13 2 6 3 2" xfId="31456" xr:uid="{00000000-0005-0000-0000-0000F5540000}"/>
    <cellStyle name="40% - Accent2 13 2 6 4" xfId="23810" xr:uid="{00000000-0005-0000-0000-0000F6540000}"/>
    <cellStyle name="40% - Accent2 13 2 7" xfId="15802" xr:uid="{00000000-0005-0000-0000-0000F7540000}"/>
    <cellStyle name="40% - Accent2 13 2 7 2" xfId="27659" xr:uid="{00000000-0005-0000-0000-0000F8540000}"/>
    <cellStyle name="40% - Accent2 13 2 8" xfId="19753" xr:uid="{00000000-0005-0000-0000-0000F9540000}"/>
    <cellStyle name="40% - Accent2 13 2 8 2" xfId="31445" xr:uid="{00000000-0005-0000-0000-0000FA540000}"/>
    <cellStyle name="40% - Accent2 13 2 9" xfId="23799" xr:uid="{00000000-0005-0000-0000-0000FB540000}"/>
    <cellStyle name="40% - Accent2 13 2_Volatility" xfId="4726" xr:uid="{00000000-0005-0000-0000-0000FC540000}"/>
    <cellStyle name="40% - Accent2 13 3" xfId="4727" xr:uid="{00000000-0005-0000-0000-0000FD540000}"/>
    <cellStyle name="40% - Accent2 13 3 2" xfId="4728" xr:uid="{00000000-0005-0000-0000-0000FE540000}"/>
    <cellStyle name="40% - Accent2 13 3 2 2" xfId="4729" xr:uid="{00000000-0005-0000-0000-0000FF540000}"/>
    <cellStyle name="40% - Accent2 13 3 2 2 2" xfId="15816" xr:uid="{00000000-0005-0000-0000-000000550000}"/>
    <cellStyle name="40% - Accent2 13 3 2 2 2 2" xfId="27673" xr:uid="{00000000-0005-0000-0000-000001550000}"/>
    <cellStyle name="40% - Accent2 13 3 2 2 3" xfId="19767" xr:uid="{00000000-0005-0000-0000-000002550000}"/>
    <cellStyle name="40% - Accent2 13 3 2 2 3 2" xfId="31459" xr:uid="{00000000-0005-0000-0000-000003550000}"/>
    <cellStyle name="40% - Accent2 13 3 2 2 4" xfId="23813" xr:uid="{00000000-0005-0000-0000-000004550000}"/>
    <cellStyle name="40% - Accent2 13 3 2 3" xfId="4730" xr:uid="{00000000-0005-0000-0000-000005550000}"/>
    <cellStyle name="40% - Accent2 13 3 2 3 2" xfId="15817" xr:uid="{00000000-0005-0000-0000-000006550000}"/>
    <cellStyle name="40% - Accent2 13 3 2 3 2 2" xfId="27674" xr:uid="{00000000-0005-0000-0000-000007550000}"/>
    <cellStyle name="40% - Accent2 13 3 2 3 3" xfId="19768" xr:uid="{00000000-0005-0000-0000-000008550000}"/>
    <cellStyle name="40% - Accent2 13 3 2 3 3 2" xfId="31460" xr:uid="{00000000-0005-0000-0000-000009550000}"/>
    <cellStyle name="40% - Accent2 13 3 2 3 4" xfId="23814" xr:uid="{00000000-0005-0000-0000-00000A550000}"/>
    <cellStyle name="40% - Accent2 13 3 2 4" xfId="15815" xr:uid="{00000000-0005-0000-0000-00000B550000}"/>
    <cellStyle name="40% - Accent2 13 3 2 4 2" xfId="27672" xr:uid="{00000000-0005-0000-0000-00000C550000}"/>
    <cellStyle name="40% - Accent2 13 3 2 5" xfId="19766" xr:uid="{00000000-0005-0000-0000-00000D550000}"/>
    <cellStyle name="40% - Accent2 13 3 2 5 2" xfId="31458" xr:uid="{00000000-0005-0000-0000-00000E550000}"/>
    <cellStyle name="40% - Accent2 13 3 2 6" xfId="23812" xr:uid="{00000000-0005-0000-0000-00000F550000}"/>
    <cellStyle name="40% - Accent2 13 3 3" xfId="4731" xr:uid="{00000000-0005-0000-0000-000010550000}"/>
    <cellStyle name="40% - Accent2 13 3 3 2" xfId="4732" xr:uid="{00000000-0005-0000-0000-000011550000}"/>
    <cellStyle name="40% - Accent2 13 3 3 2 2" xfId="15819" xr:uid="{00000000-0005-0000-0000-000012550000}"/>
    <cellStyle name="40% - Accent2 13 3 3 2 2 2" xfId="27676" xr:uid="{00000000-0005-0000-0000-000013550000}"/>
    <cellStyle name="40% - Accent2 13 3 3 2 3" xfId="19770" xr:uid="{00000000-0005-0000-0000-000014550000}"/>
    <cellStyle name="40% - Accent2 13 3 3 2 3 2" xfId="31462" xr:uid="{00000000-0005-0000-0000-000015550000}"/>
    <cellStyle name="40% - Accent2 13 3 3 2 4" xfId="23816" xr:uid="{00000000-0005-0000-0000-000016550000}"/>
    <cellStyle name="40% - Accent2 13 3 3 3" xfId="4733" xr:uid="{00000000-0005-0000-0000-000017550000}"/>
    <cellStyle name="40% - Accent2 13 3 3 3 2" xfId="15820" xr:uid="{00000000-0005-0000-0000-000018550000}"/>
    <cellStyle name="40% - Accent2 13 3 3 3 2 2" xfId="27677" xr:uid="{00000000-0005-0000-0000-000019550000}"/>
    <cellStyle name="40% - Accent2 13 3 3 3 3" xfId="19771" xr:uid="{00000000-0005-0000-0000-00001A550000}"/>
    <cellStyle name="40% - Accent2 13 3 3 3 3 2" xfId="31463" xr:uid="{00000000-0005-0000-0000-00001B550000}"/>
    <cellStyle name="40% - Accent2 13 3 3 3 4" xfId="23817" xr:uid="{00000000-0005-0000-0000-00001C550000}"/>
    <cellStyle name="40% - Accent2 13 3 3 4" xfId="15818" xr:uid="{00000000-0005-0000-0000-00001D550000}"/>
    <cellStyle name="40% - Accent2 13 3 3 4 2" xfId="27675" xr:uid="{00000000-0005-0000-0000-00001E550000}"/>
    <cellStyle name="40% - Accent2 13 3 3 5" xfId="19769" xr:uid="{00000000-0005-0000-0000-00001F550000}"/>
    <cellStyle name="40% - Accent2 13 3 3 5 2" xfId="31461" xr:uid="{00000000-0005-0000-0000-000020550000}"/>
    <cellStyle name="40% - Accent2 13 3 3 6" xfId="23815" xr:uid="{00000000-0005-0000-0000-000021550000}"/>
    <cellStyle name="40% - Accent2 13 3 4" xfId="4734" xr:uid="{00000000-0005-0000-0000-000022550000}"/>
    <cellStyle name="40% - Accent2 13 3 4 2" xfId="15821" xr:uid="{00000000-0005-0000-0000-000023550000}"/>
    <cellStyle name="40% - Accent2 13 3 4 2 2" xfId="27678" xr:uid="{00000000-0005-0000-0000-000024550000}"/>
    <cellStyle name="40% - Accent2 13 3 4 3" xfId="19772" xr:uid="{00000000-0005-0000-0000-000025550000}"/>
    <cellStyle name="40% - Accent2 13 3 4 3 2" xfId="31464" xr:uid="{00000000-0005-0000-0000-000026550000}"/>
    <cellStyle name="40% - Accent2 13 3 4 4" xfId="23818" xr:uid="{00000000-0005-0000-0000-000027550000}"/>
    <cellStyle name="40% - Accent2 13 3 5" xfId="4735" xr:uid="{00000000-0005-0000-0000-000028550000}"/>
    <cellStyle name="40% - Accent2 13 3 5 2" xfId="15822" xr:uid="{00000000-0005-0000-0000-000029550000}"/>
    <cellStyle name="40% - Accent2 13 3 5 2 2" xfId="27679" xr:uid="{00000000-0005-0000-0000-00002A550000}"/>
    <cellStyle name="40% - Accent2 13 3 5 3" xfId="19773" xr:uid="{00000000-0005-0000-0000-00002B550000}"/>
    <cellStyle name="40% - Accent2 13 3 5 3 2" xfId="31465" xr:uid="{00000000-0005-0000-0000-00002C550000}"/>
    <cellStyle name="40% - Accent2 13 3 5 4" xfId="23819" xr:uid="{00000000-0005-0000-0000-00002D550000}"/>
    <cellStyle name="40% - Accent2 13 3 6" xfId="15814" xr:uid="{00000000-0005-0000-0000-00002E550000}"/>
    <cellStyle name="40% - Accent2 13 3 6 2" xfId="27671" xr:uid="{00000000-0005-0000-0000-00002F550000}"/>
    <cellStyle name="40% - Accent2 13 3 7" xfId="19765" xr:uid="{00000000-0005-0000-0000-000030550000}"/>
    <cellStyle name="40% - Accent2 13 3 7 2" xfId="31457" xr:uid="{00000000-0005-0000-0000-000031550000}"/>
    <cellStyle name="40% - Accent2 13 3 8" xfId="23811" xr:uid="{00000000-0005-0000-0000-000032550000}"/>
    <cellStyle name="40% - Accent2 13 3_Volatility" xfId="4736" xr:uid="{00000000-0005-0000-0000-000033550000}"/>
    <cellStyle name="40% - Accent2 13 4" xfId="4737" xr:uid="{00000000-0005-0000-0000-000034550000}"/>
    <cellStyle name="40% - Accent2 13 4 2" xfId="4738" xr:uid="{00000000-0005-0000-0000-000035550000}"/>
    <cellStyle name="40% - Accent2 13 4 2 2" xfId="15824" xr:uid="{00000000-0005-0000-0000-000036550000}"/>
    <cellStyle name="40% - Accent2 13 4 2 2 2" xfId="27681" xr:uid="{00000000-0005-0000-0000-000037550000}"/>
    <cellStyle name="40% - Accent2 13 4 2 3" xfId="19775" xr:uid="{00000000-0005-0000-0000-000038550000}"/>
    <cellStyle name="40% - Accent2 13 4 2 3 2" xfId="31467" xr:uid="{00000000-0005-0000-0000-000039550000}"/>
    <cellStyle name="40% - Accent2 13 4 2 4" xfId="23821" xr:uid="{00000000-0005-0000-0000-00003A550000}"/>
    <cellStyle name="40% - Accent2 13 4 3" xfId="4739" xr:uid="{00000000-0005-0000-0000-00003B550000}"/>
    <cellStyle name="40% - Accent2 13 4 3 2" xfId="15825" xr:uid="{00000000-0005-0000-0000-00003C550000}"/>
    <cellStyle name="40% - Accent2 13 4 3 2 2" xfId="27682" xr:uid="{00000000-0005-0000-0000-00003D550000}"/>
    <cellStyle name="40% - Accent2 13 4 3 3" xfId="19776" xr:uid="{00000000-0005-0000-0000-00003E550000}"/>
    <cellStyle name="40% - Accent2 13 4 3 3 2" xfId="31468" xr:uid="{00000000-0005-0000-0000-00003F550000}"/>
    <cellStyle name="40% - Accent2 13 4 3 4" xfId="23822" xr:uid="{00000000-0005-0000-0000-000040550000}"/>
    <cellStyle name="40% - Accent2 13 4 4" xfId="15823" xr:uid="{00000000-0005-0000-0000-000041550000}"/>
    <cellStyle name="40% - Accent2 13 4 4 2" xfId="27680" xr:uid="{00000000-0005-0000-0000-000042550000}"/>
    <cellStyle name="40% - Accent2 13 4 5" xfId="19774" xr:uid="{00000000-0005-0000-0000-000043550000}"/>
    <cellStyle name="40% - Accent2 13 4 5 2" xfId="31466" xr:uid="{00000000-0005-0000-0000-000044550000}"/>
    <cellStyle name="40% - Accent2 13 4 6" xfId="23820" xr:uid="{00000000-0005-0000-0000-000045550000}"/>
    <cellStyle name="40% - Accent2 13 5" xfId="4740" xr:uid="{00000000-0005-0000-0000-000046550000}"/>
    <cellStyle name="40% - Accent2 13 5 2" xfId="4741" xr:uid="{00000000-0005-0000-0000-000047550000}"/>
    <cellStyle name="40% - Accent2 13 5 2 2" xfId="15827" xr:uid="{00000000-0005-0000-0000-000048550000}"/>
    <cellStyle name="40% - Accent2 13 5 2 2 2" xfId="27684" xr:uid="{00000000-0005-0000-0000-000049550000}"/>
    <cellStyle name="40% - Accent2 13 5 2 3" xfId="19778" xr:uid="{00000000-0005-0000-0000-00004A550000}"/>
    <cellStyle name="40% - Accent2 13 5 2 3 2" xfId="31470" xr:uid="{00000000-0005-0000-0000-00004B550000}"/>
    <cellStyle name="40% - Accent2 13 5 2 4" xfId="23824" xr:uid="{00000000-0005-0000-0000-00004C550000}"/>
    <cellStyle name="40% - Accent2 13 5 3" xfId="4742" xr:uid="{00000000-0005-0000-0000-00004D550000}"/>
    <cellStyle name="40% - Accent2 13 5 3 2" xfId="15828" xr:uid="{00000000-0005-0000-0000-00004E550000}"/>
    <cellStyle name="40% - Accent2 13 5 3 2 2" xfId="27685" xr:uid="{00000000-0005-0000-0000-00004F550000}"/>
    <cellStyle name="40% - Accent2 13 5 3 3" xfId="19779" xr:uid="{00000000-0005-0000-0000-000050550000}"/>
    <cellStyle name="40% - Accent2 13 5 3 3 2" xfId="31471" xr:uid="{00000000-0005-0000-0000-000051550000}"/>
    <cellStyle name="40% - Accent2 13 5 3 4" xfId="23825" xr:uid="{00000000-0005-0000-0000-000052550000}"/>
    <cellStyle name="40% - Accent2 13 5 4" xfId="15826" xr:uid="{00000000-0005-0000-0000-000053550000}"/>
    <cellStyle name="40% - Accent2 13 5 4 2" xfId="27683" xr:uid="{00000000-0005-0000-0000-000054550000}"/>
    <cellStyle name="40% - Accent2 13 5 5" xfId="19777" xr:uid="{00000000-0005-0000-0000-000055550000}"/>
    <cellStyle name="40% - Accent2 13 5 5 2" xfId="31469" xr:uid="{00000000-0005-0000-0000-000056550000}"/>
    <cellStyle name="40% - Accent2 13 5 6" xfId="23823" xr:uid="{00000000-0005-0000-0000-000057550000}"/>
    <cellStyle name="40% - Accent2 13 6" xfId="4743" xr:uid="{00000000-0005-0000-0000-000058550000}"/>
    <cellStyle name="40% - Accent2 13 6 2" xfId="4744" xr:uid="{00000000-0005-0000-0000-000059550000}"/>
    <cellStyle name="40% - Accent2 13 6 2 2" xfId="15830" xr:uid="{00000000-0005-0000-0000-00005A550000}"/>
    <cellStyle name="40% - Accent2 13 6 2 2 2" xfId="27687" xr:uid="{00000000-0005-0000-0000-00005B550000}"/>
    <cellStyle name="40% - Accent2 13 6 2 3" xfId="19781" xr:uid="{00000000-0005-0000-0000-00005C550000}"/>
    <cellStyle name="40% - Accent2 13 6 2 3 2" xfId="31473" xr:uid="{00000000-0005-0000-0000-00005D550000}"/>
    <cellStyle name="40% - Accent2 13 6 2 4" xfId="23827" xr:uid="{00000000-0005-0000-0000-00005E550000}"/>
    <cellStyle name="40% - Accent2 13 6 3" xfId="4745" xr:uid="{00000000-0005-0000-0000-00005F550000}"/>
    <cellStyle name="40% - Accent2 13 6 3 2" xfId="15831" xr:uid="{00000000-0005-0000-0000-000060550000}"/>
    <cellStyle name="40% - Accent2 13 6 3 2 2" xfId="27688" xr:uid="{00000000-0005-0000-0000-000061550000}"/>
    <cellStyle name="40% - Accent2 13 6 3 3" xfId="19782" xr:uid="{00000000-0005-0000-0000-000062550000}"/>
    <cellStyle name="40% - Accent2 13 6 3 3 2" xfId="31474" xr:uid="{00000000-0005-0000-0000-000063550000}"/>
    <cellStyle name="40% - Accent2 13 6 3 4" xfId="23828" xr:uid="{00000000-0005-0000-0000-000064550000}"/>
    <cellStyle name="40% - Accent2 13 6 4" xfId="15829" xr:uid="{00000000-0005-0000-0000-000065550000}"/>
    <cellStyle name="40% - Accent2 13 6 4 2" xfId="27686" xr:uid="{00000000-0005-0000-0000-000066550000}"/>
    <cellStyle name="40% - Accent2 13 6 5" xfId="19780" xr:uid="{00000000-0005-0000-0000-000067550000}"/>
    <cellStyle name="40% - Accent2 13 6 5 2" xfId="31472" xr:uid="{00000000-0005-0000-0000-000068550000}"/>
    <cellStyle name="40% - Accent2 13 6 6" xfId="23826" xr:uid="{00000000-0005-0000-0000-000069550000}"/>
    <cellStyle name="40% - Accent2 13 7" xfId="4746" xr:uid="{00000000-0005-0000-0000-00006A550000}"/>
    <cellStyle name="40% - Accent2 13 7 2" xfId="15832" xr:uid="{00000000-0005-0000-0000-00006B550000}"/>
    <cellStyle name="40% - Accent2 13 7 2 2" xfId="27689" xr:uid="{00000000-0005-0000-0000-00006C550000}"/>
    <cellStyle name="40% - Accent2 13 7 3" xfId="19783" xr:uid="{00000000-0005-0000-0000-00006D550000}"/>
    <cellStyle name="40% - Accent2 13 7 3 2" xfId="31475" xr:uid="{00000000-0005-0000-0000-00006E550000}"/>
    <cellStyle name="40% - Accent2 13 7 4" xfId="23829" xr:uid="{00000000-0005-0000-0000-00006F550000}"/>
    <cellStyle name="40% - Accent2 13 8" xfId="4747" xr:uid="{00000000-0005-0000-0000-000070550000}"/>
    <cellStyle name="40% - Accent2 13 8 2" xfId="15833" xr:uid="{00000000-0005-0000-0000-000071550000}"/>
    <cellStyle name="40% - Accent2 13 8 2 2" xfId="27690" xr:uid="{00000000-0005-0000-0000-000072550000}"/>
    <cellStyle name="40% - Accent2 13 8 3" xfId="19784" xr:uid="{00000000-0005-0000-0000-000073550000}"/>
    <cellStyle name="40% - Accent2 13 8 3 2" xfId="31476" xr:uid="{00000000-0005-0000-0000-000074550000}"/>
    <cellStyle name="40% - Accent2 13 8 4" xfId="23830" xr:uid="{00000000-0005-0000-0000-000075550000}"/>
    <cellStyle name="40% - Accent2 13 9" xfId="15801" xr:uid="{00000000-0005-0000-0000-000076550000}"/>
    <cellStyle name="40% - Accent2 13 9 2" xfId="27658" xr:uid="{00000000-0005-0000-0000-000077550000}"/>
    <cellStyle name="40% - Accent2 13_Volatility" xfId="4748" xr:uid="{00000000-0005-0000-0000-000078550000}"/>
    <cellStyle name="40% - Accent2 14" xfId="4749" xr:uid="{00000000-0005-0000-0000-000079550000}"/>
    <cellStyle name="40% - Accent2 14 10" xfId="19785" xr:uid="{00000000-0005-0000-0000-00007A550000}"/>
    <cellStyle name="40% - Accent2 14 10 2" xfId="31477" xr:uid="{00000000-0005-0000-0000-00007B550000}"/>
    <cellStyle name="40% - Accent2 14 11" xfId="23831" xr:uid="{00000000-0005-0000-0000-00007C550000}"/>
    <cellStyle name="40% - Accent2 14 2" xfId="4750" xr:uid="{00000000-0005-0000-0000-00007D550000}"/>
    <cellStyle name="40% - Accent2 14 2 2" xfId="4751" xr:uid="{00000000-0005-0000-0000-00007E550000}"/>
    <cellStyle name="40% - Accent2 14 2 2 2" xfId="4752" xr:uid="{00000000-0005-0000-0000-00007F550000}"/>
    <cellStyle name="40% - Accent2 14 2 2 2 2" xfId="15837" xr:uid="{00000000-0005-0000-0000-000080550000}"/>
    <cellStyle name="40% - Accent2 14 2 2 2 2 2" xfId="27694" xr:uid="{00000000-0005-0000-0000-000081550000}"/>
    <cellStyle name="40% - Accent2 14 2 2 2 3" xfId="19788" xr:uid="{00000000-0005-0000-0000-000082550000}"/>
    <cellStyle name="40% - Accent2 14 2 2 2 3 2" xfId="31480" xr:uid="{00000000-0005-0000-0000-000083550000}"/>
    <cellStyle name="40% - Accent2 14 2 2 2 4" xfId="23834" xr:uid="{00000000-0005-0000-0000-000084550000}"/>
    <cellStyle name="40% - Accent2 14 2 2 3" xfId="4753" xr:uid="{00000000-0005-0000-0000-000085550000}"/>
    <cellStyle name="40% - Accent2 14 2 2 3 2" xfId="15838" xr:uid="{00000000-0005-0000-0000-000086550000}"/>
    <cellStyle name="40% - Accent2 14 2 2 3 2 2" xfId="27695" xr:uid="{00000000-0005-0000-0000-000087550000}"/>
    <cellStyle name="40% - Accent2 14 2 2 3 3" xfId="19789" xr:uid="{00000000-0005-0000-0000-000088550000}"/>
    <cellStyle name="40% - Accent2 14 2 2 3 3 2" xfId="31481" xr:uid="{00000000-0005-0000-0000-000089550000}"/>
    <cellStyle name="40% - Accent2 14 2 2 3 4" xfId="23835" xr:uid="{00000000-0005-0000-0000-00008A550000}"/>
    <cellStyle name="40% - Accent2 14 2 2 4" xfId="15836" xr:uid="{00000000-0005-0000-0000-00008B550000}"/>
    <cellStyle name="40% - Accent2 14 2 2 4 2" xfId="27693" xr:uid="{00000000-0005-0000-0000-00008C550000}"/>
    <cellStyle name="40% - Accent2 14 2 2 5" xfId="19787" xr:uid="{00000000-0005-0000-0000-00008D550000}"/>
    <cellStyle name="40% - Accent2 14 2 2 5 2" xfId="31479" xr:uid="{00000000-0005-0000-0000-00008E550000}"/>
    <cellStyle name="40% - Accent2 14 2 2 6" xfId="23833" xr:uid="{00000000-0005-0000-0000-00008F550000}"/>
    <cellStyle name="40% - Accent2 14 2 3" xfId="4754" xr:uid="{00000000-0005-0000-0000-000090550000}"/>
    <cellStyle name="40% - Accent2 14 2 3 2" xfId="4755" xr:uid="{00000000-0005-0000-0000-000091550000}"/>
    <cellStyle name="40% - Accent2 14 2 3 2 2" xfId="15840" xr:uid="{00000000-0005-0000-0000-000092550000}"/>
    <cellStyle name="40% - Accent2 14 2 3 2 2 2" xfId="27697" xr:uid="{00000000-0005-0000-0000-000093550000}"/>
    <cellStyle name="40% - Accent2 14 2 3 2 3" xfId="19791" xr:uid="{00000000-0005-0000-0000-000094550000}"/>
    <cellStyle name="40% - Accent2 14 2 3 2 3 2" xfId="31483" xr:uid="{00000000-0005-0000-0000-000095550000}"/>
    <cellStyle name="40% - Accent2 14 2 3 2 4" xfId="23837" xr:uid="{00000000-0005-0000-0000-000096550000}"/>
    <cellStyle name="40% - Accent2 14 2 3 3" xfId="4756" xr:uid="{00000000-0005-0000-0000-000097550000}"/>
    <cellStyle name="40% - Accent2 14 2 3 3 2" xfId="15841" xr:uid="{00000000-0005-0000-0000-000098550000}"/>
    <cellStyle name="40% - Accent2 14 2 3 3 2 2" xfId="27698" xr:uid="{00000000-0005-0000-0000-000099550000}"/>
    <cellStyle name="40% - Accent2 14 2 3 3 3" xfId="19792" xr:uid="{00000000-0005-0000-0000-00009A550000}"/>
    <cellStyle name="40% - Accent2 14 2 3 3 3 2" xfId="31484" xr:uid="{00000000-0005-0000-0000-00009B550000}"/>
    <cellStyle name="40% - Accent2 14 2 3 3 4" xfId="23838" xr:uid="{00000000-0005-0000-0000-00009C550000}"/>
    <cellStyle name="40% - Accent2 14 2 3 4" xfId="15839" xr:uid="{00000000-0005-0000-0000-00009D550000}"/>
    <cellStyle name="40% - Accent2 14 2 3 4 2" xfId="27696" xr:uid="{00000000-0005-0000-0000-00009E550000}"/>
    <cellStyle name="40% - Accent2 14 2 3 5" xfId="19790" xr:uid="{00000000-0005-0000-0000-00009F550000}"/>
    <cellStyle name="40% - Accent2 14 2 3 5 2" xfId="31482" xr:uid="{00000000-0005-0000-0000-0000A0550000}"/>
    <cellStyle name="40% - Accent2 14 2 3 6" xfId="23836" xr:uid="{00000000-0005-0000-0000-0000A1550000}"/>
    <cellStyle name="40% - Accent2 14 2 4" xfId="4757" xr:uid="{00000000-0005-0000-0000-0000A2550000}"/>
    <cellStyle name="40% - Accent2 14 2 4 2" xfId="4758" xr:uid="{00000000-0005-0000-0000-0000A3550000}"/>
    <cellStyle name="40% - Accent2 14 2 4 2 2" xfId="15843" xr:uid="{00000000-0005-0000-0000-0000A4550000}"/>
    <cellStyle name="40% - Accent2 14 2 4 2 2 2" xfId="27700" xr:uid="{00000000-0005-0000-0000-0000A5550000}"/>
    <cellStyle name="40% - Accent2 14 2 4 2 3" xfId="19794" xr:uid="{00000000-0005-0000-0000-0000A6550000}"/>
    <cellStyle name="40% - Accent2 14 2 4 2 3 2" xfId="31486" xr:uid="{00000000-0005-0000-0000-0000A7550000}"/>
    <cellStyle name="40% - Accent2 14 2 4 2 4" xfId="23840" xr:uid="{00000000-0005-0000-0000-0000A8550000}"/>
    <cellStyle name="40% - Accent2 14 2 4 3" xfId="4759" xr:uid="{00000000-0005-0000-0000-0000A9550000}"/>
    <cellStyle name="40% - Accent2 14 2 4 3 2" xfId="15844" xr:uid="{00000000-0005-0000-0000-0000AA550000}"/>
    <cellStyle name="40% - Accent2 14 2 4 3 2 2" xfId="27701" xr:uid="{00000000-0005-0000-0000-0000AB550000}"/>
    <cellStyle name="40% - Accent2 14 2 4 3 3" xfId="19795" xr:uid="{00000000-0005-0000-0000-0000AC550000}"/>
    <cellStyle name="40% - Accent2 14 2 4 3 3 2" xfId="31487" xr:uid="{00000000-0005-0000-0000-0000AD550000}"/>
    <cellStyle name="40% - Accent2 14 2 4 3 4" xfId="23841" xr:uid="{00000000-0005-0000-0000-0000AE550000}"/>
    <cellStyle name="40% - Accent2 14 2 4 4" xfId="15842" xr:uid="{00000000-0005-0000-0000-0000AF550000}"/>
    <cellStyle name="40% - Accent2 14 2 4 4 2" xfId="27699" xr:uid="{00000000-0005-0000-0000-0000B0550000}"/>
    <cellStyle name="40% - Accent2 14 2 4 5" xfId="19793" xr:uid="{00000000-0005-0000-0000-0000B1550000}"/>
    <cellStyle name="40% - Accent2 14 2 4 5 2" xfId="31485" xr:uid="{00000000-0005-0000-0000-0000B2550000}"/>
    <cellStyle name="40% - Accent2 14 2 4 6" xfId="23839" xr:uid="{00000000-0005-0000-0000-0000B3550000}"/>
    <cellStyle name="40% - Accent2 14 2 5" xfId="4760" xr:uid="{00000000-0005-0000-0000-0000B4550000}"/>
    <cellStyle name="40% - Accent2 14 2 5 2" xfId="15845" xr:uid="{00000000-0005-0000-0000-0000B5550000}"/>
    <cellStyle name="40% - Accent2 14 2 5 2 2" xfId="27702" xr:uid="{00000000-0005-0000-0000-0000B6550000}"/>
    <cellStyle name="40% - Accent2 14 2 5 3" xfId="19796" xr:uid="{00000000-0005-0000-0000-0000B7550000}"/>
    <cellStyle name="40% - Accent2 14 2 5 3 2" xfId="31488" xr:uid="{00000000-0005-0000-0000-0000B8550000}"/>
    <cellStyle name="40% - Accent2 14 2 5 4" xfId="23842" xr:uid="{00000000-0005-0000-0000-0000B9550000}"/>
    <cellStyle name="40% - Accent2 14 2 6" xfId="4761" xr:uid="{00000000-0005-0000-0000-0000BA550000}"/>
    <cellStyle name="40% - Accent2 14 2 6 2" xfId="15846" xr:uid="{00000000-0005-0000-0000-0000BB550000}"/>
    <cellStyle name="40% - Accent2 14 2 6 2 2" xfId="27703" xr:uid="{00000000-0005-0000-0000-0000BC550000}"/>
    <cellStyle name="40% - Accent2 14 2 6 3" xfId="19797" xr:uid="{00000000-0005-0000-0000-0000BD550000}"/>
    <cellStyle name="40% - Accent2 14 2 6 3 2" xfId="31489" xr:uid="{00000000-0005-0000-0000-0000BE550000}"/>
    <cellStyle name="40% - Accent2 14 2 6 4" xfId="23843" xr:uid="{00000000-0005-0000-0000-0000BF550000}"/>
    <cellStyle name="40% - Accent2 14 2 7" xfId="15835" xr:uid="{00000000-0005-0000-0000-0000C0550000}"/>
    <cellStyle name="40% - Accent2 14 2 7 2" xfId="27692" xr:uid="{00000000-0005-0000-0000-0000C1550000}"/>
    <cellStyle name="40% - Accent2 14 2 8" xfId="19786" xr:uid="{00000000-0005-0000-0000-0000C2550000}"/>
    <cellStyle name="40% - Accent2 14 2 8 2" xfId="31478" xr:uid="{00000000-0005-0000-0000-0000C3550000}"/>
    <cellStyle name="40% - Accent2 14 2 9" xfId="23832" xr:uid="{00000000-0005-0000-0000-0000C4550000}"/>
    <cellStyle name="40% - Accent2 14 2_Volatility" xfId="4762" xr:uid="{00000000-0005-0000-0000-0000C5550000}"/>
    <cellStyle name="40% - Accent2 14 3" xfId="4763" xr:uid="{00000000-0005-0000-0000-0000C6550000}"/>
    <cellStyle name="40% - Accent2 14 3 2" xfId="4764" xr:uid="{00000000-0005-0000-0000-0000C7550000}"/>
    <cellStyle name="40% - Accent2 14 3 2 2" xfId="4765" xr:uid="{00000000-0005-0000-0000-0000C8550000}"/>
    <cellStyle name="40% - Accent2 14 3 2 2 2" xfId="15849" xr:uid="{00000000-0005-0000-0000-0000C9550000}"/>
    <cellStyle name="40% - Accent2 14 3 2 2 2 2" xfId="27706" xr:uid="{00000000-0005-0000-0000-0000CA550000}"/>
    <cellStyle name="40% - Accent2 14 3 2 2 3" xfId="19800" xr:uid="{00000000-0005-0000-0000-0000CB550000}"/>
    <cellStyle name="40% - Accent2 14 3 2 2 3 2" xfId="31492" xr:uid="{00000000-0005-0000-0000-0000CC550000}"/>
    <cellStyle name="40% - Accent2 14 3 2 2 4" xfId="23846" xr:uid="{00000000-0005-0000-0000-0000CD550000}"/>
    <cellStyle name="40% - Accent2 14 3 2 3" xfId="4766" xr:uid="{00000000-0005-0000-0000-0000CE550000}"/>
    <cellStyle name="40% - Accent2 14 3 2 3 2" xfId="15850" xr:uid="{00000000-0005-0000-0000-0000CF550000}"/>
    <cellStyle name="40% - Accent2 14 3 2 3 2 2" xfId="27707" xr:uid="{00000000-0005-0000-0000-0000D0550000}"/>
    <cellStyle name="40% - Accent2 14 3 2 3 3" xfId="19801" xr:uid="{00000000-0005-0000-0000-0000D1550000}"/>
    <cellStyle name="40% - Accent2 14 3 2 3 3 2" xfId="31493" xr:uid="{00000000-0005-0000-0000-0000D2550000}"/>
    <cellStyle name="40% - Accent2 14 3 2 3 4" xfId="23847" xr:uid="{00000000-0005-0000-0000-0000D3550000}"/>
    <cellStyle name="40% - Accent2 14 3 2 4" xfId="15848" xr:uid="{00000000-0005-0000-0000-0000D4550000}"/>
    <cellStyle name="40% - Accent2 14 3 2 4 2" xfId="27705" xr:uid="{00000000-0005-0000-0000-0000D5550000}"/>
    <cellStyle name="40% - Accent2 14 3 2 5" xfId="19799" xr:uid="{00000000-0005-0000-0000-0000D6550000}"/>
    <cellStyle name="40% - Accent2 14 3 2 5 2" xfId="31491" xr:uid="{00000000-0005-0000-0000-0000D7550000}"/>
    <cellStyle name="40% - Accent2 14 3 2 6" xfId="23845" xr:uid="{00000000-0005-0000-0000-0000D8550000}"/>
    <cellStyle name="40% - Accent2 14 3 3" xfId="4767" xr:uid="{00000000-0005-0000-0000-0000D9550000}"/>
    <cellStyle name="40% - Accent2 14 3 3 2" xfId="4768" xr:uid="{00000000-0005-0000-0000-0000DA550000}"/>
    <cellStyle name="40% - Accent2 14 3 3 2 2" xfId="15852" xr:uid="{00000000-0005-0000-0000-0000DB550000}"/>
    <cellStyle name="40% - Accent2 14 3 3 2 2 2" xfId="27709" xr:uid="{00000000-0005-0000-0000-0000DC550000}"/>
    <cellStyle name="40% - Accent2 14 3 3 2 3" xfId="19803" xr:uid="{00000000-0005-0000-0000-0000DD550000}"/>
    <cellStyle name="40% - Accent2 14 3 3 2 3 2" xfId="31495" xr:uid="{00000000-0005-0000-0000-0000DE550000}"/>
    <cellStyle name="40% - Accent2 14 3 3 2 4" xfId="23849" xr:uid="{00000000-0005-0000-0000-0000DF550000}"/>
    <cellStyle name="40% - Accent2 14 3 3 3" xfId="4769" xr:uid="{00000000-0005-0000-0000-0000E0550000}"/>
    <cellStyle name="40% - Accent2 14 3 3 3 2" xfId="15853" xr:uid="{00000000-0005-0000-0000-0000E1550000}"/>
    <cellStyle name="40% - Accent2 14 3 3 3 2 2" xfId="27710" xr:uid="{00000000-0005-0000-0000-0000E2550000}"/>
    <cellStyle name="40% - Accent2 14 3 3 3 3" xfId="19804" xr:uid="{00000000-0005-0000-0000-0000E3550000}"/>
    <cellStyle name="40% - Accent2 14 3 3 3 3 2" xfId="31496" xr:uid="{00000000-0005-0000-0000-0000E4550000}"/>
    <cellStyle name="40% - Accent2 14 3 3 3 4" xfId="23850" xr:uid="{00000000-0005-0000-0000-0000E5550000}"/>
    <cellStyle name="40% - Accent2 14 3 3 4" xfId="15851" xr:uid="{00000000-0005-0000-0000-0000E6550000}"/>
    <cellStyle name="40% - Accent2 14 3 3 4 2" xfId="27708" xr:uid="{00000000-0005-0000-0000-0000E7550000}"/>
    <cellStyle name="40% - Accent2 14 3 3 5" xfId="19802" xr:uid="{00000000-0005-0000-0000-0000E8550000}"/>
    <cellStyle name="40% - Accent2 14 3 3 5 2" xfId="31494" xr:uid="{00000000-0005-0000-0000-0000E9550000}"/>
    <cellStyle name="40% - Accent2 14 3 3 6" xfId="23848" xr:uid="{00000000-0005-0000-0000-0000EA550000}"/>
    <cellStyle name="40% - Accent2 14 3 4" xfId="4770" xr:uid="{00000000-0005-0000-0000-0000EB550000}"/>
    <cellStyle name="40% - Accent2 14 3 4 2" xfId="15854" xr:uid="{00000000-0005-0000-0000-0000EC550000}"/>
    <cellStyle name="40% - Accent2 14 3 4 2 2" xfId="27711" xr:uid="{00000000-0005-0000-0000-0000ED550000}"/>
    <cellStyle name="40% - Accent2 14 3 4 3" xfId="19805" xr:uid="{00000000-0005-0000-0000-0000EE550000}"/>
    <cellStyle name="40% - Accent2 14 3 4 3 2" xfId="31497" xr:uid="{00000000-0005-0000-0000-0000EF550000}"/>
    <cellStyle name="40% - Accent2 14 3 4 4" xfId="23851" xr:uid="{00000000-0005-0000-0000-0000F0550000}"/>
    <cellStyle name="40% - Accent2 14 3 5" xfId="4771" xr:uid="{00000000-0005-0000-0000-0000F1550000}"/>
    <cellStyle name="40% - Accent2 14 3 5 2" xfId="15855" xr:uid="{00000000-0005-0000-0000-0000F2550000}"/>
    <cellStyle name="40% - Accent2 14 3 5 2 2" xfId="27712" xr:uid="{00000000-0005-0000-0000-0000F3550000}"/>
    <cellStyle name="40% - Accent2 14 3 5 3" xfId="19806" xr:uid="{00000000-0005-0000-0000-0000F4550000}"/>
    <cellStyle name="40% - Accent2 14 3 5 3 2" xfId="31498" xr:uid="{00000000-0005-0000-0000-0000F5550000}"/>
    <cellStyle name="40% - Accent2 14 3 5 4" xfId="23852" xr:uid="{00000000-0005-0000-0000-0000F6550000}"/>
    <cellStyle name="40% - Accent2 14 3 6" xfId="15847" xr:uid="{00000000-0005-0000-0000-0000F7550000}"/>
    <cellStyle name="40% - Accent2 14 3 6 2" xfId="27704" xr:uid="{00000000-0005-0000-0000-0000F8550000}"/>
    <cellStyle name="40% - Accent2 14 3 7" xfId="19798" xr:uid="{00000000-0005-0000-0000-0000F9550000}"/>
    <cellStyle name="40% - Accent2 14 3 7 2" xfId="31490" xr:uid="{00000000-0005-0000-0000-0000FA550000}"/>
    <cellStyle name="40% - Accent2 14 3 8" xfId="23844" xr:uid="{00000000-0005-0000-0000-0000FB550000}"/>
    <cellStyle name="40% - Accent2 14 3_Volatility" xfId="4772" xr:uid="{00000000-0005-0000-0000-0000FC550000}"/>
    <cellStyle name="40% - Accent2 14 4" xfId="4773" xr:uid="{00000000-0005-0000-0000-0000FD550000}"/>
    <cellStyle name="40% - Accent2 14 4 2" xfId="4774" xr:uid="{00000000-0005-0000-0000-0000FE550000}"/>
    <cellStyle name="40% - Accent2 14 4 2 2" xfId="15857" xr:uid="{00000000-0005-0000-0000-0000FF550000}"/>
    <cellStyle name="40% - Accent2 14 4 2 2 2" xfId="27714" xr:uid="{00000000-0005-0000-0000-000000560000}"/>
    <cellStyle name="40% - Accent2 14 4 2 3" xfId="19808" xr:uid="{00000000-0005-0000-0000-000001560000}"/>
    <cellStyle name="40% - Accent2 14 4 2 3 2" xfId="31500" xr:uid="{00000000-0005-0000-0000-000002560000}"/>
    <cellStyle name="40% - Accent2 14 4 2 4" xfId="23854" xr:uid="{00000000-0005-0000-0000-000003560000}"/>
    <cellStyle name="40% - Accent2 14 4 3" xfId="4775" xr:uid="{00000000-0005-0000-0000-000004560000}"/>
    <cellStyle name="40% - Accent2 14 4 3 2" xfId="15858" xr:uid="{00000000-0005-0000-0000-000005560000}"/>
    <cellStyle name="40% - Accent2 14 4 3 2 2" xfId="27715" xr:uid="{00000000-0005-0000-0000-000006560000}"/>
    <cellStyle name="40% - Accent2 14 4 3 3" xfId="19809" xr:uid="{00000000-0005-0000-0000-000007560000}"/>
    <cellStyle name="40% - Accent2 14 4 3 3 2" xfId="31501" xr:uid="{00000000-0005-0000-0000-000008560000}"/>
    <cellStyle name="40% - Accent2 14 4 3 4" xfId="23855" xr:uid="{00000000-0005-0000-0000-000009560000}"/>
    <cellStyle name="40% - Accent2 14 4 4" xfId="15856" xr:uid="{00000000-0005-0000-0000-00000A560000}"/>
    <cellStyle name="40% - Accent2 14 4 4 2" xfId="27713" xr:uid="{00000000-0005-0000-0000-00000B560000}"/>
    <cellStyle name="40% - Accent2 14 4 5" xfId="19807" xr:uid="{00000000-0005-0000-0000-00000C560000}"/>
    <cellStyle name="40% - Accent2 14 4 5 2" xfId="31499" xr:uid="{00000000-0005-0000-0000-00000D560000}"/>
    <cellStyle name="40% - Accent2 14 4 6" xfId="23853" xr:uid="{00000000-0005-0000-0000-00000E560000}"/>
    <cellStyle name="40% - Accent2 14 5" xfId="4776" xr:uid="{00000000-0005-0000-0000-00000F560000}"/>
    <cellStyle name="40% - Accent2 14 5 2" xfId="4777" xr:uid="{00000000-0005-0000-0000-000010560000}"/>
    <cellStyle name="40% - Accent2 14 5 2 2" xfId="15860" xr:uid="{00000000-0005-0000-0000-000011560000}"/>
    <cellStyle name="40% - Accent2 14 5 2 2 2" xfId="27717" xr:uid="{00000000-0005-0000-0000-000012560000}"/>
    <cellStyle name="40% - Accent2 14 5 2 3" xfId="19811" xr:uid="{00000000-0005-0000-0000-000013560000}"/>
    <cellStyle name="40% - Accent2 14 5 2 3 2" xfId="31503" xr:uid="{00000000-0005-0000-0000-000014560000}"/>
    <cellStyle name="40% - Accent2 14 5 2 4" xfId="23857" xr:uid="{00000000-0005-0000-0000-000015560000}"/>
    <cellStyle name="40% - Accent2 14 5 3" xfId="4778" xr:uid="{00000000-0005-0000-0000-000016560000}"/>
    <cellStyle name="40% - Accent2 14 5 3 2" xfId="15861" xr:uid="{00000000-0005-0000-0000-000017560000}"/>
    <cellStyle name="40% - Accent2 14 5 3 2 2" xfId="27718" xr:uid="{00000000-0005-0000-0000-000018560000}"/>
    <cellStyle name="40% - Accent2 14 5 3 3" xfId="19812" xr:uid="{00000000-0005-0000-0000-000019560000}"/>
    <cellStyle name="40% - Accent2 14 5 3 3 2" xfId="31504" xr:uid="{00000000-0005-0000-0000-00001A560000}"/>
    <cellStyle name="40% - Accent2 14 5 3 4" xfId="23858" xr:uid="{00000000-0005-0000-0000-00001B560000}"/>
    <cellStyle name="40% - Accent2 14 5 4" xfId="15859" xr:uid="{00000000-0005-0000-0000-00001C560000}"/>
    <cellStyle name="40% - Accent2 14 5 4 2" xfId="27716" xr:uid="{00000000-0005-0000-0000-00001D560000}"/>
    <cellStyle name="40% - Accent2 14 5 5" xfId="19810" xr:uid="{00000000-0005-0000-0000-00001E560000}"/>
    <cellStyle name="40% - Accent2 14 5 5 2" xfId="31502" xr:uid="{00000000-0005-0000-0000-00001F560000}"/>
    <cellStyle name="40% - Accent2 14 5 6" xfId="23856" xr:uid="{00000000-0005-0000-0000-000020560000}"/>
    <cellStyle name="40% - Accent2 14 6" xfId="4779" xr:uid="{00000000-0005-0000-0000-000021560000}"/>
    <cellStyle name="40% - Accent2 14 6 2" xfId="4780" xr:uid="{00000000-0005-0000-0000-000022560000}"/>
    <cellStyle name="40% - Accent2 14 6 2 2" xfId="15863" xr:uid="{00000000-0005-0000-0000-000023560000}"/>
    <cellStyle name="40% - Accent2 14 6 2 2 2" xfId="27720" xr:uid="{00000000-0005-0000-0000-000024560000}"/>
    <cellStyle name="40% - Accent2 14 6 2 3" xfId="19814" xr:uid="{00000000-0005-0000-0000-000025560000}"/>
    <cellStyle name="40% - Accent2 14 6 2 3 2" xfId="31506" xr:uid="{00000000-0005-0000-0000-000026560000}"/>
    <cellStyle name="40% - Accent2 14 6 2 4" xfId="23860" xr:uid="{00000000-0005-0000-0000-000027560000}"/>
    <cellStyle name="40% - Accent2 14 6 3" xfId="4781" xr:uid="{00000000-0005-0000-0000-000028560000}"/>
    <cellStyle name="40% - Accent2 14 6 3 2" xfId="15864" xr:uid="{00000000-0005-0000-0000-000029560000}"/>
    <cellStyle name="40% - Accent2 14 6 3 2 2" xfId="27721" xr:uid="{00000000-0005-0000-0000-00002A560000}"/>
    <cellStyle name="40% - Accent2 14 6 3 3" xfId="19815" xr:uid="{00000000-0005-0000-0000-00002B560000}"/>
    <cellStyle name="40% - Accent2 14 6 3 3 2" xfId="31507" xr:uid="{00000000-0005-0000-0000-00002C560000}"/>
    <cellStyle name="40% - Accent2 14 6 3 4" xfId="23861" xr:uid="{00000000-0005-0000-0000-00002D560000}"/>
    <cellStyle name="40% - Accent2 14 6 4" xfId="15862" xr:uid="{00000000-0005-0000-0000-00002E560000}"/>
    <cellStyle name="40% - Accent2 14 6 4 2" xfId="27719" xr:uid="{00000000-0005-0000-0000-00002F560000}"/>
    <cellStyle name="40% - Accent2 14 6 5" xfId="19813" xr:uid="{00000000-0005-0000-0000-000030560000}"/>
    <cellStyle name="40% - Accent2 14 6 5 2" xfId="31505" xr:uid="{00000000-0005-0000-0000-000031560000}"/>
    <cellStyle name="40% - Accent2 14 6 6" xfId="23859" xr:uid="{00000000-0005-0000-0000-000032560000}"/>
    <cellStyle name="40% - Accent2 14 7" xfId="4782" xr:uid="{00000000-0005-0000-0000-000033560000}"/>
    <cellStyle name="40% - Accent2 14 7 2" xfId="15865" xr:uid="{00000000-0005-0000-0000-000034560000}"/>
    <cellStyle name="40% - Accent2 14 7 2 2" xfId="27722" xr:uid="{00000000-0005-0000-0000-000035560000}"/>
    <cellStyle name="40% - Accent2 14 7 3" xfId="19816" xr:uid="{00000000-0005-0000-0000-000036560000}"/>
    <cellStyle name="40% - Accent2 14 7 3 2" xfId="31508" xr:uid="{00000000-0005-0000-0000-000037560000}"/>
    <cellStyle name="40% - Accent2 14 7 4" xfId="23862" xr:uid="{00000000-0005-0000-0000-000038560000}"/>
    <cellStyle name="40% - Accent2 14 8" xfId="4783" xr:uid="{00000000-0005-0000-0000-000039560000}"/>
    <cellStyle name="40% - Accent2 14 8 2" xfId="15866" xr:uid="{00000000-0005-0000-0000-00003A560000}"/>
    <cellStyle name="40% - Accent2 14 8 2 2" xfId="27723" xr:uid="{00000000-0005-0000-0000-00003B560000}"/>
    <cellStyle name="40% - Accent2 14 8 3" xfId="19817" xr:uid="{00000000-0005-0000-0000-00003C560000}"/>
    <cellStyle name="40% - Accent2 14 8 3 2" xfId="31509" xr:uid="{00000000-0005-0000-0000-00003D560000}"/>
    <cellStyle name="40% - Accent2 14 8 4" xfId="23863" xr:uid="{00000000-0005-0000-0000-00003E560000}"/>
    <cellStyle name="40% - Accent2 14 9" xfId="15834" xr:uid="{00000000-0005-0000-0000-00003F560000}"/>
    <cellStyle name="40% - Accent2 14 9 2" xfId="27691" xr:uid="{00000000-0005-0000-0000-000040560000}"/>
    <cellStyle name="40% - Accent2 14_Volatility" xfId="4784" xr:uid="{00000000-0005-0000-0000-000041560000}"/>
    <cellStyle name="40% - Accent2 15" xfId="4785" xr:uid="{00000000-0005-0000-0000-000042560000}"/>
    <cellStyle name="40% - Accent2 15 10" xfId="19818" xr:uid="{00000000-0005-0000-0000-000043560000}"/>
    <cellStyle name="40% - Accent2 15 10 2" xfId="31510" xr:uid="{00000000-0005-0000-0000-000044560000}"/>
    <cellStyle name="40% - Accent2 15 11" xfId="23864" xr:uid="{00000000-0005-0000-0000-000045560000}"/>
    <cellStyle name="40% - Accent2 15 2" xfId="4786" xr:uid="{00000000-0005-0000-0000-000046560000}"/>
    <cellStyle name="40% - Accent2 15 2 2" xfId="4787" xr:uid="{00000000-0005-0000-0000-000047560000}"/>
    <cellStyle name="40% - Accent2 15 2 2 2" xfId="4788" xr:uid="{00000000-0005-0000-0000-000048560000}"/>
    <cellStyle name="40% - Accent2 15 2 2 2 2" xfId="15870" xr:uid="{00000000-0005-0000-0000-000049560000}"/>
    <cellStyle name="40% - Accent2 15 2 2 2 2 2" xfId="27727" xr:uid="{00000000-0005-0000-0000-00004A560000}"/>
    <cellStyle name="40% - Accent2 15 2 2 2 3" xfId="19821" xr:uid="{00000000-0005-0000-0000-00004B560000}"/>
    <cellStyle name="40% - Accent2 15 2 2 2 3 2" xfId="31513" xr:uid="{00000000-0005-0000-0000-00004C560000}"/>
    <cellStyle name="40% - Accent2 15 2 2 2 4" xfId="23867" xr:uid="{00000000-0005-0000-0000-00004D560000}"/>
    <cellStyle name="40% - Accent2 15 2 2 3" xfId="4789" xr:uid="{00000000-0005-0000-0000-00004E560000}"/>
    <cellStyle name="40% - Accent2 15 2 2 3 2" xfId="15871" xr:uid="{00000000-0005-0000-0000-00004F560000}"/>
    <cellStyle name="40% - Accent2 15 2 2 3 2 2" xfId="27728" xr:uid="{00000000-0005-0000-0000-000050560000}"/>
    <cellStyle name="40% - Accent2 15 2 2 3 3" xfId="19822" xr:uid="{00000000-0005-0000-0000-000051560000}"/>
    <cellStyle name="40% - Accent2 15 2 2 3 3 2" xfId="31514" xr:uid="{00000000-0005-0000-0000-000052560000}"/>
    <cellStyle name="40% - Accent2 15 2 2 3 4" xfId="23868" xr:uid="{00000000-0005-0000-0000-000053560000}"/>
    <cellStyle name="40% - Accent2 15 2 2 4" xfId="15869" xr:uid="{00000000-0005-0000-0000-000054560000}"/>
    <cellStyle name="40% - Accent2 15 2 2 4 2" xfId="27726" xr:uid="{00000000-0005-0000-0000-000055560000}"/>
    <cellStyle name="40% - Accent2 15 2 2 5" xfId="19820" xr:uid="{00000000-0005-0000-0000-000056560000}"/>
    <cellStyle name="40% - Accent2 15 2 2 5 2" xfId="31512" xr:uid="{00000000-0005-0000-0000-000057560000}"/>
    <cellStyle name="40% - Accent2 15 2 2 6" xfId="23866" xr:uid="{00000000-0005-0000-0000-000058560000}"/>
    <cellStyle name="40% - Accent2 15 2 3" xfId="4790" xr:uid="{00000000-0005-0000-0000-000059560000}"/>
    <cellStyle name="40% - Accent2 15 2 3 2" xfId="4791" xr:uid="{00000000-0005-0000-0000-00005A560000}"/>
    <cellStyle name="40% - Accent2 15 2 3 2 2" xfId="15873" xr:uid="{00000000-0005-0000-0000-00005B560000}"/>
    <cellStyle name="40% - Accent2 15 2 3 2 2 2" xfId="27730" xr:uid="{00000000-0005-0000-0000-00005C560000}"/>
    <cellStyle name="40% - Accent2 15 2 3 2 3" xfId="19824" xr:uid="{00000000-0005-0000-0000-00005D560000}"/>
    <cellStyle name="40% - Accent2 15 2 3 2 3 2" xfId="31516" xr:uid="{00000000-0005-0000-0000-00005E560000}"/>
    <cellStyle name="40% - Accent2 15 2 3 2 4" xfId="23870" xr:uid="{00000000-0005-0000-0000-00005F560000}"/>
    <cellStyle name="40% - Accent2 15 2 3 3" xfId="4792" xr:uid="{00000000-0005-0000-0000-000060560000}"/>
    <cellStyle name="40% - Accent2 15 2 3 3 2" xfId="15874" xr:uid="{00000000-0005-0000-0000-000061560000}"/>
    <cellStyle name="40% - Accent2 15 2 3 3 2 2" xfId="27731" xr:uid="{00000000-0005-0000-0000-000062560000}"/>
    <cellStyle name="40% - Accent2 15 2 3 3 3" xfId="19825" xr:uid="{00000000-0005-0000-0000-000063560000}"/>
    <cellStyle name="40% - Accent2 15 2 3 3 3 2" xfId="31517" xr:uid="{00000000-0005-0000-0000-000064560000}"/>
    <cellStyle name="40% - Accent2 15 2 3 3 4" xfId="23871" xr:uid="{00000000-0005-0000-0000-000065560000}"/>
    <cellStyle name="40% - Accent2 15 2 3 4" xfId="15872" xr:uid="{00000000-0005-0000-0000-000066560000}"/>
    <cellStyle name="40% - Accent2 15 2 3 4 2" xfId="27729" xr:uid="{00000000-0005-0000-0000-000067560000}"/>
    <cellStyle name="40% - Accent2 15 2 3 5" xfId="19823" xr:uid="{00000000-0005-0000-0000-000068560000}"/>
    <cellStyle name="40% - Accent2 15 2 3 5 2" xfId="31515" xr:uid="{00000000-0005-0000-0000-000069560000}"/>
    <cellStyle name="40% - Accent2 15 2 3 6" xfId="23869" xr:uid="{00000000-0005-0000-0000-00006A560000}"/>
    <cellStyle name="40% - Accent2 15 2 4" xfId="4793" xr:uid="{00000000-0005-0000-0000-00006B560000}"/>
    <cellStyle name="40% - Accent2 15 2 4 2" xfId="4794" xr:uid="{00000000-0005-0000-0000-00006C560000}"/>
    <cellStyle name="40% - Accent2 15 2 4 2 2" xfId="15876" xr:uid="{00000000-0005-0000-0000-00006D560000}"/>
    <cellStyle name="40% - Accent2 15 2 4 2 2 2" xfId="27733" xr:uid="{00000000-0005-0000-0000-00006E560000}"/>
    <cellStyle name="40% - Accent2 15 2 4 2 3" xfId="19827" xr:uid="{00000000-0005-0000-0000-00006F560000}"/>
    <cellStyle name="40% - Accent2 15 2 4 2 3 2" xfId="31519" xr:uid="{00000000-0005-0000-0000-000070560000}"/>
    <cellStyle name="40% - Accent2 15 2 4 2 4" xfId="23873" xr:uid="{00000000-0005-0000-0000-000071560000}"/>
    <cellStyle name="40% - Accent2 15 2 4 3" xfId="4795" xr:uid="{00000000-0005-0000-0000-000072560000}"/>
    <cellStyle name="40% - Accent2 15 2 4 3 2" xfId="15877" xr:uid="{00000000-0005-0000-0000-000073560000}"/>
    <cellStyle name="40% - Accent2 15 2 4 3 2 2" xfId="27734" xr:uid="{00000000-0005-0000-0000-000074560000}"/>
    <cellStyle name="40% - Accent2 15 2 4 3 3" xfId="19828" xr:uid="{00000000-0005-0000-0000-000075560000}"/>
    <cellStyle name="40% - Accent2 15 2 4 3 3 2" xfId="31520" xr:uid="{00000000-0005-0000-0000-000076560000}"/>
    <cellStyle name="40% - Accent2 15 2 4 3 4" xfId="23874" xr:uid="{00000000-0005-0000-0000-000077560000}"/>
    <cellStyle name="40% - Accent2 15 2 4 4" xfId="15875" xr:uid="{00000000-0005-0000-0000-000078560000}"/>
    <cellStyle name="40% - Accent2 15 2 4 4 2" xfId="27732" xr:uid="{00000000-0005-0000-0000-000079560000}"/>
    <cellStyle name="40% - Accent2 15 2 4 5" xfId="19826" xr:uid="{00000000-0005-0000-0000-00007A560000}"/>
    <cellStyle name="40% - Accent2 15 2 4 5 2" xfId="31518" xr:uid="{00000000-0005-0000-0000-00007B560000}"/>
    <cellStyle name="40% - Accent2 15 2 4 6" xfId="23872" xr:uid="{00000000-0005-0000-0000-00007C560000}"/>
    <cellStyle name="40% - Accent2 15 2 5" xfId="4796" xr:uid="{00000000-0005-0000-0000-00007D560000}"/>
    <cellStyle name="40% - Accent2 15 2 5 2" xfId="15878" xr:uid="{00000000-0005-0000-0000-00007E560000}"/>
    <cellStyle name="40% - Accent2 15 2 5 2 2" xfId="27735" xr:uid="{00000000-0005-0000-0000-00007F560000}"/>
    <cellStyle name="40% - Accent2 15 2 5 3" xfId="19829" xr:uid="{00000000-0005-0000-0000-000080560000}"/>
    <cellStyle name="40% - Accent2 15 2 5 3 2" xfId="31521" xr:uid="{00000000-0005-0000-0000-000081560000}"/>
    <cellStyle name="40% - Accent2 15 2 5 4" xfId="23875" xr:uid="{00000000-0005-0000-0000-000082560000}"/>
    <cellStyle name="40% - Accent2 15 2 6" xfId="4797" xr:uid="{00000000-0005-0000-0000-000083560000}"/>
    <cellStyle name="40% - Accent2 15 2 6 2" xfId="15879" xr:uid="{00000000-0005-0000-0000-000084560000}"/>
    <cellStyle name="40% - Accent2 15 2 6 2 2" xfId="27736" xr:uid="{00000000-0005-0000-0000-000085560000}"/>
    <cellStyle name="40% - Accent2 15 2 6 3" xfId="19830" xr:uid="{00000000-0005-0000-0000-000086560000}"/>
    <cellStyle name="40% - Accent2 15 2 6 3 2" xfId="31522" xr:uid="{00000000-0005-0000-0000-000087560000}"/>
    <cellStyle name="40% - Accent2 15 2 6 4" xfId="23876" xr:uid="{00000000-0005-0000-0000-000088560000}"/>
    <cellStyle name="40% - Accent2 15 2 7" xfId="15868" xr:uid="{00000000-0005-0000-0000-000089560000}"/>
    <cellStyle name="40% - Accent2 15 2 7 2" xfId="27725" xr:uid="{00000000-0005-0000-0000-00008A560000}"/>
    <cellStyle name="40% - Accent2 15 2 8" xfId="19819" xr:uid="{00000000-0005-0000-0000-00008B560000}"/>
    <cellStyle name="40% - Accent2 15 2 8 2" xfId="31511" xr:uid="{00000000-0005-0000-0000-00008C560000}"/>
    <cellStyle name="40% - Accent2 15 2 9" xfId="23865" xr:uid="{00000000-0005-0000-0000-00008D560000}"/>
    <cellStyle name="40% - Accent2 15 2_Volatility" xfId="4798" xr:uid="{00000000-0005-0000-0000-00008E560000}"/>
    <cellStyle name="40% - Accent2 15 3" xfId="4799" xr:uid="{00000000-0005-0000-0000-00008F560000}"/>
    <cellStyle name="40% - Accent2 15 3 2" xfId="4800" xr:uid="{00000000-0005-0000-0000-000090560000}"/>
    <cellStyle name="40% - Accent2 15 3 2 2" xfId="4801" xr:uid="{00000000-0005-0000-0000-000091560000}"/>
    <cellStyle name="40% - Accent2 15 3 2 2 2" xfId="15882" xr:uid="{00000000-0005-0000-0000-000092560000}"/>
    <cellStyle name="40% - Accent2 15 3 2 2 2 2" xfId="27739" xr:uid="{00000000-0005-0000-0000-000093560000}"/>
    <cellStyle name="40% - Accent2 15 3 2 2 3" xfId="19833" xr:uid="{00000000-0005-0000-0000-000094560000}"/>
    <cellStyle name="40% - Accent2 15 3 2 2 3 2" xfId="31525" xr:uid="{00000000-0005-0000-0000-000095560000}"/>
    <cellStyle name="40% - Accent2 15 3 2 2 4" xfId="23879" xr:uid="{00000000-0005-0000-0000-000096560000}"/>
    <cellStyle name="40% - Accent2 15 3 2 3" xfId="4802" xr:uid="{00000000-0005-0000-0000-000097560000}"/>
    <cellStyle name="40% - Accent2 15 3 2 3 2" xfId="15883" xr:uid="{00000000-0005-0000-0000-000098560000}"/>
    <cellStyle name="40% - Accent2 15 3 2 3 2 2" xfId="27740" xr:uid="{00000000-0005-0000-0000-000099560000}"/>
    <cellStyle name="40% - Accent2 15 3 2 3 3" xfId="19834" xr:uid="{00000000-0005-0000-0000-00009A560000}"/>
    <cellStyle name="40% - Accent2 15 3 2 3 3 2" xfId="31526" xr:uid="{00000000-0005-0000-0000-00009B560000}"/>
    <cellStyle name="40% - Accent2 15 3 2 3 4" xfId="23880" xr:uid="{00000000-0005-0000-0000-00009C560000}"/>
    <cellStyle name="40% - Accent2 15 3 2 4" xfId="15881" xr:uid="{00000000-0005-0000-0000-00009D560000}"/>
    <cellStyle name="40% - Accent2 15 3 2 4 2" xfId="27738" xr:uid="{00000000-0005-0000-0000-00009E560000}"/>
    <cellStyle name="40% - Accent2 15 3 2 5" xfId="19832" xr:uid="{00000000-0005-0000-0000-00009F560000}"/>
    <cellStyle name="40% - Accent2 15 3 2 5 2" xfId="31524" xr:uid="{00000000-0005-0000-0000-0000A0560000}"/>
    <cellStyle name="40% - Accent2 15 3 2 6" xfId="23878" xr:uid="{00000000-0005-0000-0000-0000A1560000}"/>
    <cellStyle name="40% - Accent2 15 3 3" xfId="4803" xr:uid="{00000000-0005-0000-0000-0000A2560000}"/>
    <cellStyle name="40% - Accent2 15 3 3 2" xfId="4804" xr:uid="{00000000-0005-0000-0000-0000A3560000}"/>
    <cellStyle name="40% - Accent2 15 3 3 2 2" xfId="15885" xr:uid="{00000000-0005-0000-0000-0000A4560000}"/>
    <cellStyle name="40% - Accent2 15 3 3 2 2 2" xfId="27742" xr:uid="{00000000-0005-0000-0000-0000A5560000}"/>
    <cellStyle name="40% - Accent2 15 3 3 2 3" xfId="19836" xr:uid="{00000000-0005-0000-0000-0000A6560000}"/>
    <cellStyle name="40% - Accent2 15 3 3 2 3 2" xfId="31528" xr:uid="{00000000-0005-0000-0000-0000A7560000}"/>
    <cellStyle name="40% - Accent2 15 3 3 2 4" xfId="23882" xr:uid="{00000000-0005-0000-0000-0000A8560000}"/>
    <cellStyle name="40% - Accent2 15 3 3 3" xfId="4805" xr:uid="{00000000-0005-0000-0000-0000A9560000}"/>
    <cellStyle name="40% - Accent2 15 3 3 3 2" xfId="15886" xr:uid="{00000000-0005-0000-0000-0000AA560000}"/>
    <cellStyle name="40% - Accent2 15 3 3 3 2 2" xfId="27743" xr:uid="{00000000-0005-0000-0000-0000AB560000}"/>
    <cellStyle name="40% - Accent2 15 3 3 3 3" xfId="19837" xr:uid="{00000000-0005-0000-0000-0000AC560000}"/>
    <cellStyle name="40% - Accent2 15 3 3 3 3 2" xfId="31529" xr:uid="{00000000-0005-0000-0000-0000AD560000}"/>
    <cellStyle name="40% - Accent2 15 3 3 3 4" xfId="23883" xr:uid="{00000000-0005-0000-0000-0000AE560000}"/>
    <cellStyle name="40% - Accent2 15 3 3 4" xfId="15884" xr:uid="{00000000-0005-0000-0000-0000AF560000}"/>
    <cellStyle name="40% - Accent2 15 3 3 4 2" xfId="27741" xr:uid="{00000000-0005-0000-0000-0000B0560000}"/>
    <cellStyle name="40% - Accent2 15 3 3 5" xfId="19835" xr:uid="{00000000-0005-0000-0000-0000B1560000}"/>
    <cellStyle name="40% - Accent2 15 3 3 5 2" xfId="31527" xr:uid="{00000000-0005-0000-0000-0000B2560000}"/>
    <cellStyle name="40% - Accent2 15 3 3 6" xfId="23881" xr:uid="{00000000-0005-0000-0000-0000B3560000}"/>
    <cellStyle name="40% - Accent2 15 3 4" xfId="4806" xr:uid="{00000000-0005-0000-0000-0000B4560000}"/>
    <cellStyle name="40% - Accent2 15 3 4 2" xfId="15887" xr:uid="{00000000-0005-0000-0000-0000B5560000}"/>
    <cellStyle name="40% - Accent2 15 3 4 2 2" xfId="27744" xr:uid="{00000000-0005-0000-0000-0000B6560000}"/>
    <cellStyle name="40% - Accent2 15 3 4 3" xfId="19838" xr:uid="{00000000-0005-0000-0000-0000B7560000}"/>
    <cellStyle name="40% - Accent2 15 3 4 3 2" xfId="31530" xr:uid="{00000000-0005-0000-0000-0000B8560000}"/>
    <cellStyle name="40% - Accent2 15 3 4 4" xfId="23884" xr:uid="{00000000-0005-0000-0000-0000B9560000}"/>
    <cellStyle name="40% - Accent2 15 3 5" xfId="4807" xr:uid="{00000000-0005-0000-0000-0000BA560000}"/>
    <cellStyle name="40% - Accent2 15 3 5 2" xfId="15888" xr:uid="{00000000-0005-0000-0000-0000BB560000}"/>
    <cellStyle name="40% - Accent2 15 3 5 2 2" xfId="27745" xr:uid="{00000000-0005-0000-0000-0000BC560000}"/>
    <cellStyle name="40% - Accent2 15 3 5 3" xfId="19839" xr:uid="{00000000-0005-0000-0000-0000BD560000}"/>
    <cellStyle name="40% - Accent2 15 3 5 3 2" xfId="31531" xr:uid="{00000000-0005-0000-0000-0000BE560000}"/>
    <cellStyle name="40% - Accent2 15 3 5 4" xfId="23885" xr:uid="{00000000-0005-0000-0000-0000BF560000}"/>
    <cellStyle name="40% - Accent2 15 3 6" xfId="15880" xr:uid="{00000000-0005-0000-0000-0000C0560000}"/>
    <cellStyle name="40% - Accent2 15 3 6 2" xfId="27737" xr:uid="{00000000-0005-0000-0000-0000C1560000}"/>
    <cellStyle name="40% - Accent2 15 3 7" xfId="19831" xr:uid="{00000000-0005-0000-0000-0000C2560000}"/>
    <cellStyle name="40% - Accent2 15 3 7 2" xfId="31523" xr:uid="{00000000-0005-0000-0000-0000C3560000}"/>
    <cellStyle name="40% - Accent2 15 3 8" xfId="23877" xr:uid="{00000000-0005-0000-0000-0000C4560000}"/>
    <cellStyle name="40% - Accent2 15 3_Volatility" xfId="4808" xr:uid="{00000000-0005-0000-0000-0000C5560000}"/>
    <cellStyle name="40% - Accent2 15 4" xfId="4809" xr:uid="{00000000-0005-0000-0000-0000C6560000}"/>
    <cellStyle name="40% - Accent2 15 4 2" xfId="4810" xr:uid="{00000000-0005-0000-0000-0000C7560000}"/>
    <cellStyle name="40% - Accent2 15 4 2 2" xfId="15890" xr:uid="{00000000-0005-0000-0000-0000C8560000}"/>
    <cellStyle name="40% - Accent2 15 4 2 2 2" xfId="27747" xr:uid="{00000000-0005-0000-0000-0000C9560000}"/>
    <cellStyle name="40% - Accent2 15 4 2 3" xfId="19841" xr:uid="{00000000-0005-0000-0000-0000CA560000}"/>
    <cellStyle name="40% - Accent2 15 4 2 3 2" xfId="31533" xr:uid="{00000000-0005-0000-0000-0000CB560000}"/>
    <cellStyle name="40% - Accent2 15 4 2 4" xfId="23887" xr:uid="{00000000-0005-0000-0000-0000CC560000}"/>
    <cellStyle name="40% - Accent2 15 4 3" xfId="4811" xr:uid="{00000000-0005-0000-0000-0000CD560000}"/>
    <cellStyle name="40% - Accent2 15 4 3 2" xfId="15891" xr:uid="{00000000-0005-0000-0000-0000CE560000}"/>
    <cellStyle name="40% - Accent2 15 4 3 2 2" xfId="27748" xr:uid="{00000000-0005-0000-0000-0000CF560000}"/>
    <cellStyle name="40% - Accent2 15 4 3 3" xfId="19842" xr:uid="{00000000-0005-0000-0000-0000D0560000}"/>
    <cellStyle name="40% - Accent2 15 4 3 3 2" xfId="31534" xr:uid="{00000000-0005-0000-0000-0000D1560000}"/>
    <cellStyle name="40% - Accent2 15 4 3 4" xfId="23888" xr:uid="{00000000-0005-0000-0000-0000D2560000}"/>
    <cellStyle name="40% - Accent2 15 4 4" xfId="15889" xr:uid="{00000000-0005-0000-0000-0000D3560000}"/>
    <cellStyle name="40% - Accent2 15 4 4 2" xfId="27746" xr:uid="{00000000-0005-0000-0000-0000D4560000}"/>
    <cellStyle name="40% - Accent2 15 4 5" xfId="19840" xr:uid="{00000000-0005-0000-0000-0000D5560000}"/>
    <cellStyle name="40% - Accent2 15 4 5 2" xfId="31532" xr:uid="{00000000-0005-0000-0000-0000D6560000}"/>
    <cellStyle name="40% - Accent2 15 4 6" xfId="23886" xr:uid="{00000000-0005-0000-0000-0000D7560000}"/>
    <cellStyle name="40% - Accent2 15 5" xfId="4812" xr:uid="{00000000-0005-0000-0000-0000D8560000}"/>
    <cellStyle name="40% - Accent2 15 5 2" xfId="4813" xr:uid="{00000000-0005-0000-0000-0000D9560000}"/>
    <cellStyle name="40% - Accent2 15 5 2 2" xfId="15893" xr:uid="{00000000-0005-0000-0000-0000DA560000}"/>
    <cellStyle name="40% - Accent2 15 5 2 2 2" xfId="27750" xr:uid="{00000000-0005-0000-0000-0000DB560000}"/>
    <cellStyle name="40% - Accent2 15 5 2 3" xfId="19844" xr:uid="{00000000-0005-0000-0000-0000DC560000}"/>
    <cellStyle name="40% - Accent2 15 5 2 3 2" xfId="31536" xr:uid="{00000000-0005-0000-0000-0000DD560000}"/>
    <cellStyle name="40% - Accent2 15 5 2 4" xfId="23890" xr:uid="{00000000-0005-0000-0000-0000DE560000}"/>
    <cellStyle name="40% - Accent2 15 5 3" xfId="4814" xr:uid="{00000000-0005-0000-0000-0000DF560000}"/>
    <cellStyle name="40% - Accent2 15 5 3 2" xfId="15894" xr:uid="{00000000-0005-0000-0000-0000E0560000}"/>
    <cellStyle name="40% - Accent2 15 5 3 2 2" xfId="27751" xr:uid="{00000000-0005-0000-0000-0000E1560000}"/>
    <cellStyle name="40% - Accent2 15 5 3 3" xfId="19845" xr:uid="{00000000-0005-0000-0000-0000E2560000}"/>
    <cellStyle name="40% - Accent2 15 5 3 3 2" xfId="31537" xr:uid="{00000000-0005-0000-0000-0000E3560000}"/>
    <cellStyle name="40% - Accent2 15 5 3 4" xfId="23891" xr:uid="{00000000-0005-0000-0000-0000E4560000}"/>
    <cellStyle name="40% - Accent2 15 5 4" xfId="15892" xr:uid="{00000000-0005-0000-0000-0000E5560000}"/>
    <cellStyle name="40% - Accent2 15 5 4 2" xfId="27749" xr:uid="{00000000-0005-0000-0000-0000E6560000}"/>
    <cellStyle name="40% - Accent2 15 5 5" xfId="19843" xr:uid="{00000000-0005-0000-0000-0000E7560000}"/>
    <cellStyle name="40% - Accent2 15 5 5 2" xfId="31535" xr:uid="{00000000-0005-0000-0000-0000E8560000}"/>
    <cellStyle name="40% - Accent2 15 5 6" xfId="23889" xr:uid="{00000000-0005-0000-0000-0000E9560000}"/>
    <cellStyle name="40% - Accent2 15 6" xfId="4815" xr:uid="{00000000-0005-0000-0000-0000EA560000}"/>
    <cellStyle name="40% - Accent2 15 6 2" xfId="4816" xr:uid="{00000000-0005-0000-0000-0000EB560000}"/>
    <cellStyle name="40% - Accent2 15 6 2 2" xfId="15896" xr:uid="{00000000-0005-0000-0000-0000EC560000}"/>
    <cellStyle name="40% - Accent2 15 6 2 2 2" xfId="27753" xr:uid="{00000000-0005-0000-0000-0000ED560000}"/>
    <cellStyle name="40% - Accent2 15 6 2 3" xfId="19847" xr:uid="{00000000-0005-0000-0000-0000EE560000}"/>
    <cellStyle name="40% - Accent2 15 6 2 3 2" xfId="31539" xr:uid="{00000000-0005-0000-0000-0000EF560000}"/>
    <cellStyle name="40% - Accent2 15 6 2 4" xfId="23893" xr:uid="{00000000-0005-0000-0000-0000F0560000}"/>
    <cellStyle name="40% - Accent2 15 6 3" xfId="4817" xr:uid="{00000000-0005-0000-0000-0000F1560000}"/>
    <cellStyle name="40% - Accent2 15 6 3 2" xfId="15897" xr:uid="{00000000-0005-0000-0000-0000F2560000}"/>
    <cellStyle name="40% - Accent2 15 6 3 2 2" xfId="27754" xr:uid="{00000000-0005-0000-0000-0000F3560000}"/>
    <cellStyle name="40% - Accent2 15 6 3 3" xfId="19848" xr:uid="{00000000-0005-0000-0000-0000F4560000}"/>
    <cellStyle name="40% - Accent2 15 6 3 3 2" xfId="31540" xr:uid="{00000000-0005-0000-0000-0000F5560000}"/>
    <cellStyle name="40% - Accent2 15 6 3 4" xfId="23894" xr:uid="{00000000-0005-0000-0000-0000F6560000}"/>
    <cellStyle name="40% - Accent2 15 6 4" xfId="15895" xr:uid="{00000000-0005-0000-0000-0000F7560000}"/>
    <cellStyle name="40% - Accent2 15 6 4 2" xfId="27752" xr:uid="{00000000-0005-0000-0000-0000F8560000}"/>
    <cellStyle name="40% - Accent2 15 6 5" xfId="19846" xr:uid="{00000000-0005-0000-0000-0000F9560000}"/>
    <cellStyle name="40% - Accent2 15 6 5 2" xfId="31538" xr:uid="{00000000-0005-0000-0000-0000FA560000}"/>
    <cellStyle name="40% - Accent2 15 6 6" xfId="23892" xr:uid="{00000000-0005-0000-0000-0000FB560000}"/>
    <cellStyle name="40% - Accent2 15 7" xfId="4818" xr:uid="{00000000-0005-0000-0000-0000FC560000}"/>
    <cellStyle name="40% - Accent2 15 7 2" xfId="15898" xr:uid="{00000000-0005-0000-0000-0000FD560000}"/>
    <cellStyle name="40% - Accent2 15 7 2 2" xfId="27755" xr:uid="{00000000-0005-0000-0000-0000FE560000}"/>
    <cellStyle name="40% - Accent2 15 7 3" xfId="19849" xr:uid="{00000000-0005-0000-0000-0000FF560000}"/>
    <cellStyle name="40% - Accent2 15 7 3 2" xfId="31541" xr:uid="{00000000-0005-0000-0000-000000570000}"/>
    <cellStyle name="40% - Accent2 15 7 4" xfId="23895" xr:uid="{00000000-0005-0000-0000-000001570000}"/>
    <cellStyle name="40% - Accent2 15 8" xfId="4819" xr:uid="{00000000-0005-0000-0000-000002570000}"/>
    <cellStyle name="40% - Accent2 15 8 2" xfId="15899" xr:uid="{00000000-0005-0000-0000-000003570000}"/>
    <cellStyle name="40% - Accent2 15 8 2 2" xfId="27756" xr:uid="{00000000-0005-0000-0000-000004570000}"/>
    <cellStyle name="40% - Accent2 15 8 3" xfId="19850" xr:uid="{00000000-0005-0000-0000-000005570000}"/>
    <cellStyle name="40% - Accent2 15 8 3 2" xfId="31542" xr:uid="{00000000-0005-0000-0000-000006570000}"/>
    <cellStyle name="40% - Accent2 15 8 4" xfId="23896" xr:uid="{00000000-0005-0000-0000-000007570000}"/>
    <cellStyle name="40% - Accent2 15 9" xfId="15867" xr:uid="{00000000-0005-0000-0000-000008570000}"/>
    <cellStyle name="40% - Accent2 15 9 2" xfId="27724" xr:uid="{00000000-0005-0000-0000-000009570000}"/>
    <cellStyle name="40% - Accent2 15_Volatility" xfId="4820" xr:uid="{00000000-0005-0000-0000-00000A570000}"/>
    <cellStyle name="40% - Accent2 16" xfId="4821" xr:uid="{00000000-0005-0000-0000-00000B570000}"/>
    <cellStyle name="40% - Accent2 16 2" xfId="15900" xr:uid="{00000000-0005-0000-0000-00000C570000}"/>
    <cellStyle name="40% - Accent2 16 2 2" xfId="27757" xr:uid="{00000000-0005-0000-0000-00000D570000}"/>
    <cellStyle name="40% - Accent2 16 3" xfId="19851" xr:uid="{00000000-0005-0000-0000-00000E570000}"/>
    <cellStyle name="40% - Accent2 16 3 2" xfId="31543" xr:uid="{00000000-0005-0000-0000-00000F570000}"/>
    <cellStyle name="40% - Accent2 16 4" xfId="23897" xr:uid="{00000000-0005-0000-0000-000010570000}"/>
    <cellStyle name="40% - Accent2 17" xfId="4822" xr:uid="{00000000-0005-0000-0000-000011570000}"/>
    <cellStyle name="40% - Accent2 17 2" xfId="15901" xr:uid="{00000000-0005-0000-0000-000012570000}"/>
    <cellStyle name="40% - Accent2 17 2 2" xfId="27758" xr:uid="{00000000-0005-0000-0000-000013570000}"/>
    <cellStyle name="40% - Accent2 17 3" xfId="19852" xr:uid="{00000000-0005-0000-0000-000014570000}"/>
    <cellStyle name="40% - Accent2 17 3 2" xfId="31544" xr:uid="{00000000-0005-0000-0000-000015570000}"/>
    <cellStyle name="40% - Accent2 17 4" xfId="23898" xr:uid="{00000000-0005-0000-0000-000016570000}"/>
    <cellStyle name="40% - Accent2 18" xfId="4823" xr:uid="{00000000-0005-0000-0000-000017570000}"/>
    <cellStyle name="40% - Accent2 18 2" xfId="15902" xr:uid="{00000000-0005-0000-0000-000018570000}"/>
    <cellStyle name="40% - Accent2 18 2 2" xfId="27759" xr:uid="{00000000-0005-0000-0000-000019570000}"/>
    <cellStyle name="40% - Accent2 18 3" xfId="19853" xr:uid="{00000000-0005-0000-0000-00001A570000}"/>
    <cellStyle name="40% - Accent2 18 3 2" xfId="31545" xr:uid="{00000000-0005-0000-0000-00001B570000}"/>
    <cellStyle name="40% - Accent2 18 4" xfId="23899" xr:uid="{00000000-0005-0000-0000-00001C570000}"/>
    <cellStyle name="40% - Accent2 19" xfId="4824" xr:uid="{00000000-0005-0000-0000-00001D570000}"/>
    <cellStyle name="40% - Accent2 19 2" xfId="15903" xr:uid="{00000000-0005-0000-0000-00001E570000}"/>
    <cellStyle name="40% - Accent2 19 2 2" xfId="27760" xr:uid="{00000000-0005-0000-0000-00001F570000}"/>
    <cellStyle name="40% - Accent2 19 3" xfId="19854" xr:uid="{00000000-0005-0000-0000-000020570000}"/>
    <cellStyle name="40% - Accent2 19 3 2" xfId="31546" xr:uid="{00000000-0005-0000-0000-000021570000}"/>
    <cellStyle name="40% - Accent2 19 4" xfId="23900" xr:uid="{00000000-0005-0000-0000-000022570000}"/>
    <cellStyle name="40% - Accent2 2" xfId="4825" xr:uid="{00000000-0005-0000-0000-000023570000}"/>
    <cellStyle name="40% - Accent2 2 10" xfId="19855" xr:uid="{00000000-0005-0000-0000-000024570000}"/>
    <cellStyle name="40% - Accent2 2 10 2" xfId="31547" xr:uid="{00000000-0005-0000-0000-000025570000}"/>
    <cellStyle name="40% - Accent2 2 11" xfId="23901" xr:uid="{00000000-0005-0000-0000-000026570000}"/>
    <cellStyle name="40% - Accent2 2 2" xfId="4826" xr:uid="{00000000-0005-0000-0000-000027570000}"/>
    <cellStyle name="40% - Accent2 2 2 2" xfId="4827" xr:uid="{00000000-0005-0000-0000-000028570000}"/>
    <cellStyle name="40% - Accent2 2 2 2 2" xfId="4828" xr:uid="{00000000-0005-0000-0000-000029570000}"/>
    <cellStyle name="40% - Accent2 2 2 2 2 2" xfId="15907" xr:uid="{00000000-0005-0000-0000-00002A570000}"/>
    <cellStyle name="40% - Accent2 2 2 2 2 2 2" xfId="27764" xr:uid="{00000000-0005-0000-0000-00002B570000}"/>
    <cellStyle name="40% - Accent2 2 2 2 2 3" xfId="19858" xr:uid="{00000000-0005-0000-0000-00002C570000}"/>
    <cellStyle name="40% - Accent2 2 2 2 2 3 2" xfId="31550" xr:uid="{00000000-0005-0000-0000-00002D570000}"/>
    <cellStyle name="40% - Accent2 2 2 2 2 4" xfId="23904" xr:uid="{00000000-0005-0000-0000-00002E570000}"/>
    <cellStyle name="40% - Accent2 2 2 2 3" xfId="4829" xr:uid="{00000000-0005-0000-0000-00002F570000}"/>
    <cellStyle name="40% - Accent2 2 2 2 3 2" xfId="15908" xr:uid="{00000000-0005-0000-0000-000030570000}"/>
    <cellStyle name="40% - Accent2 2 2 2 3 2 2" xfId="27765" xr:uid="{00000000-0005-0000-0000-000031570000}"/>
    <cellStyle name="40% - Accent2 2 2 2 3 3" xfId="19859" xr:uid="{00000000-0005-0000-0000-000032570000}"/>
    <cellStyle name="40% - Accent2 2 2 2 3 3 2" xfId="31551" xr:uid="{00000000-0005-0000-0000-000033570000}"/>
    <cellStyle name="40% - Accent2 2 2 2 3 4" xfId="23905" xr:uid="{00000000-0005-0000-0000-000034570000}"/>
    <cellStyle name="40% - Accent2 2 2 2 4" xfId="15906" xr:uid="{00000000-0005-0000-0000-000035570000}"/>
    <cellStyle name="40% - Accent2 2 2 2 4 2" xfId="27763" xr:uid="{00000000-0005-0000-0000-000036570000}"/>
    <cellStyle name="40% - Accent2 2 2 2 5" xfId="19857" xr:uid="{00000000-0005-0000-0000-000037570000}"/>
    <cellStyle name="40% - Accent2 2 2 2 5 2" xfId="31549" xr:uid="{00000000-0005-0000-0000-000038570000}"/>
    <cellStyle name="40% - Accent2 2 2 2 6" xfId="23903" xr:uid="{00000000-0005-0000-0000-000039570000}"/>
    <cellStyle name="40% - Accent2 2 2 3" xfId="4830" xr:uid="{00000000-0005-0000-0000-00003A570000}"/>
    <cellStyle name="40% - Accent2 2 2 3 2" xfId="4831" xr:uid="{00000000-0005-0000-0000-00003B570000}"/>
    <cellStyle name="40% - Accent2 2 2 3 2 2" xfId="15910" xr:uid="{00000000-0005-0000-0000-00003C570000}"/>
    <cellStyle name="40% - Accent2 2 2 3 2 2 2" xfId="27767" xr:uid="{00000000-0005-0000-0000-00003D570000}"/>
    <cellStyle name="40% - Accent2 2 2 3 2 3" xfId="19861" xr:uid="{00000000-0005-0000-0000-00003E570000}"/>
    <cellStyle name="40% - Accent2 2 2 3 2 3 2" xfId="31553" xr:uid="{00000000-0005-0000-0000-00003F570000}"/>
    <cellStyle name="40% - Accent2 2 2 3 2 4" xfId="23907" xr:uid="{00000000-0005-0000-0000-000040570000}"/>
    <cellStyle name="40% - Accent2 2 2 3 3" xfId="4832" xr:uid="{00000000-0005-0000-0000-000041570000}"/>
    <cellStyle name="40% - Accent2 2 2 3 3 2" xfId="15911" xr:uid="{00000000-0005-0000-0000-000042570000}"/>
    <cellStyle name="40% - Accent2 2 2 3 3 2 2" xfId="27768" xr:uid="{00000000-0005-0000-0000-000043570000}"/>
    <cellStyle name="40% - Accent2 2 2 3 3 3" xfId="19862" xr:uid="{00000000-0005-0000-0000-000044570000}"/>
    <cellStyle name="40% - Accent2 2 2 3 3 3 2" xfId="31554" xr:uid="{00000000-0005-0000-0000-000045570000}"/>
    <cellStyle name="40% - Accent2 2 2 3 3 4" xfId="23908" xr:uid="{00000000-0005-0000-0000-000046570000}"/>
    <cellStyle name="40% - Accent2 2 2 3 4" xfId="15909" xr:uid="{00000000-0005-0000-0000-000047570000}"/>
    <cellStyle name="40% - Accent2 2 2 3 4 2" xfId="27766" xr:uid="{00000000-0005-0000-0000-000048570000}"/>
    <cellStyle name="40% - Accent2 2 2 3 5" xfId="19860" xr:uid="{00000000-0005-0000-0000-000049570000}"/>
    <cellStyle name="40% - Accent2 2 2 3 5 2" xfId="31552" xr:uid="{00000000-0005-0000-0000-00004A570000}"/>
    <cellStyle name="40% - Accent2 2 2 3 6" xfId="23906" xr:uid="{00000000-0005-0000-0000-00004B570000}"/>
    <cellStyle name="40% - Accent2 2 2 4" xfId="4833" xr:uid="{00000000-0005-0000-0000-00004C570000}"/>
    <cellStyle name="40% - Accent2 2 2 4 2" xfId="4834" xr:uid="{00000000-0005-0000-0000-00004D570000}"/>
    <cellStyle name="40% - Accent2 2 2 4 2 2" xfId="15913" xr:uid="{00000000-0005-0000-0000-00004E570000}"/>
    <cellStyle name="40% - Accent2 2 2 4 2 2 2" xfId="27770" xr:uid="{00000000-0005-0000-0000-00004F570000}"/>
    <cellStyle name="40% - Accent2 2 2 4 2 3" xfId="19864" xr:uid="{00000000-0005-0000-0000-000050570000}"/>
    <cellStyle name="40% - Accent2 2 2 4 2 3 2" xfId="31556" xr:uid="{00000000-0005-0000-0000-000051570000}"/>
    <cellStyle name="40% - Accent2 2 2 4 2 4" xfId="23910" xr:uid="{00000000-0005-0000-0000-000052570000}"/>
    <cellStyle name="40% - Accent2 2 2 4 3" xfId="4835" xr:uid="{00000000-0005-0000-0000-000053570000}"/>
    <cellStyle name="40% - Accent2 2 2 4 3 2" xfId="15914" xr:uid="{00000000-0005-0000-0000-000054570000}"/>
    <cellStyle name="40% - Accent2 2 2 4 3 2 2" xfId="27771" xr:uid="{00000000-0005-0000-0000-000055570000}"/>
    <cellStyle name="40% - Accent2 2 2 4 3 3" xfId="19865" xr:uid="{00000000-0005-0000-0000-000056570000}"/>
    <cellStyle name="40% - Accent2 2 2 4 3 3 2" xfId="31557" xr:uid="{00000000-0005-0000-0000-000057570000}"/>
    <cellStyle name="40% - Accent2 2 2 4 3 4" xfId="23911" xr:uid="{00000000-0005-0000-0000-000058570000}"/>
    <cellStyle name="40% - Accent2 2 2 4 4" xfId="15912" xr:uid="{00000000-0005-0000-0000-000059570000}"/>
    <cellStyle name="40% - Accent2 2 2 4 4 2" xfId="27769" xr:uid="{00000000-0005-0000-0000-00005A570000}"/>
    <cellStyle name="40% - Accent2 2 2 4 5" xfId="19863" xr:uid="{00000000-0005-0000-0000-00005B570000}"/>
    <cellStyle name="40% - Accent2 2 2 4 5 2" xfId="31555" xr:uid="{00000000-0005-0000-0000-00005C570000}"/>
    <cellStyle name="40% - Accent2 2 2 4 6" xfId="23909" xr:uid="{00000000-0005-0000-0000-00005D570000}"/>
    <cellStyle name="40% - Accent2 2 2 5" xfId="4836" xr:uid="{00000000-0005-0000-0000-00005E570000}"/>
    <cellStyle name="40% - Accent2 2 2 5 2" xfId="15915" xr:uid="{00000000-0005-0000-0000-00005F570000}"/>
    <cellStyle name="40% - Accent2 2 2 5 2 2" xfId="27772" xr:uid="{00000000-0005-0000-0000-000060570000}"/>
    <cellStyle name="40% - Accent2 2 2 5 3" xfId="19866" xr:uid="{00000000-0005-0000-0000-000061570000}"/>
    <cellStyle name="40% - Accent2 2 2 5 3 2" xfId="31558" xr:uid="{00000000-0005-0000-0000-000062570000}"/>
    <cellStyle name="40% - Accent2 2 2 5 4" xfId="23912" xr:uid="{00000000-0005-0000-0000-000063570000}"/>
    <cellStyle name="40% - Accent2 2 2 6" xfId="4837" xr:uid="{00000000-0005-0000-0000-000064570000}"/>
    <cellStyle name="40% - Accent2 2 2 6 2" xfId="15916" xr:uid="{00000000-0005-0000-0000-000065570000}"/>
    <cellStyle name="40% - Accent2 2 2 6 2 2" xfId="27773" xr:uid="{00000000-0005-0000-0000-000066570000}"/>
    <cellStyle name="40% - Accent2 2 2 6 3" xfId="19867" xr:uid="{00000000-0005-0000-0000-000067570000}"/>
    <cellStyle name="40% - Accent2 2 2 6 3 2" xfId="31559" xr:uid="{00000000-0005-0000-0000-000068570000}"/>
    <cellStyle name="40% - Accent2 2 2 6 4" xfId="23913" xr:uid="{00000000-0005-0000-0000-000069570000}"/>
    <cellStyle name="40% - Accent2 2 2 7" xfId="15905" xr:uid="{00000000-0005-0000-0000-00006A570000}"/>
    <cellStyle name="40% - Accent2 2 2 7 2" xfId="27762" xr:uid="{00000000-0005-0000-0000-00006B570000}"/>
    <cellStyle name="40% - Accent2 2 2 8" xfId="19856" xr:uid="{00000000-0005-0000-0000-00006C570000}"/>
    <cellStyle name="40% - Accent2 2 2 8 2" xfId="31548" xr:uid="{00000000-0005-0000-0000-00006D570000}"/>
    <cellStyle name="40% - Accent2 2 2 9" xfId="23902" xr:uid="{00000000-0005-0000-0000-00006E570000}"/>
    <cellStyle name="40% - Accent2 2 2_Volatility" xfId="4838" xr:uid="{00000000-0005-0000-0000-00006F570000}"/>
    <cellStyle name="40% - Accent2 2 3" xfId="4839" xr:uid="{00000000-0005-0000-0000-000070570000}"/>
    <cellStyle name="40% - Accent2 2 3 2" xfId="4840" xr:uid="{00000000-0005-0000-0000-000071570000}"/>
    <cellStyle name="40% - Accent2 2 3 2 2" xfId="4841" xr:uid="{00000000-0005-0000-0000-000072570000}"/>
    <cellStyle name="40% - Accent2 2 3 2 2 2" xfId="15919" xr:uid="{00000000-0005-0000-0000-000073570000}"/>
    <cellStyle name="40% - Accent2 2 3 2 2 2 2" xfId="27776" xr:uid="{00000000-0005-0000-0000-000074570000}"/>
    <cellStyle name="40% - Accent2 2 3 2 2 3" xfId="19870" xr:uid="{00000000-0005-0000-0000-000075570000}"/>
    <cellStyle name="40% - Accent2 2 3 2 2 3 2" xfId="31562" xr:uid="{00000000-0005-0000-0000-000076570000}"/>
    <cellStyle name="40% - Accent2 2 3 2 2 4" xfId="23916" xr:uid="{00000000-0005-0000-0000-000077570000}"/>
    <cellStyle name="40% - Accent2 2 3 2 3" xfId="4842" xr:uid="{00000000-0005-0000-0000-000078570000}"/>
    <cellStyle name="40% - Accent2 2 3 2 3 2" xfId="15920" xr:uid="{00000000-0005-0000-0000-000079570000}"/>
    <cellStyle name="40% - Accent2 2 3 2 3 2 2" xfId="27777" xr:uid="{00000000-0005-0000-0000-00007A570000}"/>
    <cellStyle name="40% - Accent2 2 3 2 3 3" xfId="19871" xr:uid="{00000000-0005-0000-0000-00007B570000}"/>
    <cellStyle name="40% - Accent2 2 3 2 3 3 2" xfId="31563" xr:uid="{00000000-0005-0000-0000-00007C570000}"/>
    <cellStyle name="40% - Accent2 2 3 2 3 4" xfId="23917" xr:uid="{00000000-0005-0000-0000-00007D570000}"/>
    <cellStyle name="40% - Accent2 2 3 2 4" xfId="15918" xr:uid="{00000000-0005-0000-0000-00007E570000}"/>
    <cellStyle name="40% - Accent2 2 3 2 4 2" xfId="27775" xr:uid="{00000000-0005-0000-0000-00007F570000}"/>
    <cellStyle name="40% - Accent2 2 3 2 5" xfId="19869" xr:uid="{00000000-0005-0000-0000-000080570000}"/>
    <cellStyle name="40% - Accent2 2 3 2 5 2" xfId="31561" xr:uid="{00000000-0005-0000-0000-000081570000}"/>
    <cellStyle name="40% - Accent2 2 3 2 6" xfId="23915" xr:uid="{00000000-0005-0000-0000-000082570000}"/>
    <cellStyle name="40% - Accent2 2 3 3" xfId="4843" xr:uid="{00000000-0005-0000-0000-000083570000}"/>
    <cellStyle name="40% - Accent2 2 3 3 2" xfId="4844" xr:uid="{00000000-0005-0000-0000-000084570000}"/>
    <cellStyle name="40% - Accent2 2 3 3 2 2" xfId="15922" xr:uid="{00000000-0005-0000-0000-000085570000}"/>
    <cellStyle name="40% - Accent2 2 3 3 2 2 2" xfId="27779" xr:uid="{00000000-0005-0000-0000-000086570000}"/>
    <cellStyle name="40% - Accent2 2 3 3 2 3" xfId="19873" xr:uid="{00000000-0005-0000-0000-000087570000}"/>
    <cellStyle name="40% - Accent2 2 3 3 2 3 2" xfId="31565" xr:uid="{00000000-0005-0000-0000-000088570000}"/>
    <cellStyle name="40% - Accent2 2 3 3 2 4" xfId="23919" xr:uid="{00000000-0005-0000-0000-000089570000}"/>
    <cellStyle name="40% - Accent2 2 3 3 3" xfId="4845" xr:uid="{00000000-0005-0000-0000-00008A570000}"/>
    <cellStyle name="40% - Accent2 2 3 3 3 2" xfId="15923" xr:uid="{00000000-0005-0000-0000-00008B570000}"/>
    <cellStyle name="40% - Accent2 2 3 3 3 2 2" xfId="27780" xr:uid="{00000000-0005-0000-0000-00008C570000}"/>
    <cellStyle name="40% - Accent2 2 3 3 3 3" xfId="19874" xr:uid="{00000000-0005-0000-0000-00008D570000}"/>
    <cellStyle name="40% - Accent2 2 3 3 3 3 2" xfId="31566" xr:uid="{00000000-0005-0000-0000-00008E570000}"/>
    <cellStyle name="40% - Accent2 2 3 3 3 4" xfId="23920" xr:uid="{00000000-0005-0000-0000-00008F570000}"/>
    <cellStyle name="40% - Accent2 2 3 3 4" xfId="15921" xr:uid="{00000000-0005-0000-0000-000090570000}"/>
    <cellStyle name="40% - Accent2 2 3 3 4 2" xfId="27778" xr:uid="{00000000-0005-0000-0000-000091570000}"/>
    <cellStyle name="40% - Accent2 2 3 3 5" xfId="19872" xr:uid="{00000000-0005-0000-0000-000092570000}"/>
    <cellStyle name="40% - Accent2 2 3 3 5 2" xfId="31564" xr:uid="{00000000-0005-0000-0000-000093570000}"/>
    <cellStyle name="40% - Accent2 2 3 3 6" xfId="23918" xr:uid="{00000000-0005-0000-0000-000094570000}"/>
    <cellStyle name="40% - Accent2 2 3 4" xfId="4846" xr:uid="{00000000-0005-0000-0000-000095570000}"/>
    <cellStyle name="40% - Accent2 2 3 4 2" xfId="15924" xr:uid="{00000000-0005-0000-0000-000096570000}"/>
    <cellStyle name="40% - Accent2 2 3 4 2 2" xfId="27781" xr:uid="{00000000-0005-0000-0000-000097570000}"/>
    <cellStyle name="40% - Accent2 2 3 4 3" xfId="19875" xr:uid="{00000000-0005-0000-0000-000098570000}"/>
    <cellStyle name="40% - Accent2 2 3 4 3 2" xfId="31567" xr:uid="{00000000-0005-0000-0000-000099570000}"/>
    <cellStyle name="40% - Accent2 2 3 4 4" xfId="23921" xr:uid="{00000000-0005-0000-0000-00009A570000}"/>
    <cellStyle name="40% - Accent2 2 3 5" xfId="4847" xr:uid="{00000000-0005-0000-0000-00009B570000}"/>
    <cellStyle name="40% - Accent2 2 3 5 2" xfId="15925" xr:uid="{00000000-0005-0000-0000-00009C570000}"/>
    <cellStyle name="40% - Accent2 2 3 5 2 2" xfId="27782" xr:uid="{00000000-0005-0000-0000-00009D570000}"/>
    <cellStyle name="40% - Accent2 2 3 5 3" xfId="19876" xr:uid="{00000000-0005-0000-0000-00009E570000}"/>
    <cellStyle name="40% - Accent2 2 3 5 3 2" xfId="31568" xr:uid="{00000000-0005-0000-0000-00009F570000}"/>
    <cellStyle name="40% - Accent2 2 3 5 4" xfId="23922" xr:uid="{00000000-0005-0000-0000-0000A0570000}"/>
    <cellStyle name="40% - Accent2 2 3 6" xfId="15917" xr:uid="{00000000-0005-0000-0000-0000A1570000}"/>
    <cellStyle name="40% - Accent2 2 3 6 2" xfId="27774" xr:uid="{00000000-0005-0000-0000-0000A2570000}"/>
    <cellStyle name="40% - Accent2 2 3 7" xfId="19868" xr:uid="{00000000-0005-0000-0000-0000A3570000}"/>
    <cellStyle name="40% - Accent2 2 3 7 2" xfId="31560" xr:uid="{00000000-0005-0000-0000-0000A4570000}"/>
    <cellStyle name="40% - Accent2 2 3 8" xfId="23914" xr:uid="{00000000-0005-0000-0000-0000A5570000}"/>
    <cellStyle name="40% - Accent2 2 3_Volatility" xfId="4848" xr:uid="{00000000-0005-0000-0000-0000A6570000}"/>
    <cellStyle name="40% - Accent2 2 4" xfId="4849" xr:uid="{00000000-0005-0000-0000-0000A7570000}"/>
    <cellStyle name="40% - Accent2 2 4 2" xfId="4850" xr:uid="{00000000-0005-0000-0000-0000A8570000}"/>
    <cellStyle name="40% - Accent2 2 4 2 2" xfId="15927" xr:uid="{00000000-0005-0000-0000-0000A9570000}"/>
    <cellStyle name="40% - Accent2 2 4 2 2 2" xfId="27784" xr:uid="{00000000-0005-0000-0000-0000AA570000}"/>
    <cellStyle name="40% - Accent2 2 4 2 3" xfId="19878" xr:uid="{00000000-0005-0000-0000-0000AB570000}"/>
    <cellStyle name="40% - Accent2 2 4 2 3 2" xfId="31570" xr:uid="{00000000-0005-0000-0000-0000AC570000}"/>
    <cellStyle name="40% - Accent2 2 4 2 4" xfId="23924" xr:uid="{00000000-0005-0000-0000-0000AD570000}"/>
    <cellStyle name="40% - Accent2 2 4 3" xfId="4851" xr:uid="{00000000-0005-0000-0000-0000AE570000}"/>
    <cellStyle name="40% - Accent2 2 4 3 2" xfId="15928" xr:uid="{00000000-0005-0000-0000-0000AF570000}"/>
    <cellStyle name="40% - Accent2 2 4 3 2 2" xfId="27785" xr:uid="{00000000-0005-0000-0000-0000B0570000}"/>
    <cellStyle name="40% - Accent2 2 4 3 3" xfId="19879" xr:uid="{00000000-0005-0000-0000-0000B1570000}"/>
    <cellStyle name="40% - Accent2 2 4 3 3 2" xfId="31571" xr:uid="{00000000-0005-0000-0000-0000B2570000}"/>
    <cellStyle name="40% - Accent2 2 4 3 4" xfId="23925" xr:uid="{00000000-0005-0000-0000-0000B3570000}"/>
    <cellStyle name="40% - Accent2 2 4 4" xfId="15926" xr:uid="{00000000-0005-0000-0000-0000B4570000}"/>
    <cellStyle name="40% - Accent2 2 4 4 2" xfId="27783" xr:uid="{00000000-0005-0000-0000-0000B5570000}"/>
    <cellStyle name="40% - Accent2 2 4 5" xfId="19877" xr:uid="{00000000-0005-0000-0000-0000B6570000}"/>
    <cellStyle name="40% - Accent2 2 4 5 2" xfId="31569" xr:uid="{00000000-0005-0000-0000-0000B7570000}"/>
    <cellStyle name="40% - Accent2 2 4 6" xfId="23923" xr:uid="{00000000-0005-0000-0000-0000B8570000}"/>
    <cellStyle name="40% - Accent2 2 5" xfId="4852" xr:uid="{00000000-0005-0000-0000-0000B9570000}"/>
    <cellStyle name="40% - Accent2 2 5 2" xfId="4853" xr:uid="{00000000-0005-0000-0000-0000BA570000}"/>
    <cellStyle name="40% - Accent2 2 5 2 2" xfId="15930" xr:uid="{00000000-0005-0000-0000-0000BB570000}"/>
    <cellStyle name="40% - Accent2 2 5 2 2 2" xfId="27787" xr:uid="{00000000-0005-0000-0000-0000BC570000}"/>
    <cellStyle name="40% - Accent2 2 5 2 3" xfId="19881" xr:uid="{00000000-0005-0000-0000-0000BD570000}"/>
    <cellStyle name="40% - Accent2 2 5 2 3 2" xfId="31573" xr:uid="{00000000-0005-0000-0000-0000BE570000}"/>
    <cellStyle name="40% - Accent2 2 5 2 4" xfId="23927" xr:uid="{00000000-0005-0000-0000-0000BF570000}"/>
    <cellStyle name="40% - Accent2 2 5 3" xfId="4854" xr:uid="{00000000-0005-0000-0000-0000C0570000}"/>
    <cellStyle name="40% - Accent2 2 5 3 2" xfId="15931" xr:uid="{00000000-0005-0000-0000-0000C1570000}"/>
    <cellStyle name="40% - Accent2 2 5 3 2 2" xfId="27788" xr:uid="{00000000-0005-0000-0000-0000C2570000}"/>
    <cellStyle name="40% - Accent2 2 5 3 3" xfId="19882" xr:uid="{00000000-0005-0000-0000-0000C3570000}"/>
    <cellStyle name="40% - Accent2 2 5 3 3 2" xfId="31574" xr:uid="{00000000-0005-0000-0000-0000C4570000}"/>
    <cellStyle name="40% - Accent2 2 5 3 4" xfId="23928" xr:uid="{00000000-0005-0000-0000-0000C5570000}"/>
    <cellStyle name="40% - Accent2 2 5 4" xfId="15929" xr:uid="{00000000-0005-0000-0000-0000C6570000}"/>
    <cellStyle name="40% - Accent2 2 5 4 2" xfId="27786" xr:uid="{00000000-0005-0000-0000-0000C7570000}"/>
    <cellStyle name="40% - Accent2 2 5 5" xfId="19880" xr:uid="{00000000-0005-0000-0000-0000C8570000}"/>
    <cellStyle name="40% - Accent2 2 5 5 2" xfId="31572" xr:uid="{00000000-0005-0000-0000-0000C9570000}"/>
    <cellStyle name="40% - Accent2 2 5 6" xfId="23926" xr:uid="{00000000-0005-0000-0000-0000CA570000}"/>
    <cellStyle name="40% - Accent2 2 6" xfId="4855" xr:uid="{00000000-0005-0000-0000-0000CB570000}"/>
    <cellStyle name="40% - Accent2 2 6 2" xfId="4856" xr:uid="{00000000-0005-0000-0000-0000CC570000}"/>
    <cellStyle name="40% - Accent2 2 6 3" xfId="4857" xr:uid="{00000000-0005-0000-0000-0000CD570000}"/>
    <cellStyle name="40% - Accent2 2 6 4" xfId="15932" xr:uid="{00000000-0005-0000-0000-0000CE570000}"/>
    <cellStyle name="40% - Accent2 2 6 4 2" xfId="27789" xr:uid="{00000000-0005-0000-0000-0000CF570000}"/>
    <cellStyle name="40% - Accent2 2 6 5" xfId="19883" xr:uid="{00000000-0005-0000-0000-0000D0570000}"/>
    <cellStyle name="40% - Accent2 2 6 5 2" xfId="31575" xr:uid="{00000000-0005-0000-0000-0000D1570000}"/>
    <cellStyle name="40% - Accent2 2 6 6" xfId="23929" xr:uid="{00000000-0005-0000-0000-0000D2570000}"/>
    <cellStyle name="40% - Accent2 2 7" xfId="4858" xr:uid="{00000000-0005-0000-0000-0000D3570000}"/>
    <cellStyle name="40% - Accent2 2 8" xfId="4859" xr:uid="{00000000-0005-0000-0000-0000D4570000}"/>
    <cellStyle name="40% - Accent2 2 9" xfId="15904" xr:uid="{00000000-0005-0000-0000-0000D5570000}"/>
    <cellStyle name="40% - Accent2 2 9 2" xfId="27761" xr:uid="{00000000-0005-0000-0000-0000D6570000}"/>
    <cellStyle name="40% - Accent2 2_Volatility" xfId="4860" xr:uid="{00000000-0005-0000-0000-0000D7570000}"/>
    <cellStyle name="40% - Accent2 3" xfId="4861" xr:uid="{00000000-0005-0000-0000-0000D8570000}"/>
    <cellStyle name="40% - Accent2 3 2" xfId="4862" xr:uid="{00000000-0005-0000-0000-0000D9570000}"/>
    <cellStyle name="40% - Accent2 3 2 2" xfId="4863" xr:uid="{00000000-0005-0000-0000-0000DA570000}"/>
    <cellStyle name="40% - Accent2 3 2 2 2" xfId="4864" xr:uid="{00000000-0005-0000-0000-0000DB570000}"/>
    <cellStyle name="40% - Accent2 3 2 2 3" xfId="4865" xr:uid="{00000000-0005-0000-0000-0000DC570000}"/>
    <cellStyle name="40% - Accent2 3 2 3" xfId="4866" xr:uid="{00000000-0005-0000-0000-0000DD570000}"/>
    <cellStyle name="40% - Accent2 3 2 3 2" xfId="4867" xr:uid="{00000000-0005-0000-0000-0000DE570000}"/>
    <cellStyle name="40% - Accent2 3 2 3 3" xfId="4868" xr:uid="{00000000-0005-0000-0000-0000DF570000}"/>
    <cellStyle name="40% - Accent2 3 2 4" xfId="4869" xr:uid="{00000000-0005-0000-0000-0000E0570000}"/>
    <cellStyle name="40% - Accent2 3 2 4 2" xfId="4870" xr:uid="{00000000-0005-0000-0000-0000E1570000}"/>
    <cellStyle name="40% - Accent2 3 2 4 3" xfId="4871" xr:uid="{00000000-0005-0000-0000-0000E2570000}"/>
    <cellStyle name="40% - Accent2 3 2 5" xfId="4872" xr:uid="{00000000-0005-0000-0000-0000E3570000}"/>
    <cellStyle name="40% - Accent2 3 2 6" xfId="4873" xr:uid="{00000000-0005-0000-0000-0000E4570000}"/>
    <cellStyle name="40% - Accent2 3 2_Volatility" xfId="4874" xr:uid="{00000000-0005-0000-0000-0000E5570000}"/>
    <cellStyle name="40% - Accent2 3 3" xfId="4875" xr:uid="{00000000-0005-0000-0000-0000E6570000}"/>
    <cellStyle name="40% - Accent2 3 3 2" xfId="4876" xr:uid="{00000000-0005-0000-0000-0000E7570000}"/>
    <cellStyle name="40% - Accent2 3 3 2 2" xfId="4877" xr:uid="{00000000-0005-0000-0000-0000E8570000}"/>
    <cellStyle name="40% - Accent2 3 3 2 3" xfId="4878" xr:uid="{00000000-0005-0000-0000-0000E9570000}"/>
    <cellStyle name="40% - Accent2 3 3 3" xfId="4879" xr:uid="{00000000-0005-0000-0000-0000EA570000}"/>
    <cellStyle name="40% - Accent2 3 3 3 2" xfId="4880" xr:uid="{00000000-0005-0000-0000-0000EB570000}"/>
    <cellStyle name="40% - Accent2 3 3 3 3" xfId="4881" xr:uid="{00000000-0005-0000-0000-0000EC570000}"/>
    <cellStyle name="40% - Accent2 3 3 4" xfId="4882" xr:uid="{00000000-0005-0000-0000-0000ED570000}"/>
    <cellStyle name="40% - Accent2 3 3 5" xfId="4883" xr:uid="{00000000-0005-0000-0000-0000EE570000}"/>
    <cellStyle name="40% - Accent2 3 3_Volatility" xfId="4884" xr:uid="{00000000-0005-0000-0000-0000EF570000}"/>
    <cellStyle name="40% - Accent2 3 4" xfId="4885" xr:uid="{00000000-0005-0000-0000-0000F0570000}"/>
    <cellStyle name="40% - Accent2 3 4 2" xfId="4886" xr:uid="{00000000-0005-0000-0000-0000F1570000}"/>
    <cellStyle name="40% - Accent2 3 4 3" xfId="4887" xr:uid="{00000000-0005-0000-0000-0000F2570000}"/>
    <cellStyle name="40% - Accent2 3 5" xfId="4888" xr:uid="{00000000-0005-0000-0000-0000F3570000}"/>
    <cellStyle name="40% - Accent2 3 5 2" xfId="4889" xr:uid="{00000000-0005-0000-0000-0000F4570000}"/>
    <cellStyle name="40% - Accent2 3 5 3" xfId="4890" xr:uid="{00000000-0005-0000-0000-0000F5570000}"/>
    <cellStyle name="40% - Accent2 3 6" xfId="4891" xr:uid="{00000000-0005-0000-0000-0000F6570000}"/>
    <cellStyle name="40% - Accent2 3 6 2" xfId="4892" xr:uid="{00000000-0005-0000-0000-0000F7570000}"/>
    <cellStyle name="40% - Accent2 3 6 3" xfId="4893" xr:uid="{00000000-0005-0000-0000-0000F8570000}"/>
    <cellStyle name="40% - Accent2 3 7" xfId="4894" xr:uid="{00000000-0005-0000-0000-0000F9570000}"/>
    <cellStyle name="40% - Accent2 3 8" xfId="4895" xr:uid="{00000000-0005-0000-0000-0000FA570000}"/>
    <cellStyle name="40% - Accent2 3_Volatility" xfId="4896" xr:uid="{00000000-0005-0000-0000-0000FB570000}"/>
    <cellStyle name="40% - Accent2 4" xfId="4897" xr:uid="{00000000-0005-0000-0000-0000FC570000}"/>
    <cellStyle name="40% - Accent2 4 2" xfId="4898" xr:uid="{00000000-0005-0000-0000-0000FD570000}"/>
    <cellStyle name="40% - Accent2 4 2 2" xfId="4899" xr:uid="{00000000-0005-0000-0000-0000FE570000}"/>
    <cellStyle name="40% - Accent2 4 2 2 2" xfId="4900" xr:uid="{00000000-0005-0000-0000-0000FF570000}"/>
    <cellStyle name="40% - Accent2 4 2 2 3" xfId="4901" xr:uid="{00000000-0005-0000-0000-000000580000}"/>
    <cellStyle name="40% - Accent2 4 2 3" xfId="4902" xr:uid="{00000000-0005-0000-0000-000001580000}"/>
    <cellStyle name="40% - Accent2 4 2 3 2" xfId="4903" xr:uid="{00000000-0005-0000-0000-000002580000}"/>
    <cellStyle name="40% - Accent2 4 2 3 3" xfId="4904" xr:uid="{00000000-0005-0000-0000-000003580000}"/>
    <cellStyle name="40% - Accent2 4 2 4" xfId="4905" xr:uid="{00000000-0005-0000-0000-000004580000}"/>
    <cellStyle name="40% - Accent2 4 2 4 2" xfId="4906" xr:uid="{00000000-0005-0000-0000-000005580000}"/>
    <cellStyle name="40% - Accent2 4 2 4 3" xfId="4907" xr:uid="{00000000-0005-0000-0000-000006580000}"/>
    <cellStyle name="40% - Accent2 4 2 5" xfId="4908" xr:uid="{00000000-0005-0000-0000-000007580000}"/>
    <cellStyle name="40% - Accent2 4 2 6" xfId="4909" xr:uid="{00000000-0005-0000-0000-000008580000}"/>
    <cellStyle name="40% - Accent2 4 2_Volatility" xfId="4910" xr:uid="{00000000-0005-0000-0000-000009580000}"/>
    <cellStyle name="40% - Accent2 4 3" xfId="4911" xr:uid="{00000000-0005-0000-0000-00000A580000}"/>
    <cellStyle name="40% - Accent2 4 3 2" xfId="4912" xr:uid="{00000000-0005-0000-0000-00000B580000}"/>
    <cellStyle name="40% - Accent2 4 3 2 2" xfId="4913" xr:uid="{00000000-0005-0000-0000-00000C580000}"/>
    <cellStyle name="40% - Accent2 4 3 2 3" xfId="4914" xr:uid="{00000000-0005-0000-0000-00000D580000}"/>
    <cellStyle name="40% - Accent2 4 3 3" xfId="4915" xr:uid="{00000000-0005-0000-0000-00000E580000}"/>
    <cellStyle name="40% - Accent2 4 3 3 2" xfId="4916" xr:uid="{00000000-0005-0000-0000-00000F580000}"/>
    <cellStyle name="40% - Accent2 4 3 3 3" xfId="4917" xr:uid="{00000000-0005-0000-0000-000010580000}"/>
    <cellStyle name="40% - Accent2 4 3 4" xfId="4918" xr:uid="{00000000-0005-0000-0000-000011580000}"/>
    <cellStyle name="40% - Accent2 4 3 5" xfId="4919" xr:uid="{00000000-0005-0000-0000-000012580000}"/>
    <cellStyle name="40% - Accent2 4 3_Volatility" xfId="4920" xr:uid="{00000000-0005-0000-0000-000013580000}"/>
    <cellStyle name="40% - Accent2 4 4" xfId="4921" xr:uid="{00000000-0005-0000-0000-000014580000}"/>
    <cellStyle name="40% - Accent2 4 4 2" xfId="4922" xr:uid="{00000000-0005-0000-0000-000015580000}"/>
    <cellStyle name="40% - Accent2 4 4 3" xfId="4923" xr:uid="{00000000-0005-0000-0000-000016580000}"/>
    <cellStyle name="40% - Accent2 4 5" xfId="4924" xr:uid="{00000000-0005-0000-0000-000017580000}"/>
    <cellStyle name="40% - Accent2 4 5 2" xfId="4925" xr:uid="{00000000-0005-0000-0000-000018580000}"/>
    <cellStyle name="40% - Accent2 4 5 3" xfId="4926" xr:uid="{00000000-0005-0000-0000-000019580000}"/>
    <cellStyle name="40% - Accent2 4 6" xfId="4927" xr:uid="{00000000-0005-0000-0000-00001A580000}"/>
    <cellStyle name="40% - Accent2 4 6 2" xfId="4928" xr:uid="{00000000-0005-0000-0000-00001B580000}"/>
    <cellStyle name="40% - Accent2 4 6 3" xfId="4929" xr:uid="{00000000-0005-0000-0000-00001C580000}"/>
    <cellStyle name="40% - Accent2 4 7" xfId="4930" xr:uid="{00000000-0005-0000-0000-00001D580000}"/>
    <cellStyle name="40% - Accent2 4 8" xfId="4931" xr:uid="{00000000-0005-0000-0000-00001E580000}"/>
    <cellStyle name="40% - Accent2 4_Volatility" xfId="4932" xr:uid="{00000000-0005-0000-0000-00001F580000}"/>
    <cellStyle name="40% - Accent2 5" xfId="4933" xr:uid="{00000000-0005-0000-0000-000020580000}"/>
    <cellStyle name="40% - Accent2 5 2" xfId="4934" xr:uid="{00000000-0005-0000-0000-000021580000}"/>
    <cellStyle name="40% - Accent2 5 2 2" xfId="4935" xr:uid="{00000000-0005-0000-0000-000022580000}"/>
    <cellStyle name="40% - Accent2 5 2 2 2" xfId="4936" xr:uid="{00000000-0005-0000-0000-000023580000}"/>
    <cellStyle name="40% - Accent2 5 2 2 3" xfId="4937" xr:uid="{00000000-0005-0000-0000-000024580000}"/>
    <cellStyle name="40% - Accent2 5 2 3" xfId="4938" xr:uid="{00000000-0005-0000-0000-000025580000}"/>
    <cellStyle name="40% - Accent2 5 2 3 2" xfId="4939" xr:uid="{00000000-0005-0000-0000-000026580000}"/>
    <cellStyle name="40% - Accent2 5 2 3 3" xfId="4940" xr:uid="{00000000-0005-0000-0000-000027580000}"/>
    <cellStyle name="40% - Accent2 5 2 4" xfId="4941" xr:uid="{00000000-0005-0000-0000-000028580000}"/>
    <cellStyle name="40% - Accent2 5 2 4 2" xfId="4942" xr:uid="{00000000-0005-0000-0000-000029580000}"/>
    <cellStyle name="40% - Accent2 5 2 4 3" xfId="4943" xr:uid="{00000000-0005-0000-0000-00002A580000}"/>
    <cellStyle name="40% - Accent2 5 2 5" xfId="4944" xr:uid="{00000000-0005-0000-0000-00002B580000}"/>
    <cellStyle name="40% - Accent2 5 2 6" xfId="4945" xr:uid="{00000000-0005-0000-0000-00002C580000}"/>
    <cellStyle name="40% - Accent2 5 2_Volatility" xfId="4946" xr:uid="{00000000-0005-0000-0000-00002D580000}"/>
    <cellStyle name="40% - Accent2 5 3" xfId="4947" xr:uid="{00000000-0005-0000-0000-00002E580000}"/>
    <cellStyle name="40% - Accent2 5 3 2" xfId="4948" xr:uid="{00000000-0005-0000-0000-00002F580000}"/>
    <cellStyle name="40% - Accent2 5 3 2 2" xfId="4949" xr:uid="{00000000-0005-0000-0000-000030580000}"/>
    <cellStyle name="40% - Accent2 5 3 2 3" xfId="4950" xr:uid="{00000000-0005-0000-0000-000031580000}"/>
    <cellStyle name="40% - Accent2 5 3 3" xfId="4951" xr:uid="{00000000-0005-0000-0000-000032580000}"/>
    <cellStyle name="40% - Accent2 5 3 3 2" xfId="4952" xr:uid="{00000000-0005-0000-0000-000033580000}"/>
    <cellStyle name="40% - Accent2 5 3 3 3" xfId="4953" xr:uid="{00000000-0005-0000-0000-000034580000}"/>
    <cellStyle name="40% - Accent2 5 3 4" xfId="4954" xr:uid="{00000000-0005-0000-0000-000035580000}"/>
    <cellStyle name="40% - Accent2 5 3 5" xfId="4955" xr:uid="{00000000-0005-0000-0000-000036580000}"/>
    <cellStyle name="40% - Accent2 5 3_Volatility" xfId="4956" xr:uid="{00000000-0005-0000-0000-000037580000}"/>
    <cellStyle name="40% - Accent2 5 4" xfId="4957" xr:uid="{00000000-0005-0000-0000-000038580000}"/>
    <cellStyle name="40% - Accent2 5 4 2" xfId="4958" xr:uid="{00000000-0005-0000-0000-000039580000}"/>
    <cellStyle name="40% - Accent2 5 4 3" xfId="4959" xr:uid="{00000000-0005-0000-0000-00003A580000}"/>
    <cellStyle name="40% - Accent2 5 5" xfId="4960" xr:uid="{00000000-0005-0000-0000-00003B580000}"/>
    <cellStyle name="40% - Accent2 5 5 2" xfId="4961" xr:uid="{00000000-0005-0000-0000-00003C580000}"/>
    <cellStyle name="40% - Accent2 5 5 3" xfId="4962" xr:uid="{00000000-0005-0000-0000-00003D580000}"/>
    <cellStyle name="40% - Accent2 5 6" xfId="4963" xr:uid="{00000000-0005-0000-0000-00003E580000}"/>
    <cellStyle name="40% - Accent2 5 6 2" xfId="4964" xr:uid="{00000000-0005-0000-0000-00003F580000}"/>
    <cellStyle name="40% - Accent2 5 6 3" xfId="4965" xr:uid="{00000000-0005-0000-0000-000040580000}"/>
    <cellStyle name="40% - Accent2 5 7" xfId="4966" xr:uid="{00000000-0005-0000-0000-000041580000}"/>
    <cellStyle name="40% - Accent2 5 8" xfId="4967" xr:uid="{00000000-0005-0000-0000-000042580000}"/>
    <cellStyle name="40% - Accent2 5_Volatility" xfId="4968" xr:uid="{00000000-0005-0000-0000-000043580000}"/>
    <cellStyle name="40% - Accent2 6" xfId="4969" xr:uid="{00000000-0005-0000-0000-000044580000}"/>
    <cellStyle name="40% - Accent2 6 2" xfId="4970" xr:uid="{00000000-0005-0000-0000-000045580000}"/>
    <cellStyle name="40% - Accent2 6 2 2" xfId="4971" xr:uid="{00000000-0005-0000-0000-000046580000}"/>
    <cellStyle name="40% - Accent2 6 2 2 2" xfId="4972" xr:uid="{00000000-0005-0000-0000-000047580000}"/>
    <cellStyle name="40% - Accent2 6 2 2 3" xfId="4973" xr:uid="{00000000-0005-0000-0000-000048580000}"/>
    <cellStyle name="40% - Accent2 6 2 3" xfId="4974" xr:uid="{00000000-0005-0000-0000-000049580000}"/>
    <cellStyle name="40% - Accent2 6 2 3 2" xfId="4975" xr:uid="{00000000-0005-0000-0000-00004A580000}"/>
    <cellStyle name="40% - Accent2 6 2 3 3" xfId="4976" xr:uid="{00000000-0005-0000-0000-00004B580000}"/>
    <cellStyle name="40% - Accent2 6 2 4" xfId="4977" xr:uid="{00000000-0005-0000-0000-00004C580000}"/>
    <cellStyle name="40% - Accent2 6 2 4 2" xfId="4978" xr:uid="{00000000-0005-0000-0000-00004D580000}"/>
    <cellStyle name="40% - Accent2 6 2 4 3" xfId="4979" xr:uid="{00000000-0005-0000-0000-00004E580000}"/>
    <cellStyle name="40% - Accent2 6 2 5" xfId="4980" xr:uid="{00000000-0005-0000-0000-00004F580000}"/>
    <cellStyle name="40% - Accent2 6 2 6" xfId="4981" xr:uid="{00000000-0005-0000-0000-000050580000}"/>
    <cellStyle name="40% - Accent2 6 2_Volatility" xfId="4982" xr:uid="{00000000-0005-0000-0000-000051580000}"/>
    <cellStyle name="40% - Accent2 6 3" xfId="4983" xr:uid="{00000000-0005-0000-0000-000052580000}"/>
    <cellStyle name="40% - Accent2 6 3 2" xfId="4984" xr:uid="{00000000-0005-0000-0000-000053580000}"/>
    <cellStyle name="40% - Accent2 6 3 2 2" xfId="4985" xr:uid="{00000000-0005-0000-0000-000054580000}"/>
    <cellStyle name="40% - Accent2 6 3 2 3" xfId="4986" xr:uid="{00000000-0005-0000-0000-000055580000}"/>
    <cellStyle name="40% - Accent2 6 3 3" xfId="4987" xr:uid="{00000000-0005-0000-0000-000056580000}"/>
    <cellStyle name="40% - Accent2 6 3 3 2" xfId="4988" xr:uid="{00000000-0005-0000-0000-000057580000}"/>
    <cellStyle name="40% - Accent2 6 3 3 3" xfId="4989" xr:uid="{00000000-0005-0000-0000-000058580000}"/>
    <cellStyle name="40% - Accent2 6 3 4" xfId="4990" xr:uid="{00000000-0005-0000-0000-000059580000}"/>
    <cellStyle name="40% - Accent2 6 3 5" xfId="4991" xr:uid="{00000000-0005-0000-0000-00005A580000}"/>
    <cellStyle name="40% - Accent2 6 3_Volatility" xfId="4992" xr:uid="{00000000-0005-0000-0000-00005B580000}"/>
    <cellStyle name="40% - Accent2 6 4" xfId="4993" xr:uid="{00000000-0005-0000-0000-00005C580000}"/>
    <cellStyle name="40% - Accent2 6 4 2" xfId="4994" xr:uid="{00000000-0005-0000-0000-00005D580000}"/>
    <cellStyle name="40% - Accent2 6 4 3" xfId="4995" xr:uid="{00000000-0005-0000-0000-00005E580000}"/>
    <cellStyle name="40% - Accent2 6 5" xfId="4996" xr:uid="{00000000-0005-0000-0000-00005F580000}"/>
    <cellStyle name="40% - Accent2 6 5 2" xfId="4997" xr:uid="{00000000-0005-0000-0000-000060580000}"/>
    <cellStyle name="40% - Accent2 6 5 3" xfId="4998" xr:uid="{00000000-0005-0000-0000-000061580000}"/>
    <cellStyle name="40% - Accent2 6 6" xfId="4999" xr:uid="{00000000-0005-0000-0000-000062580000}"/>
    <cellStyle name="40% - Accent2 6 6 2" xfId="5000" xr:uid="{00000000-0005-0000-0000-000063580000}"/>
    <cellStyle name="40% - Accent2 6 6 3" xfId="5001" xr:uid="{00000000-0005-0000-0000-000064580000}"/>
    <cellStyle name="40% - Accent2 6 7" xfId="5002" xr:uid="{00000000-0005-0000-0000-000065580000}"/>
    <cellStyle name="40% - Accent2 6 8" xfId="5003" xr:uid="{00000000-0005-0000-0000-000066580000}"/>
    <cellStyle name="40% - Accent2 6_Volatility" xfId="5004" xr:uid="{00000000-0005-0000-0000-000067580000}"/>
    <cellStyle name="40% - Accent2 7" xfId="5005" xr:uid="{00000000-0005-0000-0000-000068580000}"/>
    <cellStyle name="40% - Accent2 7 2" xfId="5006" xr:uid="{00000000-0005-0000-0000-000069580000}"/>
    <cellStyle name="40% - Accent2 7 2 2" xfId="5007" xr:uid="{00000000-0005-0000-0000-00006A580000}"/>
    <cellStyle name="40% - Accent2 7 2 2 2" xfId="5008" xr:uid="{00000000-0005-0000-0000-00006B580000}"/>
    <cellStyle name="40% - Accent2 7 2 2 3" xfId="5009" xr:uid="{00000000-0005-0000-0000-00006C580000}"/>
    <cellStyle name="40% - Accent2 7 2 3" xfId="5010" xr:uid="{00000000-0005-0000-0000-00006D580000}"/>
    <cellStyle name="40% - Accent2 7 2 3 2" xfId="5011" xr:uid="{00000000-0005-0000-0000-00006E580000}"/>
    <cellStyle name="40% - Accent2 7 2 3 3" xfId="5012" xr:uid="{00000000-0005-0000-0000-00006F580000}"/>
    <cellStyle name="40% - Accent2 7 2 4" xfId="5013" xr:uid="{00000000-0005-0000-0000-000070580000}"/>
    <cellStyle name="40% - Accent2 7 2 4 2" xfId="5014" xr:uid="{00000000-0005-0000-0000-000071580000}"/>
    <cellStyle name="40% - Accent2 7 2 4 3" xfId="5015" xr:uid="{00000000-0005-0000-0000-000072580000}"/>
    <cellStyle name="40% - Accent2 7 2 5" xfId="5016" xr:uid="{00000000-0005-0000-0000-000073580000}"/>
    <cellStyle name="40% - Accent2 7 2 6" xfId="5017" xr:uid="{00000000-0005-0000-0000-000074580000}"/>
    <cellStyle name="40% - Accent2 7 2_Volatility" xfId="5018" xr:uid="{00000000-0005-0000-0000-000075580000}"/>
    <cellStyle name="40% - Accent2 7 3" xfId="5019" xr:uid="{00000000-0005-0000-0000-000076580000}"/>
    <cellStyle name="40% - Accent2 7 3 2" xfId="5020" xr:uid="{00000000-0005-0000-0000-000077580000}"/>
    <cellStyle name="40% - Accent2 7 3 2 2" xfId="5021" xr:uid="{00000000-0005-0000-0000-000078580000}"/>
    <cellStyle name="40% - Accent2 7 3 2 3" xfId="5022" xr:uid="{00000000-0005-0000-0000-000079580000}"/>
    <cellStyle name="40% - Accent2 7 3 3" xfId="5023" xr:uid="{00000000-0005-0000-0000-00007A580000}"/>
    <cellStyle name="40% - Accent2 7 3 3 2" xfId="5024" xr:uid="{00000000-0005-0000-0000-00007B580000}"/>
    <cellStyle name="40% - Accent2 7 3 3 3" xfId="5025" xr:uid="{00000000-0005-0000-0000-00007C580000}"/>
    <cellStyle name="40% - Accent2 7 3 4" xfId="5026" xr:uid="{00000000-0005-0000-0000-00007D580000}"/>
    <cellStyle name="40% - Accent2 7 3 5" xfId="5027" xr:uid="{00000000-0005-0000-0000-00007E580000}"/>
    <cellStyle name="40% - Accent2 7 3_Volatility" xfId="5028" xr:uid="{00000000-0005-0000-0000-00007F580000}"/>
    <cellStyle name="40% - Accent2 7 4" xfId="5029" xr:uid="{00000000-0005-0000-0000-000080580000}"/>
    <cellStyle name="40% - Accent2 7 4 2" xfId="5030" xr:uid="{00000000-0005-0000-0000-000081580000}"/>
    <cellStyle name="40% - Accent2 7 4 3" xfId="5031" xr:uid="{00000000-0005-0000-0000-000082580000}"/>
    <cellStyle name="40% - Accent2 7 5" xfId="5032" xr:uid="{00000000-0005-0000-0000-000083580000}"/>
    <cellStyle name="40% - Accent2 7 5 2" xfId="5033" xr:uid="{00000000-0005-0000-0000-000084580000}"/>
    <cellStyle name="40% - Accent2 7 5 3" xfId="5034" xr:uid="{00000000-0005-0000-0000-000085580000}"/>
    <cellStyle name="40% - Accent2 7 6" xfId="5035" xr:uid="{00000000-0005-0000-0000-000086580000}"/>
    <cellStyle name="40% - Accent2 7 6 2" xfId="5036" xr:uid="{00000000-0005-0000-0000-000087580000}"/>
    <cellStyle name="40% - Accent2 7 6 3" xfId="5037" xr:uid="{00000000-0005-0000-0000-000088580000}"/>
    <cellStyle name="40% - Accent2 7 7" xfId="5038" xr:uid="{00000000-0005-0000-0000-000089580000}"/>
    <cellStyle name="40% - Accent2 7 8" xfId="5039" xr:uid="{00000000-0005-0000-0000-00008A580000}"/>
    <cellStyle name="40% - Accent2 7_Volatility" xfId="5040" xr:uid="{00000000-0005-0000-0000-00008B580000}"/>
    <cellStyle name="40% - Accent2 8" xfId="5041" xr:uid="{00000000-0005-0000-0000-00008C580000}"/>
    <cellStyle name="40% - Accent2 8 2" xfId="5042" xr:uid="{00000000-0005-0000-0000-00008D580000}"/>
    <cellStyle name="40% - Accent2 8 2 2" xfId="5043" xr:uid="{00000000-0005-0000-0000-00008E580000}"/>
    <cellStyle name="40% - Accent2 8 2 2 2" xfId="5044" xr:uid="{00000000-0005-0000-0000-00008F580000}"/>
    <cellStyle name="40% - Accent2 8 2 2 3" xfId="5045" xr:uid="{00000000-0005-0000-0000-000090580000}"/>
    <cellStyle name="40% - Accent2 8 2 3" xfId="5046" xr:uid="{00000000-0005-0000-0000-000091580000}"/>
    <cellStyle name="40% - Accent2 8 2 3 2" xfId="5047" xr:uid="{00000000-0005-0000-0000-000092580000}"/>
    <cellStyle name="40% - Accent2 8 2 3 3" xfId="5048" xr:uid="{00000000-0005-0000-0000-000093580000}"/>
    <cellStyle name="40% - Accent2 8 2 4" xfId="5049" xr:uid="{00000000-0005-0000-0000-000094580000}"/>
    <cellStyle name="40% - Accent2 8 2 4 2" xfId="5050" xr:uid="{00000000-0005-0000-0000-000095580000}"/>
    <cellStyle name="40% - Accent2 8 2 4 3" xfId="5051" xr:uid="{00000000-0005-0000-0000-000096580000}"/>
    <cellStyle name="40% - Accent2 8 2 5" xfId="5052" xr:uid="{00000000-0005-0000-0000-000097580000}"/>
    <cellStyle name="40% - Accent2 8 2 6" xfId="5053" xr:uid="{00000000-0005-0000-0000-000098580000}"/>
    <cellStyle name="40% - Accent2 8 2_Volatility" xfId="5054" xr:uid="{00000000-0005-0000-0000-000099580000}"/>
    <cellStyle name="40% - Accent2 8 3" xfId="5055" xr:uid="{00000000-0005-0000-0000-00009A580000}"/>
    <cellStyle name="40% - Accent2 8 3 2" xfId="5056" xr:uid="{00000000-0005-0000-0000-00009B580000}"/>
    <cellStyle name="40% - Accent2 8 3 2 2" xfId="5057" xr:uid="{00000000-0005-0000-0000-00009C580000}"/>
    <cellStyle name="40% - Accent2 8 3 2 3" xfId="5058" xr:uid="{00000000-0005-0000-0000-00009D580000}"/>
    <cellStyle name="40% - Accent2 8 3 3" xfId="5059" xr:uid="{00000000-0005-0000-0000-00009E580000}"/>
    <cellStyle name="40% - Accent2 8 3 3 2" xfId="5060" xr:uid="{00000000-0005-0000-0000-00009F580000}"/>
    <cellStyle name="40% - Accent2 8 3 3 3" xfId="5061" xr:uid="{00000000-0005-0000-0000-0000A0580000}"/>
    <cellStyle name="40% - Accent2 8 3 4" xfId="5062" xr:uid="{00000000-0005-0000-0000-0000A1580000}"/>
    <cellStyle name="40% - Accent2 8 3 5" xfId="5063" xr:uid="{00000000-0005-0000-0000-0000A2580000}"/>
    <cellStyle name="40% - Accent2 8 3_Volatility" xfId="5064" xr:uid="{00000000-0005-0000-0000-0000A3580000}"/>
    <cellStyle name="40% - Accent2 8 4" xfId="5065" xr:uid="{00000000-0005-0000-0000-0000A4580000}"/>
    <cellStyle name="40% - Accent2 8 4 2" xfId="5066" xr:uid="{00000000-0005-0000-0000-0000A5580000}"/>
    <cellStyle name="40% - Accent2 8 4 3" xfId="5067" xr:uid="{00000000-0005-0000-0000-0000A6580000}"/>
    <cellStyle name="40% - Accent2 8 5" xfId="5068" xr:uid="{00000000-0005-0000-0000-0000A7580000}"/>
    <cellStyle name="40% - Accent2 8 5 2" xfId="5069" xr:uid="{00000000-0005-0000-0000-0000A8580000}"/>
    <cellStyle name="40% - Accent2 8 5 3" xfId="5070" xr:uid="{00000000-0005-0000-0000-0000A9580000}"/>
    <cellStyle name="40% - Accent2 8 6" xfId="5071" xr:uid="{00000000-0005-0000-0000-0000AA580000}"/>
    <cellStyle name="40% - Accent2 8 6 2" xfId="5072" xr:uid="{00000000-0005-0000-0000-0000AB580000}"/>
    <cellStyle name="40% - Accent2 8 6 3" xfId="5073" xr:uid="{00000000-0005-0000-0000-0000AC580000}"/>
    <cellStyle name="40% - Accent2 8 7" xfId="5074" xr:uid="{00000000-0005-0000-0000-0000AD580000}"/>
    <cellStyle name="40% - Accent2 8 8" xfId="5075" xr:uid="{00000000-0005-0000-0000-0000AE580000}"/>
    <cellStyle name="40% - Accent2 8_Volatility" xfId="5076" xr:uid="{00000000-0005-0000-0000-0000AF580000}"/>
    <cellStyle name="40% - Accent2 9" xfId="5077" xr:uid="{00000000-0005-0000-0000-0000B0580000}"/>
    <cellStyle name="40% - Accent2 9 2" xfId="5078" xr:uid="{00000000-0005-0000-0000-0000B1580000}"/>
    <cellStyle name="40% - Accent2 9 2 2" xfId="5079" xr:uid="{00000000-0005-0000-0000-0000B2580000}"/>
    <cellStyle name="40% - Accent2 9 2 2 2" xfId="5080" xr:uid="{00000000-0005-0000-0000-0000B3580000}"/>
    <cellStyle name="40% - Accent2 9 2 2 3" xfId="5081" xr:uid="{00000000-0005-0000-0000-0000B4580000}"/>
    <cellStyle name="40% - Accent2 9 2 3" xfId="5082" xr:uid="{00000000-0005-0000-0000-0000B5580000}"/>
    <cellStyle name="40% - Accent2 9 2 3 2" xfId="5083" xr:uid="{00000000-0005-0000-0000-0000B6580000}"/>
    <cellStyle name="40% - Accent2 9 2 3 3" xfId="5084" xr:uid="{00000000-0005-0000-0000-0000B7580000}"/>
    <cellStyle name="40% - Accent2 9 2 4" xfId="5085" xr:uid="{00000000-0005-0000-0000-0000B8580000}"/>
    <cellStyle name="40% - Accent2 9 2 4 2" xfId="5086" xr:uid="{00000000-0005-0000-0000-0000B9580000}"/>
    <cellStyle name="40% - Accent2 9 2 4 3" xfId="5087" xr:uid="{00000000-0005-0000-0000-0000BA580000}"/>
    <cellStyle name="40% - Accent2 9 2 5" xfId="5088" xr:uid="{00000000-0005-0000-0000-0000BB580000}"/>
    <cellStyle name="40% - Accent2 9 2 6" xfId="5089" xr:uid="{00000000-0005-0000-0000-0000BC580000}"/>
    <cellStyle name="40% - Accent2 9 2_Volatility" xfId="5090" xr:uid="{00000000-0005-0000-0000-0000BD580000}"/>
    <cellStyle name="40% - Accent2 9 3" xfId="5091" xr:uid="{00000000-0005-0000-0000-0000BE580000}"/>
    <cellStyle name="40% - Accent2 9 3 2" xfId="5092" xr:uid="{00000000-0005-0000-0000-0000BF580000}"/>
    <cellStyle name="40% - Accent2 9 3 2 2" xfId="5093" xr:uid="{00000000-0005-0000-0000-0000C0580000}"/>
    <cellStyle name="40% - Accent2 9 3 2 3" xfId="5094" xr:uid="{00000000-0005-0000-0000-0000C1580000}"/>
    <cellStyle name="40% - Accent2 9 3 3" xfId="5095" xr:uid="{00000000-0005-0000-0000-0000C2580000}"/>
    <cellStyle name="40% - Accent2 9 3 3 2" xfId="5096" xr:uid="{00000000-0005-0000-0000-0000C3580000}"/>
    <cellStyle name="40% - Accent2 9 3 3 3" xfId="5097" xr:uid="{00000000-0005-0000-0000-0000C4580000}"/>
    <cellStyle name="40% - Accent2 9 3 4" xfId="5098" xr:uid="{00000000-0005-0000-0000-0000C5580000}"/>
    <cellStyle name="40% - Accent2 9 3 5" xfId="5099" xr:uid="{00000000-0005-0000-0000-0000C6580000}"/>
    <cellStyle name="40% - Accent2 9 3_Volatility" xfId="5100" xr:uid="{00000000-0005-0000-0000-0000C7580000}"/>
    <cellStyle name="40% - Accent2 9 4" xfId="5101" xr:uid="{00000000-0005-0000-0000-0000C8580000}"/>
    <cellStyle name="40% - Accent2 9 4 2" xfId="5102" xr:uid="{00000000-0005-0000-0000-0000C9580000}"/>
    <cellStyle name="40% - Accent2 9 4 3" xfId="5103" xr:uid="{00000000-0005-0000-0000-0000CA580000}"/>
    <cellStyle name="40% - Accent2 9 5" xfId="5104" xr:uid="{00000000-0005-0000-0000-0000CB580000}"/>
    <cellStyle name="40% - Accent2 9 5 2" xfId="5105" xr:uid="{00000000-0005-0000-0000-0000CC580000}"/>
    <cellStyle name="40% - Accent2 9 5 3" xfId="5106" xr:uid="{00000000-0005-0000-0000-0000CD580000}"/>
    <cellStyle name="40% - Accent2 9 6" xfId="5107" xr:uid="{00000000-0005-0000-0000-0000CE580000}"/>
    <cellStyle name="40% - Accent2 9 6 2" xfId="5108" xr:uid="{00000000-0005-0000-0000-0000CF580000}"/>
    <cellStyle name="40% - Accent2 9 6 3" xfId="5109" xr:uid="{00000000-0005-0000-0000-0000D0580000}"/>
    <cellStyle name="40% - Accent2 9 7" xfId="5110" xr:uid="{00000000-0005-0000-0000-0000D1580000}"/>
    <cellStyle name="40% - Accent2 9 8" xfId="5111" xr:uid="{00000000-0005-0000-0000-0000D2580000}"/>
    <cellStyle name="40% - Accent2 9_Volatility" xfId="5112" xr:uid="{00000000-0005-0000-0000-0000D3580000}"/>
    <cellStyle name="40% - Accent3 10" xfId="5113" xr:uid="{00000000-0005-0000-0000-0000D4580000}"/>
    <cellStyle name="40% - Accent3 10 2" xfId="5114" xr:uid="{00000000-0005-0000-0000-0000D5580000}"/>
    <cellStyle name="40% - Accent3 10 2 2" xfId="5115" xr:uid="{00000000-0005-0000-0000-0000D6580000}"/>
    <cellStyle name="40% - Accent3 10 2 2 2" xfId="5116" xr:uid="{00000000-0005-0000-0000-0000D7580000}"/>
    <cellStyle name="40% - Accent3 10 2 2 3" xfId="5117" xr:uid="{00000000-0005-0000-0000-0000D8580000}"/>
    <cellStyle name="40% - Accent3 10 2 3" xfId="5118" xr:uid="{00000000-0005-0000-0000-0000D9580000}"/>
    <cellStyle name="40% - Accent3 10 2 3 2" xfId="5119" xr:uid="{00000000-0005-0000-0000-0000DA580000}"/>
    <cellStyle name="40% - Accent3 10 2 3 3" xfId="5120" xr:uid="{00000000-0005-0000-0000-0000DB580000}"/>
    <cellStyle name="40% - Accent3 10 2 4" xfId="5121" xr:uid="{00000000-0005-0000-0000-0000DC580000}"/>
    <cellStyle name="40% - Accent3 10 2 4 2" xfId="5122" xr:uid="{00000000-0005-0000-0000-0000DD580000}"/>
    <cellStyle name="40% - Accent3 10 2 4 3" xfId="5123" xr:uid="{00000000-0005-0000-0000-0000DE580000}"/>
    <cellStyle name="40% - Accent3 10 2 5" xfId="5124" xr:uid="{00000000-0005-0000-0000-0000DF580000}"/>
    <cellStyle name="40% - Accent3 10 2 6" xfId="5125" xr:uid="{00000000-0005-0000-0000-0000E0580000}"/>
    <cellStyle name="40% - Accent3 10 2_Volatility" xfId="5126" xr:uid="{00000000-0005-0000-0000-0000E1580000}"/>
    <cellStyle name="40% - Accent3 10 3" xfId="5127" xr:uid="{00000000-0005-0000-0000-0000E2580000}"/>
    <cellStyle name="40% - Accent3 10 3 2" xfId="5128" xr:uid="{00000000-0005-0000-0000-0000E3580000}"/>
    <cellStyle name="40% - Accent3 10 3 2 2" xfId="5129" xr:uid="{00000000-0005-0000-0000-0000E4580000}"/>
    <cellStyle name="40% - Accent3 10 3 2 3" xfId="5130" xr:uid="{00000000-0005-0000-0000-0000E5580000}"/>
    <cellStyle name="40% - Accent3 10 3 3" xfId="5131" xr:uid="{00000000-0005-0000-0000-0000E6580000}"/>
    <cellStyle name="40% - Accent3 10 3 3 2" xfId="5132" xr:uid="{00000000-0005-0000-0000-0000E7580000}"/>
    <cellStyle name="40% - Accent3 10 3 3 3" xfId="5133" xr:uid="{00000000-0005-0000-0000-0000E8580000}"/>
    <cellStyle name="40% - Accent3 10 3 4" xfId="5134" xr:uid="{00000000-0005-0000-0000-0000E9580000}"/>
    <cellStyle name="40% - Accent3 10 3 5" xfId="5135" xr:uid="{00000000-0005-0000-0000-0000EA580000}"/>
    <cellStyle name="40% - Accent3 10 3_Volatility" xfId="5136" xr:uid="{00000000-0005-0000-0000-0000EB580000}"/>
    <cellStyle name="40% - Accent3 10 4" xfId="5137" xr:uid="{00000000-0005-0000-0000-0000EC580000}"/>
    <cellStyle name="40% - Accent3 10 4 2" xfId="5138" xr:uid="{00000000-0005-0000-0000-0000ED580000}"/>
    <cellStyle name="40% - Accent3 10 4 3" xfId="5139" xr:uid="{00000000-0005-0000-0000-0000EE580000}"/>
    <cellStyle name="40% - Accent3 10 5" xfId="5140" xr:uid="{00000000-0005-0000-0000-0000EF580000}"/>
    <cellStyle name="40% - Accent3 10 5 2" xfId="5141" xr:uid="{00000000-0005-0000-0000-0000F0580000}"/>
    <cellStyle name="40% - Accent3 10 5 3" xfId="5142" xr:uid="{00000000-0005-0000-0000-0000F1580000}"/>
    <cellStyle name="40% - Accent3 10 6" xfId="5143" xr:uid="{00000000-0005-0000-0000-0000F2580000}"/>
    <cellStyle name="40% - Accent3 10 6 2" xfId="5144" xr:uid="{00000000-0005-0000-0000-0000F3580000}"/>
    <cellStyle name="40% - Accent3 10 6 3" xfId="5145" xr:uid="{00000000-0005-0000-0000-0000F4580000}"/>
    <cellStyle name="40% - Accent3 10 7" xfId="5146" xr:uid="{00000000-0005-0000-0000-0000F5580000}"/>
    <cellStyle name="40% - Accent3 10 8" xfId="5147" xr:uid="{00000000-0005-0000-0000-0000F6580000}"/>
    <cellStyle name="40% - Accent3 10_Volatility" xfId="5148" xr:uid="{00000000-0005-0000-0000-0000F7580000}"/>
    <cellStyle name="40% - Accent3 11" xfId="5149" xr:uid="{00000000-0005-0000-0000-0000F8580000}"/>
    <cellStyle name="40% - Accent3 11 2" xfId="5150" xr:uid="{00000000-0005-0000-0000-0000F9580000}"/>
    <cellStyle name="40% - Accent3 11 2 2" xfId="5151" xr:uid="{00000000-0005-0000-0000-0000FA580000}"/>
    <cellStyle name="40% - Accent3 11 2 2 2" xfId="5152" xr:uid="{00000000-0005-0000-0000-0000FB580000}"/>
    <cellStyle name="40% - Accent3 11 2 2 3" xfId="5153" xr:uid="{00000000-0005-0000-0000-0000FC580000}"/>
    <cellStyle name="40% - Accent3 11 2 3" xfId="5154" xr:uid="{00000000-0005-0000-0000-0000FD580000}"/>
    <cellStyle name="40% - Accent3 11 2 3 2" xfId="5155" xr:uid="{00000000-0005-0000-0000-0000FE580000}"/>
    <cellStyle name="40% - Accent3 11 2 3 3" xfId="5156" xr:uid="{00000000-0005-0000-0000-0000FF580000}"/>
    <cellStyle name="40% - Accent3 11 2 4" xfId="5157" xr:uid="{00000000-0005-0000-0000-000000590000}"/>
    <cellStyle name="40% - Accent3 11 2 4 2" xfId="5158" xr:uid="{00000000-0005-0000-0000-000001590000}"/>
    <cellStyle name="40% - Accent3 11 2 4 3" xfId="5159" xr:uid="{00000000-0005-0000-0000-000002590000}"/>
    <cellStyle name="40% - Accent3 11 2 5" xfId="5160" xr:uid="{00000000-0005-0000-0000-000003590000}"/>
    <cellStyle name="40% - Accent3 11 2 6" xfId="5161" xr:uid="{00000000-0005-0000-0000-000004590000}"/>
    <cellStyle name="40% - Accent3 11 2_Volatility" xfId="5162" xr:uid="{00000000-0005-0000-0000-000005590000}"/>
    <cellStyle name="40% - Accent3 11 3" xfId="5163" xr:uid="{00000000-0005-0000-0000-000006590000}"/>
    <cellStyle name="40% - Accent3 11 3 2" xfId="5164" xr:uid="{00000000-0005-0000-0000-000007590000}"/>
    <cellStyle name="40% - Accent3 11 3 2 2" xfId="5165" xr:uid="{00000000-0005-0000-0000-000008590000}"/>
    <cellStyle name="40% - Accent3 11 3 2 3" xfId="5166" xr:uid="{00000000-0005-0000-0000-000009590000}"/>
    <cellStyle name="40% - Accent3 11 3 3" xfId="5167" xr:uid="{00000000-0005-0000-0000-00000A590000}"/>
    <cellStyle name="40% - Accent3 11 3 3 2" xfId="5168" xr:uid="{00000000-0005-0000-0000-00000B590000}"/>
    <cellStyle name="40% - Accent3 11 3 3 3" xfId="5169" xr:uid="{00000000-0005-0000-0000-00000C590000}"/>
    <cellStyle name="40% - Accent3 11 3 4" xfId="5170" xr:uid="{00000000-0005-0000-0000-00000D590000}"/>
    <cellStyle name="40% - Accent3 11 3 5" xfId="5171" xr:uid="{00000000-0005-0000-0000-00000E590000}"/>
    <cellStyle name="40% - Accent3 11 3_Volatility" xfId="5172" xr:uid="{00000000-0005-0000-0000-00000F590000}"/>
    <cellStyle name="40% - Accent3 11 4" xfId="5173" xr:uid="{00000000-0005-0000-0000-000010590000}"/>
    <cellStyle name="40% - Accent3 11 4 2" xfId="5174" xr:uid="{00000000-0005-0000-0000-000011590000}"/>
    <cellStyle name="40% - Accent3 11 4 3" xfId="5175" xr:uid="{00000000-0005-0000-0000-000012590000}"/>
    <cellStyle name="40% - Accent3 11 5" xfId="5176" xr:uid="{00000000-0005-0000-0000-000013590000}"/>
    <cellStyle name="40% - Accent3 11 5 2" xfId="5177" xr:uid="{00000000-0005-0000-0000-000014590000}"/>
    <cellStyle name="40% - Accent3 11 5 3" xfId="5178" xr:uid="{00000000-0005-0000-0000-000015590000}"/>
    <cellStyle name="40% - Accent3 11 6" xfId="5179" xr:uid="{00000000-0005-0000-0000-000016590000}"/>
    <cellStyle name="40% - Accent3 11 6 2" xfId="5180" xr:uid="{00000000-0005-0000-0000-000017590000}"/>
    <cellStyle name="40% - Accent3 11 6 3" xfId="5181" xr:uid="{00000000-0005-0000-0000-000018590000}"/>
    <cellStyle name="40% - Accent3 11 7" xfId="5182" xr:uid="{00000000-0005-0000-0000-000019590000}"/>
    <cellStyle name="40% - Accent3 11 8" xfId="5183" xr:uid="{00000000-0005-0000-0000-00001A590000}"/>
    <cellStyle name="40% - Accent3 11_Volatility" xfId="5184" xr:uid="{00000000-0005-0000-0000-00001B590000}"/>
    <cellStyle name="40% - Accent3 12" xfId="5185" xr:uid="{00000000-0005-0000-0000-00001C590000}"/>
    <cellStyle name="40% - Accent3 12 2" xfId="5186" xr:uid="{00000000-0005-0000-0000-00001D590000}"/>
    <cellStyle name="40% - Accent3 12 2 2" xfId="5187" xr:uid="{00000000-0005-0000-0000-00001E590000}"/>
    <cellStyle name="40% - Accent3 12 2 2 2" xfId="5188" xr:uid="{00000000-0005-0000-0000-00001F590000}"/>
    <cellStyle name="40% - Accent3 12 2 2 3" xfId="5189" xr:uid="{00000000-0005-0000-0000-000020590000}"/>
    <cellStyle name="40% - Accent3 12 2 3" xfId="5190" xr:uid="{00000000-0005-0000-0000-000021590000}"/>
    <cellStyle name="40% - Accent3 12 2 3 2" xfId="5191" xr:uid="{00000000-0005-0000-0000-000022590000}"/>
    <cellStyle name="40% - Accent3 12 2 3 3" xfId="5192" xr:uid="{00000000-0005-0000-0000-000023590000}"/>
    <cellStyle name="40% - Accent3 12 2 4" xfId="5193" xr:uid="{00000000-0005-0000-0000-000024590000}"/>
    <cellStyle name="40% - Accent3 12 2 4 2" xfId="5194" xr:uid="{00000000-0005-0000-0000-000025590000}"/>
    <cellStyle name="40% - Accent3 12 2 4 3" xfId="5195" xr:uid="{00000000-0005-0000-0000-000026590000}"/>
    <cellStyle name="40% - Accent3 12 2 5" xfId="5196" xr:uid="{00000000-0005-0000-0000-000027590000}"/>
    <cellStyle name="40% - Accent3 12 2 6" xfId="5197" xr:uid="{00000000-0005-0000-0000-000028590000}"/>
    <cellStyle name="40% - Accent3 12 2_Volatility" xfId="5198" xr:uid="{00000000-0005-0000-0000-000029590000}"/>
    <cellStyle name="40% - Accent3 12 3" xfId="5199" xr:uid="{00000000-0005-0000-0000-00002A590000}"/>
    <cellStyle name="40% - Accent3 12 3 2" xfId="5200" xr:uid="{00000000-0005-0000-0000-00002B590000}"/>
    <cellStyle name="40% - Accent3 12 3 2 2" xfId="5201" xr:uid="{00000000-0005-0000-0000-00002C590000}"/>
    <cellStyle name="40% - Accent3 12 3 2 3" xfId="5202" xr:uid="{00000000-0005-0000-0000-00002D590000}"/>
    <cellStyle name="40% - Accent3 12 3 3" xfId="5203" xr:uid="{00000000-0005-0000-0000-00002E590000}"/>
    <cellStyle name="40% - Accent3 12 3 3 2" xfId="5204" xr:uid="{00000000-0005-0000-0000-00002F590000}"/>
    <cellStyle name="40% - Accent3 12 3 3 3" xfId="5205" xr:uid="{00000000-0005-0000-0000-000030590000}"/>
    <cellStyle name="40% - Accent3 12 3 4" xfId="5206" xr:uid="{00000000-0005-0000-0000-000031590000}"/>
    <cellStyle name="40% - Accent3 12 3 5" xfId="5207" xr:uid="{00000000-0005-0000-0000-000032590000}"/>
    <cellStyle name="40% - Accent3 12 3_Volatility" xfId="5208" xr:uid="{00000000-0005-0000-0000-000033590000}"/>
    <cellStyle name="40% - Accent3 12 4" xfId="5209" xr:uid="{00000000-0005-0000-0000-000034590000}"/>
    <cellStyle name="40% - Accent3 12 4 2" xfId="5210" xr:uid="{00000000-0005-0000-0000-000035590000}"/>
    <cellStyle name="40% - Accent3 12 4 3" xfId="5211" xr:uid="{00000000-0005-0000-0000-000036590000}"/>
    <cellStyle name="40% - Accent3 12 5" xfId="5212" xr:uid="{00000000-0005-0000-0000-000037590000}"/>
    <cellStyle name="40% - Accent3 12 5 2" xfId="5213" xr:uid="{00000000-0005-0000-0000-000038590000}"/>
    <cellStyle name="40% - Accent3 12 5 3" xfId="5214" xr:uid="{00000000-0005-0000-0000-000039590000}"/>
    <cellStyle name="40% - Accent3 12 6" xfId="5215" xr:uid="{00000000-0005-0000-0000-00003A590000}"/>
    <cellStyle name="40% - Accent3 12 6 2" xfId="5216" xr:uid="{00000000-0005-0000-0000-00003B590000}"/>
    <cellStyle name="40% - Accent3 12 6 3" xfId="5217" xr:uid="{00000000-0005-0000-0000-00003C590000}"/>
    <cellStyle name="40% - Accent3 12 7" xfId="5218" xr:uid="{00000000-0005-0000-0000-00003D590000}"/>
    <cellStyle name="40% - Accent3 12 8" xfId="5219" xr:uid="{00000000-0005-0000-0000-00003E590000}"/>
    <cellStyle name="40% - Accent3 12_Volatility" xfId="5220" xr:uid="{00000000-0005-0000-0000-00003F590000}"/>
    <cellStyle name="40% - Accent3 13" xfId="5221" xr:uid="{00000000-0005-0000-0000-000040590000}"/>
    <cellStyle name="40% - Accent3 13 2" xfId="5222" xr:uid="{00000000-0005-0000-0000-000041590000}"/>
    <cellStyle name="40% - Accent3 13 2 2" xfId="5223" xr:uid="{00000000-0005-0000-0000-000042590000}"/>
    <cellStyle name="40% - Accent3 13 2 2 2" xfId="5224" xr:uid="{00000000-0005-0000-0000-000043590000}"/>
    <cellStyle name="40% - Accent3 13 2 2 3" xfId="5225" xr:uid="{00000000-0005-0000-0000-000044590000}"/>
    <cellStyle name="40% - Accent3 13 2 3" xfId="5226" xr:uid="{00000000-0005-0000-0000-000045590000}"/>
    <cellStyle name="40% - Accent3 13 2 3 2" xfId="5227" xr:uid="{00000000-0005-0000-0000-000046590000}"/>
    <cellStyle name="40% - Accent3 13 2 3 3" xfId="5228" xr:uid="{00000000-0005-0000-0000-000047590000}"/>
    <cellStyle name="40% - Accent3 13 2 4" xfId="5229" xr:uid="{00000000-0005-0000-0000-000048590000}"/>
    <cellStyle name="40% - Accent3 13 2 4 2" xfId="5230" xr:uid="{00000000-0005-0000-0000-000049590000}"/>
    <cellStyle name="40% - Accent3 13 2 4 3" xfId="5231" xr:uid="{00000000-0005-0000-0000-00004A590000}"/>
    <cellStyle name="40% - Accent3 13 2 5" xfId="5232" xr:uid="{00000000-0005-0000-0000-00004B590000}"/>
    <cellStyle name="40% - Accent3 13 2 6" xfId="5233" xr:uid="{00000000-0005-0000-0000-00004C590000}"/>
    <cellStyle name="40% - Accent3 13 2_Volatility" xfId="5234" xr:uid="{00000000-0005-0000-0000-00004D590000}"/>
    <cellStyle name="40% - Accent3 13 3" xfId="5235" xr:uid="{00000000-0005-0000-0000-00004E590000}"/>
    <cellStyle name="40% - Accent3 13 3 2" xfId="5236" xr:uid="{00000000-0005-0000-0000-00004F590000}"/>
    <cellStyle name="40% - Accent3 13 3 2 2" xfId="5237" xr:uid="{00000000-0005-0000-0000-000050590000}"/>
    <cellStyle name="40% - Accent3 13 3 2 3" xfId="5238" xr:uid="{00000000-0005-0000-0000-000051590000}"/>
    <cellStyle name="40% - Accent3 13 3 3" xfId="5239" xr:uid="{00000000-0005-0000-0000-000052590000}"/>
    <cellStyle name="40% - Accent3 13 3 3 2" xfId="5240" xr:uid="{00000000-0005-0000-0000-000053590000}"/>
    <cellStyle name="40% - Accent3 13 3 3 3" xfId="5241" xr:uid="{00000000-0005-0000-0000-000054590000}"/>
    <cellStyle name="40% - Accent3 13 3 4" xfId="5242" xr:uid="{00000000-0005-0000-0000-000055590000}"/>
    <cellStyle name="40% - Accent3 13 3 5" xfId="5243" xr:uid="{00000000-0005-0000-0000-000056590000}"/>
    <cellStyle name="40% - Accent3 13 3_Volatility" xfId="5244" xr:uid="{00000000-0005-0000-0000-000057590000}"/>
    <cellStyle name="40% - Accent3 13 4" xfId="5245" xr:uid="{00000000-0005-0000-0000-000058590000}"/>
    <cellStyle name="40% - Accent3 13 4 2" xfId="5246" xr:uid="{00000000-0005-0000-0000-000059590000}"/>
    <cellStyle name="40% - Accent3 13 4 3" xfId="5247" xr:uid="{00000000-0005-0000-0000-00005A590000}"/>
    <cellStyle name="40% - Accent3 13 5" xfId="5248" xr:uid="{00000000-0005-0000-0000-00005B590000}"/>
    <cellStyle name="40% - Accent3 13 5 2" xfId="5249" xr:uid="{00000000-0005-0000-0000-00005C590000}"/>
    <cellStyle name="40% - Accent3 13 5 3" xfId="5250" xr:uid="{00000000-0005-0000-0000-00005D590000}"/>
    <cellStyle name="40% - Accent3 13 6" xfId="5251" xr:uid="{00000000-0005-0000-0000-00005E590000}"/>
    <cellStyle name="40% - Accent3 13 6 2" xfId="5252" xr:uid="{00000000-0005-0000-0000-00005F590000}"/>
    <cellStyle name="40% - Accent3 13 6 3" xfId="5253" xr:uid="{00000000-0005-0000-0000-000060590000}"/>
    <cellStyle name="40% - Accent3 13 7" xfId="5254" xr:uid="{00000000-0005-0000-0000-000061590000}"/>
    <cellStyle name="40% - Accent3 13 8" xfId="5255" xr:uid="{00000000-0005-0000-0000-000062590000}"/>
    <cellStyle name="40% - Accent3 13_Volatility" xfId="5256" xr:uid="{00000000-0005-0000-0000-000063590000}"/>
    <cellStyle name="40% - Accent3 14" xfId="5257" xr:uid="{00000000-0005-0000-0000-000064590000}"/>
    <cellStyle name="40% - Accent3 14 2" xfId="5258" xr:uid="{00000000-0005-0000-0000-000065590000}"/>
    <cellStyle name="40% - Accent3 14 2 2" xfId="5259" xr:uid="{00000000-0005-0000-0000-000066590000}"/>
    <cellStyle name="40% - Accent3 14 2 2 2" xfId="5260" xr:uid="{00000000-0005-0000-0000-000067590000}"/>
    <cellStyle name="40% - Accent3 14 2 2 3" xfId="5261" xr:uid="{00000000-0005-0000-0000-000068590000}"/>
    <cellStyle name="40% - Accent3 14 2 3" xfId="5262" xr:uid="{00000000-0005-0000-0000-000069590000}"/>
    <cellStyle name="40% - Accent3 14 2 3 2" xfId="5263" xr:uid="{00000000-0005-0000-0000-00006A590000}"/>
    <cellStyle name="40% - Accent3 14 2 3 3" xfId="5264" xr:uid="{00000000-0005-0000-0000-00006B590000}"/>
    <cellStyle name="40% - Accent3 14 2 4" xfId="5265" xr:uid="{00000000-0005-0000-0000-00006C590000}"/>
    <cellStyle name="40% - Accent3 14 2 4 2" xfId="5266" xr:uid="{00000000-0005-0000-0000-00006D590000}"/>
    <cellStyle name="40% - Accent3 14 2 4 3" xfId="5267" xr:uid="{00000000-0005-0000-0000-00006E590000}"/>
    <cellStyle name="40% - Accent3 14 2 5" xfId="5268" xr:uid="{00000000-0005-0000-0000-00006F590000}"/>
    <cellStyle name="40% - Accent3 14 2 6" xfId="5269" xr:uid="{00000000-0005-0000-0000-000070590000}"/>
    <cellStyle name="40% - Accent3 14 2_Volatility" xfId="5270" xr:uid="{00000000-0005-0000-0000-000071590000}"/>
    <cellStyle name="40% - Accent3 14 3" xfId="5271" xr:uid="{00000000-0005-0000-0000-000072590000}"/>
    <cellStyle name="40% - Accent3 14 3 2" xfId="5272" xr:uid="{00000000-0005-0000-0000-000073590000}"/>
    <cellStyle name="40% - Accent3 14 3 2 2" xfId="5273" xr:uid="{00000000-0005-0000-0000-000074590000}"/>
    <cellStyle name="40% - Accent3 14 3 2 3" xfId="5274" xr:uid="{00000000-0005-0000-0000-000075590000}"/>
    <cellStyle name="40% - Accent3 14 3 3" xfId="5275" xr:uid="{00000000-0005-0000-0000-000076590000}"/>
    <cellStyle name="40% - Accent3 14 3 3 2" xfId="5276" xr:uid="{00000000-0005-0000-0000-000077590000}"/>
    <cellStyle name="40% - Accent3 14 3 3 3" xfId="5277" xr:uid="{00000000-0005-0000-0000-000078590000}"/>
    <cellStyle name="40% - Accent3 14 3 4" xfId="5278" xr:uid="{00000000-0005-0000-0000-000079590000}"/>
    <cellStyle name="40% - Accent3 14 3 5" xfId="5279" xr:uid="{00000000-0005-0000-0000-00007A590000}"/>
    <cellStyle name="40% - Accent3 14 3_Volatility" xfId="5280" xr:uid="{00000000-0005-0000-0000-00007B590000}"/>
    <cellStyle name="40% - Accent3 14 4" xfId="5281" xr:uid="{00000000-0005-0000-0000-00007C590000}"/>
    <cellStyle name="40% - Accent3 14 4 2" xfId="5282" xr:uid="{00000000-0005-0000-0000-00007D590000}"/>
    <cellStyle name="40% - Accent3 14 4 3" xfId="5283" xr:uid="{00000000-0005-0000-0000-00007E590000}"/>
    <cellStyle name="40% - Accent3 14 5" xfId="5284" xr:uid="{00000000-0005-0000-0000-00007F590000}"/>
    <cellStyle name="40% - Accent3 14 5 2" xfId="5285" xr:uid="{00000000-0005-0000-0000-000080590000}"/>
    <cellStyle name="40% - Accent3 14 5 3" xfId="5286" xr:uid="{00000000-0005-0000-0000-000081590000}"/>
    <cellStyle name="40% - Accent3 14 6" xfId="5287" xr:uid="{00000000-0005-0000-0000-000082590000}"/>
    <cellStyle name="40% - Accent3 14 6 2" xfId="5288" xr:uid="{00000000-0005-0000-0000-000083590000}"/>
    <cellStyle name="40% - Accent3 14 6 3" xfId="5289" xr:uid="{00000000-0005-0000-0000-000084590000}"/>
    <cellStyle name="40% - Accent3 14 7" xfId="5290" xr:uid="{00000000-0005-0000-0000-000085590000}"/>
    <cellStyle name="40% - Accent3 14 8" xfId="5291" xr:uid="{00000000-0005-0000-0000-000086590000}"/>
    <cellStyle name="40% - Accent3 14_Volatility" xfId="5292" xr:uid="{00000000-0005-0000-0000-000087590000}"/>
    <cellStyle name="40% - Accent3 15" xfId="5293" xr:uid="{00000000-0005-0000-0000-000088590000}"/>
    <cellStyle name="40% - Accent3 15 2" xfId="5294" xr:uid="{00000000-0005-0000-0000-000089590000}"/>
    <cellStyle name="40% - Accent3 15 2 2" xfId="5295" xr:uid="{00000000-0005-0000-0000-00008A590000}"/>
    <cellStyle name="40% - Accent3 15 2 2 2" xfId="5296" xr:uid="{00000000-0005-0000-0000-00008B590000}"/>
    <cellStyle name="40% - Accent3 15 2 2 3" xfId="5297" xr:uid="{00000000-0005-0000-0000-00008C590000}"/>
    <cellStyle name="40% - Accent3 15 2 3" xfId="5298" xr:uid="{00000000-0005-0000-0000-00008D590000}"/>
    <cellStyle name="40% - Accent3 15 2 3 2" xfId="5299" xr:uid="{00000000-0005-0000-0000-00008E590000}"/>
    <cellStyle name="40% - Accent3 15 2 3 3" xfId="5300" xr:uid="{00000000-0005-0000-0000-00008F590000}"/>
    <cellStyle name="40% - Accent3 15 2 4" xfId="5301" xr:uid="{00000000-0005-0000-0000-000090590000}"/>
    <cellStyle name="40% - Accent3 15 2 4 2" xfId="5302" xr:uid="{00000000-0005-0000-0000-000091590000}"/>
    <cellStyle name="40% - Accent3 15 2 4 3" xfId="5303" xr:uid="{00000000-0005-0000-0000-000092590000}"/>
    <cellStyle name="40% - Accent3 15 2 5" xfId="5304" xr:uid="{00000000-0005-0000-0000-000093590000}"/>
    <cellStyle name="40% - Accent3 15 2 6" xfId="5305" xr:uid="{00000000-0005-0000-0000-000094590000}"/>
    <cellStyle name="40% - Accent3 15 2_Volatility" xfId="5306" xr:uid="{00000000-0005-0000-0000-000095590000}"/>
    <cellStyle name="40% - Accent3 15 3" xfId="5307" xr:uid="{00000000-0005-0000-0000-000096590000}"/>
    <cellStyle name="40% - Accent3 15 3 2" xfId="5308" xr:uid="{00000000-0005-0000-0000-000097590000}"/>
    <cellStyle name="40% - Accent3 15 3 2 2" xfId="5309" xr:uid="{00000000-0005-0000-0000-000098590000}"/>
    <cellStyle name="40% - Accent3 15 3 2 3" xfId="5310" xr:uid="{00000000-0005-0000-0000-000099590000}"/>
    <cellStyle name="40% - Accent3 15 3 3" xfId="5311" xr:uid="{00000000-0005-0000-0000-00009A590000}"/>
    <cellStyle name="40% - Accent3 15 3 3 2" xfId="5312" xr:uid="{00000000-0005-0000-0000-00009B590000}"/>
    <cellStyle name="40% - Accent3 15 3 3 3" xfId="5313" xr:uid="{00000000-0005-0000-0000-00009C590000}"/>
    <cellStyle name="40% - Accent3 15 3 4" xfId="5314" xr:uid="{00000000-0005-0000-0000-00009D590000}"/>
    <cellStyle name="40% - Accent3 15 3 5" xfId="5315" xr:uid="{00000000-0005-0000-0000-00009E590000}"/>
    <cellStyle name="40% - Accent3 15 3_Volatility" xfId="5316" xr:uid="{00000000-0005-0000-0000-00009F590000}"/>
    <cellStyle name="40% - Accent3 15 4" xfId="5317" xr:uid="{00000000-0005-0000-0000-0000A0590000}"/>
    <cellStyle name="40% - Accent3 15 4 2" xfId="5318" xr:uid="{00000000-0005-0000-0000-0000A1590000}"/>
    <cellStyle name="40% - Accent3 15 4 3" xfId="5319" xr:uid="{00000000-0005-0000-0000-0000A2590000}"/>
    <cellStyle name="40% - Accent3 15 5" xfId="5320" xr:uid="{00000000-0005-0000-0000-0000A3590000}"/>
    <cellStyle name="40% - Accent3 15 5 2" xfId="5321" xr:uid="{00000000-0005-0000-0000-0000A4590000}"/>
    <cellStyle name="40% - Accent3 15 5 3" xfId="5322" xr:uid="{00000000-0005-0000-0000-0000A5590000}"/>
    <cellStyle name="40% - Accent3 15 6" xfId="5323" xr:uid="{00000000-0005-0000-0000-0000A6590000}"/>
    <cellStyle name="40% - Accent3 15 6 2" xfId="5324" xr:uid="{00000000-0005-0000-0000-0000A7590000}"/>
    <cellStyle name="40% - Accent3 15 6 3" xfId="5325" xr:uid="{00000000-0005-0000-0000-0000A8590000}"/>
    <cellStyle name="40% - Accent3 15 7" xfId="5326" xr:uid="{00000000-0005-0000-0000-0000A9590000}"/>
    <cellStyle name="40% - Accent3 15 8" xfId="5327" xr:uid="{00000000-0005-0000-0000-0000AA590000}"/>
    <cellStyle name="40% - Accent3 15_Volatility" xfId="5328" xr:uid="{00000000-0005-0000-0000-0000AB590000}"/>
    <cellStyle name="40% - Accent3 16" xfId="5329" xr:uid="{00000000-0005-0000-0000-0000AC590000}"/>
    <cellStyle name="40% - Accent3 16 2" xfId="15933" xr:uid="{00000000-0005-0000-0000-0000AD590000}"/>
    <cellStyle name="40% - Accent3 16 2 2" xfId="27790" xr:uid="{00000000-0005-0000-0000-0000AE590000}"/>
    <cellStyle name="40% - Accent3 16 3" xfId="19884" xr:uid="{00000000-0005-0000-0000-0000AF590000}"/>
    <cellStyle name="40% - Accent3 16 3 2" xfId="31576" xr:uid="{00000000-0005-0000-0000-0000B0590000}"/>
    <cellStyle name="40% - Accent3 16 4" xfId="23930" xr:uid="{00000000-0005-0000-0000-0000B1590000}"/>
    <cellStyle name="40% - Accent3 17" xfId="5330" xr:uid="{00000000-0005-0000-0000-0000B2590000}"/>
    <cellStyle name="40% - Accent3 17 2" xfId="15934" xr:uid="{00000000-0005-0000-0000-0000B3590000}"/>
    <cellStyle name="40% - Accent3 17 2 2" xfId="27791" xr:uid="{00000000-0005-0000-0000-0000B4590000}"/>
    <cellStyle name="40% - Accent3 17 3" xfId="19885" xr:uid="{00000000-0005-0000-0000-0000B5590000}"/>
    <cellStyle name="40% - Accent3 17 3 2" xfId="31577" xr:uid="{00000000-0005-0000-0000-0000B6590000}"/>
    <cellStyle name="40% - Accent3 17 4" xfId="23931" xr:uid="{00000000-0005-0000-0000-0000B7590000}"/>
    <cellStyle name="40% - Accent3 18" xfId="5331" xr:uid="{00000000-0005-0000-0000-0000B8590000}"/>
    <cellStyle name="40% - Accent3 18 2" xfId="15935" xr:uid="{00000000-0005-0000-0000-0000B9590000}"/>
    <cellStyle name="40% - Accent3 18 2 2" xfId="27792" xr:uid="{00000000-0005-0000-0000-0000BA590000}"/>
    <cellStyle name="40% - Accent3 18 3" xfId="19886" xr:uid="{00000000-0005-0000-0000-0000BB590000}"/>
    <cellStyle name="40% - Accent3 18 3 2" xfId="31578" xr:uid="{00000000-0005-0000-0000-0000BC590000}"/>
    <cellStyle name="40% - Accent3 18 4" xfId="23932" xr:uid="{00000000-0005-0000-0000-0000BD590000}"/>
    <cellStyle name="40% - Accent3 19" xfId="5332" xr:uid="{00000000-0005-0000-0000-0000BE590000}"/>
    <cellStyle name="40% - Accent3 19 2" xfId="15936" xr:uid="{00000000-0005-0000-0000-0000BF590000}"/>
    <cellStyle name="40% - Accent3 19 2 2" xfId="27793" xr:uid="{00000000-0005-0000-0000-0000C0590000}"/>
    <cellStyle name="40% - Accent3 19 3" xfId="19887" xr:uid="{00000000-0005-0000-0000-0000C1590000}"/>
    <cellStyle name="40% - Accent3 19 3 2" xfId="31579" xr:uid="{00000000-0005-0000-0000-0000C2590000}"/>
    <cellStyle name="40% - Accent3 19 4" xfId="23933" xr:uid="{00000000-0005-0000-0000-0000C3590000}"/>
    <cellStyle name="40% - Accent3 2" xfId="5333" xr:uid="{00000000-0005-0000-0000-0000C4590000}"/>
    <cellStyle name="40% - Accent3 2 2" xfId="5334" xr:uid="{00000000-0005-0000-0000-0000C5590000}"/>
    <cellStyle name="40% - Accent3 2 2 2" xfId="5335" xr:uid="{00000000-0005-0000-0000-0000C6590000}"/>
    <cellStyle name="40% - Accent3 2 2 2 2" xfId="5336" xr:uid="{00000000-0005-0000-0000-0000C7590000}"/>
    <cellStyle name="40% - Accent3 2 2 2 3" xfId="5337" xr:uid="{00000000-0005-0000-0000-0000C8590000}"/>
    <cellStyle name="40% - Accent3 2 2 3" xfId="5338" xr:uid="{00000000-0005-0000-0000-0000C9590000}"/>
    <cellStyle name="40% - Accent3 2 2 3 2" xfId="5339" xr:uid="{00000000-0005-0000-0000-0000CA590000}"/>
    <cellStyle name="40% - Accent3 2 2 3 3" xfId="5340" xr:uid="{00000000-0005-0000-0000-0000CB590000}"/>
    <cellStyle name="40% - Accent3 2 2 4" xfId="5341" xr:uid="{00000000-0005-0000-0000-0000CC590000}"/>
    <cellStyle name="40% - Accent3 2 2 4 2" xfId="5342" xr:uid="{00000000-0005-0000-0000-0000CD590000}"/>
    <cellStyle name="40% - Accent3 2 2 4 3" xfId="5343" xr:uid="{00000000-0005-0000-0000-0000CE590000}"/>
    <cellStyle name="40% - Accent3 2 2 5" xfId="5344" xr:uid="{00000000-0005-0000-0000-0000CF590000}"/>
    <cellStyle name="40% - Accent3 2 2 6" xfId="5345" xr:uid="{00000000-0005-0000-0000-0000D0590000}"/>
    <cellStyle name="40% - Accent3 2 2_Volatility" xfId="5346" xr:uid="{00000000-0005-0000-0000-0000D1590000}"/>
    <cellStyle name="40% - Accent3 2 3" xfId="5347" xr:uid="{00000000-0005-0000-0000-0000D2590000}"/>
    <cellStyle name="40% - Accent3 2 3 2" xfId="5348" xr:uid="{00000000-0005-0000-0000-0000D3590000}"/>
    <cellStyle name="40% - Accent3 2 3 2 2" xfId="5349" xr:uid="{00000000-0005-0000-0000-0000D4590000}"/>
    <cellStyle name="40% - Accent3 2 3 2 3" xfId="5350" xr:uid="{00000000-0005-0000-0000-0000D5590000}"/>
    <cellStyle name="40% - Accent3 2 3 3" xfId="5351" xr:uid="{00000000-0005-0000-0000-0000D6590000}"/>
    <cellStyle name="40% - Accent3 2 3 3 2" xfId="5352" xr:uid="{00000000-0005-0000-0000-0000D7590000}"/>
    <cellStyle name="40% - Accent3 2 3 3 3" xfId="5353" xr:uid="{00000000-0005-0000-0000-0000D8590000}"/>
    <cellStyle name="40% - Accent3 2 3 4" xfId="5354" xr:uid="{00000000-0005-0000-0000-0000D9590000}"/>
    <cellStyle name="40% - Accent3 2 3 5" xfId="5355" xr:uid="{00000000-0005-0000-0000-0000DA590000}"/>
    <cellStyle name="40% - Accent3 2 3_Volatility" xfId="5356" xr:uid="{00000000-0005-0000-0000-0000DB590000}"/>
    <cellStyle name="40% - Accent3 2 4" xfId="5357" xr:uid="{00000000-0005-0000-0000-0000DC590000}"/>
    <cellStyle name="40% - Accent3 2 4 2" xfId="5358" xr:uid="{00000000-0005-0000-0000-0000DD590000}"/>
    <cellStyle name="40% - Accent3 2 4 3" xfId="5359" xr:uid="{00000000-0005-0000-0000-0000DE590000}"/>
    <cellStyle name="40% - Accent3 2 5" xfId="5360" xr:uid="{00000000-0005-0000-0000-0000DF590000}"/>
    <cellStyle name="40% - Accent3 2 5 2" xfId="5361" xr:uid="{00000000-0005-0000-0000-0000E0590000}"/>
    <cellStyle name="40% - Accent3 2 5 3" xfId="5362" xr:uid="{00000000-0005-0000-0000-0000E1590000}"/>
    <cellStyle name="40% - Accent3 2 6" xfId="5363" xr:uid="{00000000-0005-0000-0000-0000E2590000}"/>
    <cellStyle name="40% - Accent3 2 6 2" xfId="5364" xr:uid="{00000000-0005-0000-0000-0000E3590000}"/>
    <cellStyle name="40% - Accent3 2 6 3" xfId="5365" xr:uid="{00000000-0005-0000-0000-0000E4590000}"/>
    <cellStyle name="40% - Accent3 2 7" xfId="5366" xr:uid="{00000000-0005-0000-0000-0000E5590000}"/>
    <cellStyle name="40% - Accent3 2 8" xfId="5367" xr:uid="{00000000-0005-0000-0000-0000E6590000}"/>
    <cellStyle name="40% - Accent3 2_Volatility" xfId="5368" xr:uid="{00000000-0005-0000-0000-0000E7590000}"/>
    <cellStyle name="40% - Accent3 3" xfId="5369" xr:uid="{00000000-0005-0000-0000-0000E8590000}"/>
    <cellStyle name="40% - Accent3 3 2" xfId="5370" xr:uid="{00000000-0005-0000-0000-0000E9590000}"/>
    <cellStyle name="40% - Accent3 3 2 2" xfId="5371" xr:uid="{00000000-0005-0000-0000-0000EA590000}"/>
    <cellStyle name="40% - Accent3 3 2 2 2" xfId="5372" xr:uid="{00000000-0005-0000-0000-0000EB590000}"/>
    <cellStyle name="40% - Accent3 3 2 2 3" xfId="5373" xr:uid="{00000000-0005-0000-0000-0000EC590000}"/>
    <cellStyle name="40% - Accent3 3 2 3" xfId="5374" xr:uid="{00000000-0005-0000-0000-0000ED590000}"/>
    <cellStyle name="40% - Accent3 3 2 3 2" xfId="5375" xr:uid="{00000000-0005-0000-0000-0000EE590000}"/>
    <cellStyle name="40% - Accent3 3 2 3 3" xfId="5376" xr:uid="{00000000-0005-0000-0000-0000EF590000}"/>
    <cellStyle name="40% - Accent3 3 2 4" xfId="5377" xr:uid="{00000000-0005-0000-0000-0000F0590000}"/>
    <cellStyle name="40% - Accent3 3 2 4 2" xfId="5378" xr:uid="{00000000-0005-0000-0000-0000F1590000}"/>
    <cellStyle name="40% - Accent3 3 2 4 3" xfId="5379" xr:uid="{00000000-0005-0000-0000-0000F2590000}"/>
    <cellStyle name="40% - Accent3 3 2 5" xfId="5380" xr:uid="{00000000-0005-0000-0000-0000F3590000}"/>
    <cellStyle name="40% - Accent3 3 2 6" xfId="5381" xr:uid="{00000000-0005-0000-0000-0000F4590000}"/>
    <cellStyle name="40% - Accent3 3 2_Volatility" xfId="5382" xr:uid="{00000000-0005-0000-0000-0000F5590000}"/>
    <cellStyle name="40% - Accent3 3 3" xfId="5383" xr:uid="{00000000-0005-0000-0000-0000F6590000}"/>
    <cellStyle name="40% - Accent3 3 3 2" xfId="5384" xr:uid="{00000000-0005-0000-0000-0000F7590000}"/>
    <cellStyle name="40% - Accent3 3 3 2 2" xfId="5385" xr:uid="{00000000-0005-0000-0000-0000F8590000}"/>
    <cellStyle name="40% - Accent3 3 3 2 3" xfId="5386" xr:uid="{00000000-0005-0000-0000-0000F9590000}"/>
    <cellStyle name="40% - Accent3 3 3 3" xfId="5387" xr:uid="{00000000-0005-0000-0000-0000FA590000}"/>
    <cellStyle name="40% - Accent3 3 3 3 2" xfId="5388" xr:uid="{00000000-0005-0000-0000-0000FB590000}"/>
    <cellStyle name="40% - Accent3 3 3 3 3" xfId="5389" xr:uid="{00000000-0005-0000-0000-0000FC590000}"/>
    <cellStyle name="40% - Accent3 3 3 4" xfId="5390" xr:uid="{00000000-0005-0000-0000-0000FD590000}"/>
    <cellStyle name="40% - Accent3 3 3 5" xfId="5391" xr:uid="{00000000-0005-0000-0000-0000FE590000}"/>
    <cellStyle name="40% - Accent3 3 3_Volatility" xfId="5392" xr:uid="{00000000-0005-0000-0000-0000FF590000}"/>
    <cellStyle name="40% - Accent3 3 4" xfId="5393" xr:uid="{00000000-0005-0000-0000-0000005A0000}"/>
    <cellStyle name="40% - Accent3 3 4 2" xfId="5394" xr:uid="{00000000-0005-0000-0000-0000015A0000}"/>
    <cellStyle name="40% - Accent3 3 4 3" xfId="5395" xr:uid="{00000000-0005-0000-0000-0000025A0000}"/>
    <cellStyle name="40% - Accent3 3 5" xfId="5396" xr:uid="{00000000-0005-0000-0000-0000035A0000}"/>
    <cellStyle name="40% - Accent3 3 5 2" xfId="5397" xr:uid="{00000000-0005-0000-0000-0000045A0000}"/>
    <cellStyle name="40% - Accent3 3 5 3" xfId="5398" xr:uid="{00000000-0005-0000-0000-0000055A0000}"/>
    <cellStyle name="40% - Accent3 3 6" xfId="5399" xr:uid="{00000000-0005-0000-0000-0000065A0000}"/>
    <cellStyle name="40% - Accent3 3 6 2" xfId="5400" xr:uid="{00000000-0005-0000-0000-0000075A0000}"/>
    <cellStyle name="40% - Accent3 3 6 3" xfId="5401" xr:uid="{00000000-0005-0000-0000-0000085A0000}"/>
    <cellStyle name="40% - Accent3 3 7" xfId="5402" xr:uid="{00000000-0005-0000-0000-0000095A0000}"/>
    <cellStyle name="40% - Accent3 3 8" xfId="5403" xr:uid="{00000000-0005-0000-0000-00000A5A0000}"/>
    <cellStyle name="40% - Accent3 3_Volatility" xfId="5404" xr:uid="{00000000-0005-0000-0000-00000B5A0000}"/>
    <cellStyle name="40% - Accent3 4" xfId="5405" xr:uid="{00000000-0005-0000-0000-00000C5A0000}"/>
    <cellStyle name="40% - Accent3 4 2" xfId="5406" xr:uid="{00000000-0005-0000-0000-00000D5A0000}"/>
    <cellStyle name="40% - Accent3 4 2 2" xfId="5407" xr:uid="{00000000-0005-0000-0000-00000E5A0000}"/>
    <cellStyle name="40% - Accent3 4 2 2 2" xfId="5408" xr:uid="{00000000-0005-0000-0000-00000F5A0000}"/>
    <cellStyle name="40% - Accent3 4 2 2 3" xfId="5409" xr:uid="{00000000-0005-0000-0000-0000105A0000}"/>
    <cellStyle name="40% - Accent3 4 2 3" xfId="5410" xr:uid="{00000000-0005-0000-0000-0000115A0000}"/>
    <cellStyle name="40% - Accent3 4 2 3 2" xfId="5411" xr:uid="{00000000-0005-0000-0000-0000125A0000}"/>
    <cellStyle name="40% - Accent3 4 2 3 3" xfId="5412" xr:uid="{00000000-0005-0000-0000-0000135A0000}"/>
    <cellStyle name="40% - Accent3 4 2 4" xfId="5413" xr:uid="{00000000-0005-0000-0000-0000145A0000}"/>
    <cellStyle name="40% - Accent3 4 2 4 2" xfId="5414" xr:uid="{00000000-0005-0000-0000-0000155A0000}"/>
    <cellStyle name="40% - Accent3 4 2 4 3" xfId="5415" xr:uid="{00000000-0005-0000-0000-0000165A0000}"/>
    <cellStyle name="40% - Accent3 4 2 5" xfId="5416" xr:uid="{00000000-0005-0000-0000-0000175A0000}"/>
    <cellStyle name="40% - Accent3 4 2 6" xfId="5417" xr:uid="{00000000-0005-0000-0000-0000185A0000}"/>
    <cellStyle name="40% - Accent3 4 2_Volatility" xfId="5418" xr:uid="{00000000-0005-0000-0000-0000195A0000}"/>
    <cellStyle name="40% - Accent3 4 3" xfId="5419" xr:uid="{00000000-0005-0000-0000-00001A5A0000}"/>
    <cellStyle name="40% - Accent3 4 3 2" xfId="5420" xr:uid="{00000000-0005-0000-0000-00001B5A0000}"/>
    <cellStyle name="40% - Accent3 4 3 2 2" xfId="5421" xr:uid="{00000000-0005-0000-0000-00001C5A0000}"/>
    <cellStyle name="40% - Accent3 4 3 2 3" xfId="5422" xr:uid="{00000000-0005-0000-0000-00001D5A0000}"/>
    <cellStyle name="40% - Accent3 4 3 3" xfId="5423" xr:uid="{00000000-0005-0000-0000-00001E5A0000}"/>
    <cellStyle name="40% - Accent3 4 3 3 2" xfId="5424" xr:uid="{00000000-0005-0000-0000-00001F5A0000}"/>
    <cellStyle name="40% - Accent3 4 3 3 3" xfId="5425" xr:uid="{00000000-0005-0000-0000-0000205A0000}"/>
    <cellStyle name="40% - Accent3 4 3 4" xfId="5426" xr:uid="{00000000-0005-0000-0000-0000215A0000}"/>
    <cellStyle name="40% - Accent3 4 3 5" xfId="5427" xr:uid="{00000000-0005-0000-0000-0000225A0000}"/>
    <cellStyle name="40% - Accent3 4 3_Volatility" xfId="5428" xr:uid="{00000000-0005-0000-0000-0000235A0000}"/>
    <cellStyle name="40% - Accent3 4 4" xfId="5429" xr:uid="{00000000-0005-0000-0000-0000245A0000}"/>
    <cellStyle name="40% - Accent3 4 4 2" xfId="5430" xr:uid="{00000000-0005-0000-0000-0000255A0000}"/>
    <cellStyle name="40% - Accent3 4 4 3" xfId="5431" xr:uid="{00000000-0005-0000-0000-0000265A0000}"/>
    <cellStyle name="40% - Accent3 4 5" xfId="5432" xr:uid="{00000000-0005-0000-0000-0000275A0000}"/>
    <cellStyle name="40% - Accent3 4 5 2" xfId="5433" xr:uid="{00000000-0005-0000-0000-0000285A0000}"/>
    <cellStyle name="40% - Accent3 4 5 3" xfId="5434" xr:uid="{00000000-0005-0000-0000-0000295A0000}"/>
    <cellStyle name="40% - Accent3 4 6" xfId="5435" xr:uid="{00000000-0005-0000-0000-00002A5A0000}"/>
    <cellStyle name="40% - Accent3 4 6 2" xfId="5436" xr:uid="{00000000-0005-0000-0000-00002B5A0000}"/>
    <cellStyle name="40% - Accent3 4 6 3" xfId="5437" xr:uid="{00000000-0005-0000-0000-00002C5A0000}"/>
    <cellStyle name="40% - Accent3 4 7" xfId="5438" xr:uid="{00000000-0005-0000-0000-00002D5A0000}"/>
    <cellStyle name="40% - Accent3 4 8" xfId="5439" xr:uid="{00000000-0005-0000-0000-00002E5A0000}"/>
    <cellStyle name="40% - Accent3 4_Volatility" xfId="5440" xr:uid="{00000000-0005-0000-0000-00002F5A0000}"/>
    <cellStyle name="40% - Accent3 5" xfId="5441" xr:uid="{00000000-0005-0000-0000-0000305A0000}"/>
    <cellStyle name="40% - Accent3 5 2" xfId="5442" xr:uid="{00000000-0005-0000-0000-0000315A0000}"/>
    <cellStyle name="40% - Accent3 5 2 2" xfId="5443" xr:uid="{00000000-0005-0000-0000-0000325A0000}"/>
    <cellStyle name="40% - Accent3 5 2 2 2" xfId="5444" xr:uid="{00000000-0005-0000-0000-0000335A0000}"/>
    <cellStyle name="40% - Accent3 5 2 2 3" xfId="5445" xr:uid="{00000000-0005-0000-0000-0000345A0000}"/>
    <cellStyle name="40% - Accent3 5 2 3" xfId="5446" xr:uid="{00000000-0005-0000-0000-0000355A0000}"/>
    <cellStyle name="40% - Accent3 5 2 3 2" xfId="5447" xr:uid="{00000000-0005-0000-0000-0000365A0000}"/>
    <cellStyle name="40% - Accent3 5 2 3 3" xfId="5448" xr:uid="{00000000-0005-0000-0000-0000375A0000}"/>
    <cellStyle name="40% - Accent3 5 2 4" xfId="5449" xr:uid="{00000000-0005-0000-0000-0000385A0000}"/>
    <cellStyle name="40% - Accent3 5 2 4 2" xfId="5450" xr:uid="{00000000-0005-0000-0000-0000395A0000}"/>
    <cellStyle name="40% - Accent3 5 2 4 3" xfId="5451" xr:uid="{00000000-0005-0000-0000-00003A5A0000}"/>
    <cellStyle name="40% - Accent3 5 2 5" xfId="5452" xr:uid="{00000000-0005-0000-0000-00003B5A0000}"/>
    <cellStyle name="40% - Accent3 5 2 6" xfId="5453" xr:uid="{00000000-0005-0000-0000-00003C5A0000}"/>
    <cellStyle name="40% - Accent3 5 2_Volatility" xfId="5454" xr:uid="{00000000-0005-0000-0000-00003D5A0000}"/>
    <cellStyle name="40% - Accent3 5 3" xfId="5455" xr:uid="{00000000-0005-0000-0000-00003E5A0000}"/>
    <cellStyle name="40% - Accent3 5 3 2" xfId="5456" xr:uid="{00000000-0005-0000-0000-00003F5A0000}"/>
    <cellStyle name="40% - Accent3 5 3 2 2" xfId="5457" xr:uid="{00000000-0005-0000-0000-0000405A0000}"/>
    <cellStyle name="40% - Accent3 5 3 2 3" xfId="5458" xr:uid="{00000000-0005-0000-0000-0000415A0000}"/>
    <cellStyle name="40% - Accent3 5 3 3" xfId="5459" xr:uid="{00000000-0005-0000-0000-0000425A0000}"/>
    <cellStyle name="40% - Accent3 5 3 3 2" xfId="5460" xr:uid="{00000000-0005-0000-0000-0000435A0000}"/>
    <cellStyle name="40% - Accent3 5 3 3 3" xfId="5461" xr:uid="{00000000-0005-0000-0000-0000445A0000}"/>
    <cellStyle name="40% - Accent3 5 3 4" xfId="5462" xr:uid="{00000000-0005-0000-0000-0000455A0000}"/>
    <cellStyle name="40% - Accent3 5 3 5" xfId="5463" xr:uid="{00000000-0005-0000-0000-0000465A0000}"/>
    <cellStyle name="40% - Accent3 5 3_Volatility" xfId="5464" xr:uid="{00000000-0005-0000-0000-0000475A0000}"/>
    <cellStyle name="40% - Accent3 5 4" xfId="5465" xr:uid="{00000000-0005-0000-0000-0000485A0000}"/>
    <cellStyle name="40% - Accent3 5 4 2" xfId="5466" xr:uid="{00000000-0005-0000-0000-0000495A0000}"/>
    <cellStyle name="40% - Accent3 5 4 3" xfId="5467" xr:uid="{00000000-0005-0000-0000-00004A5A0000}"/>
    <cellStyle name="40% - Accent3 5 5" xfId="5468" xr:uid="{00000000-0005-0000-0000-00004B5A0000}"/>
    <cellStyle name="40% - Accent3 5 5 2" xfId="5469" xr:uid="{00000000-0005-0000-0000-00004C5A0000}"/>
    <cellStyle name="40% - Accent3 5 5 3" xfId="5470" xr:uid="{00000000-0005-0000-0000-00004D5A0000}"/>
    <cellStyle name="40% - Accent3 5 6" xfId="5471" xr:uid="{00000000-0005-0000-0000-00004E5A0000}"/>
    <cellStyle name="40% - Accent3 5 6 2" xfId="5472" xr:uid="{00000000-0005-0000-0000-00004F5A0000}"/>
    <cellStyle name="40% - Accent3 5 6 3" xfId="5473" xr:uid="{00000000-0005-0000-0000-0000505A0000}"/>
    <cellStyle name="40% - Accent3 5 7" xfId="5474" xr:uid="{00000000-0005-0000-0000-0000515A0000}"/>
    <cellStyle name="40% - Accent3 5 8" xfId="5475" xr:uid="{00000000-0005-0000-0000-0000525A0000}"/>
    <cellStyle name="40% - Accent3 5_Volatility" xfId="5476" xr:uid="{00000000-0005-0000-0000-0000535A0000}"/>
    <cellStyle name="40% - Accent3 6" xfId="5477" xr:uid="{00000000-0005-0000-0000-0000545A0000}"/>
    <cellStyle name="40% - Accent3 6 2" xfId="5478" xr:uid="{00000000-0005-0000-0000-0000555A0000}"/>
    <cellStyle name="40% - Accent3 6 2 2" xfId="5479" xr:uid="{00000000-0005-0000-0000-0000565A0000}"/>
    <cellStyle name="40% - Accent3 6 2 2 2" xfId="5480" xr:uid="{00000000-0005-0000-0000-0000575A0000}"/>
    <cellStyle name="40% - Accent3 6 2 2 3" xfId="5481" xr:uid="{00000000-0005-0000-0000-0000585A0000}"/>
    <cellStyle name="40% - Accent3 6 2 3" xfId="5482" xr:uid="{00000000-0005-0000-0000-0000595A0000}"/>
    <cellStyle name="40% - Accent3 6 2 3 2" xfId="5483" xr:uid="{00000000-0005-0000-0000-00005A5A0000}"/>
    <cellStyle name="40% - Accent3 6 2 3 3" xfId="5484" xr:uid="{00000000-0005-0000-0000-00005B5A0000}"/>
    <cellStyle name="40% - Accent3 6 2 4" xfId="5485" xr:uid="{00000000-0005-0000-0000-00005C5A0000}"/>
    <cellStyle name="40% - Accent3 6 2 4 2" xfId="5486" xr:uid="{00000000-0005-0000-0000-00005D5A0000}"/>
    <cellStyle name="40% - Accent3 6 2 4 3" xfId="5487" xr:uid="{00000000-0005-0000-0000-00005E5A0000}"/>
    <cellStyle name="40% - Accent3 6 2 5" xfId="5488" xr:uid="{00000000-0005-0000-0000-00005F5A0000}"/>
    <cellStyle name="40% - Accent3 6 2 6" xfId="5489" xr:uid="{00000000-0005-0000-0000-0000605A0000}"/>
    <cellStyle name="40% - Accent3 6 2_Volatility" xfId="5490" xr:uid="{00000000-0005-0000-0000-0000615A0000}"/>
    <cellStyle name="40% - Accent3 6 3" xfId="5491" xr:uid="{00000000-0005-0000-0000-0000625A0000}"/>
    <cellStyle name="40% - Accent3 6 3 2" xfId="5492" xr:uid="{00000000-0005-0000-0000-0000635A0000}"/>
    <cellStyle name="40% - Accent3 6 3 2 2" xfId="5493" xr:uid="{00000000-0005-0000-0000-0000645A0000}"/>
    <cellStyle name="40% - Accent3 6 3 2 3" xfId="5494" xr:uid="{00000000-0005-0000-0000-0000655A0000}"/>
    <cellStyle name="40% - Accent3 6 3 3" xfId="5495" xr:uid="{00000000-0005-0000-0000-0000665A0000}"/>
    <cellStyle name="40% - Accent3 6 3 3 2" xfId="5496" xr:uid="{00000000-0005-0000-0000-0000675A0000}"/>
    <cellStyle name="40% - Accent3 6 3 3 3" xfId="5497" xr:uid="{00000000-0005-0000-0000-0000685A0000}"/>
    <cellStyle name="40% - Accent3 6 3 4" xfId="5498" xr:uid="{00000000-0005-0000-0000-0000695A0000}"/>
    <cellStyle name="40% - Accent3 6 3 5" xfId="5499" xr:uid="{00000000-0005-0000-0000-00006A5A0000}"/>
    <cellStyle name="40% - Accent3 6 3_Volatility" xfId="5500" xr:uid="{00000000-0005-0000-0000-00006B5A0000}"/>
    <cellStyle name="40% - Accent3 6 4" xfId="5501" xr:uid="{00000000-0005-0000-0000-00006C5A0000}"/>
    <cellStyle name="40% - Accent3 6 4 2" xfId="5502" xr:uid="{00000000-0005-0000-0000-00006D5A0000}"/>
    <cellStyle name="40% - Accent3 6 4 3" xfId="5503" xr:uid="{00000000-0005-0000-0000-00006E5A0000}"/>
    <cellStyle name="40% - Accent3 6 5" xfId="5504" xr:uid="{00000000-0005-0000-0000-00006F5A0000}"/>
    <cellStyle name="40% - Accent3 6 5 2" xfId="5505" xr:uid="{00000000-0005-0000-0000-0000705A0000}"/>
    <cellStyle name="40% - Accent3 6 5 3" xfId="5506" xr:uid="{00000000-0005-0000-0000-0000715A0000}"/>
    <cellStyle name="40% - Accent3 6 6" xfId="5507" xr:uid="{00000000-0005-0000-0000-0000725A0000}"/>
    <cellStyle name="40% - Accent3 6 6 2" xfId="5508" xr:uid="{00000000-0005-0000-0000-0000735A0000}"/>
    <cellStyle name="40% - Accent3 6 6 3" xfId="5509" xr:uid="{00000000-0005-0000-0000-0000745A0000}"/>
    <cellStyle name="40% - Accent3 6 7" xfId="5510" xr:uid="{00000000-0005-0000-0000-0000755A0000}"/>
    <cellStyle name="40% - Accent3 6 8" xfId="5511" xr:uid="{00000000-0005-0000-0000-0000765A0000}"/>
    <cellStyle name="40% - Accent3 6_Volatility" xfId="5512" xr:uid="{00000000-0005-0000-0000-0000775A0000}"/>
    <cellStyle name="40% - Accent3 7" xfId="5513" xr:uid="{00000000-0005-0000-0000-0000785A0000}"/>
    <cellStyle name="40% - Accent3 7 2" xfId="5514" xr:uid="{00000000-0005-0000-0000-0000795A0000}"/>
    <cellStyle name="40% - Accent3 7 2 2" xfId="5515" xr:uid="{00000000-0005-0000-0000-00007A5A0000}"/>
    <cellStyle name="40% - Accent3 7 2 2 2" xfId="5516" xr:uid="{00000000-0005-0000-0000-00007B5A0000}"/>
    <cellStyle name="40% - Accent3 7 2 2 3" xfId="5517" xr:uid="{00000000-0005-0000-0000-00007C5A0000}"/>
    <cellStyle name="40% - Accent3 7 2 3" xfId="5518" xr:uid="{00000000-0005-0000-0000-00007D5A0000}"/>
    <cellStyle name="40% - Accent3 7 2 3 2" xfId="5519" xr:uid="{00000000-0005-0000-0000-00007E5A0000}"/>
    <cellStyle name="40% - Accent3 7 2 3 3" xfId="5520" xr:uid="{00000000-0005-0000-0000-00007F5A0000}"/>
    <cellStyle name="40% - Accent3 7 2 4" xfId="5521" xr:uid="{00000000-0005-0000-0000-0000805A0000}"/>
    <cellStyle name="40% - Accent3 7 2 4 2" xfId="5522" xr:uid="{00000000-0005-0000-0000-0000815A0000}"/>
    <cellStyle name="40% - Accent3 7 2 4 3" xfId="5523" xr:uid="{00000000-0005-0000-0000-0000825A0000}"/>
    <cellStyle name="40% - Accent3 7 2 5" xfId="5524" xr:uid="{00000000-0005-0000-0000-0000835A0000}"/>
    <cellStyle name="40% - Accent3 7 2 6" xfId="5525" xr:uid="{00000000-0005-0000-0000-0000845A0000}"/>
    <cellStyle name="40% - Accent3 7 2_Volatility" xfId="5526" xr:uid="{00000000-0005-0000-0000-0000855A0000}"/>
    <cellStyle name="40% - Accent3 7 3" xfId="5527" xr:uid="{00000000-0005-0000-0000-0000865A0000}"/>
    <cellStyle name="40% - Accent3 7 3 2" xfId="5528" xr:uid="{00000000-0005-0000-0000-0000875A0000}"/>
    <cellStyle name="40% - Accent3 7 3 2 2" xfId="5529" xr:uid="{00000000-0005-0000-0000-0000885A0000}"/>
    <cellStyle name="40% - Accent3 7 3 2 3" xfId="5530" xr:uid="{00000000-0005-0000-0000-0000895A0000}"/>
    <cellStyle name="40% - Accent3 7 3 3" xfId="5531" xr:uid="{00000000-0005-0000-0000-00008A5A0000}"/>
    <cellStyle name="40% - Accent3 7 3 3 2" xfId="5532" xr:uid="{00000000-0005-0000-0000-00008B5A0000}"/>
    <cellStyle name="40% - Accent3 7 3 3 3" xfId="5533" xr:uid="{00000000-0005-0000-0000-00008C5A0000}"/>
    <cellStyle name="40% - Accent3 7 3 4" xfId="5534" xr:uid="{00000000-0005-0000-0000-00008D5A0000}"/>
    <cellStyle name="40% - Accent3 7 3 5" xfId="5535" xr:uid="{00000000-0005-0000-0000-00008E5A0000}"/>
    <cellStyle name="40% - Accent3 7 3_Volatility" xfId="5536" xr:uid="{00000000-0005-0000-0000-00008F5A0000}"/>
    <cellStyle name="40% - Accent3 7 4" xfId="5537" xr:uid="{00000000-0005-0000-0000-0000905A0000}"/>
    <cellStyle name="40% - Accent3 7 4 2" xfId="5538" xr:uid="{00000000-0005-0000-0000-0000915A0000}"/>
    <cellStyle name="40% - Accent3 7 4 3" xfId="5539" xr:uid="{00000000-0005-0000-0000-0000925A0000}"/>
    <cellStyle name="40% - Accent3 7 5" xfId="5540" xr:uid="{00000000-0005-0000-0000-0000935A0000}"/>
    <cellStyle name="40% - Accent3 7 5 2" xfId="5541" xr:uid="{00000000-0005-0000-0000-0000945A0000}"/>
    <cellStyle name="40% - Accent3 7 5 3" xfId="5542" xr:uid="{00000000-0005-0000-0000-0000955A0000}"/>
    <cellStyle name="40% - Accent3 7 6" xfId="5543" xr:uid="{00000000-0005-0000-0000-0000965A0000}"/>
    <cellStyle name="40% - Accent3 7 6 2" xfId="5544" xr:uid="{00000000-0005-0000-0000-0000975A0000}"/>
    <cellStyle name="40% - Accent3 7 6 3" xfId="5545" xr:uid="{00000000-0005-0000-0000-0000985A0000}"/>
    <cellStyle name="40% - Accent3 7 7" xfId="5546" xr:uid="{00000000-0005-0000-0000-0000995A0000}"/>
    <cellStyle name="40% - Accent3 7 8" xfId="5547" xr:uid="{00000000-0005-0000-0000-00009A5A0000}"/>
    <cellStyle name="40% - Accent3 7_Volatility" xfId="5548" xr:uid="{00000000-0005-0000-0000-00009B5A0000}"/>
    <cellStyle name="40% - Accent3 8" xfId="5549" xr:uid="{00000000-0005-0000-0000-00009C5A0000}"/>
    <cellStyle name="40% - Accent3 8 2" xfId="5550" xr:uid="{00000000-0005-0000-0000-00009D5A0000}"/>
    <cellStyle name="40% - Accent3 8 2 2" xfId="5551" xr:uid="{00000000-0005-0000-0000-00009E5A0000}"/>
    <cellStyle name="40% - Accent3 8 2 2 2" xfId="5552" xr:uid="{00000000-0005-0000-0000-00009F5A0000}"/>
    <cellStyle name="40% - Accent3 8 2 2 3" xfId="5553" xr:uid="{00000000-0005-0000-0000-0000A05A0000}"/>
    <cellStyle name="40% - Accent3 8 2 3" xfId="5554" xr:uid="{00000000-0005-0000-0000-0000A15A0000}"/>
    <cellStyle name="40% - Accent3 8 2 3 2" xfId="5555" xr:uid="{00000000-0005-0000-0000-0000A25A0000}"/>
    <cellStyle name="40% - Accent3 8 2 3 3" xfId="5556" xr:uid="{00000000-0005-0000-0000-0000A35A0000}"/>
    <cellStyle name="40% - Accent3 8 2 4" xfId="5557" xr:uid="{00000000-0005-0000-0000-0000A45A0000}"/>
    <cellStyle name="40% - Accent3 8 2 4 2" xfId="5558" xr:uid="{00000000-0005-0000-0000-0000A55A0000}"/>
    <cellStyle name="40% - Accent3 8 2 4 3" xfId="5559" xr:uid="{00000000-0005-0000-0000-0000A65A0000}"/>
    <cellStyle name="40% - Accent3 8 2 5" xfId="5560" xr:uid="{00000000-0005-0000-0000-0000A75A0000}"/>
    <cellStyle name="40% - Accent3 8 2 6" xfId="5561" xr:uid="{00000000-0005-0000-0000-0000A85A0000}"/>
    <cellStyle name="40% - Accent3 8 2_Volatility" xfId="5562" xr:uid="{00000000-0005-0000-0000-0000A95A0000}"/>
    <cellStyle name="40% - Accent3 8 3" xfId="5563" xr:uid="{00000000-0005-0000-0000-0000AA5A0000}"/>
    <cellStyle name="40% - Accent3 8 3 2" xfId="5564" xr:uid="{00000000-0005-0000-0000-0000AB5A0000}"/>
    <cellStyle name="40% - Accent3 8 3 2 2" xfId="5565" xr:uid="{00000000-0005-0000-0000-0000AC5A0000}"/>
    <cellStyle name="40% - Accent3 8 3 2 3" xfId="5566" xr:uid="{00000000-0005-0000-0000-0000AD5A0000}"/>
    <cellStyle name="40% - Accent3 8 3 3" xfId="5567" xr:uid="{00000000-0005-0000-0000-0000AE5A0000}"/>
    <cellStyle name="40% - Accent3 8 3 3 2" xfId="5568" xr:uid="{00000000-0005-0000-0000-0000AF5A0000}"/>
    <cellStyle name="40% - Accent3 8 3 3 3" xfId="5569" xr:uid="{00000000-0005-0000-0000-0000B05A0000}"/>
    <cellStyle name="40% - Accent3 8 3 4" xfId="5570" xr:uid="{00000000-0005-0000-0000-0000B15A0000}"/>
    <cellStyle name="40% - Accent3 8 3 5" xfId="5571" xr:uid="{00000000-0005-0000-0000-0000B25A0000}"/>
    <cellStyle name="40% - Accent3 8 3_Volatility" xfId="5572" xr:uid="{00000000-0005-0000-0000-0000B35A0000}"/>
    <cellStyle name="40% - Accent3 8 4" xfId="5573" xr:uid="{00000000-0005-0000-0000-0000B45A0000}"/>
    <cellStyle name="40% - Accent3 8 4 2" xfId="5574" xr:uid="{00000000-0005-0000-0000-0000B55A0000}"/>
    <cellStyle name="40% - Accent3 8 4 3" xfId="5575" xr:uid="{00000000-0005-0000-0000-0000B65A0000}"/>
    <cellStyle name="40% - Accent3 8 5" xfId="5576" xr:uid="{00000000-0005-0000-0000-0000B75A0000}"/>
    <cellStyle name="40% - Accent3 8 5 2" xfId="5577" xr:uid="{00000000-0005-0000-0000-0000B85A0000}"/>
    <cellStyle name="40% - Accent3 8 5 3" xfId="5578" xr:uid="{00000000-0005-0000-0000-0000B95A0000}"/>
    <cellStyle name="40% - Accent3 8 6" xfId="5579" xr:uid="{00000000-0005-0000-0000-0000BA5A0000}"/>
    <cellStyle name="40% - Accent3 8 6 2" xfId="5580" xr:uid="{00000000-0005-0000-0000-0000BB5A0000}"/>
    <cellStyle name="40% - Accent3 8 6 3" xfId="5581" xr:uid="{00000000-0005-0000-0000-0000BC5A0000}"/>
    <cellStyle name="40% - Accent3 8 7" xfId="5582" xr:uid="{00000000-0005-0000-0000-0000BD5A0000}"/>
    <cellStyle name="40% - Accent3 8 8" xfId="5583" xr:uid="{00000000-0005-0000-0000-0000BE5A0000}"/>
    <cellStyle name="40% - Accent3 8_Volatility" xfId="5584" xr:uid="{00000000-0005-0000-0000-0000BF5A0000}"/>
    <cellStyle name="40% - Accent3 9" xfId="5585" xr:uid="{00000000-0005-0000-0000-0000C05A0000}"/>
    <cellStyle name="40% - Accent3 9 2" xfId="5586" xr:uid="{00000000-0005-0000-0000-0000C15A0000}"/>
    <cellStyle name="40% - Accent3 9 2 2" xfId="5587" xr:uid="{00000000-0005-0000-0000-0000C25A0000}"/>
    <cellStyle name="40% - Accent3 9 2 2 2" xfId="5588" xr:uid="{00000000-0005-0000-0000-0000C35A0000}"/>
    <cellStyle name="40% - Accent3 9 2 2 3" xfId="5589" xr:uid="{00000000-0005-0000-0000-0000C45A0000}"/>
    <cellStyle name="40% - Accent3 9 2 3" xfId="5590" xr:uid="{00000000-0005-0000-0000-0000C55A0000}"/>
    <cellStyle name="40% - Accent3 9 2 3 2" xfId="5591" xr:uid="{00000000-0005-0000-0000-0000C65A0000}"/>
    <cellStyle name="40% - Accent3 9 2 3 3" xfId="5592" xr:uid="{00000000-0005-0000-0000-0000C75A0000}"/>
    <cellStyle name="40% - Accent3 9 2 4" xfId="5593" xr:uid="{00000000-0005-0000-0000-0000C85A0000}"/>
    <cellStyle name="40% - Accent3 9 2 4 2" xfId="5594" xr:uid="{00000000-0005-0000-0000-0000C95A0000}"/>
    <cellStyle name="40% - Accent3 9 2 4 3" xfId="5595" xr:uid="{00000000-0005-0000-0000-0000CA5A0000}"/>
    <cellStyle name="40% - Accent3 9 2 5" xfId="5596" xr:uid="{00000000-0005-0000-0000-0000CB5A0000}"/>
    <cellStyle name="40% - Accent3 9 2 6" xfId="5597" xr:uid="{00000000-0005-0000-0000-0000CC5A0000}"/>
    <cellStyle name="40% - Accent3 9 2_Volatility" xfId="5598" xr:uid="{00000000-0005-0000-0000-0000CD5A0000}"/>
    <cellStyle name="40% - Accent3 9 3" xfId="5599" xr:uid="{00000000-0005-0000-0000-0000CE5A0000}"/>
    <cellStyle name="40% - Accent3 9 3 2" xfId="5600" xr:uid="{00000000-0005-0000-0000-0000CF5A0000}"/>
    <cellStyle name="40% - Accent3 9 3 2 2" xfId="5601" xr:uid="{00000000-0005-0000-0000-0000D05A0000}"/>
    <cellStyle name="40% - Accent3 9 3 2 3" xfId="5602" xr:uid="{00000000-0005-0000-0000-0000D15A0000}"/>
    <cellStyle name="40% - Accent3 9 3 3" xfId="5603" xr:uid="{00000000-0005-0000-0000-0000D25A0000}"/>
    <cellStyle name="40% - Accent3 9 3 3 2" xfId="5604" xr:uid="{00000000-0005-0000-0000-0000D35A0000}"/>
    <cellStyle name="40% - Accent3 9 3 3 3" xfId="5605" xr:uid="{00000000-0005-0000-0000-0000D45A0000}"/>
    <cellStyle name="40% - Accent3 9 3 4" xfId="5606" xr:uid="{00000000-0005-0000-0000-0000D55A0000}"/>
    <cellStyle name="40% - Accent3 9 3 5" xfId="5607" xr:uid="{00000000-0005-0000-0000-0000D65A0000}"/>
    <cellStyle name="40% - Accent3 9 3_Volatility" xfId="5608" xr:uid="{00000000-0005-0000-0000-0000D75A0000}"/>
    <cellStyle name="40% - Accent3 9 4" xfId="5609" xr:uid="{00000000-0005-0000-0000-0000D85A0000}"/>
    <cellStyle name="40% - Accent3 9 4 2" xfId="5610" xr:uid="{00000000-0005-0000-0000-0000D95A0000}"/>
    <cellStyle name="40% - Accent3 9 4 3" xfId="5611" xr:uid="{00000000-0005-0000-0000-0000DA5A0000}"/>
    <cellStyle name="40% - Accent3 9 5" xfId="5612" xr:uid="{00000000-0005-0000-0000-0000DB5A0000}"/>
    <cellStyle name="40% - Accent3 9 5 2" xfId="5613" xr:uid="{00000000-0005-0000-0000-0000DC5A0000}"/>
    <cellStyle name="40% - Accent3 9 5 3" xfId="5614" xr:uid="{00000000-0005-0000-0000-0000DD5A0000}"/>
    <cellStyle name="40% - Accent3 9 6" xfId="5615" xr:uid="{00000000-0005-0000-0000-0000DE5A0000}"/>
    <cellStyle name="40% - Accent3 9 6 2" xfId="5616" xr:uid="{00000000-0005-0000-0000-0000DF5A0000}"/>
    <cellStyle name="40% - Accent3 9 6 3" xfId="5617" xr:uid="{00000000-0005-0000-0000-0000E05A0000}"/>
    <cellStyle name="40% - Accent3 9 7" xfId="5618" xr:uid="{00000000-0005-0000-0000-0000E15A0000}"/>
    <cellStyle name="40% - Accent3 9 8" xfId="5619" xr:uid="{00000000-0005-0000-0000-0000E25A0000}"/>
    <cellStyle name="40% - Accent3 9_Volatility" xfId="5620" xr:uid="{00000000-0005-0000-0000-0000E35A0000}"/>
    <cellStyle name="40% - Accent4 10" xfId="5621" xr:uid="{00000000-0005-0000-0000-0000E45A0000}"/>
    <cellStyle name="40% - Accent4 10 2" xfId="5622" xr:uid="{00000000-0005-0000-0000-0000E55A0000}"/>
    <cellStyle name="40% - Accent4 10 2 2" xfId="5623" xr:uid="{00000000-0005-0000-0000-0000E65A0000}"/>
    <cellStyle name="40% - Accent4 10 2 2 2" xfId="5624" xr:uid="{00000000-0005-0000-0000-0000E75A0000}"/>
    <cellStyle name="40% - Accent4 10 2 2 3" xfId="5625" xr:uid="{00000000-0005-0000-0000-0000E85A0000}"/>
    <cellStyle name="40% - Accent4 10 2 3" xfId="5626" xr:uid="{00000000-0005-0000-0000-0000E95A0000}"/>
    <cellStyle name="40% - Accent4 10 2 3 2" xfId="5627" xr:uid="{00000000-0005-0000-0000-0000EA5A0000}"/>
    <cellStyle name="40% - Accent4 10 2 3 3" xfId="5628" xr:uid="{00000000-0005-0000-0000-0000EB5A0000}"/>
    <cellStyle name="40% - Accent4 10 2 4" xfId="5629" xr:uid="{00000000-0005-0000-0000-0000EC5A0000}"/>
    <cellStyle name="40% - Accent4 10 2 4 2" xfId="5630" xr:uid="{00000000-0005-0000-0000-0000ED5A0000}"/>
    <cellStyle name="40% - Accent4 10 2 4 3" xfId="5631" xr:uid="{00000000-0005-0000-0000-0000EE5A0000}"/>
    <cellStyle name="40% - Accent4 10 2 5" xfId="5632" xr:uid="{00000000-0005-0000-0000-0000EF5A0000}"/>
    <cellStyle name="40% - Accent4 10 2 6" xfId="5633" xr:uid="{00000000-0005-0000-0000-0000F05A0000}"/>
    <cellStyle name="40% - Accent4 10 2_Volatility" xfId="5634" xr:uid="{00000000-0005-0000-0000-0000F15A0000}"/>
    <cellStyle name="40% - Accent4 10 3" xfId="5635" xr:uid="{00000000-0005-0000-0000-0000F25A0000}"/>
    <cellStyle name="40% - Accent4 10 3 2" xfId="5636" xr:uid="{00000000-0005-0000-0000-0000F35A0000}"/>
    <cellStyle name="40% - Accent4 10 3 2 2" xfId="5637" xr:uid="{00000000-0005-0000-0000-0000F45A0000}"/>
    <cellStyle name="40% - Accent4 10 3 2 3" xfId="5638" xr:uid="{00000000-0005-0000-0000-0000F55A0000}"/>
    <cellStyle name="40% - Accent4 10 3 3" xfId="5639" xr:uid="{00000000-0005-0000-0000-0000F65A0000}"/>
    <cellStyle name="40% - Accent4 10 3 3 2" xfId="5640" xr:uid="{00000000-0005-0000-0000-0000F75A0000}"/>
    <cellStyle name="40% - Accent4 10 3 3 3" xfId="5641" xr:uid="{00000000-0005-0000-0000-0000F85A0000}"/>
    <cellStyle name="40% - Accent4 10 3 4" xfId="5642" xr:uid="{00000000-0005-0000-0000-0000F95A0000}"/>
    <cellStyle name="40% - Accent4 10 3 5" xfId="5643" xr:uid="{00000000-0005-0000-0000-0000FA5A0000}"/>
    <cellStyle name="40% - Accent4 10 3_Volatility" xfId="5644" xr:uid="{00000000-0005-0000-0000-0000FB5A0000}"/>
    <cellStyle name="40% - Accent4 10 4" xfId="5645" xr:uid="{00000000-0005-0000-0000-0000FC5A0000}"/>
    <cellStyle name="40% - Accent4 10 4 2" xfId="5646" xr:uid="{00000000-0005-0000-0000-0000FD5A0000}"/>
    <cellStyle name="40% - Accent4 10 4 3" xfId="5647" xr:uid="{00000000-0005-0000-0000-0000FE5A0000}"/>
    <cellStyle name="40% - Accent4 10 5" xfId="5648" xr:uid="{00000000-0005-0000-0000-0000FF5A0000}"/>
    <cellStyle name="40% - Accent4 10 5 2" xfId="5649" xr:uid="{00000000-0005-0000-0000-0000005B0000}"/>
    <cellStyle name="40% - Accent4 10 5 3" xfId="5650" xr:uid="{00000000-0005-0000-0000-0000015B0000}"/>
    <cellStyle name="40% - Accent4 10 6" xfId="5651" xr:uid="{00000000-0005-0000-0000-0000025B0000}"/>
    <cellStyle name="40% - Accent4 10 6 2" xfId="5652" xr:uid="{00000000-0005-0000-0000-0000035B0000}"/>
    <cellStyle name="40% - Accent4 10 6 3" xfId="5653" xr:uid="{00000000-0005-0000-0000-0000045B0000}"/>
    <cellStyle name="40% - Accent4 10 7" xfId="5654" xr:uid="{00000000-0005-0000-0000-0000055B0000}"/>
    <cellStyle name="40% - Accent4 10 8" xfId="5655" xr:uid="{00000000-0005-0000-0000-0000065B0000}"/>
    <cellStyle name="40% - Accent4 10_Volatility" xfId="5656" xr:uid="{00000000-0005-0000-0000-0000075B0000}"/>
    <cellStyle name="40% - Accent4 11" xfId="5657" xr:uid="{00000000-0005-0000-0000-0000085B0000}"/>
    <cellStyle name="40% - Accent4 11 2" xfId="5658" xr:uid="{00000000-0005-0000-0000-0000095B0000}"/>
    <cellStyle name="40% - Accent4 11 2 2" xfId="5659" xr:uid="{00000000-0005-0000-0000-00000A5B0000}"/>
    <cellStyle name="40% - Accent4 11 2 2 2" xfId="5660" xr:uid="{00000000-0005-0000-0000-00000B5B0000}"/>
    <cellStyle name="40% - Accent4 11 2 2 3" xfId="5661" xr:uid="{00000000-0005-0000-0000-00000C5B0000}"/>
    <cellStyle name="40% - Accent4 11 2 3" xfId="5662" xr:uid="{00000000-0005-0000-0000-00000D5B0000}"/>
    <cellStyle name="40% - Accent4 11 2 3 2" xfId="5663" xr:uid="{00000000-0005-0000-0000-00000E5B0000}"/>
    <cellStyle name="40% - Accent4 11 2 3 3" xfId="5664" xr:uid="{00000000-0005-0000-0000-00000F5B0000}"/>
    <cellStyle name="40% - Accent4 11 2 4" xfId="5665" xr:uid="{00000000-0005-0000-0000-0000105B0000}"/>
    <cellStyle name="40% - Accent4 11 2 4 2" xfId="5666" xr:uid="{00000000-0005-0000-0000-0000115B0000}"/>
    <cellStyle name="40% - Accent4 11 2 4 3" xfId="5667" xr:uid="{00000000-0005-0000-0000-0000125B0000}"/>
    <cellStyle name="40% - Accent4 11 2 5" xfId="5668" xr:uid="{00000000-0005-0000-0000-0000135B0000}"/>
    <cellStyle name="40% - Accent4 11 2 6" xfId="5669" xr:uid="{00000000-0005-0000-0000-0000145B0000}"/>
    <cellStyle name="40% - Accent4 11 2_Volatility" xfId="5670" xr:uid="{00000000-0005-0000-0000-0000155B0000}"/>
    <cellStyle name="40% - Accent4 11 3" xfId="5671" xr:uid="{00000000-0005-0000-0000-0000165B0000}"/>
    <cellStyle name="40% - Accent4 11 3 2" xfId="5672" xr:uid="{00000000-0005-0000-0000-0000175B0000}"/>
    <cellStyle name="40% - Accent4 11 3 2 2" xfId="5673" xr:uid="{00000000-0005-0000-0000-0000185B0000}"/>
    <cellStyle name="40% - Accent4 11 3 2 3" xfId="5674" xr:uid="{00000000-0005-0000-0000-0000195B0000}"/>
    <cellStyle name="40% - Accent4 11 3 3" xfId="5675" xr:uid="{00000000-0005-0000-0000-00001A5B0000}"/>
    <cellStyle name="40% - Accent4 11 3 3 2" xfId="5676" xr:uid="{00000000-0005-0000-0000-00001B5B0000}"/>
    <cellStyle name="40% - Accent4 11 3 3 3" xfId="5677" xr:uid="{00000000-0005-0000-0000-00001C5B0000}"/>
    <cellStyle name="40% - Accent4 11 3 4" xfId="5678" xr:uid="{00000000-0005-0000-0000-00001D5B0000}"/>
    <cellStyle name="40% - Accent4 11 3 5" xfId="5679" xr:uid="{00000000-0005-0000-0000-00001E5B0000}"/>
    <cellStyle name="40% - Accent4 11 3_Volatility" xfId="5680" xr:uid="{00000000-0005-0000-0000-00001F5B0000}"/>
    <cellStyle name="40% - Accent4 11 4" xfId="5681" xr:uid="{00000000-0005-0000-0000-0000205B0000}"/>
    <cellStyle name="40% - Accent4 11 4 2" xfId="5682" xr:uid="{00000000-0005-0000-0000-0000215B0000}"/>
    <cellStyle name="40% - Accent4 11 4 3" xfId="5683" xr:uid="{00000000-0005-0000-0000-0000225B0000}"/>
    <cellStyle name="40% - Accent4 11 5" xfId="5684" xr:uid="{00000000-0005-0000-0000-0000235B0000}"/>
    <cellStyle name="40% - Accent4 11 5 2" xfId="5685" xr:uid="{00000000-0005-0000-0000-0000245B0000}"/>
    <cellStyle name="40% - Accent4 11 5 3" xfId="5686" xr:uid="{00000000-0005-0000-0000-0000255B0000}"/>
    <cellStyle name="40% - Accent4 11 6" xfId="5687" xr:uid="{00000000-0005-0000-0000-0000265B0000}"/>
    <cellStyle name="40% - Accent4 11 6 2" xfId="5688" xr:uid="{00000000-0005-0000-0000-0000275B0000}"/>
    <cellStyle name="40% - Accent4 11 6 3" xfId="5689" xr:uid="{00000000-0005-0000-0000-0000285B0000}"/>
    <cellStyle name="40% - Accent4 11 7" xfId="5690" xr:uid="{00000000-0005-0000-0000-0000295B0000}"/>
    <cellStyle name="40% - Accent4 11 8" xfId="5691" xr:uid="{00000000-0005-0000-0000-00002A5B0000}"/>
    <cellStyle name="40% - Accent4 11_Volatility" xfId="5692" xr:uid="{00000000-0005-0000-0000-00002B5B0000}"/>
    <cellStyle name="40% - Accent4 12" xfId="5693" xr:uid="{00000000-0005-0000-0000-00002C5B0000}"/>
    <cellStyle name="40% - Accent4 12 2" xfId="5694" xr:uid="{00000000-0005-0000-0000-00002D5B0000}"/>
    <cellStyle name="40% - Accent4 12 2 2" xfId="5695" xr:uid="{00000000-0005-0000-0000-00002E5B0000}"/>
    <cellStyle name="40% - Accent4 12 2 2 2" xfId="5696" xr:uid="{00000000-0005-0000-0000-00002F5B0000}"/>
    <cellStyle name="40% - Accent4 12 2 2 3" xfId="5697" xr:uid="{00000000-0005-0000-0000-0000305B0000}"/>
    <cellStyle name="40% - Accent4 12 2 3" xfId="5698" xr:uid="{00000000-0005-0000-0000-0000315B0000}"/>
    <cellStyle name="40% - Accent4 12 2 3 2" xfId="5699" xr:uid="{00000000-0005-0000-0000-0000325B0000}"/>
    <cellStyle name="40% - Accent4 12 2 3 3" xfId="5700" xr:uid="{00000000-0005-0000-0000-0000335B0000}"/>
    <cellStyle name="40% - Accent4 12 2 4" xfId="5701" xr:uid="{00000000-0005-0000-0000-0000345B0000}"/>
    <cellStyle name="40% - Accent4 12 2 4 2" xfId="5702" xr:uid="{00000000-0005-0000-0000-0000355B0000}"/>
    <cellStyle name="40% - Accent4 12 2 4 3" xfId="5703" xr:uid="{00000000-0005-0000-0000-0000365B0000}"/>
    <cellStyle name="40% - Accent4 12 2 5" xfId="5704" xr:uid="{00000000-0005-0000-0000-0000375B0000}"/>
    <cellStyle name="40% - Accent4 12 2 6" xfId="5705" xr:uid="{00000000-0005-0000-0000-0000385B0000}"/>
    <cellStyle name="40% - Accent4 12 2_Volatility" xfId="5706" xr:uid="{00000000-0005-0000-0000-0000395B0000}"/>
    <cellStyle name="40% - Accent4 12 3" xfId="5707" xr:uid="{00000000-0005-0000-0000-00003A5B0000}"/>
    <cellStyle name="40% - Accent4 12 3 2" xfId="5708" xr:uid="{00000000-0005-0000-0000-00003B5B0000}"/>
    <cellStyle name="40% - Accent4 12 3 2 2" xfId="5709" xr:uid="{00000000-0005-0000-0000-00003C5B0000}"/>
    <cellStyle name="40% - Accent4 12 3 2 3" xfId="5710" xr:uid="{00000000-0005-0000-0000-00003D5B0000}"/>
    <cellStyle name="40% - Accent4 12 3 3" xfId="5711" xr:uid="{00000000-0005-0000-0000-00003E5B0000}"/>
    <cellStyle name="40% - Accent4 12 3 3 2" xfId="5712" xr:uid="{00000000-0005-0000-0000-00003F5B0000}"/>
    <cellStyle name="40% - Accent4 12 3 3 3" xfId="5713" xr:uid="{00000000-0005-0000-0000-0000405B0000}"/>
    <cellStyle name="40% - Accent4 12 3 4" xfId="5714" xr:uid="{00000000-0005-0000-0000-0000415B0000}"/>
    <cellStyle name="40% - Accent4 12 3 5" xfId="5715" xr:uid="{00000000-0005-0000-0000-0000425B0000}"/>
    <cellStyle name="40% - Accent4 12 3_Volatility" xfId="5716" xr:uid="{00000000-0005-0000-0000-0000435B0000}"/>
    <cellStyle name="40% - Accent4 12 4" xfId="5717" xr:uid="{00000000-0005-0000-0000-0000445B0000}"/>
    <cellStyle name="40% - Accent4 12 4 2" xfId="5718" xr:uid="{00000000-0005-0000-0000-0000455B0000}"/>
    <cellStyle name="40% - Accent4 12 4 3" xfId="5719" xr:uid="{00000000-0005-0000-0000-0000465B0000}"/>
    <cellStyle name="40% - Accent4 12 5" xfId="5720" xr:uid="{00000000-0005-0000-0000-0000475B0000}"/>
    <cellStyle name="40% - Accent4 12 5 2" xfId="5721" xr:uid="{00000000-0005-0000-0000-0000485B0000}"/>
    <cellStyle name="40% - Accent4 12 5 3" xfId="5722" xr:uid="{00000000-0005-0000-0000-0000495B0000}"/>
    <cellStyle name="40% - Accent4 12 6" xfId="5723" xr:uid="{00000000-0005-0000-0000-00004A5B0000}"/>
    <cellStyle name="40% - Accent4 12 6 2" xfId="5724" xr:uid="{00000000-0005-0000-0000-00004B5B0000}"/>
    <cellStyle name="40% - Accent4 12 6 3" xfId="5725" xr:uid="{00000000-0005-0000-0000-00004C5B0000}"/>
    <cellStyle name="40% - Accent4 12 7" xfId="5726" xr:uid="{00000000-0005-0000-0000-00004D5B0000}"/>
    <cellStyle name="40% - Accent4 12 8" xfId="5727" xr:uid="{00000000-0005-0000-0000-00004E5B0000}"/>
    <cellStyle name="40% - Accent4 12_Volatility" xfId="5728" xr:uid="{00000000-0005-0000-0000-00004F5B0000}"/>
    <cellStyle name="40% - Accent4 13" xfId="5729" xr:uid="{00000000-0005-0000-0000-0000505B0000}"/>
    <cellStyle name="40% - Accent4 13 2" xfId="5730" xr:uid="{00000000-0005-0000-0000-0000515B0000}"/>
    <cellStyle name="40% - Accent4 13 2 2" xfId="5731" xr:uid="{00000000-0005-0000-0000-0000525B0000}"/>
    <cellStyle name="40% - Accent4 13 2 2 2" xfId="5732" xr:uid="{00000000-0005-0000-0000-0000535B0000}"/>
    <cellStyle name="40% - Accent4 13 2 2 3" xfId="5733" xr:uid="{00000000-0005-0000-0000-0000545B0000}"/>
    <cellStyle name="40% - Accent4 13 2 3" xfId="5734" xr:uid="{00000000-0005-0000-0000-0000555B0000}"/>
    <cellStyle name="40% - Accent4 13 2 3 2" xfId="5735" xr:uid="{00000000-0005-0000-0000-0000565B0000}"/>
    <cellStyle name="40% - Accent4 13 2 3 3" xfId="5736" xr:uid="{00000000-0005-0000-0000-0000575B0000}"/>
    <cellStyle name="40% - Accent4 13 2 4" xfId="5737" xr:uid="{00000000-0005-0000-0000-0000585B0000}"/>
    <cellStyle name="40% - Accent4 13 2 4 2" xfId="5738" xr:uid="{00000000-0005-0000-0000-0000595B0000}"/>
    <cellStyle name="40% - Accent4 13 2 4 3" xfId="5739" xr:uid="{00000000-0005-0000-0000-00005A5B0000}"/>
    <cellStyle name="40% - Accent4 13 2 5" xfId="5740" xr:uid="{00000000-0005-0000-0000-00005B5B0000}"/>
    <cellStyle name="40% - Accent4 13 2 6" xfId="5741" xr:uid="{00000000-0005-0000-0000-00005C5B0000}"/>
    <cellStyle name="40% - Accent4 13 2_Volatility" xfId="5742" xr:uid="{00000000-0005-0000-0000-00005D5B0000}"/>
    <cellStyle name="40% - Accent4 13 3" xfId="5743" xr:uid="{00000000-0005-0000-0000-00005E5B0000}"/>
    <cellStyle name="40% - Accent4 13 3 2" xfId="5744" xr:uid="{00000000-0005-0000-0000-00005F5B0000}"/>
    <cellStyle name="40% - Accent4 13 3 2 2" xfId="5745" xr:uid="{00000000-0005-0000-0000-0000605B0000}"/>
    <cellStyle name="40% - Accent4 13 3 2 3" xfId="5746" xr:uid="{00000000-0005-0000-0000-0000615B0000}"/>
    <cellStyle name="40% - Accent4 13 3 3" xfId="5747" xr:uid="{00000000-0005-0000-0000-0000625B0000}"/>
    <cellStyle name="40% - Accent4 13 3 3 2" xfId="5748" xr:uid="{00000000-0005-0000-0000-0000635B0000}"/>
    <cellStyle name="40% - Accent4 13 3 3 3" xfId="5749" xr:uid="{00000000-0005-0000-0000-0000645B0000}"/>
    <cellStyle name="40% - Accent4 13 3 4" xfId="5750" xr:uid="{00000000-0005-0000-0000-0000655B0000}"/>
    <cellStyle name="40% - Accent4 13 3 5" xfId="5751" xr:uid="{00000000-0005-0000-0000-0000665B0000}"/>
    <cellStyle name="40% - Accent4 13 3_Volatility" xfId="5752" xr:uid="{00000000-0005-0000-0000-0000675B0000}"/>
    <cellStyle name="40% - Accent4 13 4" xfId="5753" xr:uid="{00000000-0005-0000-0000-0000685B0000}"/>
    <cellStyle name="40% - Accent4 13 4 2" xfId="5754" xr:uid="{00000000-0005-0000-0000-0000695B0000}"/>
    <cellStyle name="40% - Accent4 13 4 3" xfId="5755" xr:uid="{00000000-0005-0000-0000-00006A5B0000}"/>
    <cellStyle name="40% - Accent4 13 5" xfId="5756" xr:uid="{00000000-0005-0000-0000-00006B5B0000}"/>
    <cellStyle name="40% - Accent4 13 5 2" xfId="5757" xr:uid="{00000000-0005-0000-0000-00006C5B0000}"/>
    <cellStyle name="40% - Accent4 13 5 3" xfId="5758" xr:uid="{00000000-0005-0000-0000-00006D5B0000}"/>
    <cellStyle name="40% - Accent4 13 6" xfId="5759" xr:uid="{00000000-0005-0000-0000-00006E5B0000}"/>
    <cellStyle name="40% - Accent4 13 6 2" xfId="5760" xr:uid="{00000000-0005-0000-0000-00006F5B0000}"/>
    <cellStyle name="40% - Accent4 13 6 3" xfId="5761" xr:uid="{00000000-0005-0000-0000-0000705B0000}"/>
    <cellStyle name="40% - Accent4 13 7" xfId="5762" xr:uid="{00000000-0005-0000-0000-0000715B0000}"/>
    <cellStyle name="40% - Accent4 13 8" xfId="5763" xr:uid="{00000000-0005-0000-0000-0000725B0000}"/>
    <cellStyle name="40% - Accent4 13_Volatility" xfId="5764" xr:uid="{00000000-0005-0000-0000-0000735B0000}"/>
    <cellStyle name="40% - Accent4 14" xfId="5765" xr:uid="{00000000-0005-0000-0000-0000745B0000}"/>
    <cellStyle name="40% - Accent4 14 2" xfId="5766" xr:uid="{00000000-0005-0000-0000-0000755B0000}"/>
    <cellStyle name="40% - Accent4 14 2 2" xfId="5767" xr:uid="{00000000-0005-0000-0000-0000765B0000}"/>
    <cellStyle name="40% - Accent4 14 2 2 2" xfId="5768" xr:uid="{00000000-0005-0000-0000-0000775B0000}"/>
    <cellStyle name="40% - Accent4 14 2 2 3" xfId="5769" xr:uid="{00000000-0005-0000-0000-0000785B0000}"/>
    <cellStyle name="40% - Accent4 14 2 3" xfId="5770" xr:uid="{00000000-0005-0000-0000-0000795B0000}"/>
    <cellStyle name="40% - Accent4 14 2 3 2" xfId="5771" xr:uid="{00000000-0005-0000-0000-00007A5B0000}"/>
    <cellStyle name="40% - Accent4 14 2 3 3" xfId="5772" xr:uid="{00000000-0005-0000-0000-00007B5B0000}"/>
    <cellStyle name="40% - Accent4 14 2 4" xfId="5773" xr:uid="{00000000-0005-0000-0000-00007C5B0000}"/>
    <cellStyle name="40% - Accent4 14 2 4 2" xfId="5774" xr:uid="{00000000-0005-0000-0000-00007D5B0000}"/>
    <cellStyle name="40% - Accent4 14 2 4 3" xfId="5775" xr:uid="{00000000-0005-0000-0000-00007E5B0000}"/>
    <cellStyle name="40% - Accent4 14 2 5" xfId="5776" xr:uid="{00000000-0005-0000-0000-00007F5B0000}"/>
    <cellStyle name="40% - Accent4 14 2 6" xfId="5777" xr:uid="{00000000-0005-0000-0000-0000805B0000}"/>
    <cellStyle name="40% - Accent4 14 2_Volatility" xfId="5778" xr:uid="{00000000-0005-0000-0000-0000815B0000}"/>
    <cellStyle name="40% - Accent4 14 3" xfId="5779" xr:uid="{00000000-0005-0000-0000-0000825B0000}"/>
    <cellStyle name="40% - Accent4 14 3 2" xfId="5780" xr:uid="{00000000-0005-0000-0000-0000835B0000}"/>
    <cellStyle name="40% - Accent4 14 3 2 2" xfId="5781" xr:uid="{00000000-0005-0000-0000-0000845B0000}"/>
    <cellStyle name="40% - Accent4 14 3 2 3" xfId="5782" xr:uid="{00000000-0005-0000-0000-0000855B0000}"/>
    <cellStyle name="40% - Accent4 14 3 3" xfId="5783" xr:uid="{00000000-0005-0000-0000-0000865B0000}"/>
    <cellStyle name="40% - Accent4 14 3 3 2" xfId="5784" xr:uid="{00000000-0005-0000-0000-0000875B0000}"/>
    <cellStyle name="40% - Accent4 14 3 3 3" xfId="5785" xr:uid="{00000000-0005-0000-0000-0000885B0000}"/>
    <cellStyle name="40% - Accent4 14 3 4" xfId="5786" xr:uid="{00000000-0005-0000-0000-0000895B0000}"/>
    <cellStyle name="40% - Accent4 14 3 5" xfId="5787" xr:uid="{00000000-0005-0000-0000-00008A5B0000}"/>
    <cellStyle name="40% - Accent4 14 3_Volatility" xfId="5788" xr:uid="{00000000-0005-0000-0000-00008B5B0000}"/>
    <cellStyle name="40% - Accent4 14 4" xfId="5789" xr:uid="{00000000-0005-0000-0000-00008C5B0000}"/>
    <cellStyle name="40% - Accent4 14 4 2" xfId="5790" xr:uid="{00000000-0005-0000-0000-00008D5B0000}"/>
    <cellStyle name="40% - Accent4 14 4 3" xfId="5791" xr:uid="{00000000-0005-0000-0000-00008E5B0000}"/>
    <cellStyle name="40% - Accent4 14 5" xfId="5792" xr:uid="{00000000-0005-0000-0000-00008F5B0000}"/>
    <cellStyle name="40% - Accent4 14 5 2" xfId="5793" xr:uid="{00000000-0005-0000-0000-0000905B0000}"/>
    <cellStyle name="40% - Accent4 14 5 3" xfId="5794" xr:uid="{00000000-0005-0000-0000-0000915B0000}"/>
    <cellStyle name="40% - Accent4 14 6" xfId="5795" xr:uid="{00000000-0005-0000-0000-0000925B0000}"/>
    <cellStyle name="40% - Accent4 14 6 2" xfId="5796" xr:uid="{00000000-0005-0000-0000-0000935B0000}"/>
    <cellStyle name="40% - Accent4 14 6 3" xfId="5797" xr:uid="{00000000-0005-0000-0000-0000945B0000}"/>
    <cellStyle name="40% - Accent4 14 7" xfId="5798" xr:uid="{00000000-0005-0000-0000-0000955B0000}"/>
    <cellStyle name="40% - Accent4 14 8" xfId="5799" xr:uid="{00000000-0005-0000-0000-0000965B0000}"/>
    <cellStyle name="40% - Accent4 14_Volatility" xfId="5800" xr:uid="{00000000-0005-0000-0000-0000975B0000}"/>
    <cellStyle name="40% - Accent4 15" xfId="5801" xr:uid="{00000000-0005-0000-0000-0000985B0000}"/>
    <cellStyle name="40% - Accent4 15 2" xfId="5802" xr:uid="{00000000-0005-0000-0000-0000995B0000}"/>
    <cellStyle name="40% - Accent4 15 2 2" xfId="5803" xr:uid="{00000000-0005-0000-0000-00009A5B0000}"/>
    <cellStyle name="40% - Accent4 15 2 2 2" xfId="5804" xr:uid="{00000000-0005-0000-0000-00009B5B0000}"/>
    <cellStyle name="40% - Accent4 15 2 2 3" xfId="5805" xr:uid="{00000000-0005-0000-0000-00009C5B0000}"/>
    <cellStyle name="40% - Accent4 15 2 3" xfId="5806" xr:uid="{00000000-0005-0000-0000-00009D5B0000}"/>
    <cellStyle name="40% - Accent4 15 2 3 2" xfId="5807" xr:uid="{00000000-0005-0000-0000-00009E5B0000}"/>
    <cellStyle name="40% - Accent4 15 2 3 3" xfId="5808" xr:uid="{00000000-0005-0000-0000-00009F5B0000}"/>
    <cellStyle name="40% - Accent4 15 2 4" xfId="5809" xr:uid="{00000000-0005-0000-0000-0000A05B0000}"/>
    <cellStyle name="40% - Accent4 15 2 4 2" xfId="5810" xr:uid="{00000000-0005-0000-0000-0000A15B0000}"/>
    <cellStyle name="40% - Accent4 15 2 4 3" xfId="5811" xr:uid="{00000000-0005-0000-0000-0000A25B0000}"/>
    <cellStyle name="40% - Accent4 15 2 5" xfId="5812" xr:uid="{00000000-0005-0000-0000-0000A35B0000}"/>
    <cellStyle name="40% - Accent4 15 2 6" xfId="5813" xr:uid="{00000000-0005-0000-0000-0000A45B0000}"/>
    <cellStyle name="40% - Accent4 15 2_Volatility" xfId="5814" xr:uid="{00000000-0005-0000-0000-0000A55B0000}"/>
    <cellStyle name="40% - Accent4 15 3" xfId="5815" xr:uid="{00000000-0005-0000-0000-0000A65B0000}"/>
    <cellStyle name="40% - Accent4 15 3 2" xfId="5816" xr:uid="{00000000-0005-0000-0000-0000A75B0000}"/>
    <cellStyle name="40% - Accent4 15 3 2 2" xfId="5817" xr:uid="{00000000-0005-0000-0000-0000A85B0000}"/>
    <cellStyle name="40% - Accent4 15 3 2 3" xfId="5818" xr:uid="{00000000-0005-0000-0000-0000A95B0000}"/>
    <cellStyle name="40% - Accent4 15 3 3" xfId="5819" xr:uid="{00000000-0005-0000-0000-0000AA5B0000}"/>
    <cellStyle name="40% - Accent4 15 3 3 2" xfId="5820" xr:uid="{00000000-0005-0000-0000-0000AB5B0000}"/>
    <cellStyle name="40% - Accent4 15 3 3 3" xfId="5821" xr:uid="{00000000-0005-0000-0000-0000AC5B0000}"/>
    <cellStyle name="40% - Accent4 15 3 4" xfId="5822" xr:uid="{00000000-0005-0000-0000-0000AD5B0000}"/>
    <cellStyle name="40% - Accent4 15 3 5" xfId="5823" xr:uid="{00000000-0005-0000-0000-0000AE5B0000}"/>
    <cellStyle name="40% - Accent4 15 3_Volatility" xfId="5824" xr:uid="{00000000-0005-0000-0000-0000AF5B0000}"/>
    <cellStyle name="40% - Accent4 15 4" xfId="5825" xr:uid="{00000000-0005-0000-0000-0000B05B0000}"/>
    <cellStyle name="40% - Accent4 15 4 2" xfId="5826" xr:uid="{00000000-0005-0000-0000-0000B15B0000}"/>
    <cellStyle name="40% - Accent4 15 4 3" xfId="5827" xr:uid="{00000000-0005-0000-0000-0000B25B0000}"/>
    <cellStyle name="40% - Accent4 15 5" xfId="5828" xr:uid="{00000000-0005-0000-0000-0000B35B0000}"/>
    <cellStyle name="40% - Accent4 15 5 2" xfId="5829" xr:uid="{00000000-0005-0000-0000-0000B45B0000}"/>
    <cellStyle name="40% - Accent4 15 5 3" xfId="5830" xr:uid="{00000000-0005-0000-0000-0000B55B0000}"/>
    <cellStyle name="40% - Accent4 15 6" xfId="5831" xr:uid="{00000000-0005-0000-0000-0000B65B0000}"/>
    <cellStyle name="40% - Accent4 15 6 2" xfId="5832" xr:uid="{00000000-0005-0000-0000-0000B75B0000}"/>
    <cellStyle name="40% - Accent4 15 6 3" xfId="5833" xr:uid="{00000000-0005-0000-0000-0000B85B0000}"/>
    <cellStyle name="40% - Accent4 15 7" xfId="5834" xr:uid="{00000000-0005-0000-0000-0000B95B0000}"/>
    <cellStyle name="40% - Accent4 15 8" xfId="5835" xr:uid="{00000000-0005-0000-0000-0000BA5B0000}"/>
    <cellStyle name="40% - Accent4 15_Volatility" xfId="5836" xr:uid="{00000000-0005-0000-0000-0000BB5B0000}"/>
    <cellStyle name="40% - Accent4 16" xfId="5837" xr:uid="{00000000-0005-0000-0000-0000BC5B0000}"/>
    <cellStyle name="40% - Accent4 16 2" xfId="15937" xr:uid="{00000000-0005-0000-0000-0000BD5B0000}"/>
    <cellStyle name="40% - Accent4 16 2 2" xfId="27794" xr:uid="{00000000-0005-0000-0000-0000BE5B0000}"/>
    <cellStyle name="40% - Accent4 16 3" xfId="19888" xr:uid="{00000000-0005-0000-0000-0000BF5B0000}"/>
    <cellStyle name="40% - Accent4 16 3 2" xfId="31580" xr:uid="{00000000-0005-0000-0000-0000C05B0000}"/>
    <cellStyle name="40% - Accent4 16 4" xfId="23934" xr:uid="{00000000-0005-0000-0000-0000C15B0000}"/>
    <cellStyle name="40% - Accent4 17" xfId="5838" xr:uid="{00000000-0005-0000-0000-0000C25B0000}"/>
    <cellStyle name="40% - Accent4 17 2" xfId="15938" xr:uid="{00000000-0005-0000-0000-0000C35B0000}"/>
    <cellStyle name="40% - Accent4 17 2 2" xfId="27795" xr:uid="{00000000-0005-0000-0000-0000C45B0000}"/>
    <cellStyle name="40% - Accent4 17 3" xfId="19889" xr:uid="{00000000-0005-0000-0000-0000C55B0000}"/>
    <cellStyle name="40% - Accent4 17 3 2" xfId="31581" xr:uid="{00000000-0005-0000-0000-0000C65B0000}"/>
    <cellStyle name="40% - Accent4 17 4" xfId="23935" xr:uid="{00000000-0005-0000-0000-0000C75B0000}"/>
    <cellStyle name="40% - Accent4 18" xfId="5839" xr:uid="{00000000-0005-0000-0000-0000C85B0000}"/>
    <cellStyle name="40% - Accent4 18 2" xfId="15939" xr:uid="{00000000-0005-0000-0000-0000C95B0000}"/>
    <cellStyle name="40% - Accent4 18 2 2" xfId="27796" xr:uid="{00000000-0005-0000-0000-0000CA5B0000}"/>
    <cellStyle name="40% - Accent4 18 3" xfId="19890" xr:uid="{00000000-0005-0000-0000-0000CB5B0000}"/>
    <cellStyle name="40% - Accent4 18 3 2" xfId="31582" xr:uid="{00000000-0005-0000-0000-0000CC5B0000}"/>
    <cellStyle name="40% - Accent4 18 4" xfId="23936" xr:uid="{00000000-0005-0000-0000-0000CD5B0000}"/>
    <cellStyle name="40% - Accent4 19" xfId="5840" xr:uid="{00000000-0005-0000-0000-0000CE5B0000}"/>
    <cellStyle name="40% - Accent4 19 2" xfId="15940" xr:uid="{00000000-0005-0000-0000-0000CF5B0000}"/>
    <cellStyle name="40% - Accent4 19 2 2" xfId="27797" xr:uid="{00000000-0005-0000-0000-0000D05B0000}"/>
    <cellStyle name="40% - Accent4 19 3" xfId="19891" xr:uid="{00000000-0005-0000-0000-0000D15B0000}"/>
    <cellStyle name="40% - Accent4 19 3 2" xfId="31583" xr:uid="{00000000-0005-0000-0000-0000D25B0000}"/>
    <cellStyle name="40% - Accent4 19 4" xfId="23937" xr:uid="{00000000-0005-0000-0000-0000D35B0000}"/>
    <cellStyle name="40% - Accent4 2" xfId="5841" xr:uid="{00000000-0005-0000-0000-0000D45B0000}"/>
    <cellStyle name="40% - Accent4 2 2" xfId="5842" xr:uid="{00000000-0005-0000-0000-0000D55B0000}"/>
    <cellStyle name="40% - Accent4 2 2 2" xfId="5843" xr:uid="{00000000-0005-0000-0000-0000D65B0000}"/>
    <cellStyle name="40% - Accent4 2 2 2 2" xfId="5844" xr:uid="{00000000-0005-0000-0000-0000D75B0000}"/>
    <cellStyle name="40% - Accent4 2 2 2 3" xfId="5845" xr:uid="{00000000-0005-0000-0000-0000D85B0000}"/>
    <cellStyle name="40% - Accent4 2 2 3" xfId="5846" xr:uid="{00000000-0005-0000-0000-0000D95B0000}"/>
    <cellStyle name="40% - Accent4 2 2 3 2" xfId="5847" xr:uid="{00000000-0005-0000-0000-0000DA5B0000}"/>
    <cellStyle name="40% - Accent4 2 2 3 3" xfId="5848" xr:uid="{00000000-0005-0000-0000-0000DB5B0000}"/>
    <cellStyle name="40% - Accent4 2 2 4" xfId="5849" xr:uid="{00000000-0005-0000-0000-0000DC5B0000}"/>
    <cellStyle name="40% - Accent4 2 2 4 2" xfId="5850" xr:uid="{00000000-0005-0000-0000-0000DD5B0000}"/>
    <cellStyle name="40% - Accent4 2 2 4 3" xfId="5851" xr:uid="{00000000-0005-0000-0000-0000DE5B0000}"/>
    <cellStyle name="40% - Accent4 2 2 5" xfId="5852" xr:uid="{00000000-0005-0000-0000-0000DF5B0000}"/>
    <cellStyle name="40% - Accent4 2 2 6" xfId="5853" xr:uid="{00000000-0005-0000-0000-0000E05B0000}"/>
    <cellStyle name="40% - Accent4 2 2_Volatility" xfId="5854" xr:uid="{00000000-0005-0000-0000-0000E15B0000}"/>
    <cellStyle name="40% - Accent4 2 3" xfId="5855" xr:uid="{00000000-0005-0000-0000-0000E25B0000}"/>
    <cellStyle name="40% - Accent4 2 3 2" xfId="5856" xr:uid="{00000000-0005-0000-0000-0000E35B0000}"/>
    <cellStyle name="40% - Accent4 2 3 2 2" xfId="5857" xr:uid="{00000000-0005-0000-0000-0000E45B0000}"/>
    <cellStyle name="40% - Accent4 2 3 2 3" xfId="5858" xr:uid="{00000000-0005-0000-0000-0000E55B0000}"/>
    <cellStyle name="40% - Accent4 2 3 3" xfId="5859" xr:uid="{00000000-0005-0000-0000-0000E65B0000}"/>
    <cellStyle name="40% - Accent4 2 3 3 2" xfId="5860" xr:uid="{00000000-0005-0000-0000-0000E75B0000}"/>
    <cellStyle name="40% - Accent4 2 3 3 3" xfId="5861" xr:uid="{00000000-0005-0000-0000-0000E85B0000}"/>
    <cellStyle name="40% - Accent4 2 3 4" xfId="5862" xr:uid="{00000000-0005-0000-0000-0000E95B0000}"/>
    <cellStyle name="40% - Accent4 2 3 5" xfId="5863" xr:uid="{00000000-0005-0000-0000-0000EA5B0000}"/>
    <cellStyle name="40% - Accent4 2 3_Volatility" xfId="5864" xr:uid="{00000000-0005-0000-0000-0000EB5B0000}"/>
    <cellStyle name="40% - Accent4 2 4" xfId="5865" xr:uid="{00000000-0005-0000-0000-0000EC5B0000}"/>
    <cellStyle name="40% - Accent4 2 4 2" xfId="5866" xr:uid="{00000000-0005-0000-0000-0000ED5B0000}"/>
    <cellStyle name="40% - Accent4 2 4 3" xfId="5867" xr:uid="{00000000-0005-0000-0000-0000EE5B0000}"/>
    <cellStyle name="40% - Accent4 2 5" xfId="5868" xr:uid="{00000000-0005-0000-0000-0000EF5B0000}"/>
    <cellStyle name="40% - Accent4 2 5 2" xfId="5869" xr:uid="{00000000-0005-0000-0000-0000F05B0000}"/>
    <cellStyle name="40% - Accent4 2 5 3" xfId="5870" xr:uid="{00000000-0005-0000-0000-0000F15B0000}"/>
    <cellStyle name="40% - Accent4 2 6" xfId="5871" xr:uid="{00000000-0005-0000-0000-0000F25B0000}"/>
    <cellStyle name="40% - Accent4 2 6 2" xfId="5872" xr:uid="{00000000-0005-0000-0000-0000F35B0000}"/>
    <cellStyle name="40% - Accent4 2 6 3" xfId="5873" xr:uid="{00000000-0005-0000-0000-0000F45B0000}"/>
    <cellStyle name="40% - Accent4 2 7" xfId="5874" xr:uid="{00000000-0005-0000-0000-0000F55B0000}"/>
    <cellStyle name="40% - Accent4 2 8" xfId="5875" xr:uid="{00000000-0005-0000-0000-0000F65B0000}"/>
    <cellStyle name="40% - Accent4 2_Volatility" xfId="5876" xr:uid="{00000000-0005-0000-0000-0000F75B0000}"/>
    <cellStyle name="40% - Accent4 3" xfId="5877" xr:uid="{00000000-0005-0000-0000-0000F85B0000}"/>
    <cellStyle name="40% - Accent4 3 2" xfId="5878" xr:uid="{00000000-0005-0000-0000-0000F95B0000}"/>
    <cellStyle name="40% - Accent4 3 2 2" xfId="5879" xr:uid="{00000000-0005-0000-0000-0000FA5B0000}"/>
    <cellStyle name="40% - Accent4 3 2 2 2" xfId="5880" xr:uid="{00000000-0005-0000-0000-0000FB5B0000}"/>
    <cellStyle name="40% - Accent4 3 2 2 3" xfId="5881" xr:uid="{00000000-0005-0000-0000-0000FC5B0000}"/>
    <cellStyle name="40% - Accent4 3 2 3" xfId="5882" xr:uid="{00000000-0005-0000-0000-0000FD5B0000}"/>
    <cellStyle name="40% - Accent4 3 2 3 2" xfId="5883" xr:uid="{00000000-0005-0000-0000-0000FE5B0000}"/>
    <cellStyle name="40% - Accent4 3 2 3 3" xfId="5884" xr:uid="{00000000-0005-0000-0000-0000FF5B0000}"/>
    <cellStyle name="40% - Accent4 3 2 4" xfId="5885" xr:uid="{00000000-0005-0000-0000-0000005C0000}"/>
    <cellStyle name="40% - Accent4 3 2 4 2" xfId="5886" xr:uid="{00000000-0005-0000-0000-0000015C0000}"/>
    <cellStyle name="40% - Accent4 3 2 4 3" xfId="5887" xr:uid="{00000000-0005-0000-0000-0000025C0000}"/>
    <cellStyle name="40% - Accent4 3 2 5" xfId="5888" xr:uid="{00000000-0005-0000-0000-0000035C0000}"/>
    <cellStyle name="40% - Accent4 3 2 6" xfId="5889" xr:uid="{00000000-0005-0000-0000-0000045C0000}"/>
    <cellStyle name="40% - Accent4 3 2_Volatility" xfId="5890" xr:uid="{00000000-0005-0000-0000-0000055C0000}"/>
    <cellStyle name="40% - Accent4 3 3" xfId="5891" xr:uid="{00000000-0005-0000-0000-0000065C0000}"/>
    <cellStyle name="40% - Accent4 3 3 2" xfId="5892" xr:uid="{00000000-0005-0000-0000-0000075C0000}"/>
    <cellStyle name="40% - Accent4 3 3 2 2" xfId="5893" xr:uid="{00000000-0005-0000-0000-0000085C0000}"/>
    <cellStyle name="40% - Accent4 3 3 2 3" xfId="5894" xr:uid="{00000000-0005-0000-0000-0000095C0000}"/>
    <cellStyle name="40% - Accent4 3 3 3" xfId="5895" xr:uid="{00000000-0005-0000-0000-00000A5C0000}"/>
    <cellStyle name="40% - Accent4 3 3 3 2" xfId="5896" xr:uid="{00000000-0005-0000-0000-00000B5C0000}"/>
    <cellStyle name="40% - Accent4 3 3 3 3" xfId="5897" xr:uid="{00000000-0005-0000-0000-00000C5C0000}"/>
    <cellStyle name="40% - Accent4 3 3 4" xfId="5898" xr:uid="{00000000-0005-0000-0000-00000D5C0000}"/>
    <cellStyle name="40% - Accent4 3 3 5" xfId="5899" xr:uid="{00000000-0005-0000-0000-00000E5C0000}"/>
    <cellStyle name="40% - Accent4 3 3_Volatility" xfId="5900" xr:uid="{00000000-0005-0000-0000-00000F5C0000}"/>
    <cellStyle name="40% - Accent4 3 4" xfId="5901" xr:uid="{00000000-0005-0000-0000-0000105C0000}"/>
    <cellStyle name="40% - Accent4 3 4 2" xfId="5902" xr:uid="{00000000-0005-0000-0000-0000115C0000}"/>
    <cellStyle name="40% - Accent4 3 4 3" xfId="5903" xr:uid="{00000000-0005-0000-0000-0000125C0000}"/>
    <cellStyle name="40% - Accent4 3 5" xfId="5904" xr:uid="{00000000-0005-0000-0000-0000135C0000}"/>
    <cellStyle name="40% - Accent4 3 5 2" xfId="5905" xr:uid="{00000000-0005-0000-0000-0000145C0000}"/>
    <cellStyle name="40% - Accent4 3 5 3" xfId="5906" xr:uid="{00000000-0005-0000-0000-0000155C0000}"/>
    <cellStyle name="40% - Accent4 3 6" xfId="5907" xr:uid="{00000000-0005-0000-0000-0000165C0000}"/>
    <cellStyle name="40% - Accent4 3 6 2" xfId="5908" xr:uid="{00000000-0005-0000-0000-0000175C0000}"/>
    <cellStyle name="40% - Accent4 3 6 3" xfId="5909" xr:uid="{00000000-0005-0000-0000-0000185C0000}"/>
    <cellStyle name="40% - Accent4 3 7" xfId="5910" xr:uid="{00000000-0005-0000-0000-0000195C0000}"/>
    <cellStyle name="40% - Accent4 3 8" xfId="5911" xr:uid="{00000000-0005-0000-0000-00001A5C0000}"/>
    <cellStyle name="40% - Accent4 3_Volatility" xfId="5912" xr:uid="{00000000-0005-0000-0000-00001B5C0000}"/>
    <cellStyle name="40% - Accent4 4" xfId="5913" xr:uid="{00000000-0005-0000-0000-00001C5C0000}"/>
    <cellStyle name="40% - Accent4 4 2" xfId="5914" xr:uid="{00000000-0005-0000-0000-00001D5C0000}"/>
    <cellStyle name="40% - Accent4 4 2 2" xfId="5915" xr:uid="{00000000-0005-0000-0000-00001E5C0000}"/>
    <cellStyle name="40% - Accent4 4 2 2 2" xfId="5916" xr:uid="{00000000-0005-0000-0000-00001F5C0000}"/>
    <cellStyle name="40% - Accent4 4 2 2 3" xfId="5917" xr:uid="{00000000-0005-0000-0000-0000205C0000}"/>
    <cellStyle name="40% - Accent4 4 2 3" xfId="5918" xr:uid="{00000000-0005-0000-0000-0000215C0000}"/>
    <cellStyle name="40% - Accent4 4 2 3 2" xfId="5919" xr:uid="{00000000-0005-0000-0000-0000225C0000}"/>
    <cellStyle name="40% - Accent4 4 2 3 3" xfId="5920" xr:uid="{00000000-0005-0000-0000-0000235C0000}"/>
    <cellStyle name="40% - Accent4 4 2 4" xfId="5921" xr:uid="{00000000-0005-0000-0000-0000245C0000}"/>
    <cellStyle name="40% - Accent4 4 2 4 2" xfId="5922" xr:uid="{00000000-0005-0000-0000-0000255C0000}"/>
    <cellStyle name="40% - Accent4 4 2 4 3" xfId="5923" xr:uid="{00000000-0005-0000-0000-0000265C0000}"/>
    <cellStyle name="40% - Accent4 4 2 5" xfId="5924" xr:uid="{00000000-0005-0000-0000-0000275C0000}"/>
    <cellStyle name="40% - Accent4 4 2 6" xfId="5925" xr:uid="{00000000-0005-0000-0000-0000285C0000}"/>
    <cellStyle name="40% - Accent4 4 2_Volatility" xfId="5926" xr:uid="{00000000-0005-0000-0000-0000295C0000}"/>
    <cellStyle name="40% - Accent4 4 3" xfId="5927" xr:uid="{00000000-0005-0000-0000-00002A5C0000}"/>
    <cellStyle name="40% - Accent4 4 3 2" xfId="5928" xr:uid="{00000000-0005-0000-0000-00002B5C0000}"/>
    <cellStyle name="40% - Accent4 4 3 2 2" xfId="5929" xr:uid="{00000000-0005-0000-0000-00002C5C0000}"/>
    <cellStyle name="40% - Accent4 4 3 2 3" xfId="5930" xr:uid="{00000000-0005-0000-0000-00002D5C0000}"/>
    <cellStyle name="40% - Accent4 4 3 3" xfId="5931" xr:uid="{00000000-0005-0000-0000-00002E5C0000}"/>
    <cellStyle name="40% - Accent4 4 3 3 2" xfId="5932" xr:uid="{00000000-0005-0000-0000-00002F5C0000}"/>
    <cellStyle name="40% - Accent4 4 3 3 3" xfId="5933" xr:uid="{00000000-0005-0000-0000-0000305C0000}"/>
    <cellStyle name="40% - Accent4 4 3 4" xfId="5934" xr:uid="{00000000-0005-0000-0000-0000315C0000}"/>
    <cellStyle name="40% - Accent4 4 3 5" xfId="5935" xr:uid="{00000000-0005-0000-0000-0000325C0000}"/>
    <cellStyle name="40% - Accent4 4 3_Volatility" xfId="5936" xr:uid="{00000000-0005-0000-0000-0000335C0000}"/>
    <cellStyle name="40% - Accent4 4 4" xfId="5937" xr:uid="{00000000-0005-0000-0000-0000345C0000}"/>
    <cellStyle name="40% - Accent4 4 4 2" xfId="5938" xr:uid="{00000000-0005-0000-0000-0000355C0000}"/>
    <cellStyle name="40% - Accent4 4 4 3" xfId="5939" xr:uid="{00000000-0005-0000-0000-0000365C0000}"/>
    <cellStyle name="40% - Accent4 4 5" xfId="5940" xr:uid="{00000000-0005-0000-0000-0000375C0000}"/>
    <cellStyle name="40% - Accent4 4 5 2" xfId="5941" xr:uid="{00000000-0005-0000-0000-0000385C0000}"/>
    <cellStyle name="40% - Accent4 4 5 3" xfId="5942" xr:uid="{00000000-0005-0000-0000-0000395C0000}"/>
    <cellStyle name="40% - Accent4 4 6" xfId="5943" xr:uid="{00000000-0005-0000-0000-00003A5C0000}"/>
    <cellStyle name="40% - Accent4 4 6 2" xfId="5944" xr:uid="{00000000-0005-0000-0000-00003B5C0000}"/>
    <cellStyle name="40% - Accent4 4 6 3" xfId="5945" xr:uid="{00000000-0005-0000-0000-00003C5C0000}"/>
    <cellStyle name="40% - Accent4 4 7" xfId="5946" xr:uid="{00000000-0005-0000-0000-00003D5C0000}"/>
    <cellStyle name="40% - Accent4 4 8" xfId="5947" xr:uid="{00000000-0005-0000-0000-00003E5C0000}"/>
    <cellStyle name="40% - Accent4 4_Volatility" xfId="5948" xr:uid="{00000000-0005-0000-0000-00003F5C0000}"/>
    <cellStyle name="40% - Accent4 5" xfId="5949" xr:uid="{00000000-0005-0000-0000-0000405C0000}"/>
    <cellStyle name="40% - Accent4 5 2" xfId="5950" xr:uid="{00000000-0005-0000-0000-0000415C0000}"/>
    <cellStyle name="40% - Accent4 5 2 2" xfId="5951" xr:uid="{00000000-0005-0000-0000-0000425C0000}"/>
    <cellStyle name="40% - Accent4 5 2 2 2" xfId="5952" xr:uid="{00000000-0005-0000-0000-0000435C0000}"/>
    <cellStyle name="40% - Accent4 5 2 2 3" xfId="5953" xr:uid="{00000000-0005-0000-0000-0000445C0000}"/>
    <cellStyle name="40% - Accent4 5 2 3" xfId="5954" xr:uid="{00000000-0005-0000-0000-0000455C0000}"/>
    <cellStyle name="40% - Accent4 5 2 3 2" xfId="5955" xr:uid="{00000000-0005-0000-0000-0000465C0000}"/>
    <cellStyle name="40% - Accent4 5 2 3 3" xfId="5956" xr:uid="{00000000-0005-0000-0000-0000475C0000}"/>
    <cellStyle name="40% - Accent4 5 2 4" xfId="5957" xr:uid="{00000000-0005-0000-0000-0000485C0000}"/>
    <cellStyle name="40% - Accent4 5 2 4 2" xfId="5958" xr:uid="{00000000-0005-0000-0000-0000495C0000}"/>
    <cellStyle name="40% - Accent4 5 2 4 3" xfId="5959" xr:uid="{00000000-0005-0000-0000-00004A5C0000}"/>
    <cellStyle name="40% - Accent4 5 2 5" xfId="5960" xr:uid="{00000000-0005-0000-0000-00004B5C0000}"/>
    <cellStyle name="40% - Accent4 5 2 6" xfId="5961" xr:uid="{00000000-0005-0000-0000-00004C5C0000}"/>
    <cellStyle name="40% - Accent4 5 2_Volatility" xfId="5962" xr:uid="{00000000-0005-0000-0000-00004D5C0000}"/>
    <cellStyle name="40% - Accent4 5 3" xfId="5963" xr:uid="{00000000-0005-0000-0000-00004E5C0000}"/>
    <cellStyle name="40% - Accent4 5 3 2" xfId="5964" xr:uid="{00000000-0005-0000-0000-00004F5C0000}"/>
    <cellStyle name="40% - Accent4 5 3 2 2" xfId="5965" xr:uid="{00000000-0005-0000-0000-0000505C0000}"/>
    <cellStyle name="40% - Accent4 5 3 2 3" xfId="5966" xr:uid="{00000000-0005-0000-0000-0000515C0000}"/>
    <cellStyle name="40% - Accent4 5 3 3" xfId="5967" xr:uid="{00000000-0005-0000-0000-0000525C0000}"/>
    <cellStyle name="40% - Accent4 5 3 3 2" xfId="5968" xr:uid="{00000000-0005-0000-0000-0000535C0000}"/>
    <cellStyle name="40% - Accent4 5 3 3 3" xfId="5969" xr:uid="{00000000-0005-0000-0000-0000545C0000}"/>
    <cellStyle name="40% - Accent4 5 3 4" xfId="5970" xr:uid="{00000000-0005-0000-0000-0000555C0000}"/>
    <cellStyle name="40% - Accent4 5 3 5" xfId="5971" xr:uid="{00000000-0005-0000-0000-0000565C0000}"/>
    <cellStyle name="40% - Accent4 5 3_Volatility" xfId="5972" xr:uid="{00000000-0005-0000-0000-0000575C0000}"/>
    <cellStyle name="40% - Accent4 5 4" xfId="5973" xr:uid="{00000000-0005-0000-0000-0000585C0000}"/>
    <cellStyle name="40% - Accent4 5 4 2" xfId="5974" xr:uid="{00000000-0005-0000-0000-0000595C0000}"/>
    <cellStyle name="40% - Accent4 5 4 3" xfId="5975" xr:uid="{00000000-0005-0000-0000-00005A5C0000}"/>
    <cellStyle name="40% - Accent4 5 5" xfId="5976" xr:uid="{00000000-0005-0000-0000-00005B5C0000}"/>
    <cellStyle name="40% - Accent4 5 5 2" xfId="5977" xr:uid="{00000000-0005-0000-0000-00005C5C0000}"/>
    <cellStyle name="40% - Accent4 5 5 3" xfId="5978" xr:uid="{00000000-0005-0000-0000-00005D5C0000}"/>
    <cellStyle name="40% - Accent4 5 6" xfId="5979" xr:uid="{00000000-0005-0000-0000-00005E5C0000}"/>
    <cellStyle name="40% - Accent4 5 6 2" xfId="5980" xr:uid="{00000000-0005-0000-0000-00005F5C0000}"/>
    <cellStyle name="40% - Accent4 5 6 3" xfId="5981" xr:uid="{00000000-0005-0000-0000-0000605C0000}"/>
    <cellStyle name="40% - Accent4 5 7" xfId="5982" xr:uid="{00000000-0005-0000-0000-0000615C0000}"/>
    <cellStyle name="40% - Accent4 5 8" xfId="5983" xr:uid="{00000000-0005-0000-0000-0000625C0000}"/>
    <cellStyle name="40% - Accent4 5_Volatility" xfId="5984" xr:uid="{00000000-0005-0000-0000-0000635C0000}"/>
    <cellStyle name="40% - Accent4 6" xfId="5985" xr:uid="{00000000-0005-0000-0000-0000645C0000}"/>
    <cellStyle name="40% - Accent4 6 2" xfId="5986" xr:uid="{00000000-0005-0000-0000-0000655C0000}"/>
    <cellStyle name="40% - Accent4 6 2 2" xfId="5987" xr:uid="{00000000-0005-0000-0000-0000665C0000}"/>
    <cellStyle name="40% - Accent4 6 2 2 2" xfId="5988" xr:uid="{00000000-0005-0000-0000-0000675C0000}"/>
    <cellStyle name="40% - Accent4 6 2 2 3" xfId="5989" xr:uid="{00000000-0005-0000-0000-0000685C0000}"/>
    <cellStyle name="40% - Accent4 6 2 3" xfId="5990" xr:uid="{00000000-0005-0000-0000-0000695C0000}"/>
    <cellStyle name="40% - Accent4 6 2 3 2" xfId="5991" xr:uid="{00000000-0005-0000-0000-00006A5C0000}"/>
    <cellStyle name="40% - Accent4 6 2 3 3" xfId="5992" xr:uid="{00000000-0005-0000-0000-00006B5C0000}"/>
    <cellStyle name="40% - Accent4 6 2 4" xfId="5993" xr:uid="{00000000-0005-0000-0000-00006C5C0000}"/>
    <cellStyle name="40% - Accent4 6 2 4 2" xfId="5994" xr:uid="{00000000-0005-0000-0000-00006D5C0000}"/>
    <cellStyle name="40% - Accent4 6 2 4 3" xfId="5995" xr:uid="{00000000-0005-0000-0000-00006E5C0000}"/>
    <cellStyle name="40% - Accent4 6 2 5" xfId="5996" xr:uid="{00000000-0005-0000-0000-00006F5C0000}"/>
    <cellStyle name="40% - Accent4 6 2 6" xfId="5997" xr:uid="{00000000-0005-0000-0000-0000705C0000}"/>
    <cellStyle name="40% - Accent4 6 2_Volatility" xfId="5998" xr:uid="{00000000-0005-0000-0000-0000715C0000}"/>
    <cellStyle name="40% - Accent4 6 3" xfId="5999" xr:uid="{00000000-0005-0000-0000-0000725C0000}"/>
    <cellStyle name="40% - Accent4 6 3 2" xfId="6000" xr:uid="{00000000-0005-0000-0000-0000735C0000}"/>
    <cellStyle name="40% - Accent4 6 3 2 2" xfId="6001" xr:uid="{00000000-0005-0000-0000-0000745C0000}"/>
    <cellStyle name="40% - Accent4 6 3 2 3" xfId="6002" xr:uid="{00000000-0005-0000-0000-0000755C0000}"/>
    <cellStyle name="40% - Accent4 6 3 3" xfId="6003" xr:uid="{00000000-0005-0000-0000-0000765C0000}"/>
    <cellStyle name="40% - Accent4 6 3 3 2" xfId="6004" xr:uid="{00000000-0005-0000-0000-0000775C0000}"/>
    <cellStyle name="40% - Accent4 6 3 3 3" xfId="6005" xr:uid="{00000000-0005-0000-0000-0000785C0000}"/>
    <cellStyle name="40% - Accent4 6 3 4" xfId="6006" xr:uid="{00000000-0005-0000-0000-0000795C0000}"/>
    <cellStyle name="40% - Accent4 6 3 5" xfId="6007" xr:uid="{00000000-0005-0000-0000-00007A5C0000}"/>
    <cellStyle name="40% - Accent4 6 3_Volatility" xfId="6008" xr:uid="{00000000-0005-0000-0000-00007B5C0000}"/>
    <cellStyle name="40% - Accent4 6 4" xfId="6009" xr:uid="{00000000-0005-0000-0000-00007C5C0000}"/>
    <cellStyle name="40% - Accent4 6 4 2" xfId="6010" xr:uid="{00000000-0005-0000-0000-00007D5C0000}"/>
    <cellStyle name="40% - Accent4 6 4 3" xfId="6011" xr:uid="{00000000-0005-0000-0000-00007E5C0000}"/>
    <cellStyle name="40% - Accent4 6 5" xfId="6012" xr:uid="{00000000-0005-0000-0000-00007F5C0000}"/>
    <cellStyle name="40% - Accent4 6 5 2" xfId="6013" xr:uid="{00000000-0005-0000-0000-0000805C0000}"/>
    <cellStyle name="40% - Accent4 6 5 3" xfId="6014" xr:uid="{00000000-0005-0000-0000-0000815C0000}"/>
    <cellStyle name="40% - Accent4 6 6" xfId="6015" xr:uid="{00000000-0005-0000-0000-0000825C0000}"/>
    <cellStyle name="40% - Accent4 6 6 2" xfId="6016" xr:uid="{00000000-0005-0000-0000-0000835C0000}"/>
    <cellStyle name="40% - Accent4 6 6 3" xfId="6017" xr:uid="{00000000-0005-0000-0000-0000845C0000}"/>
    <cellStyle name="40% - Accent4 6 7" xfId="6018" xr:uid="{00000000-0005-0000-0000-0000855C0000}"/>
    <cellStyle name="40% - Accent4 6 8" xfId="6019" xr:uid="{00000000-0005-0000-0000-0000865C0000}"/>
    <cellStyle name="40% - Accent4 6_Volatility" xfId="6020" xr:uid="{00000000-0005-0000-0000-0000875C0000}"/>
    <cellStyle name="40% - Accent4 7" xfId="6021" xr:uid="{00000000-0005-0000-0000-0000885C0000}"/>
    <cellStyle name="40% - Accent4 7 2" xfId="6022" xr:uid="{00000000-0005-0000-0000-0000895C0000}"/>
    <cellStyle name="40% - Accent4 7 2 2" xfId="6023" xr:uid="{00000000-0005-0000-0000-00008A5C0000}"/>
    <cellStyle name="40% - Accent4 7 2 2 2" xfId="6024" xr:uid="{00000000-0005-0000-0000-00008B5C0000}"/>
    <cellStyle name="40% - Accent4 7 2 2 3" xfId="6025" xr:uid="{00000000-0005-0000-0000-00008C5C0000}"/>
    <cellStyle name="40% - Accent4 7 2 3" xfId="6026" xr:uid="{00000000-0005-0000-0000-00008D5C0000}"/>
    <cellStyle name="40% - Accent4 7 2 3 2" xfId="6027" xr:uid="{00000000-0005-0000-0000-00008E5C0000}"/>
    <cellStyle name="40% - Accent4 7 2 3 3" xfId="6028" xr:uid="{00000000-0005-0000-0000-00008F5C0000}"/>
    <cellStyle name="40% - Accent4 7 2 4" xfId="6029" xr:uid="{00000000-0005-0000-0000-0000905C0000}"/>
    <cellStyle name="40% - Accent4 7 2 4 2" xfId="6030" xr:uid="{00000000-0005-0000-0000-0000915C0000}"/>
    <cellStyle name="40% - Accent4 7 2 4 3" xfId="6031" xr:uid="{00000000-0005-0000-0000-0000925C0000}"/>
    <cellStyle name="40% - Accent4 7 2 5" xfId="6032" xr:uid="{00000000-0005-0000-0000-0000935C0000}"/>
    <cellStyle name="40% - Accent4 7 2 6" xfId="6033" xr:uid="{00000000-0005-0000-0000-0000945C0000}"/>
    <cellStyle name="40% - Accent4 7 2_Volatility" xfId="6034" xr:uid="{00000000-0005-0000-0000-0000955C0000}"/>
    <cellStyle name="40% - Accent4 7 3" xfId="6035" xr:uid="{00000000-0005-0000-0000-0000965C0000}"/>
    <cellStyle name="40% - Accent4 7 3 2" xfId="6036" xr:uid="{00000000-0005-0000-0000-0000975C0000}"/>
    <cellStyle name="40% - Accent4 7 3 2 2" xfId="6037" xr:uid="{00000000-0005-0000-0000-0000985C0000}"/>
    <cellStyle name="40% - Accent4 7 3 2 3" xfId="6038" xr:uid="{00000000-0005-0000-0000-0000995C0000}"/>
    <cellStyle name="40% - Accent4 7 3 3" xfId="6039" xr:uid="{00000000-0005-0000-0000-00009A5C0000}"/>
    <cellStyle name="40% - Accent4 7 3 3 2" xfId="6040" xr:uid="{00000000-0005-0000-0000-00009B5C0000}"/>
    <cellStyle name="40% - Accent4 7 3 3 3" xfId="6041" xr:uid="{00000000-0005-0000-0000-00009C5C0000}"/>
    <cellStyle name="40% - Accent4 7 3 4" xfId="6042" xr:uid="{00000000-0005-0000-0000-00009D5C0000}"/>
    <cellStyle name="40% - Accent4 7 3 5" xfId="6043" xr:uid="{00000000-0005-0000-0000-00009E5C0000}"/>
    <cellStyle name="40% - Accent4 7 3_Volatility" xfId="6044" xr:uid="{00000000-0005-0000-0000-00009F5C0000}"/>
    <cellStyle name="40% - Accent4 7 4" xfId="6045" xr:uid="{00000000-0005-0000-0000-0000A05C0000}"/>
    <cellStyle name="40% - Accent4 7 4 2" xfId="6046" xr:uid="{00000000-0005-0000-0000-0000A15C0000}"/>
    <cellStyle name="40% - Accent4 7 4 3" xfId="6047" xr:uid="{00000000-0005-0000-0000-0000A25C0000}"/>
    <cellStyle name="40% - Accent4 7 5" xfId="6048" xr:uid="{00000000-0005-0000-0000-0000A35C0000}"/>
    <cellStyle name="40% - Accent4 7 5 2" xfId="6049" xr:uid="{00000000-0005-0000-0000-0000A45C0000}"/>
    <cellStyle name="40% - Accent4 7 5 3" xfId="6050" xr:uid="{00000000-0005-0000-0000-0000A55C0000}"/>
    <cellStyle name="40% - Accent4 7 6" xfId="6051" xr:uid="{00000000-0005-0000-0000-0000A65C0000}"/>
    <cellStyle name="40% - Accent4 7 6 2" xfId="6052" xr:uid="{00000000-0005-0000-0000-0000A75C0000}"/>
    <cellStyle name="40% - Accent4 7 6 3" xfId="6053" xr:uid="{00000000-0005-0000-0000-0000A85C0000}"/>
    <cellStyle name="40% - Accent4 7 7" xfId="6054" xr:uid="{00000000-0005-0000-0000-0000A95C0000}"/>
    <cellStyle name="40% - Accent4 7 8" xfId="6055" xr:uid="{00000000-0005-0000-0000-0000AA5C0000}"/>
    <cellStyle name="40% - Accent4 7_Volatility" xfId="6056" xr:uid="{00000000-0005-0000-0000-0000AB5C0000}"/>
    <cellStyle name="40% - Accent4 8" xfId="6057" xr:uid="{00000000-0005-0000-0000-0000AC5C0000}"/>
    <cellStyle name="40% - Accent4 8 2" xfId="6058" xr:uid="{00000000-0005-0000-0000-0000AD5C0000}"/>
    <cellStyle name="40% - Accent4 8 2 2" xfId="6059" xr:uid="{00000000-0005-0000-0000-0000AE5C0000}"/>
    <cellStyle name="40% - Accent4 8 2 2 2" xfId="6060" xr:uid="{00000000-0005-0000-0000-0000AF5C0000}"/>
    <cellStyle name="40% - Accent4 8 2 2 3" xfId="6061" xr:uid="{00000000-0005-0000-0000-0000B05C0000}"/>
    <cellStyle name="40% - Accent4 8 2 3" xfId="6062" xr:uid="{00000000-0005-0000-0000-0000B15C0000}"/>
    <cellStyle name="40% - Accent4 8 2 3 2" xfId="6063" xr:uid="{00000000-0005-0000-0000-0000B25C0000}"/>
    <cellStyle name="40% - Accent4 8 2 3 3" xfId="6064" xr:uid="{00000000-0005-0000-0000-0000B35C0000}"/>
    <cellStyle name="40% - Accent4 8 2 4" xfId="6065" xr:uid="{00000000-0005-0000-0000-0000B45C0000}"/>
    <cellStyle name="40% - Accent4 8 2 4 2" xfId="6066" xr:uid="{00000000-0005-0000-0000-0000B55C0000}"/>
    <cellStyle name="40% - Accent4 8 2 4 3" xfId="6067" xr:uid="{00000000-0005-0000-0000-0000B65C0000}"/>
    <cellStyle name="40% - Accent4 8 2 5" xfId="6068" xr:uid="{00000000-0005-0000-0000-0000B75C0000}"/>
    <cellStyle name="40% - Accent4 8 2 6" xfId="6069" xr:uid="{00000000-0005-0000-0000-0000B85C0000}"/>
    <cellStyle name="40% - Accent4 8 2_Volatility" xfId="6070" xr:uid="{00000000-0005-0000-0000-0000B95C0000}"/>
    <cellStyle name="40% - Accent4 8 3" xfId="6071" xr:uid="{00000000-0005-0000-0000-0000BA5C0000}"/>
    <cellStyle name="40% - Accent4 8 3 2" xfId="6072" xr:uid="{00000000-0005-0000-0000-0000BB5C0000}"/>
    <cellStyle name="40% - Accent4 8 3 2 2" xfId="6073" xr:uid="{00000000-0005-0000-0000-0000BC5C0000}"/>
    <cellStyle name="40% - Accent4 8 3 2 3" xfId="6074" xr:uid="{00000000-0005-0000-0000-0000BD5C0000}"/>
    <cellStyle name="40% - Accent4 8 3 3" xfId="6075" xr:uid="{00000000-0005-0000-0000-0000BE5C0000}"/>
    <cellStyle name="40% - Accent4 8 3 3 2" xfId="6076" xr:uid="{00000000-0005-0000-0000-0000BF5C0000}"/>
    <cellStyle name="40% - Accent4 8 3 3 3" xfId="6077" xr:uid="{00000000-0005-0000-0000-0000C05C0000}"/>
    <cellStyle name="40% - Accent4 8 3 4" xfId="6078" xr:uid="{00000000-0005-0000-0000-0000C15C0000}"/>
    <cellStyle name="40% - Accent4 8 3 5" xfId="6079" xr:uid="{00000000-0005-0000-0000-0000C25C0000}"/>
    <cellStyle name="40% - Accent4 8 3_Volatility" xfId="6080" xr:uid="{00000000-0005-0000-0000-0000C35C0000}"/>
    <cellStyle name="40% - Accent4 8 4" xfId="6081" xr:uid="{00000000-0005-0000-0000-0000C45C0000}"/>
    <cellStyle name="40% - Accent4 8 4 2" xfId="6082" xr:uid="{00000000-0005-0000-0000-0000C55C0000}"/>
    <cellStyle name="40% - Accent4 8 4 3" xfId="6083" xr:uid="{00000000-0005-0000-0000-0000C65C0000}"/>
    <cellStyle name="40% - Accent4 8 5" xfId="6084" xr:uid="{00000000-0005-0000-0000-0000C75C0000}"/>
    <cellStyle name="40% - Accent4 8 5 2" xfId="6085" xr:uid="{00000000-0005-0000-0000-0000C85C0000}"/>
    <cellStyle name="40% - Accent4 8 5 3" xfId="6086" xr:uid="{00000000-0005-0000-0000-0000C95C0000}"/>
    <cellStyle name="40% - Accent4 8 6" xfId="6087" xr:uid="{00000000-0005-0000-0000-0000CA5C0000}"/>
    <cellStyle name="40% - Accent4 8 6 2" xfId="6088" xr:uid="{00000000-0005-0000-0000-0000CB5C0000}"/>
    <cellStyle name="40% - Accent4 8 6 3" xfId="6089" xr:uid="{00000000-0005-0000-0000-0000CC5C0000}"/>
    <cellStyle name="40% - Accent4 8 7" xfId="6090" xr:uid="{00000000-0005-0000-0000-0000CD5C0000}"/>
    <cellStyle name="40% - Accent4 8 8" xfId="6091" xr:uid="{00000000-0005-0000-0000-0000CE5C0000}"/>
    <cellStyle name="40% - Accent4 8_Volatility" xfId="6092" xr:uid="{00000000-0005-0000-0000-0000CF5C0000}"/>
    <cellStyle name="40% - Accent4 9" xfId="6093" xr:uid="{00000000-0005-0000-0000-0000D05C0000}"/>
    <cellStyle name="40% - Accent4 9 2" xfId="6094" xr:uid="{00000000-0005-0000-0000-0000D15C0000}"/>
    <cellStyle name="40% - Accent4 9 2 2" xfId="6095" xr:uid="{00000000-0005-0000-0000-0000D25C0000}"/>
    <cellStyle name="40% - Accent4 9 2 2 2" xfId="6096" xr:uid="{00000000-0005-0000-0000-0000D35C0000}"/>
    <cellStyle name="40% - Accent4 9 2 2 3" xfId="6097" xr:uid="{00000000-0005-0000-0000-0000D45C0000}"/>
    <cellStyle name="40% - Accent4 9 2 3" xfId="6098" xr:uid="{00000000-0005-0000-0000-0000D55C0000}"/>
    <cellStyle name="40% - Accent4 9 2 3 2" xfId="6099" xr:uid="{00000000-0005-0000-0000-0000D65C0000}"/>
    <cellStyle name="40% - Accent4 9 2 3 3" xfId="6100" xr:uid="{00000000-0005-0000-0000-0000D75C0000}"/>
    <cellStyle name="40% - Accent4 9 2 4" xfId="6101" xr:uid="{00000000-0005-0000-0000-0000D85C0000}"/>
    <cellStyle name="40% - Accent4 9 2 4 2" xfId="6102" xr:uid="{00000000-0005-0000-0000-0000D95C0000}"/>
    <cellStyle name="40% - Accent4 9 2 4 3" xfId="6103" xr:uid="{00000000-0005-0000-0000-0000DA5C0000}"/>
    <cellStyle name="40% - Accent4 9 2 5" xfId="6104" xr:uid="{00000000-0005-0000-0000-0000DB5C0000}"/>
    <cellStyle name="40% - Accent4 9 2 6" xfId="6105" xr:uid="{00000000-0005-0000-0000-0000DC5C0000}"/>
    <cellStyle name="40% - Accent4 9 2_Volatility" xfId="6106" xr:uid="{00000000-0005-0000-0000-0000DD5C0000}"/>
    <cellStyle name="40% - Accent4 9 3" xfId="6107" xr:uid="{00000000-0005-0000-0000-0000DE5C0000}"/>
    <cellStyle name="40% - Accent4 9 3 2" xfId="6108" xr:uid="{00000000-0005-0000-0000-0000DF5C0000}"/>
    <cellStyle name="40% - Accent4 9 3 2 2" xfId="6109" xr:uid="{00000000-0005-0000-0000-0000E05C0000}"/>
    <cellStyle name="40% - Accent4 9 3 2 3" xfId="6110" xr:uid="{00000000-0005-0000-0000-0000E15C0000}"/>
    <cellStyle name="40% - Accent4 9 3 3" xfId="6111" xr:uid="{00000000-0005-0000-0000-0000E25C0000}"/>
    <cellStyle name="40% - Accent4 9 3 3 2" xfId="6112" xr:uid="{00000000-0005-0000-0000-0000E35C0000}"/>
    <cellStyle name="40% - Accent4 9 3 3 3" xfId="6113" xr:uid="{00000000-0005-0000-0000-0000E45C0000}"/>
    <cellStyle name="40% - Accent4 9 3 4" xfId="6114" xr:uid="{00000000-0005-0000-0000-0000E55C0000}"/>
    <cellStyle name="40% - Accent4 9 3 5" xfId="6115" xr:uid="{00000000-0005-0000-0000-0000E65C0000}"/>
    <cellStyle name="40% - Accent4 9 3_Volatility" xfId="6116" xr:uid="{00000000-0005-0000-0000-0000E75C0000}"/>
    <cellStyle name="40% - Accent4 9 4" xfId="6117" xr:uid="{00000000-0005-0000-0000-0000E85C0000}"/>
    <cellStyle name="40% - Accent4 9 4 2" xfId="6118" xr:uid="{00000000-0005-0000-0000-0000E95C0000}"/>
    <cellStyle name="40% - Accent4 9 4 3" xfId="6119" xr:uid="{00000000-0005-0000-0000-0000EA5C0000}"/>
    <cellStyle name="40% - Accent4 9 5" xfId="6120" xr:uid="{00000000-0005-0000-0000-0000EB5C0000}"/>
    <cellStyle name="40% - Accent4 9 5 2" xfId="6121" xr:uid="{00000000-0005-0000-0000-0000EC5C0000}"/>
    <cellStyle name="40% - Accent4 9 5 3" xfId="6122" xr:uid="{00000000-0005-0000-0000-0000ED5C0000}"/>
    <cellStyle name="40% - Accent4 9 6" xfId="6123" xr:uid="{00000000-0005-0000-0000-0000EE5C0000}"/>
    <cellStyle name="40% - Accent4 9 6 2" xfId="6124" xr:uid="{00000000-0005-0000-0000-0000EF5C0000}"/>
    <cellStyle name="40% - Accent4 9 6 3" xfId="6125" xr:uid="{00000000-0005-0000-0000-0000F05C0000}"/>
    <cellStyle name="40% - Accent4 9 7" xfId="6126" xr:uid="{00000000-0005-0000-0000-0000F15C0000}"/>
    <cellStyle name="40% - Accent4 9 8" xfId="6127" xr:uid="{00000000-0005-0000-0000-0000F25C0000}"/>
    <cellStyle name="40% - Accent4 9_Volatility" xfId="6128" xr:uid="{00000000-0005-0000-0000-0000F35C0000}"/>
    <cellStyle name="40% - Accent5 10" xfId="6129" xr:uid="{00000000-0005-0000-0000-0000F45C0000}"/>
    <cellStyle name="40% - Accent5 10 2" xfId="6130" xr:uid="{00000000-0005-0000-0000-0000F55C0000}"/>
    <cellStyle name="40% - Accent5 10 2 2" xfId="6131" xr:uid="{00000000-0005-0000-0000-0000F65C0000}"/>
    <cellStyle name="40% - Accent5 10 2 2 2" xfId="6132" xr:uid="{00000000-0005-0000-0000-0000F75C0000}"/>
    <cellStyle name="40% - Accent5 10 2 2 3" xfId="6133" xr:uid="{00000000-0005-0000-0000-0000F85C0000}"/>
    <cellStyle name="40% - Accent5 10 2 3" xfId="6134" xr:uid="{00000000-0005-0000-0000-0000F95C0000}"/>
    <cellStyle name="40% - Accent5 10 2 3 2" xfId="6135" xr:uid="{00000000-0005-0000-0000-0000FA5C0000}"/>
    <cellStyle name="40% - Accent5 10 2 3 3" xfId="6136" xr:uid="{00000000-0005-0000-0000-0000FB5C0000}"/>
    <cellStyle name="40% - Accent5 10 2 4" xfId="6137" xr:uid="{00000000-0005-0000-0000-0000FC5C0000}"/>
    <cellStyle name="40% - Accent5 10 2 4 2" xfId="6138" xr:uid="{00000000-0005-0000-0000-0000FD5C0000}"/>
    <cellStyle name="40% - Accent5 10 2 4 3" xfId="6139" xr:uid="{00000000-0005-0000-0000-0000FE5C0000}"/>
    <cellStyle name="40% - Accent5 10 2 5" xfId="6140" xr:uid="{00000000-0005-0000-0000-0000FF5C0000}"/>
    <cellStyle name="40% - Accent5 10 2 6" xfId="6141" xr:uid="{00000000-0005-0000-0000-0000005D0000}"/>
    <cellStyle name="40% - Accent5 10 2_Volatility" xfId="6142" xr:uid="{00000000-0005-0000-0000-0000015D0000}"/>
    <cellStyle name="40% - Accent5 10 3" xfId="6143" xr:uid="{00000000-0005-0000-0000-0000025D0000}"/>
    <cellStyle name="40% - Accent5 10 3 2" xfId="6144" xr:uid="{00000000-0005-0000-0000-0000035D0000}"/>
    <cellStyle name="40% - Accent5 10 3 2 2" xfId="6145" xr:uid="{00000000-0005-0000-0000-0000045D0000}"/>
    <cellStyle name="40% - Accent5 10 3 2 3" xfId="6146" xr:uid="{00000000-0005-0000-0000-0000055D0000}"/>
    <cellStyle name="40% - Accent5 10 3 3" xfId="6147" xr:uid="{00000000-0005-0000-0000-0000065D0000}"/>
    <cellStyle name="40% - Accent5 10 3 3 2" xfId="6148" xr:uid="{00000000-0005-0000-0000-0000075D0000}"/>
    <cellStyle name="40% - Accent5 10 3 3 3" xfId="6149" xr:uid="{00000000-0005-0000-0000-0000085D0000}"/>
    <cellStyle name="40% - Accent5 10 3 4" xfId="6150" xr:uid="{00000000-0005-0000-0000-0000095D0000}"/>
    <cellStyle name="40% - Accent5 10 3 5" xfId="6151" xr:uid="{00000000-0005-0000-0000-00000A5D0000}"/>
    <cellStyle name="40% - Accent5 10 3_Volatility" xfId="6152" xr:uid="{00000000-0005-0000-0000-00000B5D0000}"/>
    <cellStyle name="40% - Accent5 10 4" xfId="6153" xr:uid="{00000000-0005-0000-0000-00000C5D0000}"/>
    <cellStyle name="40% - Accent5 10 4 2" xfId="6154" xr:uid="{00000000-0005-0000-0000-00000D5D0000}"/>
    <cellStyle name="40% - Accent5 10 4 3" xfId="6155" xr:uid="{00000000-0005-0000-0000-00000E5D0000}"/>
    <cellStyle name="40% - Accent5 10 5" xfId="6156" xr:uid="{00000000-0005-0000-0000-00000F5D0000}"/>
    <cellStyle name="40% - Accent5 10 5 2" xfId="6157" xr:uid="{00000000-0005-0000-0000-0000105D0000}"/>
    <cellStyle name="40% - Accent5 10 5 3" xfId="6158" xr:uid="{00000000-0005-0000-0000-0000115D0000}"/>
    <cellStyle name="40% - Accent5 10 6" xfId="6159" xr:uid="{00000000-0005-0000-0000-0000125D0000}"/>
    <cellStyle name="40% - Accent5 10 6 2" xfId="6160" xr:uid="{00000000-0005-0000-0000-0000135D0000}"/>
    <cellStyle name="40% - Accent5 10 6 3" xfId="6161" xr:uid="{00000000-0005-0000-0000-0000145D0000}"/>
    <cellStyle name="40% - Accent5 10 7" xfId="6162" xr:uid="{00000000-0005-0000-0000-0000155D0000}"/>
    <cellStyle name="40% - Accent5 10 8" xfId="6163" xr:uid="{00000000-0005-0000-0000-0000165D0000}"/>
    <cellStyle name="40% - Accent5 10_Volatility" xfId="6164" xr:uid="{00000000-0005-0000-0000-0000175D0000}"/>
    <cellStyle name="40% - Accent5 11" xfId="6165" xr:uid="{00000000-0005-0000-0000-0000185D0000}"/>
    <cellStyle name="40% - Accent5 11 2" xfId="6166" xr:uid="{00000000-0005-0000-0000-0000195D0000}"/>
    <cellStyle name="40% - Accent5 11 2 2" xfId="6167" xr:uid="{00000000-0005-0000-0000-00001A5D0000}"/>
    <cellStyle name="40% - Accent5 11 2 2 2" xfId="6168" xr:uid="{00000000-0005-0000-0000-00001B5D0000}"/>
    <cellStyle name="40% - Accent5 11 2 2 3" xfId="6169" xr:uid="{00000000-0005-0000-0000-00001C5D0000}"/>
    <cellStyle name="40% - Accent5 11 2 3" xfId="6170" xr:uid="{00000000-0005-0000-0000-00001D5D0000}"/>
    <cellStyle name="40% - Accent5 11 2 3 2" xfId="6171" xr:uid="{00000000-0005-0000-0000-00001E5D0000}"/>
    <cellStyle name="40% - Accent5 11 2 3 3" xfId="6172" xr:uid="{00000000-0005-0000-0000-00001F5D0000}"/>
    <cellStyle name="40% - Accent5 11 2 4" xfId="6173" xr:uid="{00000000-0005-0000-0000-0000205D0000}"/>
    <cellStyle name="40% - Accent5 11 2 4 2" xfId="6174" xr:uid="{00000000-0005-0000-0000-0000215D0000}"/>
    <cellStyle name="40% - Accent5 11 2 4 3" xfId="6175" xr:uid="{00000000-0005-0000-0000-0000225D0000}"/>
    <cellStyle name="40% - Accent5 11 2 5" xfId="6176" xr:uid="{00000000-0005-0000-0000-0000235D0000}"/>
    <cellStyle name="40% - Accent5 11 2 6" xfId="6177" xr:uid="{00000000-0005-0000-0000-0000245D0000}"/>
    <cellStyle name="40% - Accent5 11 2_Volatility" xfId="6178" xr:uid="{00000000-0005-0000-0000-0000255D0000}"/>
    <cellStyle name="40% - Accent5 11 3" xfId="6179" xr:uid="{00000000-0005-0000-0000-0000265D0000}"/>
    <cellStyle name="40% - Accent5 11 3 2" xfId="6180" xr:uid="{00000000-0005-0000-0000-0000275D0000}"/>
    <cellStyle name="40% - Accent5 11 3 2 2" xfId="6181" xr:uid="{00000000-0005-0000-0000-0000285D0000}"/>
    <cellStyle name="40% - Accent5 11 3 2 3" xfId="6182" xr:uid="{00000000-0005-0000-0000-0000295D0000}"/>
    <cellStyle name="40% - Accent5 11 3 3" xfId="6183" xr:uid="{00000000-0005-0000-0000-00002A5D0000}"/>
    <cellStyle name="40% - Accent5 11 3 3 2" xfId="6184" xr:uid="{00000000-0005-0000-0000-00002B5D0000}"/>
    <cellStyle name="40% - Accent5 11 3 3 3" xfId="6185" xr:uid="{00000000-0005-0000-0000-00002C5D0000}"/>
    <cellStyle name="40% - Accent5 11 3 4" xfId="6186" xr:uid="{00000000-0005-0000-0000-00002D5D0000}"/>
    <cellStyle name="40% - Accent5 11 3 5" xfId="6187" xr:uid="{00000000-0005-0000-0000-00002E5D0000}"/>
    <cellStyle name="40% - Accent5 11 3_Volatility" xfId="6188" xr:uid="{00000000-0005-0000-0000-00002F5D0000}"/>
    <cellStyle name="40% - Accent5 11 4" xfId="6189" xr:uid="{00000000-0005-0000-0000-0000305D0000}"/>
    <cellStyle name="40% - Accent5 11 4 2" xfId="6190" xr:uid="{00000000-0005-0000-0000-0000315D0000}"/>
    <cellStyle name="40% - Accent5 11 4 3" xfId="6191" xr:uid="{00000000-0005-0000-0000-0000325D0000}"/>
    <cellStyle name="40% - Accent5 11 5" xfId="6192" xr:uid="{00000000-0005-0000-0000-0000335D0000}"/>
    <cellStyle name="40% - Accent5 11 5 2" xfId="6193" xr:uid="{00000000-0005-0000-0000-0000345D0000}"/>
    <cellStyle name="40% - Accent5 11 5 3" xfId="6194" xr:uid="{00000000-0005-0000-0000-0000355D0000}"/>
    <cellStyle name="40% - Accent5 11 6" xfId="6195" xr:uid="{00000000-0005-0000-0000-0000365D0000}"/>
    <cellStyle name="40% - Accent5 11 6 2" xfId="6196" xr:uid="{00000000-0005-0000-0000-0000375D0000}"/>
    <cellStyle name="40% - Accent5 11 6 3" xfId="6197" xr:uid="{00000000-0005-0000-0000-0000385D0000}"/>
    <cellStyle name="40% - Accent5 11 7" xfId="6198" xr:uid="{00000000-0005-0000-0000-0000395D0000}"/>
    <cellStyle name="40% - Accent5 11 8" xfId="6199" xr:uid="{00000000-0005-0000-0000-00003A5D0000}"/>
    <cellStyle name="40% - Accent5 11_Volatility" xfId="6200" xr:uid="{00000000-0005-0000-0000-00003B5D0000}"/>
    <cellStyle name="40% - Accent5 12" xfId="6201" xr:uid="{00000000-0005-0000-0000-00003C5D0000}"/>
    <cellStyle name="40% - Accent5 12 2" xfId="6202" xr:uid="{00000000-0005-0000-0000-00003D5D0000}"/>
    <cellStyle name="40% - Accent5 12 2 2" xfId="6203" xr:uid="{00000000-0005-0000-0000-00003E5D0000}"/>
    <cellStyle name="40% - Accent5 12 2 2 2" xfId="6204" xr:uid="{00000000-0005-0000-0000-00003F5D0000}"/>
    <cellStyle name="40% - Accent5 12 2 2 3" xfId="6205" xr:uid="{00000000-0005-0000-0000-0000405D0000}"/>
    <cellStyle name="40% - Accent5 12 2 3" xfId="6206" xr:uid="{00000000-0005-0000-0000-0000415D0000}"/>
    <cellStyle name="40% - Accent5 12 2 3 2" xfId="6207" xr:uid="{00000000-0005-0000-0000-0000425D0000}"/>
    <cellStyle name="40% - Accent5 12 2 3 3" xfId="6208" xr:uid="{00000000-0005-0000-0000-0000435D0000}"/>
    <cellStyle name="40% - Accent5 12 2 4" xfId="6209" xr:uid="{00000000-0005-0000-0000-0000445D0000}"/>
    <cellStyle name="40% - Accent5 12 2 4 2" xfId="6210" xr:uid="{00000000-0005-0000-0000-0000455D0000}"/>
    <cellStyle name="40% - Accent5 12 2 4 3" xfId="6211" xr:uid="{00000000-0005-0000-0000-0000465D0000}"/>
    <cellStyle name="40% - Accent5 12 2 5" xfId="6212" xr:uid="{00000000-0005-0000-0000-0000475D0000}"/>
    <cellStyle name="40% - Accent5 12 2 6" xfId="6213" xr:uid="{00000000-0005-0000-0000-0000485D0000}"/>
    <cellStyle name="40% - Accent5 12 2_Volatility" xfId="6214" xr:uid="{00000000-0005-0000-0000-0000495D0000}"/>
    <cellStyle name="40% - Accent5 12 3" xfId="6215" xr:uid="{00000000-0005-0000-0000-00004A5D0000}"/>
    <cellStyle name="40% - Accent5 12 3 2" xfId="6216" xr:uid="{00000000-0005-0000-0000-00004B5D0000}"/>
    <cellStyle name="40% - Accent5 12 3 2 2" xfId="6217" xr:uid="{00000000-0005-0000-0000-00004C5D0000}"/>
    <cellStyle name="40% - Accent5 12 3 2 3" xfId="6218" xr:uid="{00000000-0005-0000-0000-00004D5D0000}"/>
    <cellStyle name="40% - Accent5 12 3 3" xfId="6219" xr:uid="{00000000-0005-0000-0000-00004E5D0000}"/>
    <cellStyle name="40% - Accent5 12 3 3 2" xfId="6220" xr:uid="{00000000-0005-0000-0000-00004F5D0000}"/>
    <cellStyle name="40% - Accent5 12 3 3 3" xfId="6221" xr:uid="{00000000-0005-0000-0000-0000505D0000}"/>
    <cellStyle name="40% - Accent5 12 3 4" xfId="6222" xr:uid="{00000000-0005-0000-0000-0000515D0000}"/>
    <cellStyle name="40% - Accent5 12 3 5" xfId="6223" xr:uid="{00000000-0005-0000-0000-0000525D0000}"/>
    <cellStyle name="40% - Accent5 12 3_Volatility" xfId="6224" xr:uid="{00000000-0005-0000-0000-0000535D0000}"/>
    <cellStyle name="40% - Accent5 12 4" xfId="6225" xr:uid="{00000000-0005-0000-0000-0000545D0000}"/>
    <cellStyle name="40% - Accent5 12 4 2" xfId="6226" xr:uid="{00000000-0005-0000-0000-0000555D0000}"/>
    <cellStyle name="40% - Accent5 12 4 3" xfId="6227" xr:uid="{00000000-0005-0000-0000-0000565D0000}"/>
    <cellStyle name="40% - Accent5 12 5" xfId="6228" xr:uid="{00000000-0005-0000-0000-0000575D0000}"/>
    <cellStyle name="40% - Accent5 12 5 2" xfId="6229" xr:uid="{00000000-0005-0000-0000-0000585D0000}"/>
    <cellStyle name="40% - Accent5 12 5 3" xfId="6230" xr:uid="{00000000-0005-0000-0000-0000595D0000}"/>
    <cellStyle name="40% - Accent5 12 6" xfId="6231" xr:uid="{00000000-0005-0000-0000-00005A5D0000}"/>
    <cellStyle name="40% - Accent5 12 6 2" xfId="6232" xr:uid="{00000000-0005-0000-0000-00005B5D0000}"/>
    <cellStyle name="40% - Accent5 12 6 3" xfId="6233" xr:uid="{00000000-0005-0000-0000-00005C5D0000}"/>
    <cellStyle name="40% - Accent5 12 7" xfId="6234" xr:uid="{00000000-0005-0000-0000-00005D5D0000}"/>
    <cellStyle name="40% - Accent5 12 8" xfId="6235" xr:uid="{00000000-0005-0000-0000-00005E5D0000}"/>
    <cellStyle name="40% - Accent5 12_Volatility" xfId="6236" xr:uid="{00000000-0005-0000-0000-00005F5D0000}"/>
    <cellStyle name="40% - Accent5 13" xfId="6237" xr:uid="{00000000-0005-0000-0000-0000605D0000}"/>
    <cellStyle name="40% - Accent5 13 2" xfId="6238" xr:uid="{00000000-0005-0000-0000-0000615D0000}"/>
    <cellStyle name="40% - Accent5 13 2 2" xfId="6239" xr:uid="{00000000-0005-0000-0000-0000625D0000}"/>
    <cellStyle name="40% - Accent5 13 2 2 2" xfId="6240" xr:uid="{00000000-0005-0000-0000-0000635D0000}"/>
    <cellStyle name="40% - Accent5 13 2 2 3" xfId="6241" xr:uid="{00000000-0005-0000-0000-0000645D0000}"/>
    <cellStyle name="40% - Accent5 13 2 3" xfId="6242" xr:uid="{00000000-0005-0000-0000-0000655D0000}"/>
    <cellStyle name="40% - Accent5 13 2 3 2" xfId="6243" xr:uid="{00000000-0005-0000-0000-0000665D0000}"/>
    <cellStyle name="40% - Accent5 13 2 3 3" xfId="6244" xr:uid="{00000000-0005-0000-0000-0000675D0000}"/>
    <cellStyle name="40% - Accent5 13 2 4" xfId="6245" xr:uid="{00000000-0005-0000-0000-0000685D0000}"/>
    <cellStyle name="40% - Accent5 13 2 4 2" xfId="6246" xr:uid="{00000000-0005-0000-0000-0000695D0000}"/>
    <cellStyle name="40% - Accent5 13 2 4 3" xfId="6247" xr:uid="{00000000-0005-0000-0000-00006A5D0000}"/>
    <cellStyle name="40% - Accent5 13 2 5" xfId="6248" xr:uid="{00000000-0005-0000-0000-00006B5D0000}"/>
    <cellStyle name="40% - Accent5 13 2 6" xfId="6249" xr:uid="{00000000-0005-0000-0000-00006C5D0000}"/>
    <cellStyle name="40% - Accent5 13 2_Volatility" xfId="6250" xr:uid="{00000000-0005-0000-0000-00006D5D0000}"/>
    <cellStyle name="40% - Accent5 13 3" xfId="6251" xr:uid="{00000000-0005-0000-0000-00006E5D0000}"/>
    <cellStyle name="40% - Accent5 13 3 2" xfId="6252" xr:uid="{00000000-0005-0000-0000-00006F5D0000}"/>
    <cellStyle name="40% - Accent5 13 3 2 2" xfId="6253" xr:uid="{00000000-0005-0000-0000-0000705D0000}"/>
    <cellStyle name="40% - Accent5 13 3 2 3" xfId="6254" xr:uid="{00000000-0005-0000-0000-0000715D0000}"/>
    <cellStyle name="40% - Accent5 13 3 3" xfId="6255" xr:uid="{00000000-0005-0000-0000-0000725D0000}"/>
    <cellStyle name="40% - Accent5 13 3 3 2" xfId="6256" xr:uid="{00000000-0005-0000-0000-0000735D0000}"/>
    <cellStyle name="40% - Accent5 13 3 3 3" xfId="6257" xr:uid="{00000000-0005-0000-0000-0000745D0000}"/>
    <cellStyle name="40% - Accent5 13 3 4" xfId="6258" xr:uid="{00000000-0005-0000-0000-0000755D0000}"/>
    <cellStyle name="40% - Accent5 13 3 5" xfId="6259" xr:uid="{00000000-0005-0000-0000-0000765D0000}"/>
    <cellStyle name="40% - Accent5 13 3_Volatility" xfId="6260" xr:uid="{00000000-0005-0000-0000-0000775D0000}"/>
    <cellStyle name="40% - Accent5 13 4" xfId="6261" xr:uid="{00000000-0005-0000-0000-0000785D0000}"/>
    <cellStyle name="40% - Accent5 13 4 2" xfId="6262" xr:uid="{00000000-0005-0000-0000-0000795D0000}"/>
    <cellStyle name="40% - Accent5 13 4 3" xfId="6263" xr:uid="{00000000-0005-0000-0000-00007A5D0000}"/>
    <cellStyle name="40% - Accent5 13 5" xfId="6264" xr:uid="{00000000-0005-0000-0000-00007B5D0000}"/>
    <cellStyle name="40% - Accent5 13 5 2" xfId="6265" xr:uid="{00000000-0005-0000-0000-00007C5D0000}"/>
    <cellStyle name="40% - Accent5 13 5 3" xfId="6266" xr:uid="{00000000-0005-0000-0000-00007D5D0000}"/>
    <cellStyle name="40% - Accent5 13 6" xfId="6267" xr:uid="{00000000-0005-0000-0000-00007E5D0000}"/>
    <cellStyle name="40% - Accent5 13 6 2" xfId="6268" xr:uid="{00000000-0005-0000-0000-00007F5D0000}"/>
    <cellStyle name="40% - Accent5 13 6 3" xfId="6269" xr:uid="{00000000-0005-0000-0000-0000805D0000}"/>
    <cellStyle name="40% - Accent5 13 7" xfId="6270" xr:uid="{00000000-0005-0000-0000-0000815D0000}"/>
    <cellStyle name="40% - Accent5 13 8" xfId="6271" xr:uid="{00000000-0005-0000-0000-0000825D0000}"/>
    <cellStyle name="40% - Accent5 13_Volatility" xfId="6272" xr:uid="{00000000-0005-0000-0000-0000835D0000}"/>
    <cellStyle name="40% - Accent5 14" xfId="6273" xr:uid="{00000000-0005-0000-0000-0000845D0000}"/>
    <cellStyle name="40% - Accent5 14 2" xfId="6274" xr:uid="{00000000-0005-0000-0000-0000855D0000}"/>
    <cellStyle name="40% - Accent5 14 2 2" xfId="6275" xr:uid="{00000000-0005-0000-0000-0000865D0000}"/>
    <cellStyle name="40% - Accent5 14 2 2 2" xfId="6276" xr:uid="{00000000-0005-0000-0000-0000875D0000}"/>
    <cellStyle name="40% - Accent5 14 2 2 3" xfId="6277" xr:uid="{00000000-0005-0000-0000-0000885D0000}"/>
    <cellStyle name="40% - Accent5 14 2 3" xfId="6278" xr:uid="{00000000-0005-0000-0000-0000895D0000}"/>
    <cellStyle name="40% - Accent5 14 2 3 2" xfId="6279" xr:uid="{00000000-0005-0000-0000-00008A5D0000}"/>
    <cellStyle name="40% - Accent5 14 2 3 3" xfId="6280" xr:uid="{00000000-0005-0000-0000-00008B5D0000}"/>
    <cellStyle name="40% - Accent5 14 2 4" xfId="6281" xr:uid="{00000000-0005-0000-0000-00008C5D0000}"/>
    <cellStyle name="40% - Accent5 14 2 4 2" xfId="6282" xr:uid="{00000000-0005-0000-0000-00008D5D0000}"/>
    <cellStyle name="40% - Accent5 14 2 4 3" xfId="6283" xr:uid="{00000000-0005-0000-0000-00008E5D0000}"/>
    <cellStyle name="40% - Accent5 14 2 5" xfId="6284" xr:uid="{00000000-0005-0000-0000-00008F5D0000}"/>
    <cellStyle name="40% - Accent5 14 2 6" xfId="6285" xr:uid="{00000000-0005-0000-0000-0000905D0000}"/>
    <cellStyle name="40% - Accent5 14 2_Volatility" xfId="6286" xr:uid="{00000000-0005-0000-0000-0000915D0000}"/>
    <cellStyle name="40% - Accent5 14 3" xfId="6287" xr:uid="{00000000-0005-0000-0000-0000925D0000}"/>
    <cellStyle name="40% - Accent5 14 3 2" xfId="6288" xr:uid="{00000000-0005-0000-0000-0000935D0000}"/>
    <cellStyle name="40% - Accent5 14 3 2 2" xfId="6289" xr:uid="{00000000-0005-0000-0000-0000945D0000}"/>
    <cellStyle name="40% - Accent5 14 3 2 3" xfId="6290" xr:uid="{00000000-0005-0000-0000-0000955D0000}"/>
    <cellStyle name="40% - Accent5 14 3 3" xfId="6291" xr:uid="{00000000-0005-0000-0000-0000965D0000}"/>
    <cellStyle name="40% - Accent5 14 3 3 2" xfId="6292" xr:uid="{00000000-0005-0000-0000-0000975D0000}"/>
    <cellStyle name="40% - Accent5 14 3 3 3" xfId="6293" xr:uid="{00000000-0005-0000-0000-0000985D0000}"/>
    <cellStyle name="40% - Accent5 14 3 4" xfId="6294" xr:uid="{00000000-0005-0000-0000-0000995D0000}"/>
    <cellStyle name="40% - Accent5 14 3 5" xfId="6295" xr:uid="{00000000-0005-0000-0000-00009A5D0000}"/>
    <cellStyle name="40% - Accent5 14 3_Volatility" xfId="6296" xr:uid="{00000000-0005-0000-0000-00009B5D0000}"/>
    <cellStyle name="40% - Accent5 14 4" xfId="6297" xr:uid="{00000000-0005-0000-0000-00009C5D0000}"/>
    <cellStyle name="40% - Accent5 14 4 2" xfId="6298" xr:uid="{00000000-0005-0000-0000-00009D5D0000}"/>
    <cellStyle name="40% - Accent5 14 4 3" xfId="6299" xr:uid="{00000000-0005-0000-0000-00009E5D0000}"/>
    <cellStyle name="40% - Accent5 14 5" xfId="6300" xr:uid="{00000000-0005-0000-0000-00009F5D0000}"/>
    <cellStyle name="40% - Accent5 14 5 2" xfId="6301" xr:uid="{00000000-0005-0000-0000-0000A05D0000}"/>
    <cellStyle name="40% - Accent5 14 5 3" xfId="6302" xr:uid="{00000000-0005-0000-0000-0000A15D0000}"/>
    <cellStyle name="40% - Accent5 14 6" xfId="6303" xr:uid="{00000000-0005-0000-0000-0000A25D0000}"/>
    <cellStyle name="40% - Accent5 14 6 2" xfId="6304" xr:uid="{00000000-0005-0000-0000-0000A35D0000}"/>
    <cellStyle name="40% - Accent5 14 6 3" xfId="6305" xr:uid="{00000000-0005-0000-0000-0000A45D0000}"/>
    <cellStyle name="40% - Accent5 14 7" xfId="6306" xr:uid="{00000000-0005-0000-0000-0000A55D0000}"/>
    <cellStyle name="40% - Accent5 14 8" xfId="6307" xr:uid="{00000000-0005-0000-0000-0000A65D0000}"/>
    <cellStyle name="40% - Accent5 14_Volatility" xfId="6308" xr:uid="{00000000-0005-0000-0000-0000A75D0000}"/>
    <cellStyle name="40% - Accent5 15" xfId="6309" xr:uid="{00000000-0005-0000-0000-0000A85D0000}"/>
    <cellStyle name="40% - Accent5 15 2" xfId="6310" xr:uid="{00000000-0005-0000-0000-0000A95D0000}"/>
    <cellStyle name="40% - Accent5 15 2 2" xfId="6311" xr:uid="{00000000-0005-0000-0000-0000AA5D0000}"/>
    <cellStyle name="40% - Accent5 15 2 2 2" xfId="6312" xr:uid="{00000000-0005-0000-0000-0000AB5D0000}"/>
    <cellStyle name="40% - Accent5 15 2 2 3" xfId="6313" xr:uid="{00000000-0005-0000-0000-0000AC5D0000}"/>
    <cellStyle name="40% - Accent5 15 2 3" xfId="6314" xr:uid="{00000000-0005-0000-0000-0000AD5D0000}"/>
    <cellStyle name="40% - Accent5 15 2 3 2" xfId="6315" xr:uid="{00000000-0005-0000-0000-0000AE5D0000}"/>
    <cellStyle name="40% - Accent5 15 2 3 3" xfId="6316" xr:uid="{00000000-0005-0000-0000-0000AF5D0000}"/>
    <cellStyle name="40% - Accent5 15 2 4" xfId="6317" xr:uid="{00000000-0005-0000-0000-0000B05D0000}"/>
    <cellStyle name="40% - Accent5 15 2 4 2" xfId="6318" xr:uid="{00000000-0005-0000-0000-0000B15D0000}"/>
    <cellStyle name="40% - Accent5 15 2 4 3" xfId="6319" xr:uid="{00000000-0005-0000-0000-0000B25D0000}"/>
    <cellStyle name="40% - Accent5 15 2 5" xfId="6320" xr:uid="{00000000-0005-0000-0000-0000B35D0000}"/>
    <cellStyle name="40% - Accent5 15 2 6" xfId="6321" xr:uid="{00000000-0005-0000-0000-0000B45D0000}"/>
    <cellStyle name="40% - Accent5 15 2_Volatility" xfId="6322" xr:uid="{00000000-0005-0000-0000-0000B55D0000}"/>
    <cellStyle name="40% - Accent5 15 3" xfId="6323" xr:uid="{00000000-0005-0000-0000-0000B65D0000}"/>
    <cellStyle name="40% - Accent5 15 3 2" xfId="6324" xr:uid="{00000000-0005-0000-0000-0000B75D0000}"/>
    <cellStyle name="40% - Accent5 15 3 2 2" xfId="6325" xr:uid="{00000000-0005-0000-0000-0000B85D0000}"/>
    <cellStyle name="40% - Accent5 15 3 2 3" xfId="6326" xr:uid="{00000000-0005-0000-0000-0000B95D0000}"/>
    <cellStyle name="40% - Accent5 15 3 3" xfId="6327" xr:uid="{00000000-0005-0000-0000-0000BA5D0000}"/>
    <cellStyle name="40% - Accent5 15 3 3 2" xfId="6328" xr:uid="{00000000-0005-0000-0000-0000BB5D0000}"/>
    <cellStyle name="40% - Accent5 15 3 3 3" xfId="6329" xr:uid="{00000000-0005-0000-0000-0000BC5D0000}"/>
    <cellStyle name="40% - Accent5 15 3 4" xfId="6330" xr:uid="{00000000-0005-0000-0000-0000BD5D0000}"/>
    <cellStyle name="40% - Accent5 15 3 5" xfId="6331" xr:uid="{00000000-0005-0000-0000-0000BE5D0000}"/>
    <cellStyle name="40% - Accent5 15 3_Volatility" xfId="6332" xr:uid="{00000000-0005-0000-0000-0000BF5D0000}"/>
    <cellStyle name="40% - Accent5 15 4" xfId="6333" xr:uid="{00000000-0005-0000-0000-0000C05D0000}"/>
    <cellStyle name="40% - Accent5 15 4 2" xfId="6334" xr:uid="{00000000-0005-0000-0000-0000C15D0000}"/>
    <cellStyle name="40% - Accent5 15 4 3" xfId="6335" xr:uid="{00000000-0005-0000-0000-0000C25D0000}"/>
    <cellStyle name="40% - Accent5 15 5" xfId="6336" xr:uid="{00000000-0005-0000-0000-0000C35D0000}"/>
    <cellStyle name="40% - Accent5 15 5 2" xfId="6337" xr:uid="{00000000-0005-0000-0000-0000C45D0000}"/>
    <cellStyle name="40% - Accent5 15 5 3" xfId="6338" xr:uid="{00000000-0005-0000-0000-0000C55D0000}"/>
    <cellStyle name="40% - Accent5 15 6" xfId="6339" xr:uid="{00000000-0005-0000-0000-0000C65D0000}"/>
    <cellStyle name="40% - Accent5 15 6 2" xfId="6340" xr:uid="{00000000-0005-0000-0000-0000C75D0000}"/>
    <cellStyle name="40% - Accent5 15 6 3" xfId="6341" xr:uid="{00000000-0005-0000-0000-0000C85D0000}"/>
    <cellStyle name="40% - Accent5 15 7" xfId="6342" xr:uid="{00000000-0005-0000-0000-0000C95D0000}"/>
    <cellStyle name="40% - Accent5 15 8" xfId="6343" xr:uid="{00000000-0005-0000-0000-0000CA5D0000}"/>
    <cellStyle name="40% - Accent5 15_Volatility" xfId="6344" xr:uid="{00000000-0005-0000-0000-0000CB5D0000}"/>
    <cellStyle name="40% - Accent5 16" xfId="6345" xr:uid="{00000000-0005-0000-0000-0000CC5D0000}"/>
    <cellStyle name="40% - Accent5 16 2" xfId="15941" xr:uid="{00000000-0005-0000-0000-0000CD5D0000}"/>
    <cellStyle name="40% - Accent5 16 2 2" xfId="27798" xr:uid="{00000000-0005-0000-0000-0000CE5D0000}"/>
    <cellStyle name="40% - Accent5 16 3" xfId="19892" xr:uid="{00000000-0005-0000-0000-0000CF5D0000}"/>
    <cellStyle name="40% - Accent5 16 3 2" xfId="31584" xr:uid="{00000000-0005-0000-0000-0000D05D0000}"/>
    <cellStyle name="40% - Accent5 16 4" xfId="23938" xr:uid="{00000000-0005-0000-0000-0000D15D0000}"/>
    <cellStyle name="40% - Accent5 17" xfId="6346" xr:uid="{00000000-0005-0000-0000-0000D25D0000}"/>
    <cellStyle name="40% - Accent5 17 2" xfId="15942" xr:uid="{00000000-0005-0000-0000-0000D35D0000}"/>
    <cellStyle name="40% - Accent5 17 2 2" xfId="27799" xr:uid="{00000000-0005-0000-0000-0000D45D0000}"/>
    <cellStyle name="40% - Accent5 17 3" xfId="19893" xr:uid="{00000000-0005-0000-0000-0000D55D0000}"/>
    <cellStyle name="40% - Accent5 17 3 2" xfId="31585" xr:uid="{00000000-0005-0000-0000-0000D65D0000}"/>
    <cellStyle name="40% - Accent5 17 4" xfId="23939" xr:uid="{00000000-0005-0000-0000-0000D75D0000}"/>
    <cellStyle name="40% - Accent5 18" xfId="6347" xr:uid="{00000000-0005-0000-0000-0000D85D0000}"/>
    <cellStyle name="40% - Accent5 18 2" xfId="15943" xr:uid="{00000000-0005-0000-0000-0000D95D0000}"/>
    <cellStyle name="40% - Accent5 18 2 2" xfId="27800" xr:uid="{00000000-0005-0000-0000-0000DA5D0000}"/>
    <cellStyle name="40% - Accent5 18 3" xfId="19894" xr:uid="{00000000-0005-0000-0000-0000DB5D0000}"/>
    <cellStyle name="40% - Accent5 18 3 2" xfId="31586" xr:uid="{00000000-0005-0000-0000-0000DC5D0000}"/>
    <cellStyle name="40% - Accent5 18 4" xfId="23940" xr:uid="{00000000-0005-0000-0000-0000DD5D0000}"/>
    <cellStyle name="40% - Accent5 19" xfId="6348" xr:uid="{00000000-0005-0000-0000-0000DE5D0000}"/>
    <cellStyle name="40% - Accent5 19 2" xfId="15944" xr:uid="{00000000-0005-0000-0000-0000DF5D0000}"/>
    <cellStyle name="40% - Accent5 19 2 2" xfId="27801" xr:uid="{00000000-0005-0000-0000-0000E05D0000}"/>
    <cellStyle name="40% - Accent5 19 3" xfId="19895" xr:uid="{00000000-0005-0000-0000-0000E15D0000}"/>
    <cellStyle name="40% - Accent5 19 3 2" xfId="31587" xr:uid="{00000000-0005-0000-0000-0000E25D0000}"/>
    <cellStyle name="40% - Accent5 19 4" xfId="23941" xr:uid="{00000000-0005-0000-0000-0000E35D0000}"/>
    <cellStyle name="40% - Accent5 2" xfId="6349" xr:uid="{00000000-0005-0000-0000-0000E45D0000}"/>
    <cellStyle name="40% - Accent5 2 2" xfId="6350" xr:uid="{00000000-0005-0000-0000-0000E55D0000}"/>
    <cellStyle name="40% - Accent5 2 2 2" xfId="6351" xr:uid="{00000000-0005-0000-0000-0000E65D0000}"/>
    <cellStyle name="40% - Accent5 2 2 2 2" xfId="6352" xr:uid="{00000000-0005-0000-0000-0000E75D0000}"/>
    <cellStyle name="40% - Accent5 2 2 2 3" xfId="6353" xr:uid="{00000000-0005-0000-0000-0000E85D0000}"/>
    <cellStyle name="40% - Accent5 2 2 3" xfId="6354" xr:uid="{00000000-0005-0000-0000-0000E95D0000}"/>
    <cellStyle name="40% - Accent5 2 2 3 2" xfId="6355" xr:uid="{00000000-0005-0000-0000-0000EA5D0000}"/>
    <cellStyle name="40% - Accent5 2 2 3 3" xfId="6356" xr:uid="{00000000-0005-0000-0000-0000EB5D0000}"/>
    <cellStyle name="40% - Accent5 2 2 4" xfId="6357" xr:uid="{00000000-0005-0000-0000-0000EC5D0000}"/>
    <cellStyle name="40% - Accent5 2 2 4 2" xfId="6358" xr:uid="{00000000-0005-0000-0000-0000ED5D0000}"/>
    <cellStyle name="40% - Accent5 2 2 4 3" xfId="6359" xr:uid="{00000000-0005-0000-0000-0000EE5D0000}"/>
    <cellStyle name="40% - Accent5 2 2 5" xfId="6360" xr:uid="{00000000-0005-0000-0000-0000EF5D0000}"/>
    <cellStyle name="40% - Accent5 2 2 6" xfId="6361" xr:uid="{00000000-0005-0000-0000-0000F05D0000}"/>
    <cellStyle name="40% - Accent5 2 2_Volatility" xfId="6362" xr:uid="{00000000-0005-0000-0000-0000F15D0000}"/>
    <cellStyle name="40% - Accent5 2 3" xfId="6363" xr:uid="{00000000-0005-0000-0000-0000F25D0000}"/>
    <cellStyle name="40% - Accent5 2 3 2" xfId="6364" xr:uid="{00000000-0005-0000-0000-0000F35D0000}"/>
    <cellStyle name="40% - Accent5 2 3 2 2" xfId="6365" xr:uid="{00000000-0005-0000-0000-0000F45D0000}"/>
    <cellStyle name="40% - Accent5 2 3 2 3" xfId="6366" xr:uid="{00000000-0005-0000-0000-0000F55D0000}"/>
    <cellStyle name="40% - Accent5 2 3 3" xfId="6367" xr:uid="{00000000-0005-0000-0000-0000F65D0000}"/>
    <cellStyle name="40% - Accent5 2 3 3 2" xfId="6368" xr:uid="{00000000-0005-0000-0000-0000F75D0000}"/>
    <cellStyle name="40% - Accent5 2 3 3 3" xfId="6369" xr:uid="{00000000-0005-0000-0000-0000F85D0000}"/>
    <cellStyle name="40% - Accent5 2 3 4" xfId="6370" xr:uid="{00000000-0005-0000-0000-0000F95D0000}"/>
    <cellStyle name="40% - Accent5 2 3 5" xfId="6371" xr:uid="{00000000-0005-0000-0000-0000FA5D0000}"/>
    <cellStyle name="40% - Accent5 2 3_Volatility" xfId="6372" xr:uid="{00000000-0005-0000-0000-0000FB5D0000}"/>
    <cellStyle name="40% - Accent5 2 4" xfId="6373" xr:uid="{00000000-0005-0000-0000-0000FC5D0000}"/>
    <cellStyle name="40% - Accent5 2 4 2" xfId="6374" xr:uid="{00000000-0005-0000-0000-0000FD5D0000}"/>
    <cellStyle name="40% - Accent5 2 4 3" xfId="6375" xr:uid="{00000000-0005-0000-0000-0000FE5D0000}"/>
    <cellStyle name="40% - Accent5 2 5" xfId="6376" xr:uid="{00000000-0005-0000-0000-0000FF5D0000}"/>
    <cellStyle name="40% - Accent5 2 5 2" xfId="6377" xr:uid="{00000000-0005-0000-0000-0000005E0000}"/>
    <cellStyle name="40% - Accent5 2 5 3" xfId="6378" xr:uid="{00000000-0005-0000-0000-0000015E0000}"/>
    <cellStyle name="40% - Accent5 2 6" xfId="6379" xr:uid="{00000000-0005-0000-0000-0000025E0000}"/>
    <cellStyle name="40% - Accent5 2 6 2" xfId="6380" xr:uid="{00000000-0005-0000-0000-0000035E0000}"/>
    <cellStyle name="40% - Accent5 2 6 3" xfId="6381" xr:uid="{00000000-0005-0000-0000-0000045E0000}"/>
    <cellStyle name="40% - Accent5 2 7" xfId="6382" xr:uid="{00000000-0005-0000-0000-0000055E0000}"/>
    <cellStyle name="40% - Accent5 2 8" xfId="6383" xr:uid="{00000000-0005-0000-0000-0000065E0000}"/>
    <cellStyle name="40% - Accent5 2_Volatility" xfId="6384" xr:uid="{00000000-0005-0000-0000-0000075E0000}"/>
    <cellStyle name="40% - Accent5 3" xfId="6385" xr:uid="{00000000-0005-0000-0000-0000085E0000}"/>
    <cellStyle name="40% - Accent5 3 2" xfId="6386" xr:uid="{00000000-0005-0000-0000-0000095E0000}"/>
    <cellStyle name="40% - Accent5 3 2 2" xfId="6387" xr:uid="{00000000-0005-0000-0000-00000A5E0000}"/>
    <cellStyle name="40% - Accent5 3 2 2 2" xfId="6388" xr:uid="{00000000-0005-0000-0000-00000B5E0000}"/>
    <cellStyle name="40% - Accent5 3 2 2 3" xfId="6389" xr:uid="{00000000-0005-0000-0000-00000C5E0000}"/>
    <cellStyle name="40% - Accent5 3 2 3" xfId="6390" xr:uid="{00000000-0005-0000-0000-00000D5E0000}"/>
    <cellStyle name="40% - Accent5 3 2 3 2" xfId="6391" xr:uid="{00000000-0005-0000-0000-00000E5E0000}"/>
    <cellStyle name="40% - Accent5 3 2 3 3" xfId="6392" xr:uid="{00000000-0005-0000-0000-00000F5E0000}"/>
    <cellStyle name="40% - Accent5 3 2 4" xfId="6393" xr:uid="{00000000-0005-0000-0000-0000105E0000}"/>
    <cellStyle name="40% - Accent5 3 2 4 2" xfId="6394" xr:uid="{00000000-0005-0000-0000-0000115E0000}"/>
    <cellStyle name="40% - Accent5 3 2 4 3" xfId="6395" xr:uid="{00000000-0005-0000-0000-0000125E0000}"/>
    <cellStyle name="40% - Accent5 3 2 5" xfId="6396" xr:uid="{00000000-0005-0000-0000-0000135E0000}"/>
    <cellStyle name="40% - Accent5 3 2 6" xfId="6397" xr:uid="{00000000-0005-0000-0000-0000145E0000}"/>
    <cellStyle name="40% - Accent5 3 2_Volatility" xfId="6398" xr:uid="{00000000-0005-0000-0000-0000155E0000}"/>
    <cellStyle name="40% - Accent5 3 3" xfId="6399" xr:uid="{00000000-0005-0000-0000-0000165E0000}"/>
    <cellStyle name="40% - Accent5 3 3 2" xfId="6400" xr:uid="{00000000-0005-0000-0000-0000175E0000}"/>
    <cellStyle name="40% - Accent5 3 3 2 2" xfId="6401" xr:uid="{00000000-0005-0000-0000-0000185E0000}"/>
    <cellStyle name="40% - Accent5 3 3 2 3" xfId="6402" xr:uid="{00000000-0005-0000-0000-0000195E0000}"/>
    <cellStyle name="40% - Accent5 3 3 3" xfId="6403" xr:uid="{00000000-0005-0000-0000-00001A5E0000}"/>
    <cellStyle name="40% - Accent5 3 3 3 2" xfId="6404" xr:uid="{00000000-0005-0000-0000-00001B5E0000}"/>
    <cellStyle name="40% - Accent5 3 3 3 3" xfId="6405" xr:uid="{00000000-0005-0000-0000-00001C5E0000}"/>
    <cellStyle name="40% - Accent5 3 3 4" xfId="6406" xr:uid="{00000000-0005-0000-0000-00001D5E0000}"/>
    <cellStyle name="40% - Accent5 3 3 5" xfId="6407" xr:uid="{00000000-0005-0000-0000-00001E5E0000}"/>
    <cellStyle name="40% - Accent5 3 3_Volatility" xfId="6408" xr:uid="{00000000-0005-0000-0000-00001F5E0000}"/>
    <cellStyle name="40% - Accent5 3 4" xfId="6409" xr:uid="{00000000-0005-0000-0000-0000205E0000}"/>
    <cellStyle name="40% - Accent5 3 4 2" xfId="6410" xr:uid="{00000000-0005-0000-0000-0000215E0000}"/>
    <cellStyle name="40% - Accent5 3 4 3" xfId="6411" xr:uid="{00000000-0005-0000-0000-0000225E0000}"/>
    <cellStyle name="40% - Accent5 3 5" xfId="6412" xr:uid="{00000000-0005-0000-0000-0000235E0000}"/>
    <cellStyle name="40% - Accent5 3 5 2" xfId="6413" xr:uid="{00000000-0005-0000-0000-0000245E0000}"/>
    <cellStyle name="40% - Accent5 3 5 3" xfId="6414" xr:uid="{00000000-0005-0000-0000-0000255E0000}"/>
    <cellStyle name="40% - Accent5 3 6" xfId="6415" xr:uid="{00000000-0005-0000-0000-0000265E0000}"/>
    <cellStyle name="40% - Accent5 3 6 2" xfId="6416" xr:uid="{00000000-0005-0000-0000-0000275E0000}"/>
    <cellStyle name="40% - Accent5 3 6 3" xfId="6417" xr:uid="{00000000-0005-0000-0000-0000285E0000}"/>
    <cellStyle name="40% - Accent5 3 7" xfId="6418" xr:uid="{00000000-0005-0000-0000-0000295E0000}"/>
    <cellStyle name="40% - Accent5 3 8" xfId="6419" xr:uid="{00000000-0005-0000-0000-00002A5E0000}"/>
    <cellStyle name="40% - Accent5 3_Volatility" xfId="6420" xr:uid="{00000000-0005-0000-0000-00002B5E0000}"/>
    <cellStyle name="40% - Accent5 4" xfId="6421" xr:uid="{00000000-0005-0000-0000-00002C5E0000}"/>
    <cellStyle name="40% - Accent5 4 2" xfId="6422" xr:uid="{00000000-0005-0000-0000-00002D5E0000}"/>
    <cellStyle name="40% - Accent5 4 2 2" xfId="6423" xr:uid="{00000000-0005-0000-0000-00002E5E0000}"/>
    <cellStyle name="40% - Accent5 4 2 2 2" xfId="6424" xr:uid="{00000000-0005-0000-0000-00002F5E0000}"/>
    <cellStyle name="40% - Accent5 4 2 2 3" xfId="6425" xr:uid="{00000000-0005-0000-0000-0000305E0000}"/>
    <cellStyle name="40% - Accent5 4 2 3" xfId="6426" xr:uid="{00000000-0005-0000-0000-0000315E0000}"/>
    <cellStyle name="40% - Accent5 4 2 3 2" xfId="6427" xr:uid="{00000000-0005-0000-0000-0000325E0000}"/>
    <cellStyle name="40% - Accent5 4 2 3 3" xfId="6428" xr:uid="{00000000-0005-0000-0000-0000335E0000}"/>
    <cellStyle name="40% - Accent5 4 2 4" xfId="6429" xr:uid="{00000000-0005-0000-0000-0000345E0000}"/>
    <cellStyle name="40% - Accent5 4 2 4 2" xfId="6430" xr:uid="{00000000-0005-0000-0000-0000355E0000}"/>
    <cellStyle name="40% - Accent5 4 2 4 3" xfId="6431" xr:uid="{00000000-0005-0000-0000-0000365E0000}"/>
    <cellStyle name="40% - Accent5 4 2 5" xfId="6432" xr:uid="{00000000-0005-0000-0000-0000375E0000}"/>
    <cellStyle name="40% - Accent5 4 2 6" xfId="6433" xr:uid="{00000000-0005-0000-0000-0000385E0000}"/>
    <cellStyle name="40% - Accent5 4 2_Volatility" xfId="6434" xr:uid="{00000000-0005-0000-0000-0000395E0000}"/>
    <cellStyle name="40% - Accent5 4 3" xfId="6435" xr:uid="{00000000-0005-0000-0000-00003A5E0000}"/>
    <cellStyle name="40% - Accent5 4 3 2" xfId="6436" xr:uid="{00000000-0005-0000-0000-00003B5E0000}"/>
    <cellStyle name="40% - Accent5 4 3 2 2" xfId="6437" xr:uid="{00000000-0005-0000-0000-00003C5E0000}"/>
    <cellStyle name="40% - Accent5 4 3 2 3" xfId="6438" xr:uid="{00000000-0005-0000-0000-00003D5E0000}"/>
    <cellStyle name="40% - Accent5 4 3 3" xfId="6439" xr:uid="{00000000-0005-0000-0000-00003E5E0000}"/>
    <cellStyle name="40% - Accent5 4 3 3 2" xfId="6440" xr:uid="{00000000-0005-0000-0000-00003F5E0000}"/>
    <cellStyle name="40% - Accent5 4 3 3 3" xfId="6441" xr:uid="{00000000-0005-0000-0000-0000405E0000}"/>
    <cellStyle name="40% - Accent5 4 3 4" xfId="6442" xr:uid="{00000000-0005-0000-0000-0000415E0000}"/>
    <cellStyle name="40% - Accent5 4 3 5" xfId="6443" xr:uid="{00000000-0005-0000-0000-0000425E0000}"/>
    <cellStyle name="40% - Accent5 4 3_Volatility" xfId="6444" xr:uid="{00000000-0005-0000-0000-0000435E0000}"/>
    <cellStyle name="40% - Accent5 4 4" xfId="6445" xr:uid="{00000000-0005-0000-0000-0000445E0000}"/>
    <cellStyle name="40% - Accent5 4 4 2" xfId="6446" xr:uid="{00000000-0005-0000-0000-0000455E0000}"/>
    <cellStyle name="40% - Accent5 4 4 3" xfId="6447" xr:uid="{00000000-0005-0000-0000-0000465E0000}"/>
    <cellStyle name="40% - Accent5 4 5" xfId="6448" xr:uid="{00000000-0005-0000-0000-0000475E0000}"/>
    <cellStyle name="40% - Accent5 4 5 2" xfId="6449" xr:uid="{00000000-0005-0000-0000-0000485E0000}"/>
    <cellStyle name="40% - Accent5 4 5 3" xfId="6450" xr:uid="{00000000-0005-0000-0000-0000495E0000}"/>
    <cellStyle name="40% - Accent5 4 6" xfId="6451" xr:uid="{00000000-0005-0000-0000-00004A5E0000}"/>
    <cellStyle name="40% - Accent5 4 6 2" xfId="6452" xr:uid="{00000000-0005-0000-0000-00004B5E0000}"/>
    <cellStyle name="40% - Accent5 4 6 3" xfId="6453" xr:uid="{00000000-0005-0000-0000-00004C5E0000}"/>
    <cellStyle name="40% - Accent5 4 7" xfId="6454" xr:uid="{00000000-0005-0000-0000-00004D5E0000}"/>
    <cellStyle name="40% - Accent5 4 8" xfId="6455" xr:uid="{00000000-0005-0000-0000-00004E5E0000}"/>
    <cellStyle name="40% - Accent5 4_Volatility" xfId="6456" xr:uid="{00000000-0005-0000-0000-00004F5E0000}"/>
    <cellStyle name="40% - Accent5 5" xfId="6457" xr:uid="{00000000-0005-0000-0000-0000505E0000}"/>
    <cellStyle name="40% - Accent5 5 2" xfId="6458" xr:uid="{00000000-0005-0000-0000-0000515E0000}"/>
    <cellStyle name="40% - Accent5 5 2 2" xfId="6459" xr:uid="{00000000-0005-0000-0000-0000525E0000}"/>
    <cellStyle name="40% - Accent5 5 2 2 2" xfId="6460" xr:uid="{00000000-0005-0000-0000-0000535E0000}"/>
    <cellStyle name="40% - Accent5 5 2 2 3" xfId="6461" xr:uid="{00000000-0005-0000-0000-0000545E0000}"/>
    <cellStyle name="40% - Accent5 5 2 3" xfId="6462" xr:uid="{00000000-0005-0000-0000-0000555E0000}"/>
    <cellStyle name="40% - Accent5 5 2 3 2" xfId="6463" xr:uid="{00000000-0005-0000-0000-0000565E0000}"/>
    <cellStyle name="40% - Accent5 5 2 3 3" xfId="6464" xr:uid="{00000000-0005-0000-0000-0000575E0000}"/>
    <cellStyle name="40% - Accent5 5 2 4" xfId="6465" xr:uid="{00000000-0005-0000-0000-0000585E0000}"/>
    <cellStyle name="40% - Accent5 5 2 4 2" xfId="6466" xr:uid="{00000000-0005-0000-0000-0000595E0000}"/>
    <cellStyle name="40% - Accent5 5 2 4 3" xfId="6467" xr:uid="{00000000-0005-0000-0000-00005A5E0000}"/>
    <cellStyle name="40% - Accent5 5 2 5" xfId="6468" xr:uid="{00000000-0005-0000-0000-00005B5E0000}"/>
    <cellStyle name="40% - Accent5 5 2 6" xfId="6469" xr:uid="{00000000-0005-0000-0000-00005C5E0000}"/>
    <cellStyle name="40% - Accent5 5 2_Volatility" xfId="6470" xr:uid="{00000000-0005-0000-0000-00005D5E0000}"/>
    <cellStyle name="40% - Accent5 5 3" xfId="6471" xr:uid="{00000000-0005-0000-0000-00005E5E0000}"/>
    <cellStyle name="40% - Accent5 5 3 2" xfId="6472" xr:uid="{00000000-0005-0000-0000-00005F5E0000}"/>
    <cellStyle name="40% - Accent5 5 3 2 2" xfId="6473" xr:uid="{00000000-0005-0000-0000-0000605E0000}"/>
    <cellStyle name="40% - Accent5 5 3 2 3" xfId="6474" xr:uid="{00000000-0005-0000-0000-0000615E0000}"/>
    <cellStyle name="40% - Accent5 5 3 3" xfId="6475" xr:uid="{00000000-0005-0000-0000-0000625E0000}"/>
    <cellStyle name="40% - Accent5 5 3 3 2" xfId="6476" xr:uid="{00000000-0005-0000-0000-0000635E0000}"/>
    <cellStyle name="40% - Accent5 5 3 3 3" xfId="6477" xr:uid="{00000000-0005-0000-0000-0000645E0000}"/>
    <cellStyle name="40% - Accent5 5 3 4" xfId="6478" xr:uid="{00000000-0005-0000-0000-0000655E0000}"/>
    <cellStyle name="40% - Accent5 5 3 5" xfId="6479" xr:uid="{00000000-0005-0000-0000-0000665E0000}"/>
    <cellStyle name="40% - Accent5 5 3_Volatility" xfId="6480" xr:uid="{00000000-0005-0000-0000-0000675E0000}"/>
    <cellStyle name="40% - Accent5 5 4" xfId="6481" xr:uid="{00000000-0005-0000-0000-0000685E0000}"/>
    <cellStyle name="40% - Accent5 5 4 2" xfId="6482" xr:uid="{00000000-0005-0000-0000-0000695E0000}"/>
    <cellStyle name="40% - Accent5 5 4 3" xfId="6483" xr:uid="{00000000-0005-0000-0000-00006A5E0000}"/>
    <cellStyle name="40% - Accent5 5 5" xfId="6484" xr:uid="{00000000-0005-0000-0000-00006B5E0000}"/>
    <cellStyle name="40% - Accent5 5 5 2" xfId="6485" xr:uid="{00000000-0005-0000-0000-00006C5E0000}"/>
    <cellStyle name="40% - Accent5 5 5 3" xfId="6486" xr:uid="{00000000-0005-0000-0000-00006D5E0000}"/>
    <cellStyle name="40% - Accent5 5 6" xfId="6487" xr:uid="{00000000-0005-0000-0000-00006E5E0000}"/>
    <cellStyle name="40% - Accent5 5 6 2" xfId="6488" xr:uid="{00000000-0005-0000-0000-00006F5E0000}"/>
    <cellStyle name="40% - Accent5 5 6 3" xfId="6489" xr:uid="{00000000-0005-0000-0000-0000705E0000}"/>
    <cellStyle name="40% - Accent5 5 7" xfId="6490" xr:uid="{00000000-0005-0000-0000-0000715E0000}"/>
    <cellStyle name="40% - Accent5 5 8" xfId="6491" xr:uid="{00000000-0005-0000-0000-0000725E0000}"/>
    <cellStyle name="40% - Accent5 5_Volatility" xfId="6492" xr:uid="{00000000-0005-0000-0000-0000735E0000}"/>
    <cellStyle name="40% - Accent5 6" xfId="6493" xr:uid="{00000000-0005-0000-0000-0000745E0000}"/>
    <cellStyle name="40% - Accent5 6 2" xfId="6494" xr:uid="{00000000-0005-0000-0000-0000755E0000}"/>
    <cellStyle name="40% - Accent5 6 2 2" xfId="6495" xr:uid="{00000000-0005-0000-0000-0000765E0000}"/>
    <cellStyle name="40% - Accent5 6 2 2 2" xfId="6496" xr:uid="{00000000-0005-0000-0000-0000775E0000}"/>
    <cellStyle name="40% - Accent5 6 2 2 3" xfId="6497" xr:uid="{00000000-0005-0000-0000-0000785E0000}"/>
    <cellStyle name="40% - Accent5 6 2 3" xfId="6498" xr:uid="{00000000-0005-0000-0000-0000795E0000}"/>
    <cellStyle name="40% - Accent5 6 2 3 2" xfId="6499" xr:uid="{00000000-0005-0000-0000-00007A5E0000}"/>
    <cellStyle name="40% - Accent5 6 2 3 3" xfId="6500" xr:uid="{00000000-0005-0000-0000-00007B5E0000}"/>
    <cellStyle name="40% - Accent5 6 2 4" xfId="6501" xr:uid="{00000000-0005-0000-0000-00007C5E0000}"/>
    <cellStyle name="40% - Accent5 6 2 4 2" xfId="6502" xr:uid="{00000000-0005-0000-0000-00007D5E0000}"/>
    <cellStyle name="40% - Accent5 6 2 4 3" xfId="6503" xr:uid="{00000000-0005-0000-0000-00007E5E0000}"/>
    <cellStyle name="40% - Accent5 6 2 5" xfId="6504" xr:uid="{00000000-0005-0000-0000-00007F5E0000}"/>
    <cellStyle name="40% - Accent5 6 2 6" xfId="6505" xr:uid="{00000000-0005-0000-0000-0000805E0000}"/>
    <cellStyle name="40% - Accent5 6 2_Volatility" xfId="6506" xr:uid="{00000000-0005-0000-0000-0000815E0000}"/>
    <cellStyle name="40% - Accent5 6 3" xfId="6507" xr:uid="{00000000-0005-0000-0000-0000825E0000}"/>
    <cellStyle name="40% - Accent5 6 3 2" xfId="6508" xr:uid="{00000000-0005-0000-0000-0000835E0000}"/>
    <cellStyle name="40% - Accent5 6 3 2 2" xfId="6509" xr:uid="{00000000-0005-0000-0000-0000845E0000}"/>
    <cellStyle name="40% - Accent5 6 3 2 3" xfId="6510" xr:uid="{00000000-0005-0000-0000-0000855E0000}"/>
    <cellStyle name="40% - Accent5 6 3 3" xfId="6511" xr:uid="{00000000-0005-0000-0000-0000865E0000}"/>
    <cellStyle name="40% - Accent5 6 3 3 2" xfId="6512" xr:uid="{00000000-0005-0000-0000-0000875E0000}"/>
    <cellStyle name="40% - Accent5 6 3 3 3" xfId="6513" xr:uid="{00000000-0005-0000-0000-0000885E0000}"/>
    <cellStyle name="40% - Accent5 6 3 4" xfId="6514" xr:uid="{00000000-0005-0000-0000-0000895E0000}"/>
    <cellStyle name="40% - Accent5 6 3 5" xfId="6515" xr:uid="{00000000-0005-0000-0000-00008A5E0000}"/>
    <cellStyle name="40% - Accent5 6 3_Volatility" xfId="6516" xr:uid="{00000000-0005-0000-0000-00008B5E0000}"/>
    <cellStyle name="40% - Accent5 6 4" xfId="6517" xr:uid="{00000000-0005-0000-0000-00008C5E0000}"/>
    <cellStyle name="40% - Accent5 6 4 2" xfId="6518" xr:uid="{00000000-0005-0000-0000-00008D5E0000}"/>
    <cellStyle name="40% - Accent5 6 4 3" xfId="6519" xr:uid="{00000000-0005-0000-0000-00008E5E0000}"/>
    <cellStyle name="40% - Accent5 6 5" xfId="6520" xr:uid="{00000000-0005-0000-0000-00008F5E0000}"/>
    <cellStyle name="40% - Accent5 6 5 2" xfId="6521" xr:uid="{00000000-0005-0000-0000-0000905E0000}"/>
    <cellStyle name="40% - Accent5 6 5 3" xfId="6522" xr:uid="{00000000-0005-0000-0000-0000915E0000}"/>
    <cellStyle name="40% - Accent5 6 6" xfId="6523" xr:uid="{00000000-0005-0000-0000-0000925E0000}"/>
    <cellStyle name="40% - Accent5 6 6 2" xfId="6524" xr:uid="{00000000-0005-0000-0000-0000935E0000}"/>
    <cellStyle name="40% - Accent5 6 6 3" xfId="6525" xr:uid="{00000000-0005-0000-0000-0000945E0000}"/>
    <cellStyle name="40% - Accent5 6 7" xfId="6526" xr:uid="{00000000-0005-0000-0000-0000955E0000}"/>
    <cellStyle name="40% - Accent5 6 8" xfId="6527" xr:uid="{00000000-0005-0000-0000-0000965E0000}"/>
    <cellStyle name="40% - Accent5 6_Volatility" xfId="6528" xr:uid="{00000000-0005-0000-0000-0000975E0000}"/>
    <cellStyle name="40% - Accent5 7" xfId="6529" xr:uid="{00000000-0005-0000-0000-0000985E0000}"/>
    <cellStyle name="40% - Accent5 7 2" xfId="6530" xr:uid="{00000000-0005-0000-0000-0000995E0000}"/>
    <cellStyle name="40% - Accent5 7 2 2" xfId="6531" xr:uid="{00000000-0005-0000-0000-00009A5E0000}"/>
    <cellStyle name="40% - Accent5 7 2 2 2" xfId="6532" xr:uid="{00000000-0005-0000-0000-00009B5E0000}"/>
    <cellStyle name="40% - Accent5 7 2 2 3" xfId="6533" xr:uid="{00000000-0005-0000-0000-00009C5E0000}"/>
    <cellStyle name="40% - Accent5 7 2 3" xfId="6534" xr:uid="{00000000-0005-0000-0000-00009D5E0000}"/>
    <cellStyle name="40% - Accent5 7 2 3 2" xfId="6535" xr:uid="{00000000-0005-0000-0000-00009E5E0000}"/>
    <cellStyle name="40% - Accent5 7 2 3 3" xfId="6536" xr:uid="{00000000-0005-0000-0000-00009F5E0000}"/>
    <cellStyle name="40% - Accent5 7 2 4" xfId="6537" xr:uid="{00000000-0005-0000-0000-0000A05E0000}"/>
    <cellStyle name="40% - Accent5 7 2 4 2" xfId="6538" xr:uid="{00000000-0005-0000-0000-0000A15E0000}"/>
    <cellStyle name="40% - Accent5 7 2 4 3" xfId="6539" xr:uid="{00000000-0005-0000-0000-0000A25E0000}"/>
    <cellStyle name="40% - Accent5 7 2 5" xfId="6540" xr:uid="{00000000-0005-0000-0000-0000A35E0000}"/>
    <cellStyle name="40% - Accent5 7 2 6" xfId="6541" xr:uid="{00000000-0005-0000-0000-0000A45E0000}"/>
    <cellStyle name="40% - Accent5 7 2_Volatility" xfId="6542" xr:uid="{00000000-0005-0000-0000-0000A55E0000}"/>
    <cellStyle name="40% - Accent5 7 3" xfId="6543" xr:uid="{00000000-0005-0000-0000-0000A65E0000}"/>
    <cellStyle name="40% - Accent5 7 3 2" xfId="6544" xr:uid="{00000000-0005-0000-0000-0000A75E0000}"/>
    <cellStyle name="40% - Accent5 7 3 2 2" xfId="6545" xr:uid="{00000000-0005-0000-0000-0000A85E0000}"/>
    <cellStyle name="40% - Accent5 7 3 2 3" xfId="6546" xr:uid="{00000000-0005-0000-0000-0000A95E0000}"/>
    <cellStyle name="40% - Accent5 7 3 3" xfId="6547" xr:uid="{00000000-0005-0000-0000-0000AA5E0000}"/>
    <cellStyle name="40% - Accent5 7 3 3 2" xfId="6548" xr:uid="{00000000-0005-0000-0000-0000AB5E0000}"/>
    <cellStyle name="40% - Accent5 7 3 3 3" xfId="6549" xr:uid="{00000000-0005-0000-0000-0000AC5E0000}"/>
    <cellStyle name="40% - Accent5 7 3 4" xfId="6550" xr:uid="{00000000-0005-0000-0000-0000AD5E0000}"/>
    <cellStyle name="40% - Accent5 7 3 5" xfId="6551" xr:uid="{00000000-0005-0000-0000-0000AE5E0000}"/>
    <cellStyle name="40% - Accent5 7 3_Volatility" xfId="6552" xr:uid="{00000000-0005-0000-0000-0000AF5E0000}"/>
    <cellStyle name="40% - Accent5 7 4" xfId="6553" xr:uid="{00000000-0005-0000-0000-0000B05E0000}"/>
    <cellStyle name="40% - Accent5 7 4 2" xfId="6554" xr:uid="{00000000-0005-0000-0000-0000B15E0000}"/>
    <cellStyle name="40% - Accent5 7 4 3" xfId="6555" xr:uid="{00000000-0005-0000-0000-0000B25E0000}"/>
    <cellStyle name="40% - Accent5 7 5" xfId="6556" xr:uid="{00000000-0005-0000-0000-0000B35E0000}"/>
    <cellStyle name="40% - Accent5 7 5 2" xfId="6557" xr:uid="{00000000-0005-0000-0000-0000B45E0000}"/>
    <cellStyle name="40% - Accent5 7 5 3" xfId="6558" xr:uid="{00000000-0005-0000-0000-0000B55E0000}"/>
    <cellStyle name="40% - Accent5 7 6" xfId="6559" xr:uid="{00000000-0005-0000-0000-0000B65E0000}"/>
    <cellStyle name="40% - Accent5 7 6 2" xfId="6560" xr:uid="{00000000-0005-0000-0000-0000B75E0000}"/>
    <cellStyle name="40% - Accent5 7 6 3" xfId="6561" xr:uid="{00000000-0005-0000-0000-0000B85E0000}"/>
    <cellStyle name="40% - Accent5 7 7" xfId="6562" xr:uid="{00000000-0005-0000-0000-0000B95E0000}"/>
    <cellStyle name="40% - Accent5 7 8" xfId="6563" xr:uid="{00000000-0005-0000-0000-0000BA5E0000}"/>
    <cellStyle name="40% - Accent5 7_Volatility" xfId="6564" xr:uid="{00000000-0005-0000-0000-0000BB5E0000}"/>
    <cellStyle name="40% - Accent5 8" xfId="6565" xr:uid="{00000000-0005-0000-0000-0000BC5E0000}"/>
    <cellStyle name="40% - Accent5 8 2" xfId="6566" xr:uid="{00000000-0005-0000-0000-0000BD5E0000}"/>
    <cellStyle name="40% - Accent5 8 2 2" xfId="6567" xr:uid="{00000000-0005-0000-0000-0000BE5E0000}"/>
    <cellStyle name="40% - Accent5 8 2 2 2" xfId="6568" xr:uid="{00000000-0005-0000-0000-0000BF5E0000}"/>
    <cellStyle name="40% - Accent5 8 2 2 3" xfId="6569" xr:uid="{00000000-0005-0000-0000-0000C05E0000}"/>
    <cellStyle name="40% - Accent5 8 2 3" xfId="6570" xr:uid="{00000000-0005-0000-0000-0000C15E0000}"/>
    <cellStyle name="40% - Accent5 8 2 3 2" xfId="6571" xr:uid="{00000000-0005-0000-0000-0000C25E0000}"/>
    <cellStyle name="40% - Accent5 8 2 3 3" xfId="6572" xr:uid="{00000000-0005-0000-0000-0000C35E0000}"/>
    <cellStyle name="40% - Accent5 8 2 4" xfId="6573" xr:uid="{00000000-0005-0000-0000-0000C45E0000}"/>
    <cellStyle name="40% - Accent5 8 2 4 2" xfId="6574" xr:uid="{00000000-0005-0000-0000-0000C55E0000}"/>
    <cellStyle name="40% - Accent5 8 2 4 3" xfId="6575" xr:uid="{00000000-0005-0000-0000-0000C65E0000}"/>
    <cellStyle name="40% - Accent5 8 2 5" xfId="6576" xr:uid="{00000000-0005-0000-0000-0000C75E0000}"/>
    <cellStyle name="40% - Accent5 8 2 6" xfId="6577" xr:uid="{00000000-0005-0000-0000-0000C85E0000}"/>
    <cellStyle name="40% - Accent5 8 2_Volatility" xfId="6578" xr:uid="{00000000-0005-0000-0000-0000C95E0000}"/>
    <cellStyle name="40% - Accent5 8 3" xfId="6579" xr:uid="{00000000-0005-0000-0000-0000CA5E0000}"/>
    <cellStyle name="40% - Accent5 8 3 2" xfId="6580" xr:uid="{00000000-0005-0000-0000-0000CB5E0000}"/>
    <cellStyle name="40% - Accent5 8 3 2 2" xfId="6581" xr:uid="{00000000-0005-0000-0000-0000CC5E0000}"/>
    <cellStyle name="40% - Accent5 8 3 2 3" xfId="6582" xr:uid="{00000000-0005-0000-0000-0000CD5E0000}"/>
    <cellStyle name="40% - Accent5 8 3 3" xfId="6583" xr:uid="{00000000-0005-0000-0000-0000CE5E0000}"/>
    <cellStyle name="40% - Accent5 8 3 3 2" xfId="6584" xr:uid="{00000000-0005-0000-0000-0000CF5E0000}"/>
    <cellStyle name="40% - Accent5 8 3 3 3" xfId="6585" xr:uid="{00000000-0005-0000-0000-0000D05E0000}"/>
    <cellStyle name="40% - Accent5 8 3 4" xfId="6586" xr:uid="{00000000-0005-0000-0000-0000D15E0000}"/>
    <cellStyle name="40% - Accent5 8 3 5" xfId="6587" xr:uid="{00000000-0005-0000-0000-0000D25E0000}"/>
    <cellStyle name="40% - Accent5 8 3_Volatility" xfId="6588" xr:uid="{00000000-0005-0000-0000-0000D35E0000}"/>
    <cellStyle name="40% - Accent5 8 4" xfId="6589" xr:uid="{00000000-0005-0000-0000-0000D45E0000}"/>
    <cellStyle name="40% - Accent5 8 4 2" xfId="6590" xr:uid="{00000000-0005-0000-0000-0000D55E0000}"/>
    <cellStyle name="40% - Accent5 8 4 3" xfId="6591" xr:uid="{00000000-0005-0000-0000-0000D65E0000}"/>
    <cellStyle name="40% - Accent5 8 5" xfId="6592" xr:uid="{00000000-0005-0000-0000-0000D75E0000}"/>
    <cellStyle name="40% - Accent5 8 5 2" xfId="6593" xr:uid="{00000000-0005-0000-0000-0000D85E0000}"/>
    <cellStyle name="40% - Accent5 8 5 3" xfId="6594" xr:uid="{00000000-0005-0000-0000-0000D95E0000}"/>
    <cellStyle name="40% - Accent5 8 6" xfId="6595" xr:uid="{00000000-0005-0000-0000-0000DA5E0000}"/>
    <cellStyle name="40% - Accent5 8 6 2" xfId="6596" xr:uid="{00000000-0005-0000-0000-0000DB5E0000}"/>
    <cellStyle name="40% - Accent5 8 6 3" xfId="6597" xr:uid="{00000000-0005-0000-0000-0000DC5E0000}"/>
    <cellStyle name="40% - Accent5 8 7" xfId="6598" xr:uid="{00000000-0005-0000-0000-0000DD5E0000}"/>
    <cellStyle name="40% - Accent5 8 8" xfId="6599" xr:uid="{00000000-0005-0000-0000-0000DE5E0000}"/>
    <cellStyle name="40% - Accent5 8_Volatility" xfId="6600" xr:uid="{00000000-0005-0000-0000-0000DF5E0000}"/>
    <cellStyle name="40% - Accent5 9" xfId="6601" xr:uid="{00000000-0005-0000-0000-0000E05E0000}"/>
    <cellStyle name="40% - Accent5 9 2" xfId="6602" xr:uid="{00000000-0005-0000-0000-0000E15E0000}"/>
    <cellStyle name="40% - Accent5 9 2 2" xfId="6603" xr:uid="{00000000-0005-0000-0000-0000E25E0000}"/>
    <cellStyle name="40% - Accent5 9 2 2 2" xfId="6604" xr:uid="{00000000-0005-0000-0000-0000E35E0000}"/>
    <cellStyle name="40% - Accent5 9 2 2 3" xfId="6605" xr:uid="{00000000-0005-0000-0000-0000E45E0000}"/>
    <cellStyle name="40% - Accent5 9 2 3" xfId="6606" xr:uid="{00000000-0005-0000-0000-0000E55E0000}"/>
    <cellStyle name="40% - Accent5 9 2 3 2" xfId="6607" xr:uid="{00000000-0005-0000-0000-0000E65E0000}"/>
    <cellStyle name="40% - Accent5 9 2 3 3" xfId="6608" xr:uid="{00000000-0005-0000-0000-0000E75E0000}"/>
    <cellStyle name="40% - Accent5 9 2 4" xfId="6609" xr:uid="{00000000-0005-0000-0000-0000E85E0000}"/>
    <cellStyle name="40% - Accent5 9 2 4 2" xfId="6610" xr:uid="{00000000-0005-0000-0000-0000E95E0000}"/>
    <cellStyle name="40% - Accent5 9 2 4 3" xfId="6611" xr:uid="{00000000-0005-0000-0000-0000EA5E0000}"/>
    <cellStyle name="40% - Accent5 9 2 5" xfId="6612" xr:uid="{00000000-0005-0000-0000-0000EB5E0000}"/>
    <cellStyle name="40% - Accent5 9 2 6" xfId="6613" xr:uid="{00000000-0005-0000-0000-0000EC5E0000}"/>
    <cellStyle name="40% - Accent5 9 2_Volatility" xfId="6614" xr:uid="{00000000-0005-0000-0000-0000ED5E0000}"/>
    <cellStyle name="40% - Accent5 9 3" xfId="6615" xr:uid="{00000000-0005-0000-0000-0000EE5E0000}"/>
    <cellStyle name="40% - Accent5 9 3 2" xfId="6616" xr:uid="{00000000-0005-0000-0000-0000EF5E0000}"/>
    <cellStyle name="40% - Accent5 9 3 2 2" xfId="6617" xr:uid="{00000000-0005-0000-0000-0000F05E0000}"/>
    <cellStyle name="40% - Accent5 9 3 2 3" xfId="6618" xr:uid="{00000000-0005-0000-0000-0000F15E0000}"/>
    <cellStyle name="40% - Accent5 9 3 3" xfId="6619" xr:uid="{00000000-0005-0000-0000-0000F25E0000}"/>
    <cellStyle name="40% - Accent5 9 3 3 2" xfId="6620" xr:uid="{00000000-0005-0000-0000-0000F35E0000}"/>
    <cellStyle name="40% - Accent5 9 3 3 3" xfId="6621" xr:uid="{00000000-0005-0000-0000-0000F45E0000}"/>
    <cellStyle name="40% - Accent5 9 3 4" xfId="6622" xr:uid="{00000000-0005-0000-0000-0000F55E0000}"/>
    <cellStyle name="40% - Accent5 9 3 5" xfId="6623" xr:uid="{00000000-0005-0000-0000-0000F65E0000}"/>
    <cellStyle name="40% - Accent5 9 3_Volatility" xfId="6624" xr:uid="{00000000-0005-0000-0000-0000F75E0000}"/>
    <cellStyle name="40% - Accent5 9 4" xfId="6625" xr:uid="{00000000-0005-0000-0000-0000F85E0000}"/>
    <cellStyle name="40% - Accent5 9 4 2" xfId="6626" xr:uid="{00000000-0005-0000-0000-0000F95E0000}"/>
    <cellStyle name="40% - Accent5 9 4 3" xfId="6627" xr:uid="{00000000-0005-0000-0000-0000FA5E0000}"/>
    <cellStyle name="40% - Accent5 9 5" xfId="6628" xr:uid="{00000000-0005-0000-0000-0000FB5E0000}"/>
    <cellStyle name="40% - Accent5 9 5 2" xfId="6629" xr:uid="{00000000-0005-0000-0000-0000FC5E0000}"/>
    <cellStyle name="40% - Accent5 9 5 3" xfId="6630" xr:uid="{00000000-0005-0000-0000-0000FD5E0000}"/>
    <cellStyle name="40% - Accent5 9 6" xfId="6631" xr:uid="{00000000-0005-0000-0000-0000FE5E0000}"/>
    <cellStyle name="40% - Accent5 9 6 2" xfId="6632" xr:uid="{00000000-0005-0000-0000-0000FF5E0000}"/>
    <cellStyle name="40% - Accent5 9 6 3" xfId="6633" xr:uid="{00000000-0005-0000-0000-0000005F0000}"/>
    <cellStyle name="40% - Accent5 9 7" xfId="6634" xr:uid="{00000000-0005-0000-0000-0000015F0000}"/>
    <cellStyle name="40% - Accent5 9 8" xfId="6635" xr:uid="{00000000-0005-0000-0000-0000025F0000}"/>
    <cellStyle name="40% - Accent5 9_Volatility" xfId="6636" xr:uid="{00000000-0005-0000-0000-0000035F0000}"/>
    <cellStyle name="40% - Accent6 10" xfId="6637" xr:uid="{00000000-0005-0000-0000-0000045F0000}"/>
    <cellStyle name="40% - Accent6 10 2" xfId="6638" xr:uid="{00000000-0005-0000-0000-0000055F0000}"/>
    <cellStyle name="40% - Accent6 10 2 2" xfId="6639" xr:uid="{00000000-0005-0000-0000-0000065F0000}"/>
    <cellStyle name="40% - Accent6 10 2 2 2" xfId="6640" xr:uid="{00000000-0005-0000-0000-0000075F0000}"/>
    <cellStyle name="40% - Accent6 10 2 2 3" xfId="6641" xr:uid="{00000000-0005-0000-0000-0000085F0000}"/>
    <cellStyle name="40% - Accent6 10 2 3" xfId="6642" xr:uid="{00000000-0005-0000-0000-0000095F0000}"/>
    <cellStyle name="40% - Accent6 10 2 3 2" xfId="6643" xr:uid="{00000000-0005-0000-0000-00000A5F0000}"/>
    <cellStyle name="40% - Accent6 10 2 3 3" xfId="6644" xr:uid="{00000000-0005-0000-0000-00000B5F0000}"/>
    <cellStyle name="40% - Accent6 10 2 4" xfId="6645" xr:uid="{00000000-0005-0000-0000-00000C5F0000}"/>
    <cellStyle name="40% - Accent6 10 2 4 2" xfId="6646" xr:uid="{00000000-0005-0000-0000-00000D5F0000}"/>
    <cellStyle name="40% - Accent6 10 2 4 3" xfId="6647" xr:uid="{00000000-0005-0000-0000-00000E5F0000}"/>
    <cellStyle name="40% - Accent6 10 2 5" xfId="6648" xr:uid="{00000000-0005-0000-0000-00000F5F0000}"/>
    <cellStyle name="40% - Accent6 10 2 6" xfId="6649" xr:uid="{00000000-0005-0000-0000-0000105F0000}"/>
    <cellStyle name="40% - Accent6 10 2_Volatility" xfId="6650" xr:uid="{00000000-0005-0000-0000-0000115F0000}"/>
    <cellStyle name="40% - Accent6 10 3" xfId="6651" xr:uid="{00000000-0005-0000-0000-0000125F0000}"/>
    <cellStyle name="40% - Accent6 10 3 2" xfId="6652" xr:uid="{00000000-0005-0000-0000-0000135F0000}"/>
    <cellStyle name="40% - Accent6 10 3 2 2" xfId="6653" xr:uid="{00000000-0005-0000-0000-0000145F0000}"/>
    <cellStyle name="40% - Accent6 10 3 2 3" xfId="6654" xr:uid="{00000000-0005-0000-0000-0000155F0000}"/>
    <cellStyle name="40% - Accent6 10 3 3" xfId="6655" xr:uid="{00000000-0005-0000-0000-0000165F0000}"/>
    <cellStyle name="40% - Accent6 10 3 3 2" xfId="6656" xr:uid="{00000000-0005-0000-0000-0000175F0000}"/>
    <cellStyle name="40% - Accent6 10 3 3 3" xfId="6657" xr:uid="{00000000-0005-0000-0000-0000185F0000}"/>
    <cellStyle name="40% - Accent6 10 3 4" xfId="6658" xr:uid="{00000000-0005-0000-0000-0000195F0000}"/>
    <cellStyle name="40% - Accent6 10 3 5" xfId="6659" xr:uid="{00000000-0005-0000-0000-00001A5F0000}"/>
    <cellStyle name="40% - Accent6 10 3_Volatility" xfId="6660" xr:uid="{00000000-0005-0000-0000-00001B5F0000}"/>
    <cellStyle name="40% - Accent6 10 4" xfId="6661" xr:uid="{00000000-0005-0000-0000-00001C5F0000}"/>
    <cellStyle name="40% - Accent6 10 4 2" xfId="6662" xr:uid="{00000000-0005-0000-0000-00001D5F0000}"/>
    <cellStyle name="40% - Accent6 10 4 3" xfId="6663" xr:uid="{00000000-0005-0000-0000-00001E5F0000}"/>
    <cellStyle name="40% - Accent6 10 5" xfId="6664" xr:uid="{00000000-0005-0000-0000-00001F5F0000}"/>
    <cellStyle name="40% - Accent6 10 5 2" xfId="6665" xr:uid="{00000000-0005-0000-0000-0000205F0000}"/>
    <cellStyle name="40% - Accent6 10 5 3" xfId="6666" xr:uid="{00000000-0005-0000-0000-0000215F0000}"/>
    <cellStyle name="40% - Accent6 10 6" xfId="6667" xr:uid="{00000000-0005-0000-0000-0000225F0000}"/>
    <cellStyle name="40% - Accent6 10 6 2" xfId="6668" xr:uid="{00000000-0005-0000-0000-0000235F0000}"/>
    <cellStyle name="40% - Accent6 10 6 3" xfId="6669" xr:uid="{00000000-0005-0000-0000-0000245F0000}"/>
    <cellStyle name="40% - Accent6 10 7" xfId="6670" xr:uid="{00000000-0005-0000-0000-0000255F0000}"/>
    <cellStyle name="40% - Accent6 10 8" xfId="6671" xr:uid="{00000000-0005-0000-0000-0000265F0000}"/>
    <cellStyle name="40% - Accent6 10_Volatility" xfId="6672" xr:uid="{00000000-0005-0000-0000-0000275F0000}"/>
    <cellStyle name="40% - Accent6 11" xfId="6673" xr:uid="{00000000-0005-0000-0000-0000285F0000}"/>
    <cellStyle name="40% - Accent6 11 2" xfId="6674" xr:uid="{00000000-0005-0000-0000-0000295F0000}"/>
    <cellStyle name="40% - Accent6 11 2 2" xfId="6675" xr:uid="{00000000-0005-0000-0000-00002A5F0000}"/>
    <cellStyle name="40% - Accent6 11 2 2 2" xfId="6676" xr:uid="{00000000-0005-0000-0000-00002B5F0000}"/>
    <cellStyle name="40% - Accent6 11 2 2 3" xfId="6677" xr:uid="{00000000-0005-0000-0000-00002C5F0000}"/>
    <cellStyle name="40% - Accent6 11 2 3" xfId="6678" xr:uid="{00000000-0005-0000-0000-00002D5F0000}"/>
    <cellStyle name="40% - Accent6 11 2 3 2" xfId="6679" xr:uid="{00000000-0005-0000-0000-00002E5F0000}"/>
    <cellStyle name="40% - Accent6 11 2 3 3" xfId="6680" xr:uid="{00000000-0005-0000-0000-00002F5F0000}"/>
    <cellStyle name="40% - Accent6 11 2 4" xfId="6681" xr:uid="{00000000-0005-0000-0000-0000305F0000}"/>
    <cellStyle name="40% - Accent6 11 2 4 2" xfId="6682" xr:uid="{00000000-0005-0000-0000-0000315F0000}"/>
    <cellStyle name="40% - Accent6 11 2 4 3" xfId="6683" xr:uid="{00000000-0005-0000-0000-0000325F0000}"/>
    <cellStyle name="40% - Accent6 11 2 5" xfId="6684" xr:uid="{00000000-0005-0000-0000-0000335F0000}"/>
    <cellStyle name="40% - Accent6 11 2 6" xfId="6685" xr:uid="{00000000-0005-0000-0000-0000345F0000}"/>
    <cellStyle name="40% - Accent6 11 2_Volatility" xfId="6686" xr:uid="{00000000-0005-0000-0000-0000355F0000}"/>
    <cellStyle name="40% - Accent6 11 3" xfId="6687" xr:uid="{00000000-0005-0000-0000-0000365F0000}"/>
    <cellStyle name="40% - Accent6 11 3 2" xfId="6688" xr:uid="{00000000-0005-0000-0000-0000375F0000}"/>
    <cellStyle name="40% - Accent6 11 3 2 2" xfId="6689" xr:uid="{00000000-0005-0000-0000-0000385F0000}"/>
    <cellStyle name="40% - Accent6 11 3 2 3" xfId="6690" xr:uid="{00000000-0005-0000-0000-0000395F0000}"/>
    <cellStyle name="40% - Accent6 11 3 3" xfId="6691" xr:uid="{00000000-0005-0000-0000-00003A5F0000}"/>
    <cellStyle name="40% - Accent6 11 3 3 2" xfId="6692" xr:uid="{00000000-0005-0000-0000-00003B5F0000}"/>
    <cellStyle name="40% - Accent6 11 3 3 3" xfId="6693" xr:uid="{00000000-0005-0000-0000-00003C5F0000}"/>
    <cellStyle name="40% - Accent6 11 3 4" xfId="6694" xr:uid="{00000000-0005-0000-0000-00003D5F0000}"/>
    <cellStyle name="40% - Accent6 11 3 5" xfId="6695" xr:uid="{00000000-0005-0000-0000-00003E5F0000}"/>
    <cellStyle name="40% - Accent6 11 3_Volatility" xfId="6696" xr:uid="{00000000-0005-0000-0000-00003F5F0000}"/>
    <cellStyle name="40% - Accent6 11 4" xfId="6697" xr:uid="{00000000-0005-0000-0000-0000405F0000}"/>
    <cellStyle name="40% - Accent6 11 4 2" xfId="6698" xr:uid="{00000000-0005-0000-0000-0000415F0000}"/>
    <cellStyle name="40% - Accent6 11 4 3" xfId="6699" xr:uid="{00000000-0005-0000-0000-0000425F0000}"/>
    <cellStyle name="40% - Accent6 11 5" xfId="6700" xr:uid="{00000000-0005-0000-0000-0000435F0000}"/>
    <cellStyle name="40% - Accent6 11 5 2" xfId="6701" xr:uid="{00000000-0005-0000-0000-0000445F0000}"/>
    <cellStyle name="40% - Accent6 11 5 3" xfId="6702" xr:uid="{00000000-0005-0000-0000-0000455F0000}"/>
    <cellStyle name="40% - Accent6 11 6" xfId="6703" xr:uid="{00000000-0005-0000-0000-0000465F0000}"/>
    <cellStyle name="40% - Accent6 11 6 2" xfId="6704" xr:uid="{00000000-0005-0000-0000-0000475F0000}"/>
    <cellStyle name="40% - Accent6 11 6 3" xfId="6705" xr:uid="{00000000-0005-0000-0000-0000485F0000}"/>
    <cellStyle name="40% - Accent6 11 7" xfId="6706" xr:uid="{00000000-0005-0000-0000-0000495F0000}"/>
    <cellStyle name="40% - Accent6 11 8" xfId="6707" xr:uid="{00000000-0005-0000-0000-00004A5F0000}"/>
    <cellStyle name="40% - Accent6 11_Volatility" xfId="6708" xr:uid="{00000000-0005-0000-0000-00004B5F0000}"/>
    <cellStyle name="40% - Accent6 12" xfId="6709" xr:uid="{00000000-0005-0000-0000-00004C5F0000}"/>
    <cellStyle name="40% - Accent6 12 2" xfId="6710" xr:uid="{00000000-0005-0000-0000-00004D5F0000}"/>
    <cellStyle name="40% - Accent6 12 2 2" xfId="6711" xr:uid="{00000000-0005-0000-0000-00004E5F0000}"/>
    <cellStyle name="40% - Accent6 12 2 2 2" xfId="6712" xr:uid="{00000000-0005-0000-0000-00004F5F0000}"/>
    <cellStyle name="40% - Accent6 12 2 2 3" xfId="6713" xr:uid="{00000000-0005-0000-0000-0000505F0000}"/>
    <cellStyle name="40% - Accent6 12 2 3" xfId="6714" xr:uid="{00000000-0005-0000-0000-0000515F0000}"/>
    <cellStyle name="40% - Accent6 12 2 3 2" xfId="6715" xr:uid="{00000000-0005-0000-0000-0000525F0000}"/>
    <cellStyle name="40% - Accent6 12 2 3 3" xfId="6716" xr:uid="{00000000-0005-0000-0000-0000535F0000}"/>
    <cellStyle name="40% - Accent6 12 2 4" xfId="6717" xr:uid="{00000000-0005-0000-0000-0000545F0000}"/>
    <cellStyle name="40% - Accent6 12 2 4 2" xfId="6718" xr:uid="{00000000-0005-0000-0000-0000555F0000}"/>
    <cellStyle name="40% - Accent6 12 2 4 3" xfId="6719" xr:uid="{00000000-0005-0000-0000-0000565F0000}"/>
    <cellStyle name="40% - Accent6 12 2 5" xfId="6720" xr:uid="{00000000-0005-0000-0000-0000575F0000}"/>
    <cellStyle name="40% - Accent6 12 2 6" xfId="6721" xr:uid="{00000000-0005-0000-0000-0000585F0000}"/>
    <cellStyle name="40% - Accent6 12 2_Volatility" xfId="6722" xr:uid="{00000000-0005-0000-0000-0000595F0000}"/>
    <cellStyle name="40% - Accent6 12 3" xfId="6723" xr:uid="{00000000-0005-0000-0000-00005A5F0000}"/>
    <cellStyle name="40% - Accent6 12 3 2" xfId="6724" xr:uid="{00000000-0005-0000-0000-00005B5F0000}"/>
    <cellStyle name="40% - Accent6 12 3 2 2" xfId="6725" xr:uid="{00000000-0005-0000-0000-00005C5F0000}"/>
    <cellStyle name="40% - Accent6 12 3 2 3" xfId="6726" xr:uid="{00000000-0005-0000-0000-00005D5F0000}"/>
    <cellStyle name="40% - Accent6 12 3 3" xfId="6727" xr:uid="{00000000-0005-0000-0000-00005E5F0000}"/>
    <cellStyle name="40% - Accent6 12 3 3 2" xfId="6728" xr:uid="{00000000-0005-0000-0000-00005F5F0000}"/>
    <cellStyle name="40% - Accent6 12 3 3 3" xfId="6729" xr:uid="{00000000-0005-0000-0000-0000605F0000}"/>
    <cellStyle name="40% - Accent6 12 3 4" xfId="6730" xr:uid="{00000000-0005-0000-0000-0000615F0000}"/>
    <cellStyle name="40% - Accent6 12 3 5" xfId="6731" xr:uid="{00000000-0005-0000-0000-0000625F0000}"/>
    <cellStyle name="40% - Accent6 12 3_Volatility" xfId="6732" xr:uid="{00000000-0005-0000-0000-0000635F0000}"/>
    <cellStyle name="40% - Accent6 12 4" xfId="6733" xr:uid="{00000000-0005-0000-0000-0000645F0000}"/>
    <cellStyle name="40% - Accent6 12 4 2" xfId="6734" xr:uid="{00000000-0005-0000-0000-0000655F0000}"/>
    <cellStyle name="40% - Accent6 12 4 3" xfId="6735" xr:uid="{00000000-0005-0000-0000-0000665F0000}"/>
    <cellStyle name="40% - Accent6 12 5" xfId="6736" xr:uid="{00000000-0005-0000-0000-0000675F0000}"/>
    <cellStyle name="40% - Accent6 12 5 2" xfId="6737" xr:uid="{00000000-0005-0000-0000-0000685F0000}"/>
    <cellStyle name="40% - Accent6 12 5 3" xfId="6738" xr:uid="{00000000-0005-0000-0000-0000695F0000}"/>
    <cellStyle name="40% - Accent6 12 6" xfId="6739" xr:uid="{00000000-0005-0000-0000-00006A5F0000}"/>
    <cellStyle name="40% - Accent6 12 6 2" xfId="6740" xr:uid="{00000000-0005-0000-0000-00006B5F0000}"/>
    <cellStyle name="40% - Accent6 12 6 3" xfId="6741" xr:uid="{00000000-0005-0000-0000-00006C5F0000}"/>
    <cellStyle name="40% - Accent6 12 7" xfId="6742" xr:uid="{00000000-0005-0000-0000-00006D5F0000}"/>
    <cellStyle name="40% - Accent6 12 8" xfId="6743" xr:uid="{00000000-0005-0000-0000-00006E5F0000}"/>
    <cellStyle name="40% - Accent6 12_Volatility" xfId="6744" xr:uid="{00000000-0005-0000-0000-00006F5F0000}"/>
    <cellStyle name="40% - Accent6 13" xfId="6745" xr:uid="{00000000-0005-0000-0000-0000705F0000}"/>
    <cellStyle name="40% - Accent6 13 2" xfId="6746" xr:uid="{00000000-0005-0000-0000-0000715F0000}"/>
    <cellStyle name="40% - Accent6 13 2 2" xfId="6747" xr:uid="{00000000-0005-0000-0000-0000725F0000}"/>
    <cellStyle name="40% - Accent6 13 2 2 2" xfId="6748" xr:uid="{00000000-0005-0000-0000-0000735F0000}"/>
    <cellStyle name="40% - Accent6 13 2 2 3" xfId="6749" xr:uid="{00000000-0005-0000-0000-0000745F0000}"/>
    <cellStyle name="40% - Accent6 13 2 3" xfId="6750" xr:uid="{00000000-0005-0000-0000-0000755F0000}"/>
    <cellStyle name="40% - Accent6 13 2 3 2" xfId="6751" xr:uid="{00000000-0005-0000-0000-0000765F0000}"/>
    <cellStyle name="40% - Accent6 13 2 3 3" xfId="6752" xr:uid="{00000000-0005-0000-0000-0000775F0000}"/>
    <cellStyle name="40% - Accent6 13 2 4" xfId="6753" xr:uid="{00000000-0005-0000-0000-0000785F0000}"/>
    <cellStyle name="40% - Accent6 13 2 4 2" xfId="6754" xr:uid="{00000000-0005-0000-0000-0000795F0000}"/>
    <cellStyle name="40% - Accent6 13 2 4 3" xfId="6755" xr:uid="{00000000-0005-0000-0000-00007A5F0000}"/>
    <cellStyle name="40% - Accent6 13 2 5" xfId="6756" xr:uid="{00000000-0005-0000-0000-00007B5F0000}"/>
    <cellStyle name="40% - Accent6 13 2 6" xfId="6757" xr:uid="{00000000-0005-0000-0000-00007C5F0000}"/>
    <cellStyle name="40% - Accent6 13 2_Volatility" xfId="6758" xr:uid="{00000000-0005-0000-0000-00007D5F0000}"/>
    <cellStyle name="40% - Accent6 13 3" xfId="6759" xr:uid="{00000000-0005-0000-0000-00007E5F0000}"/>
    <cellStyle name="40% - Accent6 13 3 2" xfId="6760" xr:uid="{00000000-0005-0000-0000-00007F5F0000}"/>
    <cellStyle name="40% - Accent6 13 3 2 2" xfId="6761" xr:uid="{00000000-0005-0000-0000-0000805F0000}"/>
    <cellStyle name="40% - Accent6 13 3 2 3" xfId="6762" xr:uid="{00000000-0005-0000-0000-0000815F0000}"/>
    <cellStyle name="40% - Accent6 13 3 3" xfId="6763" xr:uid="{00000000-0005-0000-0000-0000825F0000}"/>
    <cellStyle name="40% - Accent6 13 3 3 2" xfId="6764" xr:uid="{00000000-0005-0000-0000-0000835F0000}"/>
    <cellStyle name="40% - Accent6 13 3 3 3" xfId="6765" xr:uid="{00000000-0005-0000-0000-0000845F0000}"/>
    <cellStyle name="40% - Accent6 13 3 4" xfId="6766" xr:uid="{00000000-0005-0000-0000-0000855F0000}"/>
    <cellStyle name="40% - Accent6 13 3 5" xfId="6767" xr:uid="{00000000-0005-0000-0000-0000865F0000}"/>
    <cellStyle name="40% - Accent6 13 3_Volatility" xfId="6768" xr:uid="{00000000-0005-0000-0000-0000875F0000}"/>
    <cellStyle name="40% - Accent6 13 4" xfId="6769" xr:uid="{00000000-0005-0000-0000-0000885F0000}"/>
    <cellStyle name="40% - Accent6 13 4 2" xfId="6770" xr:uid="{00000000-0005-0000-0000-0000895F0000}"/>
    <cellStyle name="40% - Accent6 13 4 3" xfId="6771" xr:uid="{00000000-0005-0000-0000-00008A5F0000}"/>
    <cellStyle name="40% - Accent6 13 5" xfId="6772" xr:uid="{00000000-0005-0000-0000-00008B5F0000}"/>
    <cellStyle name="40% - Accent6 13 5 2" xfId="6773" xr:uid="{00000000-0005-0000-0000-00008C5F0000}"/>
    <cellStyle name="40% - Accent6 13 5 3" xfId="6774" xr:uid="{00000000-0005-0000-0000-00008D5F0000}"/>
    <cellStyle name="40% - Accent6 13 6" xfId="6775" xr:uid="{00000000-0005-0000-0000-00008E5F0000}"/>
    <cellStyle name="40% - Accent6 13 6 2" xfId="6776" xr:uid="{00000000-0005-0000-0000-00008F5F0000}"/>
    <cellStyle name="40% - Accent6 13 6 3" xfId="6777" xr:uid="{00000000-0005-0000-0000-0000905F0000}"/>
    <cellStyle name="40% - Accent6 13 7" xfId="6778" xr:uid="{00000000-0005-0000-0000-0000915F0000}"/>
    <cellStyle name="40% - Accent6 13 8" xfId="6779" xr:uid="{00000000-0005-0000-0000-0000925F0000}"/>
    <cellStyle name="40% - Accent6 13_Volatility" xfId="6780" xr:uid="{00000000-0005-0000-0000-0000935F0000}"/>
    <cellStyle name="40% - Accent6 14" xfId="6781" xr:uid="{00000000-0005-0000-0000-0000945F0000}"/>
    <cellStyle name="40% - Accent6 14 2" xfId="6782" xr:uid="{00000000-0005-0000-0000-0000955F0000}"/>
    <cellStyle name="40% - Accent6 14 2 2" xfId="6783" xr:uid="{00000000-0005-0000-0000-0000965F0000}"/>
    <cellStyle name="40% - Accent6 14 2 2 2" xfId="6784" xr:uid="{00000000-0005-0000-0000-0000975F0000}"/>
    <cellStyle name="40% - Accent6 14 2 2 3" xfId="6785" xr:uid="{00000000-0005-0000-0000-0000985F0000}"/>
    <cellStyle name="40% - Accent6 14 2 3" xfId="6786" xr:uid="{00000000-0005-0000-0000-0000995F0000}"/>
    <cellStyle name="40% - Accent6 14 2 3 2" xfId="6787" xr:uid="{00000000-0005-0000-0000-00009A5F0000}"/>
    <cellStyle name="40% - Accent6 14 2 3 3" xfId="6788" xr:uid="{00000000-0005-0000-0000-00009B5F0000}"/>
    <cellStyle name="40% - Accent6 14 2 4" xfId="6789" xr:uid="{00000000-0005-0000-0000-00009C5F0000}"/>
    <cellStyle name="40% - Accent6 14 2 4 2" xfId="6790" xr:uid="{00000000-0005-0000-0000-00009D5F0000}"/>
    <cellStyle name="40% - Accent6 14 2 4 3" xfId="6791" xr:uid="{00000000-0005-0000-0000-00009E5F0000}"/>
    <cellStyle name="40% - Accent6 14 2 5" xfId="6792" xr:uid="{00000000-0005-0000-0000-00009F5F0000}"/>
    <cellStyle name="40% - Accent6 14 2 6" xfId="6793" xr:uid="{00000000-0005-0000-0000-0000A05F0000}"/>
    <cellStyle name="40% - Accent6 14 2_Volatility" xfId="6794" xr:uid="{00000000-0005-0000-0000-0000A15F0000}"/>
    <cellStyle name="40% - Accent6 14 3" xfId="6795" xr:uid="{00000000-0005-0000-0000-0000A25F0000}"/>
    <cellStyle name="40% - Accent6 14 3 2" xfId="6796" xr:uid="{00000000-0005-0000-0000-0000A35F0000}"/>
    <cellStyle name="40% - Accent6 14 3 2 2" xfId="6797" xr:uid="{00000000-0005-0000-0000-0000A45F0000}"/>
    <cellStyle name="40% - Accent6 14 3 2 3" xfId="6798" xr:uid="{00000000-0005-0000-0000-0000A55F0000}"/>
    <cellStyle name="40% - Accent6 14 3 3" xfId="6799" xr:uid="{00000000-0005-0000-0000-0000A65F0000}"/>
    <cellStyle name="40% - Accent6 14 3 3 2" xfId="6800" xr:uid="{00000000-0005-0000-0000-0000A75F0000}"/>
    <cellStyle name="40% - Accent6 14 3 3 3" xfId="6801" xr:uid="{00000000-0005-0000-0000-0000A85F0000}"/>
    <cellStyle name="40% - Accent6 14 3 4" xfId="6802" xr:uid="{00000000-0005-0000-0000-0000A95F0000}"/>
    <cellStyle name="40% - Accent6 14 3 5" xfId="6803" xr:uid="{00000000-0005-0000-0000-0000AA5F0000}"/>
    <cellStyle name="40% - Accent6 14 3_Volatility" xfId="6804" xr:uid="{00000000-0005-0000-0000-0000AB5F0000}"/>
    <cellStyle name="40% - Accent6 14 4" xfId="6805" xr:uid="{00000000-0005-0000-0000-0000AC5F0000}"/>
    <cellStyle name="40% - Accent6 14 4 2" xfId="6806" xr:uid="{00000000-0005-0000-0000-0000AD5F0000}"/>
    <cellStyle name="40% - Accent6 14 4 3" xfId="6807" xr:uid="{00000000-0005-0000-0000-0000AE5F0000}"/>
    <cellStyle name="40% - Accent6 14 5" xfId="6808" xr:uid="{00000000-0005-0000-0000-0000AF5F0000}"/>
    <cellStyle name="40% - Accent6 14 5 2" xfId="6809" xr:uid="{00000000-0005-0000-0000-0000B05F0000}"/>
    <cellStyle name="40% - Accent6 14 5 3" xfId="6810" xr:uid="{00000000-0005-0000-0000-0000B15F0000}"/>
    <cellStyle name="40% - Accent6 14 6" xfId="6811" xr:uid="{00000000-0005-0000-0000-0000B25F0000}"/>
    <cellStyle name="40% - Accent6 14 6 2" xfId="6812" xr:uid="{00000000-0005-0000-0000-0000B35F0000}"/>
    <cellStyle name="40% - Accent6 14 6 3" xfId="6813" xr:uid="{00000000-0005-0000-0000-0000B45F0000}"/>
    <cellStyle name="40% - Accent6 14 7" xfId="6814" xr:uid="{00000000-0005-0000-0000-0000B55F0000}"/>
    <cellStyle name="40% - Accent6 14 8" xfId="6815" xr:uid="{00000000-0005-0000-0000-0000B65F0000}"/>
    <cellStyle name="40% - Accent6 14_Volatility" xfId="6816" xr:uid="{00000000-0005-0000-0000-0000B75F0000}"/>
    <cellStyle name="40% - Accent6 15" xfId="6817" xr:uid="{00000000-0005-0000-0000-0000B85F0000}"/>
    <cellStyle name="40% - Accent6 15 2" xfId="6818" xr:uid="{00000000-0005-0000-0000-0000B95F0000}"/>
    <cellStyle name="40% - Accent6 15 2 2" xfId="6819" xr:uid="{00000000-0005-0000-0000-0000BA5F0000}"/>
    <cellStyle name="40% - Accent6 15 2 2 2" xfId="6820" xr:uid="{00000000-0005-0000-0000-0000BB5F0000}"/>
    <cellStyle name="40% - Accent6 15 2 2 3" xfId="6821" xr:uid="{00000000-0005-0000-0000-0000BC5F0000}"/>
    <cellStyle name="40% - Accent6 15 2 3" xfId="6822" xr:uid="{00000000-0005-0000-0000-0000BD5F0000}"/>
    <cellStyle name="40% - Accent6 15 2 3 2" xfId="6823" xr:uid="{00000000-0005-0000-0000-0000BE5F0000}"/>
    <cellStyle name="40% - Accent6 15 2 3 3" xfId="6824" xr:uid="{00000000-0005-0000-0000-0000BF5F0000}"/>
    <cellStyle name="40% - Accent6 15 2 4" xfId="6825" xr:uid="{00000000-0005-0000-0000-0000C05F0000}"/>
    <cellStyle name="40% - Accent6 15 2 4 2" xfId="6826" xr:uid="{00000000-0005-0000-0000-0000C15F0000}"/>
    <cellStyle name="40% - Accent6 15 2 4 3" xfId="6827" xr:uid="{00000000-0005-0000-0000-0000C25F0000}"/>
    <cellStyle name="40% - Accent6 15 2 5" xfId="6828" xr:uid="{00000000-0005-0000-0000-0000C35F0000}"/>
    <cellStyle name="40% - Accent6 15 2 6" xfId="6829" xr:uid="{00000000-0005-0000-0000-0000C45F0000}"/>
    <cellStyle name="40% - Accent6 15 2_Volatility" xfId="6830" xr:uid="{00000000-0005-0000-0000-0000C55F0000}"/>
    <cellStyle name="40% - Accent6 15 3" xfId="6831" xr:uid="{00000000-0005-0000-0000-0000C65F0000}"/>
    <cellStyle name="40% - Accent6 15 3 2" xfId="6832" xr:uid="{00000000-0005-0000-0000-0000C75F0000}"/>
    <cellStyle name="40% - Accent6 15 3 2 2" xfId="6833" xr:uid="{00000000-0005-0000-0000-0000C85F0000}"/>
    <cellStyle name="40% - Accent6 15 3 2 3" xfId="6834" xr:uid="{00000000-0005-0000-0000-0000C95F0000}"/>
    <cellStyle name="40% - Accent6 15 3 3" xfId="6835" xr:uid="{00000000-0005-0000-0000-0000CA5F0000}"/>
    <cellStyle name="40% - Accent6 15 3 3 2" xfId="6836" xr:uid="{00000000-0005-0000-0000-0000CB5F0000}"/>
    <cellStyle name="40% - Accent6 15 3 3 3" xfId="6837" xr:uid="{00000000-0005-0000-0000-0000CC5F0000}"/>
    <cellStyle name="40% - Accent6 15 3 4" xfId="6838" xr:uid="{00000000-0005-0000-0000-0000CD5F0000}"/>
    <cellStyle name="40% - Accent6 15 3 5" xfId="6839" xr:uid="{00000000-0005-0000-0000-0000CE5F0000}"/>
    <cellStyle name="40% - Accent6 15 3_Volatility" xfId="6840" xr:uid="{00000000-0005-0000-0000-0000CF5F0000}"/>
    <cellStyle name="40% - Accent6 15 4" xfId="6841" xr:uid="{00000000-0005-0000-0000-0000D05F0000}"/>
    <cellStyle name="40% - Accent6 15 4 2" xfId="6842" xr:uid="{00000000-0005-0000-0000-0000D15F0000}"/>
    <cellStyle name="40% - Accent6 15 4 3" xfId="6843" xr:uid="{00000000-0005-0000-0000-0000D25F0000}"/>
    <cellStyle name="40% - Accent6 15 5" xfId="6844" xr:uid="{00000000-0005-0000-0000-0000D35F0000}"/>
    <cellStyle name="40% - Accent6 15 5 2" xfId="6845" xr:uid="{00000000-0005-0000-0000-0000D45F0000}"/>
    <cellStyle name="40% - Accent6 15 5 3" xfId="6846" xr:uid="{00000000-0005-0000-0000-0000D55F0000}"/>
    <cellStyle name="40% - Accent6 15 6" xfId="6847" xr:uid="{00000000-0005-0000-0000-0000D65F0000}"/>
    <cellStyle name="40% - Accent6 15 6 2" xfId="6848" xr:uid="{00000000-0005-0000-0000-0000D75F0000}"/>
    <cellStyle name="40% - Accent6 15 6 3" xfId="6849" xr:uid="{00000000-0005-0000-0000-0000D85F0000}"/>
    <cellStyle name="40% - Accent6 15 7" xfId="6850" xr:uid="{00000000-0005-0000-0000-0000D95F0000}"/>
    <cellStyle name="40% - Accent6 15 8" xfId="6851" xr:uid="{00000000-0005-0000-0000-0000DA5F0000}"/>
    <cellStyle name="40% - Accent6 15_Volatility" xfId="6852" xr:uid="{00000000-0005-0000-0000-0000DB5F0000}"/>
    <cellStyle name="40% - Accent6 16" xfId="6853" xr:uid="{00000000-0005-0000-0000-0000DC5F0000}"/>
    <cellStyle name="40% - Accent6 16 2" xfId="15945" xr:uid="{00000000-0005-0000-0000-0000DD5F0000}"/>
    <cellStyle name="40% - Accent6 16 2 2" xfId="27802" xr:uid="{00000000-0005-0000-0000-0000DE5F0000}"/>
    <cellStyle name="40% - Accent6 16 3" xfId="19896" xr:uid="{00000000-0005-0000-0000-0000DF5F0000}"/>
    <cellStyle name="40% - Accent6 16 3 2" xfId="31588" xr:uid="{00000000-0005-0000-0000-0000E05F0000}"/>
    <cellStyle name="40% - Accent6 16 4" xfId="23942" xr:uid="{00000000-0005-0000-0000-0000E15F0000}"/>
    <cellStyle name="40% - Accent6 17" xfId="6854" xr:uid="{00000000-0005-0000-0000-0000E25F0000}"/>
    <cellStyle name="40% - Accent6 17 2" xfId="15946" xr:uid="{00000000-0005-0000-0000-0000E35F0000}"/>
    <cellStyle name="40% - Accent6 17 2 2" xfId="27803" xr:uid="{00000000-0005-0000-0000-0000E45F0000}"/>
    <cellStyle name="40% - Accent6 17 3" xfId="19897" xr:uid="{00000000-0005-0000-0000-0000E55F0000}"/>
    <cellStyle name="40% - Accent6 17 3 2" xfId="31589" xr:uid="{00000000-0005-0000-0000-0000E65F0000}"/>
    <cellStyle name="40% - Accent6 17 4" xfId="23943" xr:uid="{00000000-0005-0000-0000-0000E75F0000}"/>
    <cellStyle name="40% - Accent6 18" xfId="6855" xr:uid="{00000000-0005-0000-0000-0000E85F0000}"/>
    <cellStyle name="40% - Accent6 18 2" xfId="15947" xr:uid="{00000000-0005-0000-0000-0000E95F0000}"/>
    <cellStyle name="40% - Accent6 18 2 2" xfId="27804" xr:uid="{00000000-0005-0000-0000-0000EA5F0000}"/>
    <cellStyle name="40% - Accent6 18 3" xfId="19898" xr:uid="{00000000-0005-0000-0000-0000EB5F0000}"/>
    <cellStyle name="40% - Accent6 18 3 2" xfId="31590" xr:uid="{00000000-0005-0000-0000-0000EC5F0000}"/>
    <cellStyle name="40% - Accent6 18 4" xfId="23944" xr:uid="{00000000-0005-0000-0000-0000ED5F0000}"/>
    <cellStyle name="40% - Accent6 19" xfId="6856" xr:uid="{00000000-0005-0000-0000-0000EE5F0000}"/>
    <cellStyle name="40% - Accent6 19 2" xfId="15948" xr:uid="{00000000-0005-0000-0000-0000EF5F0000}"/>
    <cellStyle name="40% - Accent6 19 2 2" xfId="27805" xr:uid="{00000000-0005-0000-0000-0000F05F0000}"/>
    <cellStyle name="40% - Accent6 19 3" xfId="19899" xr:uid="{00000000-0005-0000-0000-0000F15F0000}"/>
    <cellStyle name="40% - Accent6 19 3 2" xfId="31591" xr:uid="{00000000-0005-0000-0000-0000F25F0000}"/>
    <cellStyle name="40% - Accent6 19 4" xfId="23945" xr:uid="{00000000-0005-0000-0000-0000F35F0000}"/>
    <cellStyle name="40% - Accent6 2" xfId="6857" xr:uid="{00000000-0005-0000-0000-0000F45F0000}"/>
    <cellStyle name="40% - Accent6 2 2" xfId="6858" xr:uid="{00000000-0005-0000-0000-0000F55F0000}"/>
    <cellStyle name="40% - Accent6 2 2 2" xfId="6859" xr:uid="{00000000-0005-0000-0000-0000F65F0000}"/>
    <cellStyle name="40% - Accent6 2 2 2 2" xfId="6860" xr:uid="{00000000-0005-0000-0000-0000F75F0000}"/>
    <cellStyle name="40% - Accent6 2 2 2 3" xfId="6861" xr:uid="{00000000-0005-0000-0000-0000F85F0000}"/>
    <cellStyle name="40% - Accent6 2 2 3" xfId="6862" xr:uid="{00000000-0005-0000-0000-0000F95F0000}"/>
    <cellStyle name="40% - Accent6 2 2 3 2" xfId="6863" xr:uid="{00000000-0005-0000-0000-0000FA5F0000}"/>
    <cellStyle name="40% - Accent6 2 2 3 3" xfId="6864" xr:uid="{00000000-0005-0000-0000-0000FB5F0000}"/>
    <cellStyle name="40% - Accent6 2 2 4" xfId="6865" xr:uid="{00000000-0005-0000-0000-0000FC5F0000}"/>
    <cellStyle name="40% - Accent6 2 2 4 2" xfId="6866" xr:uid="{00000000-0005-0000-0000-0000FD5F0000}"/>
    <cellStyle name="40% - Accent6 2 2 4 3" xfId="6867" xr:uid="{00000000-0005-0000-0000-0000FE5F0000}"/>
    <cellStyle name="40% - Accent6 2 2 5" xfId="6868" xr:uid="{00000000-0005-0000-0000-0000FF5F0000}"/>
    <cellStyle name="40% - Accent6 2 2 6" xfId="6869" xr:uid="{00000000-0005-0000-0000-000000600000}"/>
    <cellStyle name="40% - Accent6 2 2_Volatility" xfId="6870" xr:uid="{00000000-0005-0000-0000-000001600000}"/>
    <cellStyle name="40% - Accent6 2 3" xfId="6871" xr:uid="{00000000-0005-0000-0000-000002600000}"/>
    <cellStyle name="40% - Accent6 2 3 2" xfId="6872" xr:uid="{00000000-0005-0000-0000-000003600000}"/>
    <cellStyle name="40% - Accent6 2 3 2 2" xfId="6873" xr:uid="{00000000-0005-0000-0000-000004600000}"/>
    <cellStyle name="40% - Accent6 2 3 2 3" xfId="6874" xr:uid="{00000000-0005-0000-0000-000005600000}"/>
    <cellStyle name="40% - Accent6 2 3 3" xfId="6875" xr:uid="{00000000-0005-0000-0000-000006600000}"/>
    <cellStyle name="40% - Accent6 2 3 3 2" xfId="6876" xr:uid="{00000000-0005-0000-0000-000007600000}"/>
    <cellStyle name="40% - Accent6 2 3 3 3" xfId="6877" xr:uid="{00000000-0005-0000-0000-000008600000}"/>
    <cellStyle name="40% - Accent6 2 3 4" xfId="6878" xr:uid="{00000000-0005-0000-0000-000009600000}"/>
    <cellStyle name="40% - Accent6 2 3 5" xfId="6879" xr:uid="{00000000-0005-0000-0000-00000A600000}"/>
    <cellStyle name="40% - Accent6 2 3_Volatility" xfId="6880" xr:uid="{00000000-0005-0000-0000-00000B600000}"/>
    <cellStyle name="40% - Accent6 2 4" xfId="6881" xr:uid="{00000000-0005-0000-0000-00000C600000}"/>
    <cellStyle name="40% - Accent6 2 4 2" xfId="6882" xr:uid="{00000000-0005-0000-0000-00000D600000}"/>
    <cellStyle name="40% - Accent6 2 4 3" xfId="6883" xr:uid="{00000000-0005-0000-0000-00000E600000}"/>
    <cellStyle name="40% - Accent6 2 5" xfId="6884" xr:uid="{00000000-0005-0000-0000-00000F600000}"/>
    <cellStyle name="40% - Accent6 2 5 2" xfId="6885" xr:uid="{00000000-0005-0000-0000-000010600000}"/>
    <cellStyle name="40% - Accent6 2 5 3" xfId="6886" xr:uid="{00000000-0005-0000-0000-000011600000}"/>
    <cellStyle name="40% - Accent6 2 6" xfId="6887" xr:uid="{00000000-0005-0000-0000-000012600000}"/>
    <cellStyle name="40% - Accent6 2 6 2" xfId="6888" xr:uid="{00000000-0005-0000-0000-000013600000}"/>
    <cellStyle name="40% - Accent6 2 6 3" xfId="6889" xr:uid="{00000000-0005-0000-0000-000014600000}"/>
    <cellStyle name="40% - Accent6 2 7" xfId="6890" xr:uid="{00000000-0005-0000-0000-000015600000}"/>
    <cellStyle name="40% - Accent6 2 8" xfId="6891" xr:uid="{00000000-0005-0000-0000-000016600000}"/>
    <cellStyle name="40% - Accent6 2_Volatility" xfId="6892" xr:uid="{00000000-0005-0000-0000-000017600000}"/>
    <cellStyle name="40% - Accent6 3" xfId="6893" xr:uid="{00000000-0005-0000-0000-000018600000}"/>
    <cellStyle name="40% - Accent6 3 2" xfId="6894" xr:uid="{00000000-0005-0000-0000-000019600000}"/>
    <cellStyle name="40% - Accent6 3 2 2" xfId="6895" xr:uid="{00000000-0005-0000-0000-00001A600000}"/>
    <cellStyle name="40% - Accent6 3 2 2 2" xfId="6896" xr:uid="{00000000-0005-0000-0000-00001B600000}"/>
    <cellStyle name="40% - Accent6 3 2 2 3" xfId="6897" xr:uid="{00000000-0005-0000-0000-00001C600000}"/>
    <cellStyle name="40% - Accent6 3 2 3" xfId="6898" xr:uid="{00000000-0005-0000-0000-00001D600000}"/>
    <cellStyle name="40% - Accent6 3 2 3 2" xfId="6899" xr:uid="{00000000-0005-0000-0000-00001E600000}"/>
    <cellStyle name="40% - Accent6 3 2 3 3" xfId="6900" xr:uid="{00000000-0005-0000-0000-00001F600000}"/>
    <cellStyle name="40% - Accent6 3 2 4" xfId="6901" xr:uid="{00000000-0005-0000-0000-000020600000}"/>
    <cellStyle name="40% - Accent6 3 2 4 2" xfId="6902" xr:uid="{00000000-0005-0000-0000-000021600000}"/>
    <cellStyle name="40% - Accent6 3 2 4 3" xfId="6903" xr:uid="{00000000-0005-0000-0000-000022600000}"/>
    <cellStyle name="40% - Accent6 3 2 5" xfId="6904" xr:uid="{00000000-0005-0000-0000-000023600000}"/>
    <cellStyle name="40% - Accent6 3 2 6" xfId="6905" xr:uid="{00000000-0005-0000-0000-000024600000}"/>
    <cellStyle name="40% - Accent6 3 2_Volatility" xfId="6906" xr:uid="{00000000-0005-0000-0000-000025600000}"/>
    <cellStyle name="40% - Accent6 3 3" xfId="6907" xr:uid="{00000000-0005-0000-0000-000026600000}"/>
    <cellStyle name="40% - Accent6 3 3 2" xfId="6908" xr:uid="{00000000-0005-0000-0000-000027600000}"/>
    <cellStyle name="40% - Accent6 3 3 2 2" xfId="6909" xr:uid="{00000000-0005-0000-0000-000028600000}"/>
    <cellStyle name="40% - Accent6 3 3 2 3" xfId="6910" xr:uid="{00000000-0005-0000-0000-000029600000}"/>
    <cellStyle name="40% - Accent6 3 3 3" xfId="6911" xr:uid="{00000000-0005-0000-0000-00002A600000}"/>
    <cellStyle name="40% - Accent6 3 3 3 2" xfId="6912" xr:uid="{00000000-0005-0000-0000-00002B600000}"/>
    <cellStyle name="40% - Accent6 3 3 3 3" xfId="6913" xr:uid="{00000000-0005-0000-0000-00002C600000}"/>
    <cellStyle name="40% - Accent6 3 3 4" xfId="6914" xr:uid="{00000000-0005-0000-0000-00002D600000}"/>
    <cellStyle name="40% - Accent6 3 3 5" xfId="6915" xr:uid="{00000000-0005-0000-0000-00002E600000}"/>
    <cellStyle name="40% - Accent6 3 3_Volatility" xfId="6916" xr:uid="{00000000-0005-0000-0000-00002F600000}"/>
    <cellStyle name="40% - Accent6 3 4" xfId="6917" xr:uid="{00000000-0005-0000-0000-000030600000}"/>
    <cellStyle name="40% - Accent6 3 4 2" xfId="6918" xr:uid="{00000000-0005-0000-0000-000031600000}"/>
    <cellStyle name="40% - Accent6 3 4 3" xfId="6919" xr:uid="{00000000-0005-0000-0000-000032600000}"/>
    <cellStyle name="40% - Accent6 3 5" xfId="6920" xr:uid="{00000000-0005-0000-0000-000033600000}"/>
    <cellStyle name="40% - Accent6 3 5 2" xfId="6921" xr:uid="{00000000-0005-0000-0000-000034600000}"/>
    <cellStyle name="40% - Accent6 3 5 3" xfId="6922" xr:uid="{00000000-0005-0000-0000-000035600000}"/>
    <cellStyle name="40% - Accent6 3 6" xfId="6923" xr:uid="{00000000-0005-0000-0000-000036600000}"/>
    <cellStyle name="40% - Accent6 3 6 2" xfId="6924" xr:uid="{00000000-0005-0000-0000-000037600000}"/>
    <cellStyle name="40% - Accent6 3 6 3" xfId="6925" xr:uid="{00000000-0005-0000-0000-000038600000}"/>
    <cellStyle name="40% - Accent6 3 7" xfId="6926" xr:uid="{00000000-0005-0000-0000-000039600000}"/>
    <cellStyle name="40% - Accent6 3 8" xfId="6927" xr:uid="{00000000-0005-0000-0000-00003A600000}"/>
    <cellStyle name="40% - Accent6 3_Volatility" xfId="6928" xr:uid="{00000000-0005-0000-0000-00003B600000}"/>
    <cellStyle name="40% - Accent6 4" xfId="6929" xr:uid="{00000000-0005-0000-0000-00003C600000}"/>
    <cellStyle name="40% - Accent6 4 2" xfId="6930" xr:uid="{00000000-0005-0000-0000-00003D600000}"/>
    <cellStyle name="40% - Accent6 4 2 2" xfId="6931" xr:uid="{00000000-0005-0000-0000-00003E600000}"/>
    <cellStyle name="40% - Accent6 4 2 2 2" xfId="6932" xr:uid="{00000000-0005-0000-0000-00003F600000}"/>
    <cellStyle name="40% - Accent6 4 2 2 3" xfId="6933" xr:uid="{00000000-0005-0000-0000-000040600000}"/>
    <cellStyle name="40% - Accent6 4 2 3" xfId="6934" xr:uid="{00000000-0005-0000-0000-000041600000}"/>
    <cellStyle name="40% - Accent6 4 2 3 2" xfId="6935" xr:uid="{00000000-0005-0000-0000-000042600000}"/>
    <cellStyle name="40% - Accent6 4 2 3 3" xfId="6936" xr:uid="{00000000-0005-0000-0000-000043600000}"/>
    <cellStyle name="40% - Accent6 4 2 4" xfId="6937" xr:uid="{00000000-0005-0000-0000-000044600000}"/>
    <cellStyle name="40% - Accent6 4 2 4 2" xfId="6938" xr:uid="{00000000-0005-0000-0000-000045600000}"/>
    <cellStyle name="40% - Accent6 4 2 4 3" xfId="6939" xr:uid="{00000000-0005-0000-0000-000046600000}"/>
    <cellStyle name="40% - Accent6 4 2 5" xfId="6940" xr:uid="{00000000-0005-0000-0000-000047600000}"/>
    <cellStyle name="40% - Accent6 4 2 6" xfId="6941" xr:uid="{00000000-0005-0000-0000-000048600000}"/>
    <cellStyle name="40% - Accent6 4 2_Volatility" xfId="6942" xr:uid="{00000000-0005-0000-0000-000049600000}"/>
    <cellStyle name="40% - Accent6 4 3" xfId="6943" xr:uid="{00000000-0005-0000-0000-00004A600000}"/>
    <cellStyle name="40% - Accent6 4 3 2" xfId="6944" xr:uid="{00000000-0005-0000-0000-00004B600000}"/>
    <cellStyle name="40% - Accent6 4 3 2 2" xfId="6945" xr:uid="{00000000-0005-0000-0000-00004C600000}"/>
    <cellStyle name="40% - Accent6 4 3 2 3" xfId="6946" xr:uid="{00000000-0005-0000-0000-00004D600000}"/>
    <cellStyle name="40% - Accent6 4 3 3" xfId="6947" xr:uid="{00000000-0005-0000-0000-00004E600000}"/>
    <cellStyle name="40% - Accent6 4 3 3 2" xfId="6948" xr:uid="{00000000-0005-0000-0000-00004F600000}"/>
    <cellStyle name="40% - Accent6 4 3 3 3" xfId="6949" xr:uid="{00000000-0005-0000-0000-000050600000}"/>
    <cellStyle name="40% - Accent6 4 3 4" xfId="6950" xr:uid="{00000000-0005-0000-0000-000051600000}"/>
    <cellStyle name="40% - Accent6 4 3 5" xfId="6951" xr:uid="{00000000-0005-0000-0000-000052600000}"/>
    <cellStyle name="40% - Accent6 4 3_Volatility" xfId="6952" xr:uid="{00000000-0005-0000-0000-000053600000}"/>
    <cellStyle name="40% - Accent6 4 4" xfId="6953" xr:uid="{00000000-0005-0000-0000-000054600000}"/>
    <cellStyle name="40% - Accent6 4 4 2" xfId="6954" xr:uid="{00000000-0005-0000-0000-000055600000}"/>
    <cellStyle name="40% - Accent6 4 4 3" xfId="6955" xr:uid="{00000000-0005-0000-0000-000056600000}"/>
    <cellStyle name="40% - Accent6 4 5" xfId="6956" xr:uid="{00000000-0005-0000-0000-000057600000}"/>
    <cellStyle name="40% - Accent6 4 5 2" xfId="6957" xr:uid="{00000000-0005-0000-0000-000058600000}"/>
    <cellStyle name="40% - Accent6 4 5 3" xfId="6958" xr:uid="{00000000-0005-0000-0000-000059600000}"/>
    <cellStyle name="40% - Accent6 4 6" xfId="6959" xr:uid="{00000000-0005-0000-0000-00005A600000}"/>
    <cellStyle name="40% - Accent6 4 6 2" xfId="6960" xr:uid="{00000000-0005-0000-0000-00005B600000}"/>
    <cellStyle name="40% - Accent6 4 6 3" xfId="6961" xr:uid="{00000000-0005-0000-0000-00005C600000}"/>
    <cellStyle name="40% - Accent6 4 7" xfId="6962" xr:uid="{00000000-0005-0000-0000-00005D600000}"/>
    <cellStyle name="40% - Accent6 4 8" xfId="6963" xr:uid="{00000000-0005-0000-0000-00005E600000}"/>
    <cellStyle name="40% - Accent6 4_Volatility" xfId="6964" xr:uid="{00000000-0005-0000-0000-00005F600000}"/>
    <cellStyle name="40% - Accent6 5" xfId="6965" xr:uid="{00000000-0005-0000-0000-000060600000}"/>
    <cellStyle name="40% - Accent6 5 2" xfId="6966" xr:uid="{00000000-0005-0000-0000-000061600000}"/>
    <cellStyle name="40% - Accent6 5 2 2" xfId="6967" xr:uid="{00000000-0005-0000-0000-000062600000}"/>
    <cellStyle name="40% - Accent6 5 2 2 2" xfId="6968" xr:uid="{00000000-0005-0000-0000-000063600000}"/>
    <cellStyle name="40% - Accent6 5 2 2 3" xfId="6969" xr:uid="{00000000-0005-0000-0000-000064600000}"/>
    <cellStyle name="40% - Accent6 5 2 3" xfId="6970" xr:uid="{00000000-0005-0000-0000-000065600000}"/>
    <cellStyle name="40% - Accent6 5 2 3 2" xfId="6971" xr:uid="{00000000-0005-0000-0000-000066600000}"/>
    <cellStyle name="40% - Accent6 5 2 3 3" xfId="6972" xr:uid="{00000000-0005-0000-0000-000067600000}"/>
    <cellStyle name="40% - Accent6 5 2 4" xfId="6973" xr:uid="{00000000-0005-0000-0000-000068600000}"/>
    <cellStyle name="40% - Accent6 5 2 4 2" xfId="6974" xr:uid="{00000000-0005-0000-0000-000069600000}"/>
    <cellStyle name="40% - Accent6 5 2 4 3" xfId="6975" xr:uid="{00000000-0005-0000-0000-00006A600000}"/>
    <cellStyle name="40% - Accent6 5 2 5" xfId="6976" xr:uid="{00000000-0005-0000-0000-00006B600000}"/>
    <cellStyle name="40% - Accent6 5 2 6" xfId="6977" xr:uid="{00000000-0005-0000-0000-00006C600000}"/>
    <cellStyle name="40% - Accent6 5 2_Volatility" xfId="6978" xr:uid="{00000000-0005-0000-0000-00006D600000}"/>
    <cellStyle name="40% - Accent6 5 3" xfId="6979" xr:uid="{00000000-0005-0000-0000-00006E600000}"/>
    <cellStyle name="40% - Accent6 5 3 2" xfId="6980" xr:uid="{00000000-0005-0000-0000-00006F600000}"/>
    <cellStyle name="40% - Accent6 5 3 2 2" xfId="6981" xr:uid="{00000000-0005-0000-0000-000070600000}"/>
    <cellStyle name="40% - Accent6 5 3 2 3" xfId="6982" xr:uid="{00000000-0005-0000-0000-000071600000}"/>
    <cellStyle name="40% - Accent6 5 3 3" xfId="6983" xr:uid="{00000000-0005-0000-0000-000072600000}"/>
    <cellStyle name="40% - Accent6 5 3 3 2" xfId="6984" xr:uid="{00000000-0005-0000-0000-000073600000}"/>
    <cellStyle name="40% - Accent6 5 3 3 3" xfId="6985" xr:uid="{00000000-0005-0000-0000-000074600000}"/>
    <cellStyle name="40% - Accent6 5 3 4" xfId="6986" xr:uid="{00000000-0005-0000-0000-000075600000}"/>
    <cellStyle name="40% - Accent6 5 3 5" xfId="6987" xr:uid="{00000000-0005-0000-0000-000076600000}"/>
    <cellStyle name="40% - Accent6 5 3_Volatility" xfId="6988" xr:uid="{00000000-0005-0000-0000-000077600000}"/>
    <cellStyle name="40% - Accent6 5 4" xfId="6989" xr:uid="{00000000-0005-0000-0000-000078600000}"/>
    <cellStyle name="40% - Accent6 5 4 2" xfId="6990" xr:uid="{00000000-0005-0000-0000-000079600000}"/>
    <cellStyle name="40% - Accent6 5 4 3" xfId="6991" xr:uid="{00000000-0005-0000-0000-00007A600000}"/>
    <cellStyle name="40% - Accent6 5 5" xfId="6992" xr:uid="{00000000-0005-0000-0000-00007B600000}"/>
    <cellStyle name="40% - Accent6 5 5 2" xfId="6993" xr:uid="{00000000-0005-0000-0000-00007C600000}"/>
    <cellStyle name="40% - Accent6 5 5 3" xfId="6994" xr:uid="{00000000-0005-0000-0000-00007D600000}"/>
    <cellStyle name="40% - Accent6 5 6" xfId="6995" xr:uid="{00000000-0005-0000-0000-00007E600000}"/>
    <cellStyle name="40% - Accent6 5 6 2" xfId="6996" xr:uid="{00000000-0005-0000-0000-00007F600000}"/>
    <cellStyle name="40% - Accent6 5 6 3" xfId="6997" xr:uid="{00000000-0005-0000-0000-000080600000}"/>
    <cellStyle name="40% - Accent6 5 7" xfId="6998" xr:uid="{00000000-0005-0000-0000-000081600000}"/>
    <cellStyle name="40% - Accent6 5 8" xfId="6999" xr:uid="{00000000-0005-0000-0000-000082600000}"/>
    <cellStyle name="40% - Accent6 5_Volatility" xfId="7000" xr:uid="{00000000-0005-0000-0000-000083600000}"/>
    <cellStyle name="40% - Accent6 6" xfId="7001" xr:uid="{00000000-0005-0000-0000-000084600000}"/>
    <cellStyle name="40% - Accent6 6 2" xfId="7002" xr:uid="{00000000-0005-0000-0000-000085600000}"/>
    <cellStyle name="40% - Accent6 6 2 2" xfId="7003" xr:uid="{00000000-0005-0000-0000-000086600000}"/>
    <cellStyle name="40% - Accent6 6 2 2 2" xfId="7004" xr:uid="{00000000-0005-0000-0000-000087600000}"/>
    <cellStyle name="40% - Accent6 6 2 2 3" xfId="7005" xr:uid="{00000000-0005-0000-0000-000088600000}"/>
    <cellStyle name="40% - Accent6 6 2 3" xfId="7006" xr:uid="{00000000-0005-0000-0000-000089600000}"/>
    <cellStyle name="40% - Accent6 6 2 3 2" xfId="7007" xr:uid="{00000000-0005-0000-0000-00008A600000}"/>
    <cellStyle name="40% - Accent6 6 2 3 3" xfId="7008" xr:uid="{00000000-0005-0000-0000-00008B600000}"/>
    <cellStyle name="40% - Accent6 6 2 4" xfId="7009" xr:uid="{00000000-0005-0000-0000-00008C600000}"/>
    <cellStyle name="40% - Accent6 6 2 4 2" xfId="7010" xr:uid="{00000000-0005-0000-0000-00008D600000}"/>
    <cellStyle name="40% - Accent6 6 2 4 3" xfId="7011" xr:uid="{00000000-0005-0000-0000-00008E600000}"/>
    <cellStyle name="40% - Accent6 6 2 5" xfId="7012" xr:uid="{00000000-0005-0000-0000-00008F600000}"/>
    <cellStyle name="40% - Accent6 6 2 6" xfId="7013" xr:uid="{00000000-0005-0000-0000-000090600000}"/>
    <cellStyle name="40% - Accent6 6 2_Volatility" xfId="7014" xr:uid="{00000000-0005-0000-0000-000091600000}"/>
    <cellStyle name="40% - Accent6 6 3" xfId="7015" xr:uid="{00000000-0005-0000-0000-000092600000}"/>
    <cellStyle name="40% - Accent6 6 3 2" xfId="7016" xr:uid="{00000000-0005-0000-0000-000093600000}"/>
    <cellStyle name="40% - Accent6 6 3 2 2" xfId="7017" xr:uid="{00000000-0005-0000-0000-000094600000}"/>
    <cellStyle name="40% - Accent6 6 3 2 3" xfId="7018" xr:uid="{00000000-0005-0000-0000-000095600000}"/>
    <cellStyle name="40% - Accent6 6 3 3" xfId="7019" xr:uid="{00000000-0005-0000-0000-000096600000}"/>
    <cellStyle name="40% - Accent6 6 3 3 2" xfId="7020" xr:uid="{00000000-0005-0000-0000-000097600000}"/>
    <cellStyle name="40% - Accent6 6 3 3 3" xfId="7021" xr:uid="{00000000-0005-0000-0000-000098600000}"/>
    <cellStyle name="40% - Accent6 6 3 4" xfId="7022" xr:uid="{00000000-0005-0000-0000-000099600000}"/>
    <cellStyle name="40% - Accent6 6 3 5" xfId="7023" xr:uid="{00000000-0005-0000-0000-00009A600000}"/>
    <cellStyle name="40% - Accent6 6 3_Volatility" xfId="7024" xr:uid="{00000000-0005-0000-0000-00009B600000}"/>
    <cellStyle name="40% - Accent6 6 4" xfId="7025" xr:uid="{00000000-0005-0000-0000-00009C600000}"/>
    <cellStyle name="40% - Accent6 6 4 2" xfId="7026" xr:uid="{00000000-0005-0000-0000-00009D600000}"/>
    <cellStyle name="40% - Accent6 6 4 3" xfId="7027" xr:uid="{00000000-0005-0000-0000-00009E600000}"/>
    <cellStyle name="40% - Accent6 6 5" xfId="7028" xr:uid="{00000000-0005-0000-0000-00009F600000}"/>
    <cellStyle name="40% - Accent6 6 5 2" xfId="7029" xr:uid="{00000000-0005-0000-0000-0000A0600000}"/>
    <cellStyle name="40% - Accent6 6 5 3" xfId="7030" xr:uid="{00000000-0005-0000-0000-0000A1600000}"/>
    <cellStyle name="40% - Accent6 6 6" xfId="7031" xr:uid="{00000000-0005-0000-0000-0000A2600000}"/>
    <cellStyle name="40% - Accent6 6 6 2" xfId="7032" xr:uid="{00000000-0005-0000-0000-0000A3600000}"/>
    <cellStyle name="40% - Accent6 6 6 3" xfId="7033" xr:uid="{00000000-0005-0000-0000-0000A4600000}"/>
    <cellStyle name="40% - Accent6 6 7" xfId="7034" xr:uid="{00000000-0005-0000-0000-0000A5600000}"/>
    <cellStyle name="40% - Accent6 6 8" xfId="7035" xr:uid="{00000000-0005-0000-0000-0000A6600000}"/>
    <cellStyle name="40% - Accent6 6_Volatility" xfId="7036" xr:uid="{00000000-0005-0000-0000-0000A7600000}"/>
    <cellStyle name="40% - Accent6 7" xfId="7037" xr:uid="{00000000-0005-0000-0000-0000A8600000}"/>
    <cellStyle name="40% - Accent6 7 2" xfId="7038" xr:uid="{00000000-0005-0000-0000-0000A9600000}"/>
    <cellStyle name="40% - Accent6 7 2 2" xfId="7039" xr:uid="{00000000-0005-0000-0000-0000AA600000}"/>
    <cellStyle name="40% - Accent6 7 2 2 2" xfId="7040" xr:uid="{00000000-0005-0000-0000-0000AB600000}"/>
    <cellStyle name="40% - Accent6 7 2 2 3" xfId="7041" xr:uid="{00000000-0005-0000-0000-0000AC600000}"/>
    <cellStyle name="40% - Accent6 7 2 3" xfId="7042" xr:uid="{00000000-0005-0000-0000-0000AD600000}"/>
    <cellStyle name="40% - Accent6 7 2 3 2" xfId="7043" xr:uid="{00000000-0005-0000-0000-0000AE600000}"/>
    <cellStyle name="40% - Accent6 7 2 3 3" xfId="7044" xr:uid="{00000000-0005-0000-0000-0000AF600000}"/>
    <cellStyle name="40% - Accent6 7 2 4" xfId="7045" xr:uid="{00000000-0005-0000-0000-0000B0600000}"/>
    <cellStyle name="40% - Accent6 7 2 4 2" xfId="7046" xr:uid="{00000000-0005-0000-0000-0000B1600000}"/>
    <cellStyle name="40% - Accent6 7 2 4 3" xfId="7047" xr:uid="{00000000-0005-0000-0000-0000B2600000}"/>
    <cellStyle name="40% - Accent6 7 2 5" xfId="7048" xr:uid="{00000000-0005-0000-0000-0000B3600000}"/>
    <cellStyle name="40% - Accent6 7 2 6" xfId="7049" xr:uid="{00000000-0005-0000-0000-0000B4600000}"/>
    <cellStyle name="40% - Accent6 7 2_Volatility" xfId="7050" xr:uid="{00000000-0005-0000-0000-0000B5600000}"/>
    <cellStyle name="40% - Accent6 7 3" xfId="7051" xr:uid="{00000000-0005-0000-0000-0000B6600000}"/>
    <cellStyle name="40% - Accent6 7 3 2" xfId="7052" xr:uid="{00000000-0005-0000-0000-0000B7600000}"/>
    <cellStyle name="40% - Accent6 7 3 2 2" xfId="7053" xr:uid="{00000000-0005-0000-0000-0000B8600000}"/>
    <cellStyle name="40% - Accent6 7 3 2 3" xfId="7054" xr:uid="{00000000-0005-0000-0000-0000B9600000}"/>
    <cellStyle name="40% - Accent6 7 3 3" xfId="7055" xr:uid="{00000000-0005-0000-0000-0000BA600000}"/>
    <cellStyle name="40% - Accent6 7 3 3 2" xfId="7056" xr:uid="{00000000-0005-0000-0000-0000BB600000}"/>
    <cellStyle name="40% - Accent6 7 3 3 3" xfId="7057" xr:uid="{00000000-0005-0000-0000-0000BC600000}"/>
    <cellStyle name="40% - Accent6 7 3 4" xfId="7058" xr:uid="{00000000-0005-0000-0000-0000BD600000}"/>
    <cellStyle name="40% - Accent6 7 3 5" xfId="7059" xr:uid="{00000000-0005-0000-0000-0000BE600000}"/>
    <cellStyle name="40% - Accent6 7 3_Volatility" xfId="7060" xr:uid="{00000000-0005-0000-0000-0000BF600000}"/>
    <cellStyle name="40% - Accent6 7 4" xfId="7061" xr:uid="{00000000-0005-0000-0000-0000C0600000}"/>
    <cellStyle name="40% - Accent6 7 4 2" xfId="7062" xr:uid="{00000000-0005-0000-0000-0000C1600000}"/>
    <cellStyle name="40% - Accent6 7 4 3" xfId="7063" xr:uid="{00000000-0005-0000-0000-0000C2600000}"/>
    <cellStyle name="40% - Accent6 7 5" xfId="7064" xr:uid="{00000000-0005-0000-0000-0000C3600000}"/>
    <cellStyle name="40% - Accent6 7 5 2" xfId="7065" xr:uid="{00000000-0005-0000-0000-0000C4600000}"/>
    <cellStyle name="40% - Accent6 7 5 3" xfId="7066" xr:uid="{00000000-0005-0000-0000-0000C5600000}"/>
    <cellStyle name="40% - Accent6 7 6" xfId="7067" xr:uid="{00000000-0005-0000-0000-0000C6600000}"/>
    <cellStyle name="40% - Accent6 7 6 2" xfId="7068" xr:uid="{00000000-0005-0000-0000-0000C7600000}"/>
    <cellStyle name="40% - Accent6 7 6 3" xfId="7069" xr:uid="{00000000-0005-0000-0000-0000C8600000}"/>
    <cellStyle name="40% - Accent6 7 7" xfId="7070" xr:uid="{00000000-0005-0000-0000-0000C9600000}"/>
    <cellStyle name="40% - Accent6 7 8" xfId="7071" xr:uid="{00000000-0005-0000-0000-0000CA600000}"/>
    <cellStyle name="40% - Accent6 7_Volatility" xfId="7072" xr:uid="{00000000-0005-0000-0000-0000CB600000}"/>
    <cellStyle name="40% - Accent6 8" xfId="7073" xr:uid="{00000000-0005-0000-0000-0000CC600000}"/>
    <cellStyle name="40% - Accent6 8 2" xfId="7074" xr:uid="{00000000-0005-0000-0000-0000CD600000}"/>
    <cellStyle name="40% - Accent6 8 2 2" xfId="7075" xr:uid="{00000000-0005-0000-0000-0000CE600000}"/>
    <cellStyle name="40% - Accent6 8 2 2 2" xfId="7076" xr:uid="{00000000-0005-0000-0000-0000CF600000}"/>
    <cellStyle name="40% - Accent6 8 2 2 3" xfId="7077" xr:uid="{00000000-0005-0000-0000-0000D0600000}"/>
    <cellStyle name="40% - Accent6 8 2 3" xfId="7078" xr:uid="{00000000-0005-0000-0000-0000D1600000}"/>
    <cellStyle name="40% - Accent6 8 2 3 2" xfId="7079" xr:uid="{00000000-0005-0000-0000-0000D2600000}"/>
    <cellStyle name="40% - Accent6 8 2 3 3" xfId="7080" xr:uid="{00000000-0005-0000-0000-0000D3600000}"/>
    <cellStyle name="40% - Accent6 8 2 4" xfId="7081" xr:uid="{00000000-0005-0000-0000-0000D4600000}"/>
    <cellStyle name="40% - Accent6 8 2 4 2" xfId="7082" xr:uid="{00000000-0005-0000-0000-0000D5600000}"/>
    <cellStyle name="40% - Accent6 8 2 4 3" xfId="7083" xr:uid="{00000000-0005-0000-0000-0000D6600000}"/>
    <cellStyle name="40% - Accent6 8 2 5" xfId="7084" xr:uid="{00000000-0005-0000-0000-0000D7600000}"/>
    <cellStyle name="40% - Accent6 8 2 6" xfId="7085" xr:uid="{00000000-0005-0000-0000-0000D8600000}"/>
    <cellStyle name="40% - Accent6 8 2_Volatility" xfId="7086" xr:uid="{00000000-0005-0000-0000-0000D9600000}"/>
    <cellStyle name="40% - Accent6 8 3" xfId="7087" xr:uid="{00000000-0005-0000-0000-0000DA600000}"/>
    <cellStyle name="40% - Accent6 8 3 2" xfId="7088" xr:uid="{00000000-0005-0000-0000-0000DB600000}"/>
    <cellStyle name="40% - Accent6 8 3 2 2" xfId="7089" xr:uid="{00000000-0005-0000-0000-0000DC600000}"/>
    <cellStyle name="40% - Accent6 8 3 2 3" xfId="7090" xr:uid="{00000000-0005-0000-0000-0000DD600000}"/>
    <cellStyle name="40% - Accent6 8 3 3" xfId="7091" xr:uid="{00000000-0005-0000-0000-0000DE600000}"/>
    <cellStyle name="40% - Accent6 8 3 3 2" xfId="7092" xr:uid="{00000000-0005-0000-0000-0000DF600000}"/>
    <cellStyle name="40% - Accent6 8 3 3 3" xfId="7093" xr:uid="{00000000-0005-0000-0000-0000E0600000}"/>
    <cellStyle name="40% - Accent6 8 3 4" xfId="7094" xr:uid="{00000000-0005-0000-0000-0000E1600000}"/>
    <cellStyle name="40% - Accent6 8 3 5" xfId="7095" xr:uid="{00000000-0005-0000-0000-0000E2600000}"/>
    <cellStyle name="40% - Accent6 8 3_Volatility" xfId="7096" xr:uid="{00000000-0005-0000-0000-0000E3600000}"/>
    <cellStyle name="40% - Accent6 8 4" xfId="7097" xr:uid="{00000000-0005-0000-0000-0000E4600000}"/>
    <cellStyle name="40% - Accent6 8 4 2" xfId="7098" xr:uid="{00000000-0005-0000-0000-0000E5600000}"/>
    <cellStyle name="40% - Accent6 8 4 3" xfId="7099" xr:uid="{00000000-0005-0000-0000-0000E6600000}"/>
    <cellStyle name="40% - Accent6 8 5" xfId="7100" xr:uid="{00000000-0005-0000-0000-0000E7600000}"/>
    <cellStyle name="40% - Accent6 8 5 2" xfId="7101" xr:uid="{00000000-0005-0000-0000-0000E8600000}"/>
    <cellStyle name="40% - Accent6 8 5 3" xfId="7102" xr:uid="{00000000-0005-0000-0000-0000E9600000}"/>
    <cellStyle name="40% - Accent6 8 6" xfId="7103" xr:uid="{00000000-0005-0000-0000-0000EA600000}"/>
    <cellStyle name="40% - Accent6 8 6 2" xfId="7104" xr:uid="{00000000-0005-0000-0000-0000EB600000}"/>
    <cellStyle name="40% - Accent6 8 6 3" xfId="7105" xr:uid="{00000000-0005-0000-0000-0000EC600000}"/>
    <cellStyle name="40% - Accent6 8 7" xfId="7106" xr:uid="{00000000-0005-0000-0000-0000ED600000}"/>
    <cellStyle name="40% - Accent6 8 8" xfId="7107" xr:uid="{00000000-0005-0000-0000-0000EE600000}"/>
    <cellStyle name="40% - Accent6 8_Volatility" xfId="7108" xr:uid="{00000000-0005-0000-0000-0000EF600000}"/>
    <cellStyle name="40% - Accent6 9" xfId="7109" xr:uid="{00000000-0005-0000-0000-0000F0600000}"/>
    <cellStyle name="40% - Accent6 9 2" xfId="7110" xr:uid="{00000000-0005-0000-0000-0000F1600000}"/>
    <cellStyle name="40% - Accent6 9 2 2" xfId="7111" xr:uid="{00000000-0005-0000-0000-0000F2600000}"/>
    <cellStyle name="40% - Accent6 9 2 2 2" xfId="7112" xr:uid="{00000000-0005-0000-0000-0000F3600000}"/>
    <cellStyle name="40% - Accent6 9 2 2 3" xfId="7113" xr:uid="{00000000-0005-0000-0000-0000F4600000}"/>
    <cellStyle name="40% - Accent6 9 2 3" xfId="7114" xr:uid="{00000000-0005-0000-0000-0000F5600000}"/>
    <cellStyle name="40% - Accent6 9 2 3 2" xfId="7115" xr:uid="{00000000-0005-0000-0000-0000F6600000}"/>
    <cellStyle name="40% - Accent6 9 2 3 3" xfId="7116" xr:uid="{00000000-0005-0000-0000-0000F7600000}"/>
    <cellStyle name="40% - Accent6 9 2 4" xfId="7117" xr:uid="{00000000-0005-0000-0000-0000F8600000}"/>
    <cellStyle name="40% - Accent6 9 2 4 2" xfId="7118" xr:uid="{00000000-0005-0000-0000-0000F9600000}"/>
    <cellStyle name="40% - Accent6 9 2 4 3" xfId="7119" xr:uid="{00000000-0005-0000-0000-0000FA600000}"/>
    <cellStyle name="40% - Accent6 9 2 5" xfId="7120" xr:uid="{00000000-0005-0000-0000-0000FB600000}"/>
    <cellStyle name="40% - Accent6 9 2 6" xfId="7121" xr:uid="{00000000-0005-0000-0000-0000FC600000}"/>
    <cellStyle name="40% - Accent6 9 2_Volatility" xfId="7122" xr:uid="{00000000-0005-0000-0000-0000FD600000}"/>
    <cellStyle name="40% - Accent6 9 3" xfId="7123" xr:uid="{00000000-0005-0000-0000-0000FE600000}"/>
    <cellStyle name="40% - Accent6 9 3 2" xfId="7124" xr:uid="{00000000-0005-0000-0000-0000FF600000}"/>
    <cellStyle name="40% - Accent6 9 3 2 2" xfId="7125" xr:uid="{00000000-0005-0000-0000-000000610000}"/>
    <cellStyle name="40% - Accent6 9 3 2 3" xfId="7126" xr:uid="{00000000-0005-0000-0000-000001610000}"/>
    <cellStyle name="40% - Accent6 9 3 3" xfId="7127" xr:uid="{00000000-0005-0000-0000-000002610000}"/>
    <cellStyle name="40% - Accent6 9 3 3 2" xfId="7128" xr:uid="{00000000-0005-0000-0000-000003610000}"/>
    <cellStyle name="40% - Accent6 9 3 3 3" xfId="7129" xr:uid="{00000000-0005-0000-0000-000004610000}"/>
    <cellStyle name="40% - Accent6 9 3 4" xfId="7130" xr:uid="{00000000-0005-0000-0000-000005610000}"/>
    <cellStyle name="40% - Accent6 9 3 5" xfId="7131" xr:uid="{00000000-0005-0000-0000-000006610000}"/>
    <cellStyle name="40% - Accent6 9 3_Volatility" xfId="7132" xr:uid="{00000000-0005-0000-0000-000007610000}"/>
    <cellStyle name="40% - Accent6 9 4" xfId="7133" xr:uid="{00000000-0005-0000-0000-000008610000}"/>
    <cellStyle name="40% - Accent6 9 4 2" xfId="7134" xr:uid="{00000000-0005-0000-0000-000009610000}"/>
    <cellStyle name="40% - Accent6 9 4 3" xfId="7135" xr:uid="{00000000-0005-0000-0000-00000A610000}"/>
    <cellStyle name="40% - Accent6 9 5" xfId="7136" xr:uid="{00000000-0005-0000-0000-00000B610000}"/>
    <cellStyle name="40% - Accent6 9 5 2" xfId="7137" xr:uid="{00000000-0005-0000-0000-00000C610000}"/>
    <cellStyle name="40% - Accent6 9 5 3" xfId="7138" xr:uid="{00000000-0005-0000-0000-00000D610000}"/>
    <cellStyle name="40% - Accent6 9 6" xfId="7139" xr:uid="{00000000-0005-0000-0000-00000E610000}"/>
    <cellStyle name="40% - Accent6 9 6 2" xfId="7140" xr:uid="{00000000-0005-0000-0000-00000F610000}"/>
    <cellStyle name="40% - Accent6 9 6 3" xfId="7141" xr:uid="{00000000-0005-0000-0000-000010610000}"/>
    <cellStyle name="40% - Accent6 9 7" xfId="7142" xr:uid="{00000000-0005-0000-0000-000011610000}"/>
    <cellStyle name="40% - Accent6 9 8" xfId="7143" xr:uid="{00000000-0005-0000-0000-000012610000}"/>
    <cellStyle name="40% - Accent6 9_Volatility" xfId="7144" xr:uid="{00000000-0005-0000-0000-000013610000}"/>
    <cellStyle name="40% - Ênfase1" xfId="7145" xr:uid="{00000000-0005-0000-0000-000014610000}"/>
    <cellStyle name="40% - Ênfase2" xfId="7146" xr:uid="{00000000-0005-0000-0000-000015610000}"/>
    <cellStyle name="40% - Ênfase3" xfId="7147" xr:uid="{00000000-0005-0000-0000-000016610000}"/>
    <cellStyle name="40% - Ênfase4" xfId="7148" xr:uid="{00000000-0005-0000-0000-000017610000}"/>
    <cellStyle name="40% - Ênfase5" xfId="7149" xr:uid="{00000000-0005-0000-0000-000018610000}"/>
    <cellStyle name="40% - Ênfase6" xfId="7150" xr:uid="{00000000-0005-0000-0000-000019610000}"/>
    <cellStyle name="40% - Énfasis1" xfId="7151" xr:uid="{00000000-0005-0000-0000-00001A610000}"/>
    <cellStyle name="40% - Énfasis2" xfId="7152" xr:uid="{00000000-0005-0000-0000-00001B610000}"/>
    <cellStyle name="40% - Énfasis3" xfId="7153" xr:uid="{00000000-0005-0000-0000-00001C610000}"/>
    <cellStyle name="40% - Énfasis4" xfId="7154" xr:uid="{00000000-0005-0000-0000-00001D610000}"/>
    <cellStyle name="40% - Énfasis5" xfId="7155" xr:uid="{00000000-0005-0000-0000-00001E610000}"/>
    <cellStyle name="40% - Énfasis6" xfId="7156" xr:uid="{00000000-0005-0000-0000-00001F610000}"/>
    <cellStyle name="40% - 강조색1" xfId="7157" xr:uid="{00000000-0005-0000-0000-000020610000}"/>
    <cellStyle name="40% - 강조색1 2" xfId="7158" xr:uid="{00000000-0005-0000-0000-000021610000}"/>
    <cellStyle name="40% - 강조색2" xfId="7159" xr:uid="{00000000-0005-0000-0000-000022610000}"/>
    <cellStyle name="40% - 강조색2 2" xfId="7160" xr:uid="{00000000-0005-0000-0000-000023610000}"/>
    <cellStyle name="40% - 강조색3" xfId="7161" xr:uid="{00000000-0005-0000-0000-000024610000}"/>
    <cellStyle name="40% - 강조색3 2" xfId="7162" xr:uid="{00000000-0005-0000-0000-000025610000}"/>
    <cellStyle name="40% - 강조색4" xfId="7163" xr:uid="{00000000-0005-0000-0000-000026610000}"/>
    <cellStyle name="40% - 강조색4 2" xfId="7164" xr:uid="{00000000-0005-0000-0000-000027610000}"/>
    <cellStyle name="40% - 강조색5" xfId="7165" xr:uid="{00000000-0005-0000-0000-000028610000}"/>
    <cellStyle name="40% - 강조색5 2" xfId="7166" xr:uid="{00000000-0005-0000-0000-000029610000}"/>
    <cellStyle name="40% - 강조색6" xfId="7167" xr:uid="{00000000-0005-0000-0000-00002A610000}"/>
    <cellStyle name="40% - 강조색6 2" xfId="7168" xr:uid="{00000000-0005-0000-0000-00002B610000}"/>
    <cellStyle name="60% - Accent1 10" xfId="7169" xr:uid="{00000000-0005-0000-0000-00002C610000}"/>
    <cellStyle name="60% - Accent1 11" xfId="7170" xr:uid="{00000000-0005-0000-0000-00002D610000}"/>
    <cellStyle name="60% - Accent1 12" xfId="7171" xr:uid="{00000000-0005-0000-0000-00002E610000}"/>
    <cellStyle name="60% - Accent1 13" xfId="7172" xr:uid="{00000000-0005-0000-0000-00002F610000}"/>
    <cellStyle name="60% - Accent1 14" xfId="7173" xr:uid="{00000000-0005-0000-0000-000030610000}"/>
    <cellStyle name="60% - Accent1 15" xfId="7174" xr:uid="{00000000-0005-0000-0000-000031610000}"/>
    <cellStyle name="60% - Accent1 16" xfId="7175" xr:uid="{00000000-0005-0000-0000-000032610000}"/>
    <cellStyle name="60% - Accent1 17" xfId="7176" xr:uid="{00000000-0005-0000-0000-000033610000}"/>
    <cellStyle name="60% - Accent1 18" xfId="7177" xr:uid="{00000000-0005-0000-0000-000034610000}"/>
    <cellStyle name="60% - Accent1 19" xfId="7178" xr:uid="{00000000-0005-0000-0000-000035610000}"/>
    <cellStyle name="60% - Accent1 2" xfId="7179" xr:uid="{00000000-0005-0000-0000-000036610000}"/>
    <cellStyle name="60% - Accent1 2 2" xfId="7180" xr:uid="{00000000-0005-0000-0000-000037610000}"/>
    <cellStyle name="60% - Accent1 2 2 2" xfId="7181" xr:uid="{00000000-0005-0000-0000-000038610000}"/>
    <cellStyle name="60% - Accent1 2 3" xfId="7182" xr:uid="{00000000-0005-0000-0000-000039610000}"/>
    <cellStyle name="60% - Accent1 2 3 2" xfId="7183" xr:uid="{00000000-0005-0000-0000-00003A610000}"/>
    <cellStyle name="60% - Accent1 2 4" xfId="7184" xr:uid="{00000000-0005-0000-0000-00003B610000}"/>
    <cellStyle name="60% - Accent1 2 4 2" xfId="7185" xr:uid="{00000000-0005-0000-0000-00003C610000}"/>
    <cellStyle name="60% - Accent1 2 4 3" xfId="7186" xr:uid="{00000000-0005-0000-0000-00003D610000}"/>
    <cellStyle name="60% - Accent1 2 5" xfId="7187" xr:uid="{00000000-0005-0000-0000-00003E610000}"/>
    <cellStyle name="60% - Accent1 2 6" xfId="7188" xr:uid="{00000000-0005-0000-0000-00003F610000}"/>
    <cellStyle name="60% - Accent1 2 7" xfId="7189" xr:uid="{00000000-0005-0000-0000-000040610000}"/>
    <cellStyle name="60% - Accent1 2 8" xfId="7190" xr:uid="{00000000-0005-0000-0000-000041610000}"/>
    <cellStyle name="60% - Accent1 3" xfId="7191" xr:uid="{00000000-0005-0000-0000-000042610000}"/>
    <cellStyle name="60% - Accent1 3 2" xfId="7192" xr:uid="{00000000-0005-0000-0000-000043610000}"/>
    <cellStyle name="60% - Accent1 3 2 2" xfId="7193" xr:uid="{00000000-0005-0000-0000-000044610000}"/>
    <cellStyle name="60% - Accent1 3 2 3" xfId="7194" xr:uid="{00000000-0005-0000-0000-000045610000}"/>
    <cellStyle name="60% - Accent1 3 3" xfId="7195" xr:uid="{00000000-0005-0000-0000-000046610000}"/>
    <cellStyle name="60% - Accent1 3 4" xfId="7196" xr:uid="{00000000-0005-0000-0000-000047610000}"/>
    <cellStyle name="60% - Accent1 3 5" xfId="7197" xr:uid="{00000000-0005-0000-0000-000048610000}"/>
    <cellStyle name="60% - Accent1 4" xfId="7198" xr:uid="{00000000-0005-0000-0000-000049610000}"/>
    <cellStyle name="60% - Accent1 4 2" xfId="7199" xr:uid="{00000000-0005-0000-0000-00004A610000}"/>
    <cellStyle name="60% - Accent1 4 2 2" xfId="7200" xr:uid="{00000000-0005-0000-0000-00004B610000}"/>
    <cellStyle name="60% - Accent1 4 2 3" xfId="7201" xr:uid="{00000000-0005-0000-0000-00004C610000}"/>
    <cellStyle name="60% - Accent1 4 3" xfId="7202" xr:uid="{00000000-0005-0000-0000-00004D610000}"/>
    <cellStyle name="60% - Accent1 4 4" xfId="7203" xr:uid="{00000000-0005-0000-0000-00004E610000}"/>
    <cellStyle name="60% - Accent1 4 5" xfId="7204" xr:uid="{00000000-0005-0000-0000-00004F610000}"/>
    <cellStyle name="60% - Accent1 5" xfId="7205" xr:uid="{00000000-0005-0000-0000-000050610000}"/>
    <cellStyle name="60% - Accent1 5 2" xfId="7206" xr:uid="{00000000-0005-0000-0000-000051610000}"/>
    <cellStyle name="60% - Accent1 5 2 2" xfId="7207" xr:uid="{00000000-0005-0000-0000-000052610000}"/>
    <cellStyle name="60% - Accent1 5 2 3" xfId="7208" xr:uid="{00000000-0005-0000-0000-000053610000}"/>
    <cellStyle name="60% - Accent1 5 3" xfId="7209" xr:uid="{00000000-0005-0000-0000-000054610000}"/>
    <cellStyle name="60% - Accent1 5 4" xfId="7210" xr:uid="{00000000-0005-0000-0000-000055610000}"/>
    <cellStyle name="60% - Accent1 5 5" xfId="7211" xr:uid="{00000000-0005-0000-0000-000056610000}"/>
    <cellStyle name="60% - Accent1 6" xfId="7212" xr:uid="{00000000-0005-0000-0000-000057610000}"/>
    <cellStyle name="60% - Accent1 6 2" xfId="7213" xr:uid="{00000000-0005-0000-0000-000058610000}"/>
    <cellStyle name="60% - Accent1 6 3" xfId="7214" xr:uid="{00000000-0005-0000-0000-000059610000}"/>
    <cellStyle name="60% - Accent1 7" xfId="7215" xr:uid="{00000000-0005-0000-0000-00005A610000}"/>
    <cellStyle name="60% - Accent1 8" xfId="7216" xr:uid="{00000000-0005-0000-0000-00005B610000}"/>
    <cellStyle name="60% - Accent1 9" xfId="7217" xr:uid="{00000000-0005-0000-0000-00005C610000}"/>
    <cellStyle name="60% - Accent2 10" xfId="7218" xr:uid="{00000000-0005-0000-0000-00005D610000}"/>
    <cellStyle name="60% - Accent2 11" xfId="7219" xr:uid="{00000000-0005-0000-0000-00005E610000}"/>
    <cellStyle name="60% - Accent2 12" xfId="7220" xr:uid="{00000000-0005-0000-0000-00005F610000}"/>
    <cellStyle name="60% - Accent2 13" xfId="7221" xr:uid="{00000000-0005-0000-0000-000060610000}"/>
    <cellStyle name="60% - Accent2 14" xfId="7222" xr:uid="{00000000-0005-0000-0000-000061610000}"/>
    <cellStyle name="60% - Accent2 15" xfId="7223" xr:uid="{00000000-0005-0000-0000-000062610000}"/>
    <cellStyle name="60% - Accent2 16" xfId="7224" xr:uid="{00000000-0005-0000-0000-000063610000}"/>
    <cellStyle name="60% - Accent2 17" xfId="7225" xr:uid="{00000000-0005-0000-0000-000064610000}"/>
    <cellStyle name="60% - Accent2 18" xfId="7226" xr:uid="{00000000-0005-0000-0000-000065610000}"/>
    <cellStyle name="60% - Accent2 19" xfId="7227" xr:uid="{00000000-0005-0000-0000-000066610000}"/>
    <cellStyle name="60% - Accent2 2" xfId="7228" xr:uid="{00000000-0005-0000-0000-000067610000}"/>
    <cellStyle name="60% - Accent2 2 2" xfId="7229" xr:uid="{00000000-0005-0000-0000-000068610000}"/>
    <cellStyle name="60% - Accent2 2 2 2" xfId="7230" xr:uid="{00000000-0005-0000-0000-000069610000}"/>
    <cellStyle name="60% - Accent2 2 3" xfId="7231" xr:uid="{00000000-0005-0000-0000-00006A610000}"/>
    <cellStyle name="60% - Accent2 2 3 2" xfId="7232" xr:uid="{00000000-0005-0000-0000-00006B610000}"/>
    <cellStyle name="60% - Accent2 2 4" xfId="7233" xr:uid="{00000000-0005-0000-0000-00006C610000}"/>
    <cellStyle name="60% - Accent2 2 4 2" xfId="7234" xr:uid="{00000000-0005-0000-0000-00006D610000}"/>
    <cellStyle name="60% - Accent2 2 4 3" xfId="7235" xr:uid="{00000000-0005-0000-0000-00006E610000}"/>
    <cellStyle name="60% - Accent2 2 5" xfId="7236" xr:uid="{00000000-0005-0000-0000-00006F610000}"/>
    <cellStyle name="60% - Accent2 2 6" xfId="7237" xr:uid="{00000000-0005-0000-0000-000070610000}"/>
    <cellStyle name="60% - Accent2 2 7" xfId="7238" xr:uid="{00000000-0005-0000-0000-000071610000}"/>
    <cellStyle name="60% - Accent2 2 8" xfId="7239" xr:uid="{00000000-0005-0000-0000-000072610000}"/>
    <cellStyle name="60% - Accent2 3" xfId="7240" xr:uid="{00000000-0005-0000-0000-000073610000}"/>
    <cellStyle name="60% - Accent2 3 2" xfId="7241" xr:uid="{00000000-0005-0000-0000-000074610000}"/>
    <cellStyle name="60% - Accent2 3 2 2" xfId="7242" xr:uid="{00000000-0005-0000-0000-000075610000}"/>
    <cellStyle name="60% - Accent2 3 2 3" xfId="7243" xr:uid="{00000000-0005-0000-0000-000076610000}"/>
    <cellStyle name="60% - Accent2 3 3" xfId="7244" xr:uid="{00000000-0005-0000-0000-000077610000}"/>
    <cellStyle name="60% - Accent2 3 4" xfId="7245" xr:uid="{00000000-0005-0000-0000-000078610000}"/>
    <cellStyle name="60% - Accent2 3 5" xfId="7246" xr:uid="{00000000-0005-0000-0000-000079610000}"/>
    <cellStyle name="60% - Accent2 4" xfId="7247" xr:uid="{00000000-0005-0000-0000-00007A610000}"/>
    <cellStyle name="60% - Accent2 4 2" xfId="7248" xr:uid="{00000000-0005-0000-0000-00007B610000}"/>
    <cellStyle name="60% - Accent2 4 2 2" xfId="7249" xr:uid="{00000000-0005-0000-0000-00007C610000}"/>
    <cellStyle name="60% - Accent2 4 2 3" xfId="7250" xr:uid="{00000000-0005-0000-0000-00007D610000}"/>
    <cellStyle name="60% - Accent2 4 3" xfId="7251" xr:uid="{00000000-0005-0000-0000-00007E610000}"/>
    <cellStyle name="60% - Accent2 4 4" xfId="7252" xr:uid="{00000000-0005-0000-0000-00007F610000}"/>
    <cellStyle name="60% - Accent2 4 5" xfId="7253" xr:uid="{00000000-0005-0000-0000-000080610000}"/>
    <cellStyle name="60% - Accent2 5" xfId="7254" xr:uid="{00000000-0005-0000-0000-000081610000}"/>
    <cellStyle name="60% - Accent2 5 2" xfId="7255" xr:uid="{00000000-0005-0000-0000-000082610000}"/>
    <cellStyle name="60% - Accent2 5 2 2" xfId="7256" xr:uid="{00000000-0005-0000-0000-000083610000}"/>
    <cellStyle name="60% - Accent2 5 2 3" xfId="7257" xr:uid="{00000000-0005-0000-0000-000084610000}"/>
    <cellStyle name="60% - Accent2 5 3" xfId="7258" xr:uid="{00000000-0005-0000-0000-000085610000}"/>
    <cellStyle name="60% - Accent2 5 4" xfId="7259" xr:uid="{00000000-0005-0000-0000-000086610000}"/>
    <cellStyle name="60% - Accent2 5 5" xfId="7260" xr:uid="{00000000-0005-0000-0000-000087610000}"/>
    <cellStyle name="60% - Accent2 6" xfId="7261" xr:uid="{00000000-0005-0000-0000-000088610000}"/>
    <cellStyle name="60% - Accent2 6 2" xfId="7262" xr:uid="{00000000-0005-0000-0000-000089610000}"/>
    <cellStyle name="60% - Accent2 6 3" xfId="7263" xr:uid="{00000000-0005-0000-0000-00008A610000}"/>
    <cellStyle name="60% - Accent2 7" xfId="7264" xr:uid="{00000000-0005-0000-0000-00008B610000}"/>
    <cellStyle name="60% - Accent2 8" xfId="7265" xr:uid="{00000000-0005-0000-0000-00008C610000}"/>
    <cellStyle name="60% - Accent2 9" xfId="7266" xr:uid="{00000000-0005-0000-0000-00008D610000}"/>
    <cellStyle name="60% - Accent3 10" xfId="7267" xr:uid="{00000000-0005-0000-0000-00008E610000}"/>
    <cellStyle name="60% - Accent3 11" xfId="7268" xr:uid="{00000000-0005-0000-0000-00008F610000}"/>
    <cellStyle name="60% - Accent3 12" xfId="7269" xr:uid="{00000000-0005-0000-0000-000090610000}"/>
    <cellStyle name="60% - Accent3 13" xfId="7270" xr:uid="{00000000-0005-0000-0000-000091610000}"/>
    <cellStyle name="60% - Accent3 14" xfId="7271" xr:uid="{00000000-0005-0000-0000-000092610000}"/>
    <cellStyle name="60% - Accent3 15" xfId="7272" xr:uid="{00000000-0005-0000-0000-000093610000}"/>
    <cellStyle name="60% - Accent3 16" xfId="7273" xr:uid="{00000000-0005-0000-0000-000094610000}"/>
    <cellStyle name="60% - Accent3 17" xfId="7274" xr:uid="{00000000-0005-0000-0000-000095610000}"/>
    <cellStyle name="60% - Accent3 18" xfId="7275" xr:uid="{00000000-0005-0000-0000-000096610000}"/>
    <cellStyle name="60% - Accent3 19" xfId="7276" xr:uid="{00000000-0005-0000-0000-000097610000}"/>
    <cellStyle name="60% - Accent3 2" xfId="7277" xr:uid="{00000000-0005-0000-0000-000098610000}"/>
    <cellStyle name="60% - Accent3 2 2" xfId="7278" xr:uid="{00000000-0005-0000-0000-000099610000}"/>
    <cellStyle name="60% - Accent3 2 2 2" xfId="7279" xr:uid="{00000000-0005-0000-0000-00009A610000}"/>
    <cellStyle name="60% - Accent3 2 3" xfId="7280" xr:uid="{00000000-0005-0000-0000-00009B610000}"/>
    <cellStyle name="60% - Accent3 2 3 2" xfId="7281" xr:uid="{00000000-0005-0000-0000-00009C610000}"/>
    <cellStyle name="60% - Accent3 2 4" xfId="7282" xr:uid="{00000000-0005-0000-0000-00009D610000}"/>
    <cellStyle name="60% - Accent3 2 4 2" xfId="7283" xr:uid="{00000000-0005-0000-0000-00009E610000}"/>
    <cellStyle name="60% - Accent3 2 4 3" xfId="7284" xr:uid="{00000000-0005-0000-0000-00009F610000}"/>
    <cellStyle name="60% - Accent3 2 5" xfId="7285" xr:uid="{00000000-0005-0000-0000-0000A0610000}"/>
    <cellStyle name="60% - Accent3 2 6" xfId="7286" xr:uid="{00000000-0005-0000-0000-0000A1610000}"/>
    <cellStyle name="60% - Accent3 2 7" xfId="7287" xr:uid="{00000000-0005-0000-0000-0000A2610000}"/>
    <cellStyle name="60% - Accent3 2 8" xfId="7288" xr:uid="{00000000-0005-0000-0000-0000A3610000}"/>
    <cellStyle name="60% - Accent3 3" xfId="7289" xr:uid="{00000000-0005-0000-0000-0000A4610000}"/>
    <cellStyle name="60% - Accent3 3 2" xfId="7290" xr:uid="{00000000-0005-0000-0000-0000A5610000}"/>
    <cellStyle name="60% - Accent3 3 2 2" xfId="7291" xr:uid="{00000000-0005-0000-0000-0000A6610000}"/>
    <cellStyle name="60% - Accent3 3 2 3" xfId="7292" xr:uid="{00000000-0005-0000-0000-0000A7610000}"/>
    <cellStyle name="60% - Accent3 3 3" xfId="7293" xr:uid="{00000000-0005-0000-0000-0000A8610000}"/>
    <cellStyle name="60% - Accent3 3 4" xfId="7294" xr:uid="{00000000-0005-0000-0000-0000A9610000}"/>
    <cellStyle name="60% - Accent3 3 5" xfId="7295" xr:uid="{00000000-0005-0000-0000-0000AA610000}"/>
    <cellStyle name="60% - Accent3 4" xfId="7296" xr:uid="{00000000-0005-0000-0000-0000AB610000}"/>
    <cellStyle name="60% - Accent3 4 2" xfId="7297" xr:uid="{00000000-0005-0000-0000-0000AC610000}"/>
    <cellStyle name="60% - Accent3 4 2 2" xfId="7298" xr:uid="{00000000-0005-0000-0000-0000AD610000}"/>
    <cellStyle name="60% - Accent3 4 2 3" xfId="7299" xr:uid="{00000000-0005-0000-0000-0000AE610000}"/>
    <cellStyle name="60% - Accent3 4 3" xfId="7300" xr:uid="{00000000-0005-0000-0000-0000AF610000}"/>
    <cellStyle name="60% - Accent3 4 4" xfId="7301" xr:uid="{00000000-0005-0000-0000-0000B0610000}"/>
    <cellStyle name="60% - Accent3 4 5" xfId="7302" xr:uid="{00000000-0005-0000-0000-0000B1610000}"/>
    <cellStyle name="60% - Accent3 5" xfId="7303" xr:uid="{00000000-0005-0000-0000-0000B2610000}"/>
    <cellStyle name="60% - Accent3 5 2" xfId="7304" xr:uid="{00000000-0005-0000-0000-0000B3610000}"/>
    <cellStyle name="60% - Accent3 5 2 2" xfId="7305" xr:uid="{00000000-0005-0000-0000-0000B4610000}"/>
    <cellStyle name="60% - Accent3 5 2 3" xfId="7306" xr:uid="{00000000-0005-0000-0000-0000B5610000}"/>
    <cellStyle name="60% - Accent3 5 3" xfId="7307" xr:uid="{00000000-0005-0000-0000-0000B6610000}"/>
    <cellStyle name="60% - Accent3 5 4" xfId="7308" xr:uid="{00000000-0005-0000-0000-0000B7610000}"/>
    <cellStyle name="60% - Accent3 5 5" xfId="7309" xr:uid="{00000000-0005-0000-0000-0000B8610000}"/>
    <cellStyle name="60% - Accent3 6" xfId="7310" xr:uid="{00000000-0005-0000-0000-0000B9610000}"/>
    <cellStyle name="60% - Accent3 6 2" xfId="7311" xr:uid="{00000000-0005-0000-0000-0000BA610000}"/>
    <cellStyle name="60% - Accent3 6 3" xfId="7312" xr:uid="{00000000-0005-0000-0000-0000BB610000}"/>
    <cellStyle name="60% - Accent3 7" xfId="7313" xr:uid="{00000000-0005-0000-0000-0000BC610000}"/>
    <cellStyle name="60% - Accent3 8" xfId="7314" xr:uid="{00000000-0005-0000-0000-0000BD610000}"/>
    <cellStyle name="60% - Accent3 9" xfId="7315" xr:uid="{00000000-0005-0000-0000-0000BE610000}"/>
    <cellStyle name="60% - Accent4 10" xfId="7316" xr:uid="{00000000-0005-0000-0000-0000BF610000}"/>
    <cellStyle name="60% - Accent4 11" xfId="7317" xr:uid="{00000000-0005-0000-0000-0000C0610000}"/>
    <cellStyle name="60% - Accent4 12" xfId="7318" xr:uid="{00000000-0005-0000-0000-0000C1610000}"/>
    <cellStyle name="60% - Accent4 13" xfId="7319" xr:uid="{00000000-0005-0000-0000-0000C2610000}"/>
    <cellStyle name="60% - Accent4 14" xfId="7320" xr:uid="{00000000-0005-0000-0000-0000C3610000}"/>
    <cellStyle name="60% - Accent4 15" xfId="7321" xr:uid="{00000000-0005-0000-0000-0000C4610000}"/>
    <cellStyle name="60% - Accent4 16" xfId="7322" xr:uid="{00000000-0005-0000-0000-0000C5610000}"/>
    <cellStyle name="60% - Accent4 17" xfId="7323" xr:uid="{00000000-0005-0000-0000-0000C6610000}"/>
    <cellStyle name="60% - Accent4 18" xfId="7324" xr:uid="{00000000-0005-0000-0000-0000C7610000}"/>
    <cellStyle name="60% - Accent4 19" xfId="7325" xr:uid="{00000000-0005-0000-0000-0000C8610000}"/>
    <cellStyle name="60% - Accent4 2" xfId="7326" xr:uid="{00000000-0005-0000-0000-0000C9610000}"/>
    <cellStyle name="60% - Accent4 2 2" xfId="7327" xr:uid="{00000000-0005-0000-0000-0000CA610000}"/>
    <cellStyle name="60% - Accent4 2 2 2" xfId="7328" xr:uid="{00000000-0005-0000-0000-0000CB610000}"/>
    <cellStyle name="60% - Accent4 2 3" xfId="7329" xr:uid="{00000000-0005-0000-0000-0000CC610000}"/>
    <cellStyle name="60% - Accent4 2 3 2" xfId="7330" xr:uid="{00000000-0005-0000-0000-0000CD610000}"/>
    <cellStyle name="60% - Accent4 2 4" xfId="7331" xr:uid="{00000000-0005-0000-0000-0000CE610000}"/>
    <cellStyle name="60% - Accent4 2 4 2" xfId="7332" xr:uid="{00000000-0005-0000-0000-0000CF610000}"/>
    <cellStyle name="60% - Accent4 2 4 3" xfId="7333" xr:uid="{00000000-0005-0000-0000-0000D0610000}"/>
    <cellStyle name="60% - Accent4 2 5" xfId="7334" xr:uid="{00000000-0005-0000-0000-0000D1610000}"/>
    <cellStyle name="60% - Accent4 2 6" xfId="7335" xr:uid="{00000000-0005-0000-0000-0000D2610000}"/>
    <cellStyle name="60% - Accent4 2 7" xfId="7336" xr:uid="{00000000-0005-0000-0000-0000D3610000}"/>
    <cellStyle name="60% - Accent4 2 8" xfId="7337" xr:uid="{00000000-0005-0000-0000-0000D4610000}"/>
    <cellStyle name="60% - Accent4 3" xfId="7338" xr:uid="{00000000-0005-0000-0000-0000D5610000}"/>
    <cellStyle name="60% - Accent4 3 2" xfId="7339" xr:uid="{00000000-0005-0000-0000-0000D6610000}"/>
    <cellStyle name="60% - Accent4 3 2 2" xfId="7340" xr:uid="{00000000-0005-0000-0000-0000D7610000}"/>
    <cellStyle name="60% - Accent4 3 2 3" xfId="7341" xr:uid="{00000000-0005-0000-0000-0000D8610000}"/>
    <cellStyle name="60% - Accent4 3 3" xfId="7342" xr:uid="{00000000-0005-0000-0000-0000D9610000}"/>
    <cellStyle name="60% - Accent4 3 4" xfId="7343" xr:uid="{00000000-0005-0000-0000-0000DA610000}"/>
    <cellStyle name="60% - Accent4 3 5" xfId="7344" xr:uid="{00000000-0005-0000-0000-0000DB610000}"/>
    <cellStyle name="60% - Accent4 4" xfId="7345" xr:uid="{00000000-0005-0000-0000-0000DC610000}"/>
    <cellStyle name="60% - Accent4 4 2" xfId="7346" xr:uid="{00000000-0005-0000-0000-0000DD610000}"/>
    <cellStyle name="60% - Accent4 4 2 2" xfId="7347" xr:uid="{00000000-0005-0000-0000-0000DE610000}"/>
    <cellStyle name="60% - Accent4 4 2 3" xfId="7348" xr:uid="{00000000-0005-0000-0000-0000DF610000}"/>
    <cellStyle name="60% - Accent4 4 3" xfId="7349" xr:uid="{00000000-0005-0000-0000-0000E0610000}"/>
    <cellStyle name="60% - Accent4 4 4" xfId="7350" xr:uid="{00000000-0005-0000-0000-0000E1610000}"/>
    <cellStyle name="60% - Accent4 4 5" xfId="7351" xr:uid="{00000000-0005-0000-0000-0000E2610000}"/>
    <cellStyle name="60% - Accent4 5" xfId="7352" xr:uid="{00000000-0005-0000-0000-0000E3610000}"/>
    <cellStyle name="60% - Accent4 5 2" xfId="7353" xr:uid="{00000000-0005-0000-0000-0000E4610000}"/>
    <cellStyle name="60% - Accent4 5 2 2" xfId="7354" xr:uid="{00000000-0005-0000-0000-0000E5610000}"/>
    <cellStyle name="60% - Accent4 5 2 3" xfId="7355" xr:uid="{00000000-0005-0000-0000-0000E6610000}"/>
    <cellStyle name="60% - Accent4 5 3" xfId="7356" xr:uid="{00000000-0005-0000-0000-0000E7610000}"/>
    <cellStyle name="60% - Accent4 5 4" xfId="7357" xr:uid="{00000000-0005-0000-0000-0000E8610000}"/>
    <cellStyle name="60% - Accent4 5 5" xfId="7358" xr:uid="{00000000-0005-0000-0000-0000E9610000}"/>
    <cellStyle name="60% - Accent4 6" xfId="7359" xr:uid="{00000000-0005-0000-0000-0000EA610000}"/>
    <cellStyle name="60% - Accent4 6 2" xfId="7360" xr:uid="{00000000-0005-0000-0000-0000EB610000}"/>
    <cellStyle name="60% - Accent4 6 3" xfId="7361" xr:uid="{00000000-0005-0000-0000-0000EC610000}"/>
    <cellStyle name="60% - Accent4 7" xfId="7362" xr:uid="{00000000-0005-0000-0000-0000ED610000}"/>
    <cellStyle name="60% - Accent4 8" xfId="7363" xr:uid="{00000000-0005-0000-0000-0000EE610000}"/>
    <cellStyle name="60% - Accent4 9" xfId="7364" xr:uid="{00000000-0005-0000-0000-0000EF610000}"/>
    <cellStyle name="60% - Accent5 10" xfId="7365" xr:uid="{00000000-0005-0000-0000-0000F0610000}"/>
    <cellStyle name="60% - Accent5 11" xfId="7366" xr:uid="{00000000-0005-0000-0000-0000F1610000}"/>
    <cellStyle name="60% - Accent5 12" xfId="7367" xr:uid="{00000000-0005-0000-0000-0000F2610000}"/>
    <cellStyle name="60% - Accent5 13" xfId="7368" xr:uid="{00000000-0005-0000-0000-0000F3610000}"/>
    <cellStyle name="60% - Accent5 14" xfId="7369" xr:uid="{00000000-0005-0000-0000-0000F4610000}"/>
    <cellStyle name="60% - Accent5 15" xfId="7370" xr:uid="{00000000-0005-0000-0000-0000F5610000}"/>
    <cellStyle name="60% - Accent5 16" xfId="7371" xr:uid="{00000000-0005-0000-0000-0000F6610000}"/>
    <cellStyle name="60% - Accent5 17" xfId="7372" xr:uid="{00000000-0005-0000-0000-0000F7610000}"/>
    <cellStyle name="60% - Accent5 18" xfId="7373" xr:uid="{00000000-0005-0000-0000-0000F8610000}"/>
    <cellStyle name="60% - Accent5 19" xfId="7374" xr:uid="{00000000-0005-0000-0000-0000F9610000}"/>
    <cellStyle name="60% - Accent5 2" xfId="7375" xr:uid="{00000000-0005-0000-0000-0000FA610000}"/>
    <cellStyle name="60% - Accent5 2 2" xfId="7376" xr:uid="{00000000-0005-0000-0000-0000FB610000}"/>
    <cellStyle name="60% - Accent5 2 2 2" xfId="7377" xr:uid="{00000000-0005-0000-0000-0000FC610000}"/>
    <cellStyle name="60% - Accent5 2 3" xfId="7378" xr:uid="{00000000-0005-0000-0000-0000FD610000}"/>
    <cellStyle name="60% - Accent5 2 3 2" xfId="7379" xr:uid="{00000000-0005-0000-0000-0000FE610000}"/>
    <cellStyle name="60% - Accent5 2 4" xfId="7380" xr:uid="{00000000-0005-0000-0000-0000FF610000}"/>
    <cellStyle name="60% - Accent5 2 4 2" xfId="7381" xr:uid="{00000000-0005-0000-0000-000000620000}"/>
    <cellStyle name="60% - Accent5 2 4 3" xfId="7382" xr:uid="{00000000-0005-0000-0000-000001620000}"/>
    <cellStyle name="60% - Accent5 2 5" xfId="7383" xr:uid="{00000000-0005-0000-0000-000002620000}"/>
    <cellStyle name="60% - Accent5 2 6" xfId="7384" xr:uid="{00000000-0005-0000-0000-000003620000}"/>
    <cellStyle name="60% - Accent5 2 7" xfId="7385" xr:uid="{00000000-0005-0000-0000-000004620000}"/>
    <cellStyle name="60% - Accent5 2 8" xfId="7386" xr:uid="{00000000-0005-0000-0000-000005620000}"/>
    <cellStyle name="60% - Accent5 3" xfId="7387" xr:uid="{00000000-0005-0000-0000-000006620000}"/>
    <cellStyle name="60% - Accent5 3 2" xfId="7388" xr:uid="{00000000-0005-0000-0000-000007620000}"/>
    <cellStyle name="60% - Accent5 3 2 2" xfId="7389" xr:uid="{00000000-0005-0000-0000-000008620000}"/>
    <cellStyle name="60% - Accent5 3 2 3" xfId="7390" xr:uid="{00000000-0005-0000-0000-000009620000}"/>
    <cellStyle name="60% - Accent5 3 3" xfId="7391" xr:uid="{00000000-0005-0000-0000-00000A620000}"/>
    <cellStyle name="60% - Accent5 3 4" xfId="7392" xr:uid="{00000000-0005-0000-0000-00000B620000}"/>
    <cellStyle name="60% - Accent5 3 5" xfId="7393" xr:uid="{00000000-0005-0000-0000-00000C620000}"/>
    <cellStyle name="60% - Accent5 4" xfId="7394" xr:uid="{00000000-0005-0000-0000-00000D620000}"/>
    <cellStyle name="60% - Accent5 4 2" xfId="7395" xr:uid="{00000000-0005-0000-0000-00000E620000}"/>
    <cellStyle name="60% - Accent5 4 2 2" xfId="7396" xr:uid="{00000000-0005-0000-0000-00000F620000}"/>
    <cellStyle name="60% - Accent5 4 2 3" xfId="7397" xr:uid="{00000000-0005-0000-0000-000010620000}"/>
    <cellStyle name="60% - Accent5 4 3" xfId="7398" xr:uid="{00000000-0005-0000-0000-000011620000}"/>
    <cellStyle name="60% - Accent5 4 4" xfId="7399" xr:uid="{00000000-0005-0000-0000-000012620000}"/>
    <cellStyle name="60% - Accent5 4 5" xfId="7400" xr:uid="{00000000-0005-0000-0000-000013620000}"/>
    <cellStyle name="60% - Accent5 5" xfId="7401" xr:uid="{00000000-0005-0000-0000-000014620000}"/>
    <cellStyle name="60% - Accent5 5 2" xfId="7402" xr:uid="{00000000-0005-0000-0000-000015620000}"/>
    <cellStyle name="60% - Accent5 5 2 2" xfId="7403" xr:uid="{00000000-0005-0000-0000-000016620000}"/>
    <cellStyle name="60% - Accent5 5 2 3" xfId="7404" xr:uid="{00000000-0005-0000-0000-000017620000}"/>
    <cellStyle name="60% - Accent5 5 3" xfId="7405" xr:uid="{00000000-0005-0000-0000-000018620000}"/>
    <cellStyle name="60% - Accent5 5 4" xfId="7406" xr:uid="{00000000-0005-0000-0000-000019620000}"/>
    <cellStyle name="60% - Accent5 5 5" xfId="7407" xr:uid="{00000000-0005-0000-0000-00001A620000}"/>
    <cellStyle name="60% - Accent5 6" xfId="7408" xr:uid="{00000000-0005-0000-0000-00001B620000}"/>
    <cellStyle name="60% - Accent5 6 2" xfId="7409" xr:uid="{00000000-0005-0000-0000-00001C620000}"/>
    <cellStyle name="60% - Accent5 6 3" xfId="7410" xr:uid="{00000000-0005-0000-0000-00001D620000}"/>
    <cellStyle name="60% - Accent5 7" xfId="7411" xr:uid="{00000000-0005-0000-0000-00001E620000}"/>
    <cellStyle name="60% - Accent5 8" xfId="7412" xr:uid="{00000000-0005-0000-0000-00001F620000}"/>
    <cellStyle name="60% - Accent5 9" xfId="7413" xr:uid="{00000000-0005-0000-0000-000020620000}"/>
    <cellStyle name="60% - Accent6 10" xfId="7414" xr:uid="{00000000-0005-0000-0000-000021620000}"/>
    <cellStyle name="60% - Accent6 11" xfId="7415" xr:uid="{00000000-0005-0000-0000-000022620000}"/>
    <cellStyle name="60% - Accent6 12" xfId="7416" xr:uid="{00000000-0005-0000-0000-000023620000}"/>
    <cellStyle name="60% - Accent6 13" xfId="7417" xr:uid="{00000000-0005-0000-0000-000024620000}"/>
    <cellStyle name="60% - Accent6 14" xfId="7418" xr:uid="{00000000-0005-0000-0000-000025620000}"/>
    <cellStyle name="60% - Accent6 15" xfId="7419" xr:uid="{00000000-0005-0000-0000-000026620000}"/>
    <cellStyle name="60% - Accent6 16" xfId="7420" xr:uid="{00000000-0005-0000-0000-000027620000}"/>
    <cellStyle name="60% - Accent6 17" xfId="7421" xr:uid="{00000000-0005-0000-0000-000028620000}"/>
    <cellStyle name="60% - Accent6 18" xfId="7422" xr:uid="{00000000-0005-0000-0000-000029620000}"/>
    <cellStyle name="60% - Accent6 19" xfId="7423" xr:uid="{00000000-0005-0000-0000-00002A620000}"/>
    <cellStyle name="60% - Accent6 2" xfId="7424" xr:uid="{00000000-0005-0000-0000-00002B620000}"/>
    <cellStyle name="60% - Accent6 2 10" xfId="7425" xr:uid="{00000000-0005-0000-0000-00002C620000}"/>
    <cellStyle name="60% - Accent6 2 10 2" xfId="7426" xr:uid="{00000000-0005-0000-0000-00002D620000}"/>
    <cellStyle name="60% - Accent6 2 11" xfId="7427" xr:uid="{00000000-0005-0000-0000-00002E620000}"/>
    <cellStyle name="60% - Accent6 2 11 2" xfId="7428" xr:uid="{00000000-0005-0000-0000-00002F620000}"/>
    <cellStyle name="60% - Accent6 2 12" xfId="7429" xr:uid="{00000000-0005-0000-0000-000030620000}"/>
    <cellStyle name="60% - Accent6 2 12 10" xfId="7430" xr:uid="{00000000-0005-0000-0000-000031620000}"/>
    <cellStyle name="60% - Accent6 2 12 10 2" xfId="7431" xr:uid="{00000000-0005-0000-0000-000032620000}"/>
    <cellStyle name="60% - Accent6 2 12 11" xfId="7432" xr:uid="{00000000-0005-0000-0000-000033620000}"/>
    <cellStyle name="60% - Accent6 2 12 2" xfId="7433" xr:uid="{00000000-0005-0000-0000-000034620000}"/>
    <cellStyle name="60% - Accent6 2 12 2 2" xfId="7434" xr:uid="{00000000-0005-0000-0000-000035620000}"/>
    <cellStyle name="60% - Accent6 2 12 3" xfId="7435" xr:uid="{00000000-0005-0000-0000-000036620000}"/>
    <cellStyle name="60% - Accent6 2 12 3 2" xfId="7436" xr:uid="{00000000-0005-0000-0000-000037620000}"/>
    <cellStyle name="60% - Accent6 2 12 4" xfId="7437" xr:uid="{00000000-0005-0000-0000-000038620000}"/>
    <cellStyle name="60% - Accent6 2 12 4 2" xfId="7438" xr:uid="{00000000-0005-0000-0000-000039620000}"/>
    <cellStyle name="60% - Accent6 2 12 5" xfId="7439" xr:uid="{00000000-0005-0000-0000-00003A620000}"/>
    <cellStyle name="60% - Accent6 2 12 5 2" xfId="7440" xr:uid="{00000000-0005-0000-0000-00003B620000}"/>
    <cellStyle name="60% - Accent6 2 12 6" xfId="7441" xr:uid="{00000000-0005-0000-0000-00003C620000}"/>
    <cellStyle name="60% - Accent6 2 12 6 2" xfId="7442" xr:uid="{00000000-0005-0000-0000-00003D620000}"/>
    <cellStyle name="60% - Accent6 2 12 7" xfId="7443" xr:uid="{00000000-0005-0000-0000-00003E620000}"/>
    <cellStyle name="60% - Accent6 2 12 7 2" xfId="7444" xr:uid="{00000000-0005-0000-0000-00003F620000}"/>
    <cellStyle name="60% - Accent6 2 12 8" xfId="7445" xr:uid="{00000000-0005-0000-0000-000040620000}"/>
    <cellStyle name="60% - Accent6 2 12 8 2" xfId="7446" xr:uid="{00000000-0005-0000-0000-000041620000}"/>
    <cellStyle name="60% - Accent6 2 12 9" xfId="7447" xr:uid="{00000000-0005-0000-0000-000042620000}"/>
    <cellStyle name="60% - Accent6 2 12 9 2" xfId="7448" xr:uid="{00000000-0005-0000-0000-000043620000}"/>
    <cellStyle name="60% - Accent6 2 13" xfId="7449" xr:uid="{00000000-0005-0000-0000-000044620000}"/>
    <cellStyle name="60% - Accent6 2 13 2" xfId="7450" xr:uid="{00000000-0005-0000-0000-000045620000}"/>
    <cellStyle name="60% - Accent6 2 14" xfId="7451" xr:uid="{00000000-0005-0000-0000-000046620000}"/>
    <cellStyle name="60% - Accent6 2 14 2" xfId="7452" xr:uid="{00000000-0005-0000-0000-000047620000}"/>
    <cellStyle name="60% - Accent6 2 15" xfId="7453" xr:uid="{00000000-0005-0000-0000-000048620000}"/>
    <cellStyle name="60% - Accent6 2 15 2" xfId="7454" xr:uid="{00000000-0005-0000-0000-000049620000}"/>
    <cellStyle name="60% - Accent6 2 16" xfId="7455" xr:uid="{00000000-0005-0000-0000-00004A620000}"/>
    <cellStyle name="60% - Accent6 2 16 2" xfId="7456" xr:uid="{00000000-0005-0000-0000-00004B620000}"/>
    <cellStyle name="60% - Accent6 2 17" xfId="7457" xr:uid="{00000000-0005-0000-0000-00004C620000}"/>
    <cellStyle name="60% - Accent6 2 17 2" xfId="7458" xr:uid="{00000000-0005-0000-0000-00004D620000}"/>
    <cellStyle name="60% - Accent6 2 18" xfId="7459" xr:uid="{00000000-0005-0000-0000-00004E620000}"/>
    <cellStyle name="60% - Accent6 2 18 2" xfId="7460" xr:uid="{00000000-0005-0000-0000-00004F620000}"/>
    <cellStyle name="60% - Accent6 2 19" xfId="7461" xr:uid="{00000000-0005-0000-0000-000050620000}"/>
    <cellStyle name="60% - Accent6 2 19 2" xfId="7462" xr:uid="{00000000-0005-0000-0000-000051620000}"/>
    <cellStyle name="60% - Accent6 2 2" xfId="7463" xr:uid="{00000000-0005-0000-0000-000052620000}"/>
    <cellStyle name="60% - Accent6 2 2 10" xfId="7464" xr:uid="{00000000-0005-0000-0000-000053620000}"/>
    <cellStyle name="60% - Accent6 2 2 10 2" xfId="7465" xr:uid="{00000000-0005-0000-0000-000054620000}"/>
    <cellStyle name="60% - Accent6 2 2 11" xfId="7466" xr:uid="{00000000-0005-0000-0000-000055620000}"/>
    <cellStyle name="60% - Accent6 2 2 11 2" xfId="7467" xr:uid="{00000000-0005-0000-0000-000056620000}"/>
    <cellStyle name="60% - Accent6 2 2 12" xfId="7468" xr:uid="{00000000-0005-0000-0000-000057620000}"/>
    <cellStyle name="60% - Accent6 2 2 12 10" xfId="7469" xr:uid="{00000000-0005-0000-0000-000058620000}"/>
    <cellStyle name="60% - Accent6 2 2 12 10 2" xfId="7470" xr:uid="{00000000-0005-0000-0000-000059620000}"/>
    <cellStyle name="60% - Accent6 2 2 12 11" xfId="7471" xr:uid="{00000000-0005-0000-0000-00005A620000}"/>
    <cellStyle name="60% - Accent6 2 2 12 2" xfId="7472" xr:uid="{00000000-0005-0000-0000-00005B620000}"/>
    <cellStyle name="60% - Accent6 2 2 12 2 2" xfId="7473" xr:uid="{00000000-0005-0000-0000-00005C620000}"/>
    <cellStyle name="60% - Accent6 2 2 12 3" xfId="7474" xr:uid="{00000000-0005-0000-0000-00005D620000}"/>
    <cellStyle name="60% - Accent6 2 2 12 3 2" xfId="7475" xr:uid="{00000000-0005-0000-0000-00005E620000}"/>
    <cellStyle name="60% - Accent6 2 2 12 4" xfId="7476" xr:uid="{00000000-0005-0000-0000-00005F620000}"/>
    <cellStyle name="60% - Accent6 2 2 12 4 2" xfId="7477" xr:uid="{00000000-0005-0000-0000-000060620000}"/>
    <cellStyle name="60% - Accent6 2 2 12 5" xfId="7478" xr:uid="{00000000-0005-0000-0000-000061620000}"/>
    <cellStyle name="60% - Accent6 2 2 12 5 2" xfId="7479" xr:uid="{00000000-0005-0000-0000-000062620000}"/>
    <cellStyle name="60% - Accent6 2 2 12 6" xfId="7480" xr:uid="{00000000-0005-0000-0000-000063620000}"/>
    <cellStyle name="60% - Accent6 2 2 12 6 2" xfId="7481" xr:uid="{00000000-0005-0000-0000-000064620000}"/>
    <cellStyle name="60% - Accent6 2 2 12 7" xfId="7482" xr:uid="{00000000-0005-0000-0000-000065620000}"/>
    <cellStyle name="60% - Accent6 2 2 12 7 2" xfId="7483" xr:uid="{00000000-0005-0000-0000-000066620000}"/>
    <cellStyle name="60% - Accent6 2 2 12 8" xfId="7484" xr:uid="{00000000-0005-0000-0000-000067620000}"/>
    <cellStyle name="60% - Accent6 2 2 12 8 2" xfId="7485" xr:uid="{00000000-0005-0000-0000-000068620000}"/>
    <cellStyle name="60% - Accent6 2 2 12 9" xfId="7486" xr:uid="{00000000-0005-0000-0000-000069620000}"/>
    <cellStyle name="60% - Accent6 2 2 12 9 2" xfId="7487" xr:uid="{00000000-0005-0000-0000-00006A620000}"/>
    <cellStyle name="60% - Accent6 2 2 13" xfId="7488" xr:uid="{00000000-0005-0000-0000-00006B620000}"/>
    <cellStyle name="60% - Accent6 2 2 13 2" xfId="7489" xr:uid="{00000000-0005-0000-0000-00006C620000}"/>
    <cellStyle name="60% - Accent6 2 2 14" xfId="7490" xr:uid="{00000000-0005-0000-0000-00006D620000}"/>
    <cellStyle name="60% - Accent6 2 2 14 2" xfId="7491" xr:uid="{00000000-0005-0000-0000-00006E620000}"/>
    <cellStyle name="60% - Accent6 2 2 15" xfId="7492" xr:uid="{00000000-0005-0000-0000-00006F620000}"/>
    <cellStyle name="60% - Accent6 2 2 15 2" xfId="7493" xr:uid="{00000000-0005-0000-0000-000070620000}"/>
    <cellStyle name="60% - Accent6 2 2 16" xfId="7494" xr:uid="{00000000-0005-0000-0000-000071620000}"/>
    <cellStyle name="60% - Accent6 2 2 16 2" xfId="7495" xr:uid="{00000000-0005-0000-0000-000072620000}"/>
    <cellStyle name="60% - Accent6 2 2 17" xfId="7496" xr:uid="{00000000-0005-0000-0000-000073620000}"/>
    <cellStyle name="60% - Accent6 2 2 17 2" xfId="7497" xr:uid="{00000000-0005-0000-0000-000074620000}"/>
    <cellStyle name="60% - Accent6 2 2 18" xfId="7498" xr:uid="{00000000-0005-0000-0000-000075620000}"/>
    <cellStyle name="60% - Accent6 2 2 18 2" xfId="7499" xr:uid="{00000000-0005-0000-0000-000076620000}"/>
    <cellStyle name="60% - Accent6 2 2 19" xfId="7500" xr:uid="{00000000-0005-0000-0000-000077620000}"/>
    <cellStyle name="60% - Accent6 2 2 19 2" xfId="7501" xr:uid="{00000000-0005-0000-0000-000078620000}"/>
    <cellStyle name="60% - Accent6 2 2 2" xfId="7502" xr:uid="{00000000-0005-0000-0000-000079620000}"/>
    <cellStyle name="60% - Accent6 2 2 2 10" xfId="7503" xr:uid="{00000000-0005-0000-0000-00007A620000}"/>
    <cellStyle name="60% - Accent6 2 2 2 10 2" xfId="7504" xr:uid="{00000000-0005-0000-0000-00007B620000}"/>
    <cellStyle name="60% - Accent6 2 2 2 11" xfId="7505" xr:uid="{00000000-0005-0000-0000-00007C620000}"/>
    <cellStyle name="60% - Accent6 2 2 2 11 2" xfId="7506" xr:uid="{00000000-0005-0000-0000-00007D620000}"/>
    <cellStyle name="60% - Accent6 2 2 2 12" xfId="7507" xr:uid="{00000000-0005-0000-0000-00007E620000}"/>
    <cellStyle name="60% - Accent6 2 2 2 13" xfId="7508" xr:uid="{00000000-0005-0000-0000-00007F620000}"/>
    <cellStyle name="60% - Accent6 2 2 2 2" xfId="7509" xr:uid="{00000000-0005-0000-0000-000080620000}"/>
    <cellStyle name="60% - Accent6 2 2 2 2 10" xfId="7510" xr:uid="{00000000-0005-0000-0000-000081620000}"/>
    <cellStyle name="60% - Accent6 2 2 2 2 10 2" xfId="7511" xr:uid="{00000000-0005-0000-0000-000082620000}"/>
    <cellStyle name="60% - Accent6 2 2 2 2 11" xfId="7512" xr:uid="{00000000-0005-0000-0000-000083620000}"/>
    <cellStyle name="60% - Accent6 2 2 2 2 12" xfId="7513" xr:uid="{00000000-0005-0000-0000-000084620000}"/>
    <cellStyle name="60% - Accent6 2 2 2 2 2" xfId="7514" xr:uid="{00000000-0005-0000-0000-000085620000}"/>
    <cellStyle name="60% - Accent6 2 2 2 2 2 2" xfId="7515" xr:uid="{00000000-0005-0000-0000-000086620000}"/>
    <cellStyle name="60% - Accent6 2 2 2 2 2 3" xfId="7516" xr:uid="{00000000-0005-0000-0000-000087620000}"/>
    <cellStyle name="60% - Accent6 2 2 2 2 2 4" xfId="7517" xr:uid="{00000000-0005-0000-0000-000088620000}"/>
    <cellStyle name="60% - Accent6 2 2 2 2 3" xfId="7518" xr:uid="{00000000-0005-0000-0000-000089620000}"/>
    <cellStyle name="60% - Accent6 2 2 2 2 3 2" xfId="7519" xr:uid="{00000000-0005-0000-0000-00008A620000}"/>
    <cellStyle name="60% - Accent6 2 2 2 2 4" xfId="7520" xr:uid="{00000000-0005-0000-0000-00008B620000}"/>
    <cellStyle name="60% - Accent6 2 2 2 2 4 2" xfId="7521" xr:uid="{00000000-0005-0000-0000-00008C620000}"/>
    <cellStyle name="60% - Accent6 2 2 2 2 5" xfId="7522" xr:uid="{00000000-0005-0000-0000-00008D620000}"/>
    <cellStyle name="60% - Accent6 2 2 2 2 5 2" xfId="7523" xr:uid="{00000000-0005-0000-0000-00008E620000}"/>
    <cellStyle name="60% - Accent6 2 2 2 2 6" xfId="7524" xr:uid="{00000000-0005-0000-0000-00008F620000}"/>
    <cellStyle name="60% - Accent6 2 2 2 2 6 2" xfId="7525" xr:uid="{00000000-0005-0000-0000-000090620000}"/>
    <cellStyle name="60% - Accent6 2 2 2 2 7" xfId="7526" xr:uid="{00000000-0005-0000-0000-000091620000}"/>
    <cellStyle name="60% - Accent6 2 2 2 2 7 2" xfId="7527" xr:uid="{00000000-0005-0000-0000-000092620000}"/>
    <cellStyle name="60% - Accent6 2 2 2 2 8" xfId="7528" xr:uid="{00000000-0005-0000-0000-000093620000}"/>
    <cellStyle name="60% - Accent6 2 2 2 2 8 2" xfId="7529" xr:uid="{00000000-0005-0000-0000-000094620000}"/>
    <cellStyle name="60% - Accent6 2 2 2 2 9" xfId="7530" xr:uid="{00000000-0005-0000-0000-000095620000}"/>
    <cellStyle name="60% - Accent6 2 2 2 2 9 2" xfId="7531" xr:uid="{00000000-0005-0000-0000-000096620000}"/>
    <cellStyle name="60% - Accent6 2 2 2 3" xfId="7532" xr:uid="{00000000-0005-0000-0000-000097620000}"/>
    <cellStyle name="60% - Accent6 2 2 2 3 2" xfId="7533" xr:uid="{00000000-0005-0000-0000-000098620000}"/>
    <cellStyle name="60% - Accent6 2 2 2 4" xfId="7534" xr:uid="{00000000-0005-0000-0000-000099620000}"/>
    <cellStyle name="60% - Accent6 2 2 2 4 2" xfId="7535" xr:uid="{00000000-0005-0000-0000-00009A620000}"/>
    <cellStyle name="60% - Accent6 2 2 2 5" xfId="7536" xr:uid="{00000000-0005-0000-0000-00009B620000}"/>
    <cellStyle name="60% - Accent6 2 2 2 5 2" xfId="7537" xr:uid="{00000000-0005-0000-0000-00009C620000}"/>
    <cellStyle name="60% - Accent6 2 2 2 6" xfId="7538" xr:uid="{00000000-0005-0000-0000-00009D620000}"/>
    <cellStyle name="60% - Accent6 2 2 2 6 2" xfId="7539" xr:uid="{00000000-0005-0000-0000-00009E620000}"/>
    <cellStyle name="60% - Accent6 2 2 2 7" xfId="7540" xr:uid="{00000000-0005-0000-0000-00009F620000}"/>
    <cellStyle name="60% - Accent6 2 2 2 7 2" xfId="7541" xr:uid="{00000000-0005-0000-0000-0000A0620000}"/>
    <cellStyle name="60% - Accent6 2 2 2 8" xfId="7542" xr:uid="{00000000-0005-0000-0000-0000A1620000}"/>
    <cellStyle name="60% - Accent6 2 2 2 8 2" xfId="7543" xr:uid="{00000000-0005-0000-0000-0000A2620000}"/>
    <cellStyle name="60% - Accent6 2 2 2 9" xfId="7544" xr:uid="{00000000-0005-0000-0000-0000A3620000}"/>
    <cellStyle name="60% - Accent6 2 2 2 9 2" xfId="7545" xr:uid="{00000000-0005-0000-0000-0000A4620000}"/>
    <cellStyle name="60% - Accent6 2 2 20" xfId="7546" xr:uid="{00000000-0005-0000-0000-0000A5620000}"/>
    <cellStyle name="60% - Accent6 2 2 20 2" xfId="7547" xr:uid="{00000000-0005-0000-0000-0000A6620000}"/>
    <cellStyle name="60% - Accent6 2 2 21" xfId="7548" xr:uid="{00000000-0005-0000-0000-0000A7620000}"/>
    <cellStyle name="60% - Accent6 2 2 22" xfId="7549" xr:uid="{00000000-0005-0000-0000-0000A8620000}"/>
    <cellStyle name="60% - Accent6 2 2 3" xfId="7550" xr:uid="{00000000-0005-0000-0000-0000A9620000}"/>
    <cellStyle name="60% - Accent6 2 2 3 2" xfId="7551" xr:uid="{00000000-0005-0000-0000-0000AA620000}"/>
    <cellStyle name="60% - Accent6 2 2 4" xfId="7552" xr:uid="{00000000-0005-0000-0000-0000AB620000}"/>
    <cellStyle name="60% - Accent6 2 2 4 2" xfId="7553" xr:uid="{00000000-0005-0000-0000-0000AC620000}"/>
    <cellStyle name="60% - Accent6 2 2 5" xfId="7554" xr:uid="{00000000-0005-0000-0000-0000AD620000}"/>
    <cellStyle name="60% - Accent6 2 2 5 2" xfId="7555" xr:uid="{00000000-0005-0000-0000-0000AE620000}"/>
    <cellStyle name="60% - Accent6 2 2 6" xfId="7556" xr:uid="{00000000-0005-0000-0000-0000AF620000}"/>
    <cellStyle name="60% - Accent6 2 2 6 2" xfId="7557" xr:uid="{00000000-0005-0000-0000-0000B0620000}"/>
    <cellStyle name="60% - Accent6 2 2 7" xfId="7558" xr:uid="{00000000-0005-0000-0000-0000B1620000}"/>
    <cellStyle name="60% - Accent6 2 2 7 2" xfId="7559" xr:uid="{00000000-0005-0000-0000-0000B2620000}"/>
    <cellStyle name="60% - Accent6 2 2 8" xfId="7560" xr:uid="{00000000-0005-0000-0000-0000B3620000}"/>
    <cellStyle name="60% - Accent6 2 2 8 2" xfId="7561" xr:uid="{00000000-0005-0000-0000-0000B4620000}"/>
    <cellStyle name="60% - Accent6 2 2 9" xfId="7562" xr:uid="{00000000-0005-0000-0000-0000B5620000}"/>
    <cellStyle name="60% - Accent6 2 2 9 2" xfId="7563" xr:uid="{00000000-0005-0000-0000-0000B6620000}"/>
    <cellStyle name="60% - Accent6 2 20" xfId="7564" xr:uid="{00000000-0005-0000-0000-0000B7620000}"/>
    <cellStyle name="60% - Accent6 2 20 2" xfId="7565" xr:uid="{00000000-0005-0000-0000-0000B8620000}"/>
    <cellStyle name="60% - Accent6 2 21" xfId="7566" xr:uid="{00000000-0005-0000-0000-0000B9620000}"/>
    <cellStyle name="60% - Accent6 2 21 2" xfId="7567" xr:uid="{00000000-0005-0000-0000-0000BA620000}"/>
    <cellStyle name="60% - Accent6 2 21 3" xfId="7568" xr:uid="{00000000-0005-0000-0000-0000BB620000}"/>
    <cellStyle name="60% - Accent6 2 22" xfId="7569" xr:uid="{00000000-0005-0000-0000-0000BC620000}"/>
    <cellStyle name="60% - Accent6 2 23" xfId="7570" xr:uid="{00000000-0005-0000-0000-0000BD620000}"/>
    <cellStyle name="60% - Accent6 2 24" xfId="7571" xr:uid="{00000000-0005-0000-0000-0000BE620000}"/>
    <cellStyle name="60% - Accent6 2 25" xfId="7572" xr:uid="{00000000-0005-0000-0000-0000BF620000}"/>
    <cellStyle name="60% - Accent6 2 3" xfId="7573" xr:uid="{00000000-0005-0000-0000-0000C0620000}"/>
    <cellStyle name="60% - Accent6 2 3 2" xfId="7574" xr:uid="{00000000-0005-0000-0000-0000C1620000}"/>
    <cellStyle name="60% - Accent6 2 4" xfId="7575" xr:uid="{00000000-0005-0000-0000-0000C2620000}"/>
    <cellStyle name="60% - Accent6 2 4 2" xfId="7576" xr:uid="{00000000-0005-0000-0000-0000C3620000}"/>
    <cellStyle name="60% - Accent6 2 5" xfId="7577" xr:uid="{00000000-0005-0000-0000-0000C4620000}"/>
    <cellStyle name="60% - Accent6 2 5 2" xfId="7578" xr:uid="{00000000-0005-0000-0000-0000C5620000}"/>
    <cellStyle name="60% - Accent6 2 6" xfId="7579" xr:uid="{00000000-0005-0000-0000-0000C6620000}"/>
    <cellStyle name="60% - Accent6 2 6 2" xfId="7580" xr:uid="{00000000-0005-0000-0000-0000C7620000}"/>
    <cellStyle name="60% - Accent6 2 7" xfId="7581" xr:uid="{00000000-0005-0000-0000-0000C8620000}"/>
    <cellStyle name="60% - Accent6 2 7 2" xfId="7582" xr:uid="{00000000-0005-0000-0000-0000C9620000}"/>
    <cellStyle name="60% - Accent6 2 8" xfId="7583" xr:uid="{00000000-0005-0000-0000-0000CA620000}"/>
    <cellStyle name="60% - Accent6 2 8 2" xfId="7584" xr:uid="{00000000-0005-0000-0000-0000CB620000}"/>
    <cellStyle name="60% - Accent6 2 9" xfId="7585" xr:uid="{00000000-0005-0000-0000-0000CC620000}"/>
    <cellStyle name="60% - Accent6 2 9 2" xfId="7586" xr:uid="{00000000-0005-0000-0000-0000CD620000}"/>
    <cellStyle name="60% - Accent6 3" xfId="7587" xr:uid="{00000000-0005-0000-0000-0000CE620000}"/>
    <cellStyle name="60% - Accent6 3 2" xfId="7588" xr:uid="{00000000-0005-0000-0000-0000CF620000}"/>
    <cellStyle name="60% - Accent6 3 2 2" xfId="7589" xr:uid="{00000000-0005-0000-0000-0000D0620000}"/>
    <cellStyle name="60% - Accent6 3 2 3" xfId="7590" xr:uid="{00000000-0005-0000-0000-0000D1620000}"/>
    <cellStyle name="60% - Accent6 3 3" xfId="7591" xr:uid="{00000000-0005-0000-0000-0000D2620000}"/>
    <cellStyle name="60% - Accent6 3 4" xfId="7592" xr:uid="{00000000-0005-0000-0000-0000D3620000}"/>
    <cellStyle name="60% - Accent6 3 5" xfId="7593" xr:uid="{00000000-0005-0000-0000-0000D4620000}"/>
    <cellStyle name="60% - Accent6 4" xfId="7594" xr:uid="{00000000-0005-0000-0000-0000D5620000}"/>
    <cellStyle name="60% - Accent6 4 2" xfId="7595" xr:uid="{00000000-0005-0000-0000-0000D6620000}"/>
    <cellStyle name="60% - Accent6 4 2 2" xfId="7596" xr:uid="{00000000-0005-0000-0000-0000D7620000}"/>
    <cellStyle name="60% - Accent6 4 2 3" xfId="7597" xr:uid="{00000000-0005-0000-0000-0000D8620000}"/>
    <cellStyle name="60% - Accent6 4 3" xfId="7598" xr:uid="{00000000-0005-0000-0000-0000D9620000}"/>
    <cellStyle name="60% - Accent6 4 4" xfId="7599" xr:uid="{00000000-0005-0000-0000-0000DA620000}"/>
    <cellStyle name="60% - Accent6 4 5" xfId="7600" xr:uid="{00000000-0005-0000-0000-0000DB620000}"/>
    <cellStyle name="60% - Accent6 5" xfId="7601" xr:uid="{00000000-0005-0000-0000-0000DC620000}"/>
    <cellStyle name="60% - Accent6 5 2" xfId="7602" xr:uid="{00000000-0005-0000-0000-0000DD620000}"/>
    <cellStyle name="60% - Accent6 5 2 2" xfId="7603" xr:uid="{00000000-0005-0000-0000-0000DE620000}"/>
    <cellStyle name="60% - Accent6 5 2 3" xfId="7604" xr:uid="{00000000-0005-0000-0000-0000DF620000}"/>
    <cellStyle name="60% - Accent6 5 3" xfId="7605" xr:uid="{00000000-0005-0000-0000-0000E0620000}"/>
    <cellStyle name="60% - Accent6 5 4" xfId="7606" xr:uid="{00000000-0005-0000-0000-0000E1620000}"/>
    <cellStyle name="60% - Accent6 5 5" xfId="7607" xr:uid="{00000000-0005-0000-0000-0000E2620000}"/>
    <cellStyle name="60% - Accent6 6" xfId="7608" xr:uid="{00000000-0005-0000-0000-0000E3620000}"/>
    <cellStyle name="60% - Accent6 6 2" xfId="7609" xr:uid="{00000000-0005-0000-0000-0000E4620000}"/>
    <cellStyle name="60% - Accent6 6 3" xfId="7610" xr:uid="{00000000-0005-0000-0000-0000E5620000}"/>
    <cellStyle name="60% - Accent6 7" xfId="7611" xr:uid="{00000000-0005-0000-0000-0000E6620000}"/>
    <cellStyle name="60% - Accent6 8" xfId="7612" xr:uid="{00000000-0005-0000-0000-0000E7620000}"/>
    <cellStyle name="60% - Accent6 9" xfId="7613" xr:uid="{00000000-0005-0000-0000-0000E8620000}"/>
    <cellStyle name="60% - Ênfase1" xfId="7614" xr:uid="{00000000-0005-0000-0000-0000E9620000}"/>
    <cellStyle name="60% - Ênfase2" xfId="7615" xr:uid="{00000000-0005-0000-0000-0000EA620000}"/>
    <cellStyle name="60% - Ênfase3" xfId="7616" xr:uid="{00000000-0005-0000-0000-0000EB620000}"/>
    <cellStyle name="60% - Ênfase4" xfId="7617" xr:uid="{00000000-0005-0000-0000-0000EC620000}"/>
    <cellStyle name="60% - Ênfase5" xfId="7618" xr:uid="{00000000-0005-0000-0000-0000ED620000}"/>
    <cellStyle name="60% - Ênfase6" xfId="7619" xr:uid="{00000000-0005-0000-0000-0000EE620000}"/>
    <cellStyle name="60% - Énfasis1" xfId="7620" xr:uid="{00000000-0005-0000-0000-0000EF620000}"/>
    <cellStyle name="60% - Énfasis2" xfId="7621" xr:uid="{00000000-0005-0000-0000-0000F0620000}"/>
    <cellStyle name="60% - Énfasis3" xfId="7622" xr:uid="{00000000-0005-0000-0000-0000F1620000}"/>
    <cellStyle name="60% - Énfasis4" xfId="7623" xr:uid="{00000000-0005-0000-0000-0000F2620000}"/>
    <cellStyle name="60% - Énfasis5" xfId="7624" xr:uid="{00000000-0005-0000-0000-0000F3620000}"/>
    <cellStyle name="60% - Énfasis6" xfId="7625" xr:uid="{00000000-0005-0000-0000-0000F4620000}"/>
    <cellStyle name="60% - 강조색1" xfId="7626" xr:uid="{00000000-0005-0000-0000-0000F5620000}"/>
    <cellStyle name="60% - 강조색1 2" xfId="7627" xr:uid="{00000000-0005-0000-0000-0000F6620000}"/>
    <cellStyle name="60% - 강조색2" xfId="7628" xr:uid="{00000000-0005-0000-0000-0000F7620000}"/>
    <cellStyle name="60% - 강조색2 2" xfId="7629" xr:uid="{00000000-0005-0000-0000-0000F8620000}"/>
    <cellStyle name="60% - 강조색3" xfId="7630" xr:uid="{00000000-0005-0000-0000-0000F9620000}"/>
    <cellStyle name="60% - 강조색3 2" xfId="7631" xr:uid="{00000000-0005-0000-0000-0000FA620000}"/>
    <cellStyle name="60% - 강조색4" xfId="7632" xr:uid="{00000000-0005-0000-0000-0000FB620000}"/>
    <cellStyle name="60% - 강조색4 2" xfId="7633" xr:uid="{00000000-0005-0000-0000-0000FC620000}"/>
    <cellStyle name="60% - 강조색5" xfId="7634" xr:uid="{00000000-0005-0000-0000-0000FD620000}"/>
    <cellStyle name="60% - 강조색5 2" xfId="7635" xr:uid="{00000000-0005-0000-0000-0000FE620000}"/>
    <cellStyle name="60% - 강조색6" xfId="7636" xr:uid="{00000000-0005-0000-0000-0000FF620000}"/>
    <cellStyle name="60% - 강조색6 2" xfId="7637" xr:uid="{00000000-0005-0000-0000-000000630000}"/>
    <cellStyle name="752131" xfId="7638" xr:uid="{00000000-0005-0000-0000-000001630000}"/>
    <cellStyle name="A3 297 x 420 mm" xfId="7639" xr:uid="{00000000-0005-0000-0000-000002630000}"/>
    <cellStyle name="aa" xfId="16347" xr:uid="{00000000-0005-0000-0000-000003630000}"/>
    <cellStyle name="aaaa" xfId="16348" xr:uid="{00000000-0005-0000-0000-000004630000}"/>
    <cellStyle name="Accent1 10" xfId="7640" xr:uid="{00000000-0005-0000-0000-000005630000}"/>
    <cellStyle name="Accent1 11" xfId="7641" xr:uid="{00000000-0005-0000-0000-000006630000}"/>
    <cellStyle name="Accent1 12" xfId="7642" xr:uid="{00000000-0005-0000-0000-000007630000}"/>
    <cellStyle name="Accent1 13" xfId="7643" xr:uid="{00000000-0005-0000-0000-000008630000}"/>
    <cellStyle name="Accent1 14" xfId="7644" xr:uid="{00000000-0005-0000-0000-000009630000}"/>
    <cellStyle name="Accent1 15" xfId="7645" xr:uid="{00000000-0005-0000-0000-00000A630000}"/>
    <cellStyle name="Accent1 16" xfId="7646" xr:uid="{00000000-0005-0000-0000-00000B630000}"/>
    <cellStyle name="Accent1 17" xfId="7647" xr:uid="{00000000-0005-0000-0000-00000C630000}"/>
    <cellStyle name="Accent1 18" xfId="7648" xr:uid="{00000000-0005-0000-0000-00000D630000}"/>
    <cellStyle name="Accent1 19" xfId="7649" xr:uid="{00000000-0005-0000-0000-00000E630000}"/>
    <cellStyle name="Accent1 2" xfId="7650" xr:uid="{00000000-0005-0000-0000-00000F630000}"/>
    <cellStyle name="Accent1 2 10" xfId="7651" xr:uid="{00000000-0005-0000-0000-000010630000}"/>
    <cellStyle name="Accent1 2 10 2" xfId="7652" xr:uid="{00000000-0005-0000-0000-000011630000}"/>
    <cellStyle name="Accent1 2 11" xfId="7653" xr:uid="{00000000-0005-0000-0000-000012630000}"/>
    <cellStyle name="Accent1 2 11 2" xfId="7654" xr:uid="{00000000-0005-0000-0000-000013630000}"/>
    <cellStyle name="Accent1 2 12" xfId="7655" xr:uid="{00000000-0005-0000-0000-000014630000}"/>
    <cellStyle name="Accent1 2 12 10" xfId="7656" xr:uid="{00000000-0005-0000-0000-000015630000}"/>
    <cellStyle name="Accent1 2 12 10 2" xfId="7657" xr:uid="{00000000-0005-0000-0000-000016630000}"/>
    <cellStyle name="Accent1 2 12 11" xfId="7658" xr:uid="{00000000-0005-0000-0000-000017630000}"/>
    <cellStyle name="Accent1 2 12 2" xfId="7659" xr:uid="{00000000-0005-0000-0000-000018630000}"/>
    <cellStyle name="Accent1 2 12 2 2" xfId="7660" xr:uid="{00000000-0005-0000-0000-000019630000}"/>
    <cellStyle name="Accent1 2 12 3" xfId="7661" xr:uid="{00000000-0005-0000-0000-00001A630000}"/>
    <cellStyle name="Accent1 2 12 3 2" xfId="7662" xr:uid="{00000000-0005-0000-0000-00001B630000}"/>
    <cellStyle name="Accent1 2 12 4" xfId="7663" xr:uid="{00000000-0005-0000-0000-00001C630000}"/>
    <cellStyle name="Accent1 2 12 4 2" xfId="7664" xr:uid="{00000000-0005-0000-0000-00001D630000}"/>
    <cellStyle name="Accent1 2 12 5" xfId="7665" xr:uid="{00000000-0005-0000-0000-00001E630000}"/>
    <cellStyle name="Accent1 2 12 5 2" xfId="7666" xr:uid="{00000000-0005-0000-0000-00001F630000}"/>
    <cellStyle name="Accent1 2 12 6" xfId="7667" xr:uid="{00000000-0005-0000-0000-000020630000}"/>
    <cellStyle name="Accent1 2 12 6 2" xfId="7668" xr:uid="{00000000-0005-0000-0000-000021630000}"/>
    <cellStyle name="Accent1 2 12 7" xfId="7669" xr:uid="{00000000-0005-0000-0000-000022630000}"/>
    <cellStyle name="Accent1 2 12 7 2" xfId="7670" xr:uid="{00000000-0005-0000-0000-000023630000}"/>
    <cellStyle name="Accent1 2 12 8" xfId="7671" xr:uid="{00000000-0005-0000-0000-000024630000}"/>
    <cellStyle name="Accent1 2 12 8 2" xfId="7672" xr:uid="{00000000-0005-0000-0000-000025630000}"/>
    <cellStyle name="Accent1 2 12 9" xfId="7673" xr:uid="{00000000-0005-0000-0000-000026630000}"/>
    <cellStyle name="Accent1 2 12 9 2" xfId="7674" xr:uid="{00000000-0005-0000-0000-000027630000}"/>
    <cellStyle name="Accent1 2 13" xfId="7675" xr:uid="{00000000-0005-0000-0000-000028630000}"/>
    <cellStyle name="Accent1 2 13 2" xfId="7676" xr:uid="{00000000-0005-0000-0000-000029630000}"/>
    <cellStyle name="Accent1 2 14" xfId="7677" xr:uid="{00000000-0005-0000-0000-00002A630000}"/>
    <cellStyle name="Accent1 2 14 2" xfId="7678" xr:uid="{00000000-0005-0000-0000-00002B630000}"/>
    <cellStyle name="Accent1 2 15" xfId="7679" xr:uid="{00000000-0005-0000-0000-00002C630000}"/>
    <cellStyle name="Accent1 2 15 2" xfId="7680" xr:uid="{00000000-0005-0000-0000-00002D630000}"/>
    <cellStyle name="Accent1 2 16" xfId="7681" xr:uid="{00000000-0005-0000-0000-00002E630000}"/>
    <cellStyle name="Accent1 2 16 2" xfId="7682" xr:uid="{00000000-0005-0000-0000-00002F630000}"/>
    <cellStyle name="Accent1 2 17" xfId="7683" xr:uid="{00000000-0005-0000-0000-000030630000}"/>
    <cellStyle name="Accent1 2 17 2" xfId="7684" xr:uid="{00000000-0005-0000-0000-000031630000}"/>
    <cellStyle name="Accent1 2 18" xfId="7685" xr:uid="{00000000-0005-0000-0000-000032630000}"/>
    <cellStyle name="Accent1 2 18 2" xfId="7686" xr:uid="{00000000-0005-0000-0000-000033630000}"/>
    <cellStyle name="Accent1 2 19" xfId="7687" xr:uid="{00000000-0005-0000-0000-000034630000}"/>
    <cellStyle name="Accent1 2 19 2" xfId="7688" xr:uid="{00000000-0005-0000-0000-000035630000}"/>
    <cellStyle name="Accent1 2 2" xfId="7689" xr:uid="{00000000-0005-0000-0000-000036630000}"/>
    <cellStyle name="Accent1 2 2 10" xfId="7690" xr:uid="{00000000-0005-0000-0000-000037630000}"/>
    <cellStyle name="Accent1 2 2 10 2" xfId="7691" xr:uid="{00000000-0005-0000-0000-000038630000}"/>
    <cellStyle name="Accent1 2 2 11" xfId="7692" xr:uid="{00000000-0005-0000-0000-000039630000}"/>
    <cellStyle name="Accent1 2 2 11 2" xfId="7693" xr:uid="{00000000-0005-0000-0000-00003A630000}"/>
    <cellStyle name="Accent1 2 2 12" xfId="7694" xr:uid="{00000000-0005-0000-0000-00003B630000}"/>
    <cellStyle name="Accent1 2 2 12 10" xfId="7695" xr:uid="{00000000-0005-0000-0000-00003C630000}"/>
    <cellStyle name="Accent1 2 2 12 10 2" xfId="7696" xr:uid="{00000000-0005-0000-0000-00003D630000}"/>
    <cellStyle name="Accent1 2 2 12 11" xfId="7697" xr:uid="{00000000-0005-0000-0000-00003E630000}"/>
    <cellStyle name="Accent1 2 2 12 2" xfId="7698" xr:uid="{00000000-0005-0000-0000-00003F630000}"/>
    <cellStyle name="Accent1 2 2 12 2 2" xfId="7699" xr:uid="{00000000-0005-0000-0000-000040630000}"/>
    <cellStyle name="Accent1 2 2 12 3" xfId="7700" xr:uid="{00000000-0005-0000-0000-000041630000}"/>
    <cellStyle name="Accent1 2 2 12 3 2" xfId="7701" xr:uid="{00000000-0005-0000-0000-000042630000}"/>
    <cellStyle name="Accent1 2 2 12 4" xfId="7702" xr:uid="{00000000-0005-0000-0000-000043630000}"/>
    <cellStyle name="Accent1 2 2 12 4 2" xfId="7703" xr:uid="{00000000-0005-0000-0000-000044630000}"/>
    <cellStyle name="Accent1 2 2 12 5" xfId="7704" xr:uid="{00000000-0005-0000-0000-000045630000}"/>
    <cellStyle name="Accent1 2 2 12 5 2" xfId="7705" xr:uid="{00000000-0005-0000-0000-000046630000}"/>
    <cellStyle name="Accent1 2 2 12 6" xfId="7706" xr:uid="{00000000-0005-0000-0000-000047630000}"/>
    <cellStyle name="Accent1 2 2 12 6 2" xfId="7707" xr:uid="{00000000-0005-0000-0000-000048630000}"/>
    <cellStyle name="Accent1 2 2 12 7" xfId="7708" xr:uid="{00000000-0005-0000-0000-000049630000}"/>
    <cellStyle name="Accent1 2 2 12 7 2" xfId="7709" xr:uid="{00000000-0005-0000-0000-00004A630000}"/>
    <cellStyle name="Accent1 2 2 12 8" xfId="7710" xr:uid="{00000000-0005-0000-0000-00004B630000}"/>
    <cellStyle name="Accent1 2 2 12 8 2" xfId="7711" xr:uid="{00000000-0005-0000-0000-00004C630000}"/>
    <cellStyle name="Accent1 2 2 12 9" xfId="7712" xr:uid="{00000000-0005-0000-0000-00004D630000}"/>
    <cellStyle name="Accent1 2 2 12 9 2" xfId="7713" xr:uid="{00000000-0005-0000-0000-00004E630000}"/>
    <cellStyle name="Accent1 2 2 13" xfId="7714" xr:uid="{00000000-0005-0000-0000-00004F630000}"/>
    <cellStyle name="Accent1 2 2 13 2" xfId="7715" xr:uid="{00000000-0005-0000-0000-000050630000}"/>
    <cellStyle name="Accent1 2 2 14" xfId="7716" xr:uid="{00000000-0005-0000-0000-000051630000}"/>
    <cellStyle name="Accent1 2 2 14 2" xfId="7717" xr:uid="{00000000-0005-0000-0000-000052630000}"/>
    <cellStyle name="Accent1 2 2 15" xfId="7718" xr:uid="{00000000-0005-0000-0000-000053630000}"/>
    <cellStyle name="Accent1 2 2 15 2" xfId="7719" xr:uid="{00000000-0005-0000-0000-000054630000}"/>
    <cellStyle name="Accent1 2 2 16" xfId="7720" xr:uid="{00000000-0005-0000-0000-000055630000}"/>
    <cellStyle name="Accent1 2 2 16 2" xfId="7721" xr:uid="{00000000-0005-0000-0000-000056630000}"/>
    <cellStyle name="Accent1 2 2 17" xfId="7722" xr:uid="{00000000-0005-0000-0000-000057630000}"/>
    <cellStyle name="Accent1 2 2 17 2" xfId="7723" xr:uid="{00000000-0005-0000-0000-000058630000}"/>
    <cellStyle name="Accent1 2 2 18" xfId="7724" xr:uid="{00000000-0005-0000-0000-000059630000}"/>
    <cellStyle name="Accent1 2 2 18 2" xfId="7725" xr:uid="{00000000-0005-0000-0000-00005A630000}"/>
    <cellStyle name="Accent1 2 2 19" xfId="7726" xr:uid="{00000000-0005-0000-0000-00005B630000}"/>
    <cellStyle name="Accent1 2 2 19 2" xfId="7727" xr:uid="{00000000-0005-0000-0000-00005C630000}"/>
    <cellStyle name="Accent1 2 2 2" xfId="7728" xr:uid="{00000000-0005-0000-0000-00005D630000}"/>
    <cellStyle name="Accent1 2 2 2 10" xfId="7729" xr:uid="{00000000-0005-0000-0000-00005E630000}"/>
    <cellStyle name="Accent1 2 2 2 10 2" xfId="7730" xr:uid="{00000000-0005-0000-0000-00005F630000}"/>
    <cellStyle name="Accent1 2 2 2 11" xfId="7731" xr:uid="{00000000-0005-0000-0000-000060630000}"/>
    <cellStyle name="Accent1 2 2 2 11 2" xfId="7732" xr:uid="{00000000-0005-0000-0000-000061630000}"/>
    <cellStyle name="Accent1 2 2 2 12" xfId="7733" xr:uid="{00000000-0005-0000-0000-000062630000}"/>
    <cellStyle name="Accent1 2 2 2 13" xfId="7734" xr:uid="{00000000-0005-0000-0000-000063630000}"/>
    <cellStyle name="Accent1 2 2 2 2" xfId="7735" xr:uid="{00000000-0005-0000-0000-000064630000}"/>
    <cellStyle name="Accent1 2 2 2 2 10" xfId="7736" xr:uid="{00000000-0005-0000-0000-000065630000}"/>
    <cellStyle name="Accent1 2 2 2 2 10 2" xfId="7737" xr:uid="{00000000-0005-0000-0000-000066630000}"/>
    <cellStyle name="Accent1 2 2 2 2 11" xfId="7738" xr:uid="{00000000-0005-0000-0000-000067630000}"/>
    <cellStyle name="Accent1 2 2 2 2 12" xfId="7739" xr:uid="{00000000-0005-0000-0000-000068630000}"/>
    <cellStyle name="Accent1 2 2 2 2 2" xfId="7740" xr:uid="{00000000-0005-0000-0000-000069630000}"/>
    <cellStyle name="Accent1 2 2 2 2 2 2" xfId="7741" xr:uid="{00000000-0005-0000-0000-00006A630000}"/>
    <cellStyle name="Accent1 2 2 2 2 2 3" xfId="7742" xr:uid="{00000000-0005-0000-0000-00006B630000}"/>
    <cellStyle name="Accent1 2 2 2 2 2 4" xfId="7743" xr:uid="{00000000-0005-0000-0000-00006C630000}"/>
    <cellStyle name="Accent1 2 2 2 2 3" xfId="7744" xr:uid="{00000000-0005-0000-0000-00006D630000}"/>
    <cellStyle name="Accent1 2 2 2 2 3 2" xfId="7745" xr:uid="{00000000-0005-0000-0000-00006E630000}"/>
    <cellStyle name="Accent1 2 2 2 2 4" xfId="7746" xr:uid="{00000000-0005-0000-0000-00006F630000}"/>
    <cellStyle name="Accent1 2 2 2 2 4 2" xfId="7747" xr:uid="{00000000-0005-0000-0000-000070630000}"/>
    <cellStyle name="Accent1 2 2 2 2 5" xfId="7748" xr:uid="{00000000-0005-0000-0000-000071630000}"/>
    <cellStyle name="Accent1 2 2 2 2 5 2" xfId="7749" xr:uid="{00000000-0005-0000-0000-000072630000}"/>
    <cellStyle name="Accent1 2 2 2 2 6" xfId="7750" xr:uid="{00000000-0005-0000-0000-000073630000}"/>
    <cellStyle name="Accent1 2 2 2 2 6 2" xfId="7751" xr:uid="{00000000-0005-0000-0000-000074630000}"/>
    <cellStyle name="Accent1 2 2 2 2 7" xfId="7752" xr:uid="{00000000-0005-0000-0000-000075630000}"/>
    <cellStyle name="Accent1 2 2 2 2 7 2" xfId="7753" xr:uid="{00000000-0005-0000-0000-000076630000}"/>
    <cellStyle name="Accent1 2 2 2 2 8" xfId="7754" xr:uid="{00000000-0005-0000-0000-000077630000}"/>
    <cellStyle name="Accent1 2 2 2 2 8 2" xfId="7755" xr:uid="{00000000-0005-0000-0000-000078630000}"/>
    <cellStyle name="Accent1 2 2 2 2 9" xfId="7756" xr:uid="{00000000-0005-0000-0000-000079630000}"/>
    <cellStyle name="Accent1 2 2 2 2 9 2" xfId="7757" xr:uid="{00000000-0005-0000-0000-00007A630000}"/>
    <cellStyle name="Accent1 2 2 2 3" xfId="7758" xr:uid="{00000000-0005-0000-0000-00007B630000}"/>
    <cellStyle name="Accent1 2 2 2 3 2" xfId="7759" xr:uid="{00000000-0005-0000-0000-00007C630000}"/>
    <cellStyle name="Accent1 2 2 2 4" xfId="7760" xr:uid="{00000000-0005-0000-0000-00007D630000}"/>
    <cellStyle name="Accent1 2 2 2 4 2" xfId="7761" xr:uid="{00000000-0005-0000-0000-00007E630000}"/>
    <cellStyle name="Accent1 2 2 2 5" xfId="7762" xr:uid="{00000000-0005-0000-0000-00007F630000}"/>
    <cellStyle name="Accent1 2 2 2 5 2" xfId="7763" xr:uid="{00000000-0005-0000-0000-000080630000}"/>
    <cellStyle name="Accent1 2 2 2 6" xfId="7764" xr:uid="{00000000-0005-0000-0000-000081630000}"/>
    <cellStyle name="Accent1 2 2 2 6 2" xfId="7765" xr:uid="{00000000-0005-0000-0000-000082630000}"/>
    <cellStyle name="Accent1 2 2 2 7" xfId="7766" xr:uid="{00000000-0005-0000-0000-000083630000}"/>
    <cellStyle name="Accent1 2 2 2 7 2" xfId="7767" xr:uid="{00000000-0005-0000-0000-000084630000}"/>
    <cellStyle name="Accent1 2 2 2 8" xfId="7768" xr:uid="{00000000-0005-0000-0000-000085630000}"/>
    <cellStyle name="Accent1 2 2 2 8 2" xfId="7769" xr:uid="{00000000-0005-0000-0000-000086630000}"/>
    <cellStyle name="Accent1 2 2 2 9" xfId="7770" xr:uid="{00000000-0005-0000-0000-000087630000}"/>
    <cellStyle name="Accent1 2 2 2 9 2" xfId="7771" xr:uid="{00000000-0005-0000-0000-000088630000}"/>
    <cellStyle name="Accent1 2 2 20" xfId="7772" xr:uid="{00000000-0005-0000-0000-000089630000}"/>
    <cellStyle name="Accent1 2 2 20 2" xfId="7773" xr:uid="{00000000-0005-0000-0000-00008A630000}"/>
    <cellStyle name="Accent1 2 2 21" xfId="7774" xr:uid="{00000000-0005-0000-0000-00008B630000}"/>
    <cellStyle name="Accent1 2 2 22" xfId="7775" xr:uid="{00000000-0005-0000-0000-00008C630000}"/>
    <cellStyle name="Accent1 2 2 3" xfId="7776" xr:uid="{00000000-0005-0000-0000-00008D630000}"/>
    <cellStyle name="Accent1 2 2 3 2" xfId="7777" xr:uid="{00000000-0005-0000-0000-00008E630000}"/>
    <cellStyle name="Accent1 2 2 4" xfId="7778" xr:uid="{00000000-0005-0000-0000-00008F630000}"/>
    <cellStyle name="Accent1 2 2 4 2" xfId="7779" xr:uid="{00000000-0005-0000-0000-000090630000}"/>
    <cellStyle name="Accent1 2 2 5" xfId="7780" xr:uid="{00000000-0005-0000-0000-000091630000}"/>
    <cellStyle name="Accent1 2 2 5 2" xfId="7781" xr:uid="{00000000-0005-0000-0000-000092630000}"/>
    <cellStyle name="Accent1 2 2 6" xfId="7782" xr:uid="{00000000-0005-0000-0000-000093630000}"/>
    <cellStyle name="Accent1 2 2 6 2" xfId="7783" xr:uid="{00000000-0005-0000-0000-000094630000}"/>
    <cellStyle name="Accent1 2 2 7" xfId="7784" xr:uid="{00000000-0005-0000-0000-000095630000}"/>
    <cellStyle name="Accent1 2 2 7 2" xfId="7785" xr:uid="{00000000-0005-0000-0000-000096630000}"/>
    <cellStyle name="Accent1 2 2 8" xfId="7786" xr:uid="{00000000-0005-0000-0000-000097630000}"/>
    <cellStyle name="Accent1 2 2 8 2" xfId="7787" xr:uid="{00000000-0005-0000-0000-000098630000}"/>
    <cellStyle name="Accent1 2 2 9" xfId="7788" xr:uid="{00000000-0005-0000-0000-000099630000}"/>
    <cellStyle name="Accent1 2 2 9 2" xfId="7789" xr:uid="{00000000-0005-0000-0000-00009A630000}"/>
    <cellStyle name="Accent1 2 20" xfId="7790" xr:uid="{00000000-0005-0000-0000-00009B630000}"/>
    <cellStyle name="Accent1 2 20 2" xfId="7791" xr:uid="{00000000-0005-0000-0000-00009C630000}"/>
    <cellStyle name="Accent1 2 21" xfId="7792" xr:uid="{00000000-0005-0000-0000-00009D630000}"/>
    <cellStyle name="Accent1 2 21 2" xfId="7793" xr:uid="{00000000-0005-0000-0000-00009E630000}"/>
    <cellStyle name="Accent1 2 21 3" xfId="7794" xr:uid="{00000000-0005-0000-0000-00009F630000}"/>
    <cellStyle name="Accent1 2 22" xfId="7795" xr:uid="{00000000-0005-0000-0000-0000A0630000}"/>
    <cellStyle name="Accent1 2 23" xfId="7796" xr:uid="{00000000-0005-0000-0000-0000A1630000}"/>
    <cellStyle name="Accent1 2 24" xfId="7797" xr:uid="{00000000-0005-0000-0000-0000A2630000}"/>
    <cellStyle name="Accent1 2 25" xfId="7798" xr:uid="{00000000-0005-0000-0000-0000A3630000}"/>
    <cellStyle name="Accent1 2 3" xfId="7799" xr:uid="{00000000-0005-0000-0000-0000A4630000}"/>
    <cellStyle name="Accent1 2 3 2" xfId="7800" xr:uid="{00000000-0005-0000-0000-0000A5630000}"/>
    <cellStyle name="Accent1 2 4" xfId="7801" xr:uid="{00000000-0005-0000-0000-0000A6630000}"/>
    <cellStyle name="Accent1 2 4 2" xfId="7802" xr:uid="{00000000-0005-0000-0000-0000A7630000}"/>
    <cellStyle name="Accent1 2 5" xfId="7803" xr:uid="{00000000-0005-0000-0000-0000A8630000}"/>
    <cellStyle name="Accent1 2 5 2" xfId="7804" xr:uid="{00000000-0005-0000-0000-0000A9630000}"/>
    <cellStyle name="Accent1 2 6" xfId="7805" xr:uid="{00000000-0005-0000-0000-0000AA630000}"/>
    <cellStyle name="Accent1 2 6 2" xfId="7806" xr:uid="{00000000-0005-0000-0000-0000AB630000}"/>
    <cellStyle name="Accent1 2 7" xfId="7807" xr:uid="{00000000-0005-0000-0000-0000AC630000}"/>
    <cellStyle name="Accent1 2 7 2" xfId="7808" xr:uid="{00000000-0005-0000-0000-0000AD630000}"/>
    <cellStyle name="Accent1 2 8" xfId="7809" xr:uid="{00000000-0005-0000-0000-0000AE630000}"/>
    <cellStyle name="Accent1 2 8 2" xfId="7810" xr:uid="{00000000-0005-0000-0000-0000AF630000}"/>
    <cellStyle name="Accent1 2 9" xfId="7811" xr:uid="{00000000-0005-0000-0000-0000B0630000}"/>
    <cellStyle name="Accent1 2 9 2" xfId="7812" xr:uid="{00000000-0005-0000-0000-0000B1630000}"/>
    <cellStyle name="Accent1 3" xfId="7813" xr:uid="{00000000-0005-0000-0000-0000B2630000}"/>
    <cellStyle name="Accent1 3 2" xfId="7814" xr:uid="{00000000-0005-0000-0000-0000B3630000}"/>
    <cellStyle name="Accent1 3 2 2" xfId="7815" xr:uid="{00000000-0005-0000-0000-0000B4630000}"/>
    <cellStyle name="Accent1 3 2 3" xfId="7816" xr:uid="{00000000-0005-0000-0000-0000B5630000}"/>
    <cellStyle name="Accent1 3 3" xfId="7817" xr:uid="{00000000-0005-0000-0000-0000B6630000}"/>
    <cellStyle name="Accent1 3 4" xfId="7818" xr:uid="{00000000-0005-0000-0000-0000B7630000}"/>
    <cellStyle name="Accent1 3 5" xfId="7819" xr:uid="{00000000-0005-0000-0000-0000B8630000}"/>
    <cellStyle name="Accent1 4" xfId="7820" xr:uid="{00000000-0005-0000-0000-0000B9630000}"/>
    <cellStyle name="Accent1 4 2" xfId="7821" xr:uid="{00000000-0005-0000-0000-0000BA630000}"/>
    <cellStyle name="Accent1 4 2 2" xfId="7822" xr:uid="{00000000-0005-0000-0000-0000BB630000}"/>
    <cellStyle name="Accent1 4 2 3" xfId="7823" xr:uid="{00000000-0005-0000-0000-0000BC630000}"/>
    <cellStyle name="Accent1 4 3" xfId="7824" xr:uid="{00000000-0005-0000-0000-0000BD630000}"/>
    <cellStyle name="Accent1 4 4" xfId="7825" xr:uid="{00000000-0005-0000-0000-0000BE630000}"/>
    <cellStyle name="Accent1 4 5" xfId="7826" xr:uid="{00000000-0005-0000-0000-0000BF630000}"/>
    <cellStyle name="Accent1 5" xfId="7827" xr:uid="{00000000-0005-0000-0000-0000C0630000}"/>
    <cellStyle name="Accent1 5 2" xfId="7828" xr:uid="{00000000-0005-0000-0000-0000C1630000}"/>
    <cellStyle name="Accent1 5 2 2" xfId="7829" xr:uid="{00000000-0005-0000-0000-0000C2630000}"/>
    <cellStyle name="Accent1 5 2 3" xfId="7830" xr:uid="{00000000-0005-0000-0000-0000C3630000}"/>
    <cellStyle name="Accent1 5 3" xfId="7831" xr:uid="{00000000-0005-0000-0000-0000C4630000}"/>
    <cellStyle name="Accent1 5 4" xfId="7832" xr:uid="{00000000-0005-0000-0000-0000C5630000}"/>
    <cellStyle name="Accent1 5 5" xfId="7833" xr:uid="{00000000-0005-0000-0000-0000C6630000}"/>
    <cellStyle name="Accent1 6" xfId="7834" xr:uid="{00000000-0005-0000-0000-0000C7630000}"/>
    <cellStyle name="Accent1 6 2" xfId="7835" xr:uid="{00000000-0005-0000-0000-0000C8630000}"/>
    <cellStyle name="Accent1 6 3" xfId="7836" xr:uid="{00000000-0005-0000-0000-0000C9630000}"/>
    <cellStyle name="Accent1 7" xfId="7837" xr:uid="{00000000-0005-0000-0000-0000CA630000}"/>
    <cellStyle name="Accent1 8" xfId="7838" xr:uid="{00000000-0005-0000-0000-0000CB630000}"/>
    <cellStyle name="Accent1 9" xfId="7839" xr:uid="{00000000-0005-0000-0000-0000CC630000}"/>
    <cellStyle name="Accent2 10" xfId="7840" xr:uid="{00000000-0005-0000-0000-0000CD630000}"/>
    <cellStyle name="Accent2 11" xfId="7841" xr:uid="{00000000-0005-0000-0000-0000CE630000}"/>
    <cellStyle name="Accent2 12" xfId="7842" xr:uid="{00000000-0005-0000-0000-0000CF630000}"/>
    <cellStyle name="Accent2 13" xfId="7843" xr:uid="{00000000-0005-0000-0000-0000D0630000}"/>
    <cellStyle name="Accent2 14" xfId="7844" xr:uid="{00000000-0005-0000-0000-0000D1630000}"/>
    <cellStyle name="Accent2 15" xfId="7845" xr:uid="{00000000-0005-0000-0000-0000D2630000}"/>
    <cellStyle name="Accent2 16" xfId="7846" xr:uid="{00000000-0005-0000-0000-0000D3630000}"/>
    <cellStyle name="Accent2 17" xfId="7847" xr:uid="{00000000-0005-0000-0000-0000D4630000}"/>
    <cellStyle name="Accent2 18" xfId="7848" xr:uid="{00000000-0005-0000-0000-0000D5630000}"/>
    <cellStyle name="Accent2 19" xfId="7849" xr:uid="{00000000-0005-0000-0000-0000D6630000}"/>
    <cellStyle name="Accent2 2" xfId="7850" xr:uid="{00000000-0005-0000-0000-0000D7630000}"/>
    <cellStyle name="Accent2 2 2" xfId="7851" xr:uid="{00000000-0005-0000-0000-0000D8630000}"/>
    <cellStyle name="Accent2 2 2 2" xfId="7852" xr:uid="{00000000-0005-0000-0000-0000D9630000}"/>
    <cellStyle name="Accent2 2 3" xfId="7853" xr:uid="{00000000-0005-0000-0000-0000DA630000}"/>
    <cellStyle name="Accent2 2 3 2" xfId="7854" xr:uid="{00000000-0005-0000-0000-0000DB630000}"/>
    <cellStyle name="Accent2 2 4" xfId="7855" xr:uid="{00000000-0005-0000-0000-0000DC630000}"/>
    <cellStyle name="Accent2 2 4 2" xfId="7856" xr:uid="{00000000-0005-0000-0000-0000DD630000}"/>
    <cellStyle name="Accent2 2 4 3" xfId="7857" xr:uid="{00000000-0005-0000-0000-0000DE630000}"/>
    <cellStyle name="Accent2 2 5" xfId="7858" xr:uid="{00000000-0005-0000-0000-0000DF630000}"/>
    <cellStyle name="Accent2 2 6" xfId="7859" xr:uid="{00000000-0005-0000-0000-0000E0630000}"/>
    <cellStyle name="Accent2 2 7" xfId="7860" xr:uid="{00000000-0005-0000-0000-0000E1630000}"/>
    <cellStyle name="Accent2 2 8" xfId="7861" xr:uid="{00000000-0005-0000-0000-0000E2630000}"/>
    <cellStyle name="Accent2 3" xfId="7862" xr:uid="{00000000-0005-0000-0000-0000E3630000}"/>
    <cellStyle name="Accent2 3 2" xfId="7863" xr:uid="{00000000-0005-0000-0000-0000E4630000}"/>
    <cellStyle name="Accent2 3 2 2" xfId="7864" xr:uid="{00000000-0005-0000-0000-0000E5630000}"/>
    <cellStyle name="Accent2 3 2 3" xfId="7865" xr:uid="{00000000-0005-0000-0000-0000E6630000}"/>
    <cellStyle name="Accent2 3 3" xfId="7866" xr:uid="{00000000-0005-0000-0000-0000E7630000}"/>
    <cellStyle name="Accent2 3 4" xfId="7867" xr:uid="{00000000-0005-0000-0000-0000E8630000}"/>
    <cellStyle name="Accent2 3 5" xfId="7868" xr:uid="{00000000-0005-0000-0000-0000E9630000}"/>
    <cellStyle name="Accent2 4" xfId="7869" xr:uid="{00000000-0005-0000-0000-0000EA630000}"/>
    <cellStyle name="Accent2 4 2" xfId="7870" xr:uid="{00000000-0005-0000-0000-0000EB630000}"/>
    <cellStyle name="Accent2 4 2 2" xfId="7871" xr:uid="{00000000-0005-0000-0000-0000EC630000}"/>
    <cellStyle name="Accent2 4 2 3" xfId="7872" xr:uid="{00000000-0005-0000-0000-0000ED630000}"/>
    <cellStyle name="Accent2 4 3" xfId="7873" xr:uid="{00000000-0005-0000-0000-0000EE630000}"/>
    <cellStyle name="Accent2 4 4" xfId="7874" xr:uid="{00000000-0005-0000-0000-0000EF630000}"/>
    <cellStyle name="Accent2 4 5" xfId="7875" xr:uid="{00000000-0005-0000-0000-0000F0630000}"/>
    <cellStyle name="Accent2 5" xfId="7876" xr:uid="{00000000-0005-0000-0000-0000F1630000}"/>
    <cellStyle name="Accent2 5 2" xfId="7877" xr:uid="{00000000-0005-0000-0000-0000F2630000}"/>
    <cellStyle name="Accent2 5 2 2" xfId="7878" xr:uid="{00000000-0005-0000-0000-0000F3630000}"/>
    <cellStyle name="Accent2 5 2 3" xfId="7879" xr:uid="{00000000-0005-0000-0000-0000F4630000}"/>
    <cellStyle name="Accent2 5 3" xfId="7880" xr:uid="{00000000-0005-0000-0000-0000F5630000}"/>
    <cellStyle name="Accent2 5 4" xfId="7881" xr:uid="{00000000-0005-0000-0000-0000F6630000}"/>
    <cellStyle name="Accent2 5 5" xfId="7882" xr:uid="{00000000-0005-0000-0000-0000F7630000}"/>
    <cellStyle name="Accent2 6" xfId="7883" xr:uid="{00000000-0005-0000-0000-0000F8630000}"/>
    <cellStyle name="Accent2 6 2" xfId="7884" xr:uid="{00000000-0005-0000-0000-0000F9630000}"/>
    <cellStyle name="Accent2 6 3" xfId="7885" xr:uid="{00000000-0005-0000-0000-0000FA630000}"/>
    <cellStyle name="Accent2 7" xfId="7886" xr:uid="{00000000-0005-0000-0000-0000FB630000}"/>
    <cellStyle name="Accent2 8" xfId="7887" xr:uid="{00000000-0005-0000-0000-0000FC630000}"/>
    <cellStyle name="Accent2 9" xfId="7888" xr:uid="{00000000-0005-0000-0000-0000FD630000}"/>
    <cellStyle name="Accent3 10" xfId="7889" xr:uid="{00000000-0005-0000-0000-0000FE630000}"/>
    <cellStyle name="Accent3 11" xfId="7890" xr:uid="{00000000-0005-0000-0000-0000FF630000}"/>
    <cellStyle name="Accent3 12" xfId="7891" xr:uid="{00000000-0005-0000-0000-000000640000}"/>
    <cellStyle name="Accent3 13" xfId="7892" xr:uid="{00000000-0005-0000-0000-000001640000}"/>
    <cellStyle name="Accent3 14" xfId="7893" xr:uid="{00000000-0005-0000-0000-000002640000}"/>
    <cellStyle name="Accent3 15" xfId="7894" xr:uid="{00000000-0005-0000-0000-000003640000}"/>
    <cellStyle name="Accent3 16" xfId="7895" xr:uid="{00000000-0005-0000-0000-000004640000}"/>
    <cellStyle name="Accent3 17" xfId="7896" xr:uid="{00000000-0005-0000-0000-000005640000}"/>
    <cellStyle name="Accent3 18" xfId="7897" xr:uid="{00000000-0005-0000-0000-000006640000}"/>
    <cellStyle name="Accent3 19" xfId="7898" xr:uid="{00000000-0005-0000-0000-000007640000}"/>
    <cellStyle name="Accent3 2" xfId="7899" xr:uid="{00000000-0005-0000-0000-000008640000}"/>
    <cellStyle name="Accent3 2 2" xfId="7900" xr:uid="{00000000-0005-0000-0000-000009640000}"/>
    <cellStyle name="Accent3 2 2 2" xfId="7901" xr:uid="{00000000-0005-0000-0000-00000A640000}"/>
    <cellStyle name="Accent3 2 3" xfId="7902" xr:uid="{00000000-0005-0000-0000-00000B640000}"/>
    <cellStyle name="Accent3 2 3 2" xfId="7903" xr:uid="{00000000-0005-0000-0000-00000C640000}"/>
    <cellStyle name="Accent3 2 4" xfId="7904" xr:uid="{00000000-0005-0000-0000-00000D640000}"/>
    <cellStyle name="Accent3 2 4 2" xfId="7905" xr:uid="{00000000-0005-0000-0000-00000E640000}"/>
    <cellStyle name="Accent3 2 4 3" xfId="7906" xr:uid="{00000000-0005-0000-0000-00000F640000}"/>
    <cellStyle name="Accent3 2 5" xfId="7907" xr:uid="{00000000-0005-0000-0000-000010640000}"/>
    <cellStyle name="Accent3 2 6" xfId="7908" xr:uid="{00000000-0005-0000-0000-000011640000}"/>
    <cellStyle name="Accent3 2 7" xfId="7909" xr:uid="{00000000-0005-0000-0000-000012640000}"/>
    <cellStyle name="Accent3 2 8" xfId="7910" xr:uid="{00000000-0005-0000-0000-000013640000}"/>
    <cellStyle name="Accent3 3" xfId="7911" xr:uid="{00000000-0005-0000-0000-000014640000}"/>
    <cellStyle name="Accent3 3 2" xfId="7912" xr:uid="{00000000-0005-0000-0000-000015640000}"/>
    <cellStyle name="Accent3 3 2 2" xfId="7913" xr:uid="{00000000-0005-0000-0000-000016640000}"/>
    <cellStyle name="Accent3 3 2 3" xfId="7914" xr:uid="{00000000-0005-0000-0000-000017640000}"/>
    <cellStyle name="Accent3 3 3" xfId="7915" xr:uid="{00000000-0005-0000-0000-000018640000}"/>
    <cellStyle name="Accent3 3 4" xfId="7916" xr:uid="{00000000-0005-0000-0000-000019640000}"/>
    <cellStyle name="Accent3 3 5" xfId="7917" xr:uid="{00000000-0005-0000-0000-00001A640000}"/>
    <cellStyle name="Accent3 4" xfId="7918" xr:uid="{00000000-0005-0000-0000-00001B640000}"/>
    <cellStyle name="Accent3 4 2" xfId="7919" xr:uid="{00000000-0005-0000-0000-00001C640000}"/>
    <cellStyle name="Accent3 4 2 2" xfId="7920" xr:uid="{00000000-0005-0000-0000-00001D640000}"/>
    <cellStyle name="Accent3 4 2 3" xfId="7921" xr:uid="{00000000-0005-0000-0000-00001E640000}"/>
    <cellStyle name="Accent3 4 3" xfId="7922" xr:uid="{00000000-0005-0000-0000-00001F640000}"/>
    <cellStyle name="Accent3 4 4" xfId="7923" xr:uid="{00000000-0005-0000-0000-000020640000}"/>
    <cellStyle name="Accent3 4 5" xfId="7924" xr:uid="{00000000-0005-0000-0000-000021640000}"/>
    <cellStyle name="Accent3 5" xfId="7925" xr:uid="{00000000-0005-0000-0000-000022640000}"/>
    <cellStyle name="Accent3 5 2" xfId="7926" xr:uid="{00000000-0005-0000-0000-000023640000}"/>
    <cellStyle name="Accent3 5 2 2" xfId="7927" xr:uid="{00000000-0005-0000-0000-000024640000}"/>
    <cellStyle name="Accent3 5 2 3" xfId="7928" xr:uid="{00000000-0005-0000-0000-000025640000}"/>
    <cellStyle name="Accent3 5 3" xfId="7929" xr:uid="{00000000-0005-0000-0000-000026640000}"/>
    <cellStyle name="Accent3 5 4" xfId="7930" xr:uid="{00000000-0005-0000-0000-000027640000}"/>
    <cellStyle name="Accent3 5 5" xfId="7931" xr:uid="{00000000-0005-0000-0000-000028640000}"/>
    <cellStyle name="Accent3 6" xfId="7932" xr:uid="{00000000-0005-0000-0000-000029640000}"/>
    <cellStyle name="Accent3 6 2" xfId="7933" xr:uid="{00000000-0005-0000-0000-00002A640000}"/>
    <cellStyle name="Accent3 6 3" xfId="7934" xr:uid="{00000000-0005-0000-0000-00002B640000}"/>
    <cellStyle name="Accent3 7" xfId="7935" xr:uid="{00000000-0005-0000-0000-00002C640000}"/>
    <cellStyle name="Accent3 8" xfId="7936" xr:uid="{00000000-0005-0000-0000-00002D640000}"/>
    <cellStyle name="Accent3 9" xfId="7937" xr:uid="{00000000-0005-0000-0000-00002E640000}"/>
    <cellStyle name="Accent4 10" xfId="7938" xr:uid="{00000000-0005-0000-0000-00002F640000}"/>
    <cellStyle name="Accent4 11" xfId="7939" xr:uid="{00000000-0005-0000-0000-000030640000}"/>
    <cellStyle name="Accent4 12" xfId="7940" xr:uid="{00000000-0005-0000-0000-000031640000}"/>
    <cellStyle name="Accent4 13" xfId="7941" xr:uid="{00000000-0005-0000-0000-000032640000}"/>
    <cellStyle name="Accent4 14" xfId="7942" xr:uid="{00000000-0005-0000-0000-000033640000}"/>
    <cellStyle name="Accent4 15" xfId="7943" xr:uid="{00000000-0005-0000-0000-000034640000}"/>
    <cellStyle name="Accent4 16" xfId="7944" xr:uid="{00000000-0005-0000-0000-000035640000}"/>
    <cellStyle name="Accent4 17" xfId="7945" xr:uid="{00000000-0005-0000-0000-000036640000}"/>
    <cellStyle name="Accent4 18" xfId="7946" xr:uid="{00000000-0005-0000-0000-000037640000}"/>
    <cellStyle name="Accent4 19" xfId="7947" xr:uid="{00000000-0005-0000-0000-000038640000}"/>
    <cellStyle name="Accent4 2" xfId="7948" xr:uid="{00000000-0005-0000-0000-000039640000}"/>
    <cellStyle name="Accent4 2 2" xfId="7949" xr:uid="{00000000-0005-0000-0000-00003A640000}"/>
    <cellStyle name="Accent4 2 2 2" xfId="7950" xr:uid="{00000000-0005-0000-0000-00003B640000}"/>
    <cellStyle name="Accent4 2 3" xfId="7951" xr:uid="{00000000-0005-0000-0000-00003C640000}"/>
    <cellStyle name="Accent4 2 3 2" xfId="7952" xr:uid="{00000000-0005-0000-0000-00003D640000}"/>
    <cellStyle name="Accent4 2 4" xfId="7953" xr:uid="{00000000-0005-0000-0000-00003E640000}"/>
    <cellStyle name="Accent4 2 4 2" xfId="7954" xr:uid="{00000000-0005-0000-0000-00003F640000}"/>
    <cellStyle name="Accent4 2 4 3" xfId="7955" xr:uid="{00000000-0005-0000-0000-000040640000}"/>
    <cellStyle name="Accent4 2 5" xfId="7956" xr:uid="{00000000-0005-0000-0000-000041640000}"/>
    <cellStyle name="Accent4 2 6" xfId="7957" xr:uid="{00000000-0005-0000-0000-000042640000}"/>
    <cellStyle name="Accent4 2 7" xfId="7958" xr:uid="{00000000-0005-0000-0000-000043640000}"/>
    <cellStyle name="Accent4 2 8" xfId="7959" xr:uid="{00000000-0005-0000-0000-000044640000}"/>
    <cellStyle name="Accent4 3" xfId="7960" xr:uid="{00000000-0005-0000-0000-000045640000}"/>
    <cellStyle name="Accent4 3 2" xfId="7961" xr:uid="{00000000-0005-0000-0000-000046640000}"/>
    <cellStyle name="Accent4 3 2 2" xfId="7962" xr:uid="{00000000-0005-0000-0000-000047640000}"/>
    <cellStyle name="Accent4 3 2 3" xfId="7963" xr:uid="{00000000-0005-0000-0000-000048640000}"/>
    <cellStyle name="Accent4 3 3" xfId="7964" xr:uid="{00000000-0005-0000-0000-000049640000}"/>
    <cellStyle name="Accent4 3 4" xfId="7965" xr:uid="{00000000-0005-0000-0000-00004A640000}"/>
    <cellStyle name="Accent4 3 5" xfId="7966" xr:uid="{00000000-0005-0000-0000-00004B640000}"/>
    <cellStyle name="Accent4 4" xfId="7967" xr:uid="{00000000-0005-0000-0000-00004C640000}"/>
    <cellStyle name="Accent4 4 2" xfId="7968" xr:uid="{00000000-0005-0000-0000-00004D640000}"/>
    <cellStyle name="Accent4 4 2 2" xfId="7969" xr:uid="{00000000-0005-0000-0000-00004E640000}"/>
    <cellStyle name="Accent4 4 2 3" xfId="7970" xr:uid="{00000000-0005-0000-0000-00004F640000}"/>
    <cellStyle name="Accent4 4 3" xfId="7971" xr:uid="{00000000-0005-0000-0000-000050640000}"/>
    <cellStyle name="Accent4 4 4" xfId="7972" xr:uid="{00000000-0005-0000-0000-000051640000}"/>
    <cellStyle name="Accent4 4 5" xfId="7973" xr:uid="{00000000-0005-0000-0000-000052640000}"/>
    <cellStyle name="Accent4 5" xfId="7974" xr:uid="{00000000-0005-0000-0000-000053640000}"/>
    <cellStyle name="Accent4 5 2" xfId="7975" xr:uid="{00000000-0005-0000-0000-000054640000}"/>
    <cellStyle name="Accent4 5 2 2" xfId="7976" xr:uid="{00000000-0005-0000-0000-000055640000}"/>
    <cellStyle name="Accent4 5 2 3" xfId="7977" xr:uid="{00000000-0005-0000-0000-000056640000}"/>
    <cellStyle name="Accent4 5 3" xfId="7978" xr:uid="{00000000-0005-0000-0000-000057640000}"/>
    <cellStyle name="Accent4 5 4" xfId="7979" xr:uid="{00000000-0005-0000-0000-000058640000}"/>
    <cellStyle name="Accent4 5 5" xfId="7980" xr:uid="{00000000-0005-0000-0000-000059640000}"/>
    <cellStyle name="Accent4 6" xfId="7981" xr:uid="{00000000-0005-0000-0000-00005A640000}"/>
    <cellStyle name="Accent4 6 2" xfId="7982" xr:uid="{00000000-0005-0000-0000-00005B640000}"/>
    <cellStyle name="Accent4 6 3" xfId="7983" xr:uid="{00000000-0005-0000-0000-00005C640000}"/>
    <cellStyle name="Accent4 7" xfId="7984" xr:uid="{00000000-0005-0000-0000-00005D640000}"/>
    <cellStyle name="Accent4 8" xfId="7985" xr:uid="{00000000-0005-0000-0000-00005E640000}"/>
    <cellStyle name="Accent4 9" xfId="7986" xr:uid="{00000000-0005-0000-0000-00005F640000}"/>
    <cellStyle name="Accent5 10" xfId="7987" xr:uid="{00000000-0005-0000-0000-000060640000}"/>
    <cellStyle name="Accent5 11" xfId="7988" xr:uid="{00000000-0005-0000-0000-000061640000}"/>
    <cellStyle name="Accent5 12" xfId="7989" xr:uid="{00000000-0005-0000-0000-000062640000}"/>
    <cellStyle name="Accent5 13" xfId="7990" xr:uid="{00000000-0005-0000-0000-000063640000}"/>
    <cellStyle name="Accent5 14" xfId="7991" xr:uid="{00000000-0005-0000-0000-000064640000}"/>
    <cellStyle name="Accent5 15" xfId="7992" xr:uid="{00000000-0005-0000-0000-000065640000}"/>
    <cellStyle name="Accent5 16" xfId="7993" xr:uid="{00000000-0005-0000-0000-000066640000}"/>
    <cellStyle name="Accent5 17" xfId="7994" xr:uid="{00000000-0005-0000-0000-000067640000}"/>
    <cellStyle name="Accent5 18" xfId="7995" xr:uid="{00000000-0005-0000-0000-000068640000}"/>
    <cellStyle name="Accent5 19" xfId="7996" xr:uid="{00000000-0005-0000-0000-000069640000}"/>
    <cellStyle name="Accent5 2" xfId="7997" xr:uid="{00000000-0005-0000-0000-00006A640000}"/>
    <cellStyle name="Accent5 2 2" xfId="7998" xr:uid="{00000000-0005-0000-0000-00006B640000}"/>
    <cellStyle name="Accent5 2 2 2" xfId="7999" xr:uid="{00000000-0005-0000-0000-00006C640000}"/>
    <cellStyle name="Accent5 2 3" xfId="8000" xr:uid="{00000000-0005-0000-0000-00006D640000}"/>
    <cellStyle name="Accent5 2 3 2" xfId="8001" xr:uid="{00000000-0005-0000-0000-00006E640000}"/>
    <cellStyle name="Accent5 2 4" xfId="8002" xr:uid="{00000000-0005-0000-0000-00006F640000}"/>
    <cellStyle name="Accent5 2 4 2" xfId="8003" xr:uid="{00000000-0005-0000-0000-000070640000}"/>
    <cellStyle name="Accent5 2 4 3" xfId="8004" xr:uid="{00000000-0005-0000-0000-000071640000}"/>
    <cellStyle name="Accent5 2 5" xfId="8005" xr:uid="{00000000-0005-0000-0000-000072640000}"/>
    <cellStyle name="Accent5 2 6" xfId="8006" xr:uid="{00000000-0005-0000-0000-000073640000}"/>
    <cellStyle name="Accent5 2 7" xfId="8007" xr:uid="{00000000-0005-0000-0000-000074640000}"/>
    <cellStyle name="Accent5 2 8" xfId="8008" xr:uid="{00000000-0005-0000-0000-000075640000}"/>
    <cellStyle name="Accent5 3" xfId="8009" xr:uid="{00000000-0005-0000-0000-000076640000}"/>
    <cellStyle name="Accent5 3 2" xfId="8010" xr:uid="{00000000-0005-0000-0000-000077640000}"/>
    <cellStyle name="Accent5 3 2 2" xfId="8011" xr:uid="{00000000-0005-0000-0000-000078640000}"/>
    <cellStyle name="Accent5 3 2 3" xfId="8012" xr:uid="{00000000-0005-0000-0000-000079640000}"/>
    <cellStyle name="Accent5 3 3" xfId="8013" xr:uid="{00000000-0005-0000-0000-00007A640000}"/>
    <cellStyle name="Accent5 3 4" xfId="8014" xr:uid="{00000000-0005-0000-0000-00007B640000}"/>
    <cellStyle name="Accent5 3 5" xfId="8015" xr:uid="{00000000-0005-0000-0000-00007C640000}"/>
    <cellStyle name="Accent5 4" xfId="8016" xr:uid="{00000000-0005-0000-0000-00007D640000}"/>
    <cellStyle name="Accent5 4 2" xfId="8017" xr:uid="{00000000-0005-0000-0000-00007E640000}"/>
    <cellStyle name="Accent5 4 2 2" xfId="8018" xr:uid="{00000000-0005-0000-0000-00007F640000}"/>
    <cellStyle name="Accent5 4 2 3" xfId="8019" xr:uid="{00000000-0005-0000-0000-000080640000}"/>
    <cellStyle name="Accent5 4 3" xfId="8020" xr:uid="{00000000-0005-0000-0000-000081640000}"/>
    <cellStyle name="Accent5 4 4" xfId="8021" xr:uid="{00000000-0005-0000-0000-000082640000}"/>
    <cellStyle name="Accent5 4 5" xfId="8022" xr:uid="{00000000-0005-0000-0000-000083640000}"/>
    <cellStyle name="Accent5 5" xfId="8023" xr:uid="{00000000-0005-0000-0000-000084640000}"/>
    <cellStyle name="Accent5 5 2" xfId="8024" xr:uid="{00000000-0005-0000-0000-000085640000}"/>
    <cellStyle name="Accent5 5 2 2" xfId="8025" xr:uid="{00000000-0005-0000-0000-000086640000}"/>
    <cellStyle name="Accent5 5 2 3" xfId="8026" xr:uid="{00000000-0005-0000-0000-000087640000}"/>
    <cellStyle name="Accent5 5 3" xfId="8027" xr:uid="{00000000-0005-0000-0000-000088640000}"/>
    <cellStyle name="Accent5 5 4" xfId="8028" xr:uid="{00000000-0005-0000-0000-000089640000}"/>
    <cellStyle name="Accent5 5 5" xfId="8029" xr:uid="{00000000-0005-0000-0000-00008A640000}"/>
    <cellStyle name="Accent5 6" xfId="8030" xr:uid="{00000000-0005-0000-0000-00008B640000}"/>
    <cellStyle name="Accent5 6 2" xfId="8031" xr:uid="{00000000-0005-0000-0000-00008C640000}"/>
    <cellStyle name="Accent5 6 3" xfId="8032" xr:uid="{00000000-0005-0000-0000-00008D640000}"/>
    <cellStyle name="Accent5 7" xfId="8033" xr:uid="{00000000-0005-0000-0000-00008E640000}"/>
    <cellStyle name="Accent5 8" xfId="8034" xr:uid="{00000000-0005-0000-0000-00008F640000}"/>
    <cellStyle name="Accent5 9" xfId="8035" xr:uid="{00000000-0005-0000-0000-000090640000}"/>
    <cellStyle name="Accent6 10" xfId="8036" xr:uid="{00000000-0005-0000-0000-000091640000}"/>
    <cellStyle name="Accent6 11" xfId="8037" xr:uid="{00000000-0005-0000-0000-000092640000}"/>
    <cellStyle name="Accent6 12" xfId="8038" xr:uid="{00000000-0005-0000-0000-000093640000}"/>
    <cellStyle name="Accent6 13" xfId="8039" xr:uid="{00000000-0005-0000-0000-000094640000}"/>
    <cellStyle name="Accent6 14" xfId="8040" xr:uid="{00000000-0005-0000-0000-000095640000}"/>
    <cellStyle name="Accent6 15" xfId="8041" xr:uid="{00000000-0005-0000-0000-000096640000}"/>
    <cellStyle name="Accent6 16" xfId="8042" xr:uid="{00000000-0005-0000-0000-000097640000}"/>
    <cellStyle name="Accent6 17" xfId="8043" xr:uid="{00000000-0005-0000-0000-000098640000}"/>
    <cellStyle name="Accent6 18" xfId="8044" xr:uid="{00000000-0005-0000-0000-000099640000}"/>
    <cellStyle name="Accent6 19" xfId="8045" xr:uid="{00000000-0005-0000-0000-00009A640000}"/>
    <cellStyle name="Accent6 2" xfId="8046" xr:uid="{00000000-0005-0000-0000-00009B640000}"/>
    <cellStyle name="Accent6 2 2" xfId="8047" xr:uid="{00000000-0005-0000-0000-00009C640000}"/>
    <cellStyle name="Accent6 2 2 2" xfId="8048" xr:uid="{00000000-0005-0000-0000-00009D640000}"/>
    <cellStyle name="Accent6 2 3" xfId="8049" xr:uid="{00000000-0005-0000-0000-00009E640000}"/>
    <cellStyle name="Accent6 2 3 2" xfId="8050" xr:uid="{00000000-0005-0000-0000-00009F640000}"/>
    <cellStyle name="Accent6 2 4" xfId="8051" xr:uid="{00000000-0005-0000-0000-0000A0640000}"/>
    <cellStyle name="Accent6 2 4 2" xfId="8052" xr:uid="{00000000-0005-0000-0000-0000A1640000}"/>
    <cellStyle name="Accent6 2 4 3" xfId="8053" xr:uid="{00000000-0005-0000-0000-0000A2640000}"/>
    <cellStyle name="Accent6 2 5" xfId="8054" xr:uid="{00000000-0005-0000-0000-0000A3640000}"/>
    <cellStyle name="Accent6 2 6" xfId="8055" xr:uid="{00000000-0005-0000-0000-0000A4640000}"/>
    <cellStyle name="Accent6 2 7" xfId="8056" xr:uid="{00000000-0005-0000-0000-0000A5640000}"/>
    <cellStyle name="Accent6 2 8" xfId="8057" xr:uid="{00000000-0005-0000-0000-0000A6640000}"/>
    <cellStyle name="Accent6 3" xfId="8058" xr:uid="{00000000-0005-0000-0000-0000A7640000}"/>
    <cellStyle name="Accent6 3 2" xfId="8059" xr:uid="{00000000-0005-0000-0000-0000A8640000}"/>
    <cellStyle name="Accent6 3 2 2" xfId="8060" xr:uid="{00000000-0005-0000-0000-0000A9640000}"/>
    <cellStyle name="Accent6 3 2 3" xfId="8061" xr:uid="{00000000-0005-0000-0000-0000AA640000}"/>
    <cellStyle name="Accent6 3 3" xfId="8062" xr:uid="{00000000-0005-0000-0000-0000AB640000}"/>
    <cellStyle name="Accent6 3 4" xfId="8063" xr:uid="{00000000-0005-0000-0000-0000AC640000}"/>
    <cellStyle name="Accent6 3 5" xfId="8064" xr:uid="{00000000-0005-0000-0000-0000AD640000}"/>
    <cellStyle name="Accent6 4" xfId="8065" xr:uid="{00000000-0005-0000-0000-0000AE640000}"/>
    <cellStyle name="Accent6 4 2" xfId="8066" xr:uid="{00000000-0005-0000-0000-0000AF640000}"/>
    <cellStyle name="Accent6 4 2 2" xfId="8067" xr:uid="{00000000-0005-0000-0000-0000B0640000}"/>
    <cellStyle name="Accent6 4 2 3" xfId="8068" xr:uid="{00000000-0005-0000-0000-0000B1640000}"/>
    <cellStyle name="Accent6 4 3" xfId="8069" xr:uid="{00000000-0005-0000-0000-0000B2640000}"/>
    <cellStyle name="Accent6 4 4" xfId="8070" xr:uid="{00000000-0005-0000-0000-0000B3640000}"/>
    <cellStyle name="Accent6 4 5" xfId="8071" xr:uid="{00000000-0005-0000-0000-0000B4640000}"/>
    <cellStyle name="Accent6 5" xfId="8072" xr:uid="{00000000-0005-0000-0000-0000B5640000}"/>
    <cellStyle name="Accent6 5 2" xfId="8073" xr:uid="{00000000-0005-0000-0000-0000B6640000}"/>
    <cellStyle name="Accent6 5 2 2" xfId="8074" xr:uid="{00000000-0005-0000-0000-0000B7640000}"/>
    <cellStyle name="Accent6 5 2 3" xfId="8075" xr:uid="{00000000-0005-0000-0000-0000B8640000}"/>
    <cellStyle name="Accent6 5 3" xfId="8076" xr:uid="{00000000-0005-0000-0000-0000B9640000}"/>
    <cellStyle name="Accent6 5 4" xfId="8077" xr:uid="{00000000-0005-0000-0000-0000BA640000}"/>
    <cellStyle name="Accent6 5 5" xfId="8078" xr:uid="{00000000-0005-0000-0000-0000BB640000}"/>
    <cellStyle name="Accent6 6" xfId="8079" xr:uid="{00000000-0005-0000-0000-0000BC640000}"/>
    <cellStyle name="Accent6 6 2" xfId="8080" xr:uid="{00000000-0005-0000-0000-0000BD640000}"/>
    <cellStyle name="Accent6 6 3" xfId="8081" xr:uid="{00000000-0005-0000-0000-0000BE640000}"/>
    <cellStyle name="Accent6 7" xfId="8082" xr:uid="{00000000-0005-0000-0000-0000BF640000}"/>
    <cellStyle name="Accent6 8" xfId="8083" xr:uid="{00000000-0005-0000-0000-0000C0640000}"/>
    <cellStyle name="Accent6 9" xfId="8084" xr:uid="{00000000-0005-0000-0000-0000C1640000}"/>
    <cellStyle name="accounting" xfId="8085" xr:uid="{00000000-0005-0000-0000-0000C2640000}"/>
    <cellStyle name="accounting 2" xfId="8086" xr:uid="{00000000-0005-0000-0000-0000C3640000}"/>
    <cellStyle name="accounting 2 2" xfId="8087" xr:uid="{00000000-0005-0000-0000-0000C4640000}"/>
    <cellStyle name="accounting 2 3" xfId="20245" xr:uid="{00000000-0005-0000-0000-0000C5640000}"/>
    <cellStyle name="accounting 3" xfId="8088" xr:uid="{00000000-0005-0000-0000-0000C6640000}"/>
    <cellStyle name="accounting 3 2" xfId="20246" xr:uid="{00000000-0005-0000-0000-0000C7640000}"/>
    <cellStyle name="accounting 4" xfId="8089" xr:uid="{00000000-0005-0000-0000-0000C8640000}"/>
    <cellStyle name="accounting 4 2" xfId="20247" xr:uid="{00000000-0005-0000-0000-0000C9640000}"/>
    <cellStyle name="accounting 5" xfId="8090" xr:uid="{00000000-0005-0000-0000-0000CA640000}"/>
    <cellStyle name="accounting 5 2" xfId="20248" xr:uid="{00000000-0005-0000-0000-0000CB640000}"/>
    <cellStyle name="accounting 6" xfId="20249" xr:uid="{00000000-0005-0000-0000-0000CC640000}"/>
    <cellStyle name="Accounting w/$" xfId="8091" xr:uid="{00000000-0005-0000-0000-0000CD640000}"/>
    <cellStyle name="Accounting w/$ Total" xfId="8092" xr:uid="{00000000-0005-0000-0000-0000CE640000}"/>
    <cellStyle name="Accounting w/o $" xfId="8093" xr:uid="{00000000-0005-0000-0000-0000CF640000}"/>
    <cellStyle name="acct" xfId="16349" xr:uid="{00000000-0005-0000-0000-0000D0640000}"/>
    <cellStyle name="acct bold" xfId="16350" xr:uid="{00000000-0005-0000-0000-0000D1640000}"/>
    <cellStyle name="acct no" xfId="16351" xr:uid="{00000000-0005-0000-0000-0000D2640000}"/>
    <cellStyle name="acct_EPL LBO 5.16.05 - Mgmt IPO v6" xfId="16352" xr:uid="{00000000-0005-0000-0000-0000D3640000}"/>
    <cellStyle name="Acctg" xfId="16353" xr:uid="{00000000-0005-0000-0000-0000D4640000}"/>
    <cellStyle name="Açıklama Metni" xfId="16354" xr:uid="{00000000-0005-0000-0000-0000D5640000}"/>
    <cellStyle name="Across" xfId="16355" xr:uid="{00000000-0005-0000-0000-0000D6640000}"/>
    <cellStyle name="active" xfId="8094" xr:uid="{00000000-0005-0000-0000-0000D7640000}"/>
    <cellStyle name="active 2" xfId="8095" xr:uid="{00000000-0005-0000-0000-0000D8640000}"/>
    <cellStyle name="active 2 2" xfId="8096" xr:uid="{00000000-0005-0000-0000-0000D9640000}"/>
    <cellStyle name="active 3" xfId="8097" xr:uid="{00000000-0005-0000-0000-0000DA640000}"/>
    <cellStyle name="active 4" xfId="8098" xr:uid="{00000000-0005-0000-0000-0000DB640000}"/>
    <cellStyle name="active 5" xfId="8099" xr:uid="{00000000-0005-0000-0000-0000DC640000}"/>
    <cellStyle name="Actual" xfId="16356" xr:uid="{00000000-0005-0000-0000-0000DD640000}"/>
    <cellStyle name="Actual Date" xfId="8100" xr:uid="{00000000-0005-0000-0000-0000DE640000}"/>
    <cellStyle name="Actuals" xfId="8101" xr:uid="{00000000-0005-0000-0000-0000DF640000}"/>
    <cellStyle name="Actuals 10" xfId="8102" xr:uid="{00000000-0005-0000-0000-0000E0640000}"/>
    <cellStyle name="Actuals 10 2" xfId="8103" xr:uid="{00000000-0005-0000-0000-0000E1640000}"/>
    <cellStyle name="Actuals 11" xfId="8104" xr:uid="{00000000-0005-0000-0000-0000E2640000}"/>
    <cellStyle name="Actuals 11 2" xfId="8105" xr:uid="{00000000-0005-0000-0000-0000E3640000}"/>
    <cellStyle name="Actuals 12" xfId="8106" xr:uid="{00000000-0005-0000-0000-0000E4640000}"/>
    <cellStyle name="Actuals 12 2" xfId="8107" xr:uid="{00000000-0005-0000-0000-0000E5640000}"/>
    <cellStyle name="Actuals 13" xfId="8108" xr:uid="{00000000-0005-0000-0000-0000E6640000}"/>
    <cellStyle name="Actuals 13 2" xfId="8109" xr:uid="{00000000-0005-0000-0000-0000E7640000}"/>
    <cellStyle name="Actuals 14" xfId="8110" xr:uid="{00000000-0005-0000-0000-0000E8640000}"/>
    <cellStyle name="Actuals 14 2" xfId="8111" xr:uid="{00000000-0005-0000-0000-0000E9640000}"/>
    <cellStyle name="Actuals 15" xfId="8112" xr:uid="{00000000-0005-0000-0000-0000EA640000}"/>
    <cellStyle name="Actuals 15 2" xfId="8113" xr:uid="{00000000-0005-0000-0000-0000EB640000}"/>
    <cellStyle name="Actuals 16" xfId="8114" xr:uid="{00000000-0005-0000-0000-0000EC640000}"/>
    <cellStyle name="Actuals 16 2" xfId="8115" xr:uid="{00000000-0005-0000-0000-0000ED640000}"/>
    <cellStyle name="Actuals 17" xfId="8116" xr:uid="{00000000-0005-0000-0000-0000EE640000}"/>
    <cellStyle name="Actuals 17 2" xfId="8117" xr:uid="{00000000-0005-0000-0000-0000EF640000}"/>
    <cellStyle name="Actuals 18" xfId="8118" xr:uid="{00000000-0005-0000-0000-0000F0640000}"/>
    <cellStyle name="Actuals 18 2" xfId="8119" xr:uid="{00000000-0005-0000-0000-0000F1640000}"/>
    <cellStyle name="Actuals 19" xfId="8120" xr:uid="{00000000-0005-0000-0000-0000F2640000}"/>
    <cellStyle name="Actuals 19 2" xfId="8121" xr:uid="{00000000-0005-0000-0000-0000F3640000}"/>
    <cellStyle name="Actuals 2" xfId="8122" xr:uid="{00000000-0005-0000-0000-0000F4640000}"/>
    <cellStyle name="Actuals 2 2" xfId="8123" xr:uid="{00000000-0005-0000-0000-0000F5640000}"/>
    <cellStyle name="Actuals 2 2 2" xfId="8124" xr:uid="{00000000-0005-0000-0000-0000F6640000}"/>
    <cellStyle name="Actuals 2 2 3" xfId="8125" xr:uid="{00000000-0005-0000-0000-0000F7640000}"/>
    <cellStyle name="Actuals 2 3" xfId="8126" xr:uid="{00000000-0005-0000-0000-0000F8640000}"/>
    <cellStyle name="Actuals 2 4" xfId="8127" xr:uid="{00000000-0005-0000-0000-0000F9640000}"/>
    <cellStyle name="Actuals 2 5" xfId="8128" xr:uid="{00000000-0005-0000-0000-0000FA640000}"/>
    <cellStyle name="Actuals 20" xfId="8129" xr:uid="{00000000-0005-0000-0000-0000FB640000}"/>
    <cellStyle name="Actuals 20 2" xfId="8130" xr:uid="{00000000-0005-0000-0000-0000FC640000}"/>
    <cellStyle name="Actuals 21" xfId="8131" xr:uid="{00000000-0005-0000-0000-0000FD640000}"/>
    <cellStyle name="Actuals 21 2" xfId="8132" xr:uid="{00000000-0005-0000-0000-0000FE640000}"/>
    <cellStyle name="Actuals 22" xfId="8133" xr:uid="{00000000-0005-0000-0000-0000FF640000}"/>
    <cellStyle name="Actuals 22 2" xfId="8134" xr:uid="{00000000-0005-0000-0000-000000650000}"/>
    <cellStyle name="Actuals 23" xfId="8135" xr:uid="{00000000-0005-0000-0000-000001650000}"/>
    <cellStyle name="Actuals 23 2" xfId="8136" xr:uid="{00000000-0005-0000-0000-000002650000}"/>
    <cellStyle name="Actuals 24" xfId="8137" xr:uid="{00000000-0005-0000-0000-000003650000}"/>
    <cellStyle name="Actuals 24 2" xfId="8138" xr:uid="{00000000-0005-0000-0000-000004650000}"/>
    <cellStyle name="Actuals 25" xfId="8139" xr:uid="{00000000-0005-0000-0000-000005650000}"/>
    <cellStyle name="Actuals 25 2" xfId="8140" xr:uid="{00000000-0005-0000-0000-000006650000}"/>
    <cellStyle name="Actuals 26" xfId="8141" xr:uid="{00000000-0005-0000-0000-000007650000}"/>
    <cellStyle name="Actuals 26 2" xfId="8142" xr:uid="{00000000-0005-0000-0000-000008650000}"/>
    <cellStyle name="Actuals 27" xfId="8143" xr:uid="{00000000-0005-0000-0000-000009650000}"/>
    <cellStyle name="Actuals 27 2" xfId="8144" xr:uid="{00000000-0005-0000-0000-00000A650000}"/>
    <cellStyle name="Actuals 28" xfId="8145" xr:uid="{00000000-0005-0000-0000-00000B650000}"/>
    <cellStyle name="Actuals 28 2" xfId="8146" xr:uid="{00000000-0005-0000-0000-00000C650000}"/>
    <cellStyle name="Actuals 29" xfId="8147" xr:uid="{00000000-0005-0000-0000-00000D650000}"/>
    <cellStyle name="Actuals 29 2" xfId="8148" xr:uid="{00000000-0005-0000-0000-00000E650000}"/>
    <cellStyle name="Actuals 3" xfId="8149" xr:uid="{00000000-0005-0000-0000-00000F650000}"/>
    <cellStyle name="Actuals 3 2" xfId="8150" xr:uid="{00000000-0005-0000-0000-000010650000}"/>
    <cellStyle name="Actuals 30" xfId="8151" xr:uid="{00000000-0005-0000-0000-000011650000}"/>
    <cellStyle name="Actuals 30 2" xfId="8152" xr:uid="{00000000-0005-0000-0000-000012650000}"/>
    <cellStyle name="Actuals 30 3" xfId="8153" xr:uid="{00000000-0005-0000-0000-000013650000}"/>
    <cellStyle name="Actuals 31" xfId="8154" xr:uid="{00000000-0005-0000-0000-000014650000}"/>
    <cellStyle name="Actuals 32" xfId="8155" xr:uid="{00000000-0005-0000-0000-000015650000}"/>
    <cellStyle name="Actuals 33" xfId="8156" xr:uid="{00000000-0005-0000-0000-000016650000}"/>
    <cellStyle name="Actuals 4" xfId="8157" xr:uid="{00000000-0005-0000-0000-000017650000}"/>
    <cellStyle name="Actuals 4 2" xfId="8158" xr:uid="{00000000-0005-0000-0000-000018650000}"/>
    <cellStyle name="Actuals 5" xfId="8159" xr:uid="{00000000-0005-0000-0000-000019650000}"/>
    <cellStyle name="Actuals 5 2" xfId="8160" xr:uid="{00000000-0005-0000-0000-00001A650000}"/>
    <cellStyle name="Actuals 6" xfId="8161" xr:uid="{00000000-0005-0000-0000-00001B650000}"/>
    <cellStyle name="Actuals 6 2" xfId="8162" xr:uid="{00000000-0005-0000-0000-00001C650000}"/>
    <cellStyle name="Actuals 7" xfId="8163" xr:uid="{00000000-0005-0000-0000-00001D650000}"/>
    <cellStyle name="Actuals 7 2" xfId="8164" xr:uid="{00000000-0005-0000-0000-00001E650000}"/>
    <cellStyle name="Actuals 8" xfId="8165" xr:uid="{00000000-0005-0000-0000-00001F650000}"/>
    <cellStyle name="Actuals 8 2" xfId="8166" xr:uid="{00000000-0005-0000-0000-000020650000}"/>
    <cellStyle name="Actuals 9" xfId="8167" xr:uid="{00000000-0005-0000-0000-000021650000}"/>
    <cellStyle name="Actuals 9 2" xfId="8168" xr:uid="{00000000-0005-0000-0000-000022650000}"/>
    <cellStyle name="adj_share" xfId="8169" xr:uid="{00000000-0005-0000-0000-000023650000}"/>
    <cellStyle name="Adjustable" xfId="8170" xr:uid="{00000000-0005-0000-0000-000024650000}"/>
    <cellStyle name="Adjusted" xfId="8171" xr:uid="{00000000-0005-0000-0000-000025650000}"/>
    <cellStyle name="Adjusted 2" xfId="8172" xr:uid="{00000000-0005-0000-0000-000026650000}"/>
    <cellStyle name="Adjusted 2 2" xfId="8173" xr:uid="{00000000-0005-0000-0000-000027650000}"/>
    <cellStyle name="Adjusted 2 3" xfId="20250" xr:uid="{00000000-0005-0000-0000-000028650000}"/>
    <cellStyle name="Adjusted 3" xfId="8174" xr:uid="{00000000-0005-0000-0000-000029650000}"/>
    <cellStyle name="Adjusted 3 2" xfId="20251" xr:uid="{00000000-0005-0000-0000-00002A650000}"/>
    <cellStyle name="Adjusted 4" xfId="8175" xr:uid="{00000000-0005-0000-0000-00002B650000}"/>
    <cellStyle name="Adjusted 4 2" xfId="20252" xr:uid="{00000000-0005-0000-0000-00002C650000}"/>
    <cellStyle name="Adjusted 5" xfId="8176" xr:uid="{00000000-0005-0000-0000-00002D650000}"/>
    <cellStyle name="Adjusted 5 2" xfId="20253" xr:uid="{00000000-0005-0000-0000-00002E650000}"/>
    <cellStyle name="Adjusted 6" xfId="20254" xr:uid="{00000000-0005-0000-0000-00002F650000}"/>
    <cellStyle name="AFE" xfId="8177" xr:uid="{00000000-0005-0000-0000-000030650000}"/>
    <cellStyle name="AFE 2" xfId="8178" xr:uid="{00000000-0005-0000-0000-000031650000}"/>
    <cellStyle name="AFE 2 2" xfId="8179" xr:uid="{00000000-0005-0000-0000-000032650000}"/>
    <cellStyle name="AFE 3" xfId="8180" xr:uid="{00000000-0005-0000-0000-000033650000}"/>
    <cellStyle name="AFE 4" xfId="8181" xr:uid="{00000000-0005-0000-0000-000034650000}"/>
    <cellStyle name="Afjusted" xfId="8182" xr:uid="{00000000-0005-0000-0000-000035650000}"/>
    <cellStyle name="Afjusted 2" xfId="8183" xr:uid="{00000000-0005-0000-0000-000036650000}"/>
    <cellStyle name="Afjusted 2 2" xfId="8184" xr:uid="{00000000-0005-0000-0000-000037650000}"/>
    <cellStyle name="Afjusted 3" xfId="8185" xr:uid="{00000000-0005-0000-0000-000038650000}"/>
    <cellStyle name="Afjusted 4" xfId="8186" xr:uid="{00000000-0005-0000-0000-000039650000}"/>
    <cellStyle name="Afjusted 5" xfId="8187" xr:uid="{00000000-0005-0000-0000-00003A650000}"/>
    <cellStyle name="ai_תנאי הצמדה " xfId="8188" xr:uid="{00000000-0005-0000-0000-00003B650000}"/>
    <cellStyle name="AIRCO" xfId="8189" xr:uid="{00000000-0005-0000-0000-00003C650000}"/>
    <cellStyle name="AIRCO 2" xfId="8190" xr:uid="{00000000-0005-0000-0000-00003D650000}"/>
    <cellStyle name="AIRCO 2 2" xfId="15950" xr:uid="{00000000-0005-0000-0000-00003E650000}"/>
    <cellStyle name="AIRCO 2 2 2" xfId="27807" xr:uid="{00000000-0005-0000-0000-00003F650000}"/>
    <cellStyle name="AIRCO 2 3" xfId="19901" xr:uid="{00000000-0005-0000-0000-000040650000}"/>
    <cellStyle name="AIRCO 2 3 2" xfId="31593" xr:uid="{00000000-0005-0000-0000-000041650000}"/>
    <cellStyle name="AIRCO 2 4" xfId="23947" xr:uid="{00000000-0005-0000-0000-000042650000}"/>
    <cellStyle name="AIRCO 3" xfId="15949" xr:uid="{00000000-0005-0000-0000-000043650000}"/>
    <cellStyle name="AIRCO 3 2" xfId="27806" xr:uid="{00000000-0005-0000-0000-000044650000}"/>
    <cellStyle name="AIRCO 4" xfId="19900" xr:uid="{00000000-0005-0000-0000-000045650000}"/>
    <cellStyle name="AIRCO 4 2" xfId="31592" xr:uid="{00000000-0005-0000-0000-000046650000}"/>
    <cellStyle name="AIRCO 5" xfId="23946" xr:uid="{00000000-0005-0000-0000-000047650000}"/>
    <cellStyle name="amount" xfId="8191" xr:uid="{00000000-0005-0000-0000-000048650000}"/>
    <cellStyle name="amount 2" xfId="8192" xr:uid="{00000000-0005-0000-0000-000049650000}"/>
    <cellStyle name="amount 2 2" xfId="8193" xr:uid="{00000000-0005-0000-0000-00004A650000}"/>
    <cellStyle name="amount 2 2 2" xfId="8194" xr:uid="{00000000-0005-0000-0000-00004B650000}"/>
    <cellStyle name="amount 2 2 2 2" xfId="15952" xr:uid="{00000000-0005-0000-0000-00004C650000}"/>
    <cellStyle name="amount 2 2 2 2 2" xfId="27809" xr:uid="{00000000-0005-0000-0000-00004D650000}"/>
    <cellStyle name="amount 2 2 2 3" xfId="19903" xr:uid="{00000000-0005-0000-0000-00004E650000}"/>
    <cellStyle name="amount 2 2 2 3 2" xfId="31595" xr:uid="{00000000-0005-0000-0000-00004F650000}"/>
    <cellStyle name="amount 2 2 2 4" xfId="23949" xr:uid="{00000000-0005-0000-0000-000050650000}"/>
    <cellStyle name="amount 2 2 3" xfId="15951" xr:uid="{00000000-0005-0000-0000-000051650000}"/>
    <cellStyle name="amount 2 2 3 2" xfId="27808" xr:uid="{00000000-0005-0000-0000-000052650000}"/>
    <cellStyle name="amount 2 2 4" xfId="19902" xr:uid="{00000000-0005-0000-0000-000053650000}"/>
    <cellStyle name="amount 2 2 4 2" xfId="31594" xr:uid="{00000000-0005-0000-0000-000054650000}"/>
    <cellStyle name="amount 2 2 5" xfId="23948" xr:uid="{00000000-0005-0000-0000-000055650000}"/>
    <cellStyle name="amount 2 3" xfId="8195" xr:uid="{00000000-0005-0000-0000-000056650000}"/>
    <cellStyle name="amount 2 3 2" xfId="8196" xr:uid="{00000000-0005-0000-0000-000057650000}"/>
    <cellStyle name="amount 2 3 2 2" xfId="15954" xr:uid="{00000000-0005-0000-0000-000058650000}"/>
    <cellStyle name="amount 2 3 2 2 2" xfId="27811" xr:uid="{00000000-0005-0000-0000-000059650000}"/>
    <cellStyle name="amount 2 3 2 3" xfId="19905" xr:uid="{00000000-0005-0000-0000-00005A650000}"/>
    <cellStyle name="amount 2 3 2 3 2" xfId="31597" xr:uid="{00000000-0005-0000-0000-00005B650000}"/>
    <cellStyle name="amount 2 3 2 4" xfId="23951" xr:uid="{00000000-0005-0000-0000-00005C650000}"/>
    <cellStyle name="amount 2 3 3" xfId="15953" xr:uid="{00000000-0005-0000-0000-00005D650000}"/>
    <cellStyle name="amount 2 3 3 2" xfId="27810" xr:uid="{00000000-0005-0000-0000-00005E650000}"/>
    <cellStyle name="amount 2 3 4" xfId="19904" xr:uid="{00000000-0005-0000-0000-00005F650000}"/>
    <cellStyle name="amount 2 3 4 2" xfId="31596" xr:uid="{00000000-0005-0000-0000-000060650000}"/>
    <cellStyle name="amount 2 3 5" xfId="23950" xr:uid="{00000000-0005-0000-0000-000061650000}"/>
    <cellStyle name="amount 2 4" xfId="8197" xr:uid="{00000000-0005-0000-0000-000062650000}"/>
    <cellStyle name="amount 2 4 2" xfId="8198" xr:uid="{00000000-0005-0000-0000-000063650000}"/>
    <cellStyle name="amount 2 4 2 2" xfId="15956" xr:uid="{00000000-0005-0000-0000-000064650000}"/>
    <cellStyle name="amount 2 4 2 2 2" xfId="27813" xr:uid="{00000000-0005-0000-0000-000065650000}"/>
    <cellStyle name="amount 2 4 2 3" xfId="19907" xr:uid="{00000000-0005-0000-0000-000066650000}"/>
    <cellStyle name="amount 2 4 2 3 2" xfId="31599" xr:uid="{00000000-0005-0000-0000-000067650000}"/>
    <cellStyle name="amount 2 4 2 4" xfId="23953" xr:uid="{00000000-0005-0000-0000-000068650000}"/>
    <cellStyle name="amount 2 4 3" xfId="15955" xr:uid="{00000000-0005-0000-0000-000069650000}"/>
    <cellStyle name="amount 2 4 3 2" xfId="27812" xr:uid="{00000000-0005-0000-0000-00006A650000}"/>
    <cellStyle name="amount 2 4 4" xfId="19906" xr:uid="{00000000-0005-0000-0000-00006B650000}"/>
    <cellStyle name="amount 2 4 4 2" xfId="31598" xr:uid="{00000000-0005-0000-0000-00006C650000}"/>
    <cellStyle name="amount 2 4 5" xfId="23952" xr:uid="{00000000-0005-0000-0000-00006D650000}"/>
    <cellStyle name="amount 2 5" xfId="8199" xr:uid="{00000000-0005-0000-0000-00006E650000}"/>
    <cellStyle name="amount 2 5 2" xfId="8200" xr:uid="{00000000-0005-0000-0000-00006F650000}"/>
    <cellStyle name="amount 2 5 2 2" xfId="15958" xr:uid="{00000000-0005-0000-0000-000070650000}"/>
    <cellStyle name="amount 2 5 2 2 2" xfId="27815" xr:uid="{00000000-0005-0000-0000-000071650000}"/>
    <cellStyle name="amount 2 5 2 3" xfId="19909" xr:uid="{00000000-0005-0000-0000-000072650000}"/>
    <cellStyle name="amount 2 5 2 3 2" xfId="31601" xr:uid="{00000000-0005-0000-0000-000073650000}"/>
    <cellStyle name="amount 2 5 2 4" xfId="23955" xr:uid="{00000000-0005-0000-0000-000074650000}"/>
    <cellStyle name="amount 2 5 3" xfId="15957" xr:uid="{00000000-0005-0000-0000-000075650000}"/>
    <cellStyle name="amount 2 5 3 2" xfId="27814" xr:uid="{00000000-0005-0000-0000-000076650000}"/>
    <cellStyle name="amount 2 5 4" xfId="19908" xr:uid="{00000000-0005-0000-0000-000077650000}"/>
    <cellStyle name="amount 2 5 4 2" xfId="31600" xr:uid="{00000000-0005-0000-0000-000078650000}"/>
    <cellStyle name="amount 2 5 5" xfId="23954" xr:uid="{00000000-0005-0000-0000-000079650000}"/>
    <cellStyle name="amount 3" xfId="8201" xr:uid="{00000000-0005-0000-0000-00007A650000}"/>
    <cellStyle name="amount 3 2" xfId="8202" xr:uid="{00000000-0005-0000-0000-00007B650000}"/>
    <cellStyle name="amount 3 2 2" xfId="8203" xr:uid="{00000000-0005-0000-0000-00007C650000}"/>
    <cellStyle name="amount 3 2 2 2" xfId="15961" xr:uid="{00000000-0005-0000-0000-00007D650000}"/>
    <cellStyle name="amount 3 2 2 2 2" xfId="27818" xr:uid="{00000000-0005-0000-0000-00007E650000}"/>
    <cellStyle name="amount 3 2 2 3" xfId="19912" xr:uid="{00000000-0005-0000-0000-00007F650000}"/>
    <cellStyle name="amount 3 2 2 3 2" xfId="31604" xr:uid="{00000000-0005-0000-0000-000080650000}"/>
    <cellStyle name="amount 3 2 2 4" xfId="23958" xr:uid="{00000000-0005-0000-0000-000081650000}"/>
    <cellStyle name="amount 3 2 3" xfId="15960" xr:uid="{00000000-0005-0000-0000-000082650000}"/>
    <cellStyle name="amount 3 2 3 2" xfId="27817" xr:uid="{00000000-0005-0000-0000-000083650000}"/>
    <cellStyle name="amount 3 2 4" xfId="19911" xr:uid="{00000000-0005-0000-0000-000084650000}"/>
    <cellStyle name="amount 3 2 4 2" xfId="31603" xr:uid="{00000000-0005-0000-0000-000085650000}"/>
    <cellStyle name="amount 3 2 5" xfId="23957" xr:uid="{00000000-0005-0000-0000-000086650000}"/>
    <cellStyle name="amount 3 3" xfId="8204" xr:uid="{00000000-0005-0000-0000-000087650000}"/>
    <cellStyle name="amount 3 3 2" xfId="8205" xr:uid="{00000000-0005-0000-0000-000088650000}"/>
    <cellStyle name="amount 3 3 2 2" xfId="15963" xr:uid="{00000000-0005-0000-0000-000089650000}"/>
    <cellStyle name="amount 3 3 2 2 2" xfId="27820" xr:uid="{00000000-0005-0000-0000-00008A650000}"/>
    <cellStyle name="amount 3 3 2 3" xfId="19914" xr:uid="{00000000-0005-0000-0000-00008B650000}"/>
    <cellStyle name="amount 3 3 2 3 2" xfId="31606" xr:uid="{00000000-0005-0000-0000-00008C650000}"/>
    <cellStyle name="amount 3 3 2 4" xfId="23960" xr:uid="{00000000-0005-0000-0000-00008D650000}"/>
    <cellStyle name="amount 3 3 3" xfId="15962" xr:uid="{00000000-0005-0000-0000-00008E650000}"/>
    <cellStyle name="amount 3 3 3 2" xfId="27819" xr:uid="{00000000-0005-0000-0000-00008F650000}"/>
    <cellStyle name="amount 3 3 4" xfId="19913" xr:uid="{00000000-0005-0000-0000-000090650000}"/>
    <cellStyle name="amount 3 3 4 2" xfId="31605" xr:uid="{00000000-0005-0000-0000-000091650000}"/>
    <cellStyle name="amount 3 3 5" xfId="23959" xr:uid="{00000000-0005-0000-0000-000092650000}"/>
    <cellStyle name="amount 3 4" xfId="8206" xr:uid="{00000000-0005-0000-0000-000093650000}"/>
    <cellStyle name="amount 3 4 2" xfId="8207" xr:uid="{00000000-0005-0000-0000-000094650000}"/>
    <cellStyle name="amount 3 4 2 2" xfId="15965" xr:uid="{00000000-0005-0000-0000-000095650000}"/>
    <cellStyle name="amount 3 4 2 2 2" xfId="27822" xr:uid="{00000000-0005-0000-0000-000096650000}"/>
    <cellStyle name="amount 3 4 2 3" xfId="19916" xr:uid="{00000000-0005-0000-0000-000097650000}"/>
    <cellStyle name="amount 3 4 2 3 2" xfId="31608" xr:uid="{00000000-0005-0000-0000-000098650000}"/>
    <cellStyle name="amount 3 4 2 4" xfId="23962" xr:uid="{00000000-0005-0000-0000-000099650000}"/>
    <cellStyle name="amount 3 4 3" xfId="15964" xr:uid="{00000000-0005-0000-0000-00009A650000}"/>
    <cellStyle name="amount 3 4 3 2" xfId="27821" xr:uid="{00000000-0005-0000-0000-00009B650000}"/>
    <cellStyle name="amount 3 4 4" xfId="19915" xr:uid="{00000000-0005-0000-0000-00009C650000}"/>
    <cellStyle name="amount 3 4 4 2" xfId="31607" xr:uid="{00000000-0005-0000-0000-00009D650000}"/>
    <cellStyle name="amount 3 4 5" xfId="23961" xr:uid="{00000000-0005-0000-0000-00009E650000}"/>
    <cellStyle name="amount 3 5" xfId="8208" xr:uid="{00000000-0005-0000-0000-00009F650000}"/>
    <cellStyle name="amount 3 5 2" xfId="8209" xr:uid="{00000000-0005-0000-0000-0000A0650000}"/>
    <cellStyle name="amount 3 5 2 2" xfId="15967" xr:uid="{00000000-0005-0000-0000-0000A1650000}"/>
    <cellStyle name="amount 3 5 2 2 2" xfId="27824" xr:uid="{00000000-0005-0000-0000-0000A2650000}"/>
    <cellStyle name="amount 3 5 2 3" xfId="19918" xr:uid="{00000000-0005-0000-0000-0000A3650000}"/>
    <cellStyle name="amount 3 5 2 3 2" xfId="31610" xr:uid="{00000000-0005-0000-0000-0000A4650000}"/>
    <cellStyle name="amount 3 5 2 4" xfId="23964" xr:uid="{00000000-0005-0000-0000-0000A5650000}"/>
    <cellStyle name="amount 3 5 3" xfId="15966" xr:uid="{00000000-0005-0000-0000-0000A6650000}"/>
    <cellStyle name="amount 3 5 3 2" xfId="27823" xr:uid="{00000000-0005-0000-0000-0000A7650000}"/>
    <cellStyle name="amount 3 5 4" xfId="19917" xr:uid="{00000000-0005-0000-0000-0000A8650000}"/>
    <cellStyle name="amount 3 5 4 2" xfId="31609" xr:uid="{00000000-0005-0000-0000-0000A9650000}"/>
    <cellStyle name="amount 3 5 5" xfId="23963" xr:uid="{00000000-0005-0000-0000-0000AA650000}"/>
    <cellStyle name="amount 3 6" xfId="15959" xr:uid="{00000000-0005-0000-0000-0000AB650000}"/>
    <cellStyle name="amount 3 6 2" xfId="27816" xr:uid="{00000000-0005-0000-0000-0000AC650000}"/>
    <cellStyle name="amount 3 7" xfId="19910" xr:uid="{00000000-0005-0000-0000-0000AD650000}"/>
    <cellStyle name="amount 3 7 2" xfId="31602" xr:uid="{00000000-0005-0000-0000-0000AE650000}"/>
    <cellStyle name="amount 3 8" xfId="23956" xr:uid="{00000000-0005-0000-0000-0000AF650000}"/>
    <cellStyle name="amount 4" xfId="8210" xr:uid="{00000000-0005-0000-0000-0000B0650000}"/>
    <cellStyle name="amount 4 2" xfId="8211" xr:uid="{00000000-0005-0000-0000-0000B1650000}"/>
    <cellStyle name="amount 4 2 2" xfId="15969" xr:uid="{00000000-0005-0000-0000-0000B2650000}"/>
    <cellStyle name="amount 4 2 2 2" xfId="27826" xr:uid="{00000000-0005-0000-0000-0000B3650000}"/>
    <cellStyle name="amount 4 2 3" xfId="19920" xr:uid="{00000000-0005-0000-0000-0000B4650000}"/>
    <cellStyle name="amount 4 2 3 2" xfId="31612" xr:uid="{00000000-0005-0000-0000-0000B5650000}"/>
    <cellStyle name="amount 4 2 4" xfId="23966" xr:uid="{00000000-0005-0000-0000-0000B6650000}"/>
    <cellStyle name="amount 4 3" xfId="15968" xr:uid="{00000000-0005-0000-0000-0000B7650000}"/>
    <cellStyle name="amount 4 3 2" xfId="27825" xr:uid="{00000000-0005-0000-0000-0000B8650000}"/>
    <cellStyle name="amount 4 4" xfId="19919" xr:uid="{00000000-0005-0000-0000-0000B9650000}"/>
    <cellStyle name="amount 4 4 2" xfId="31611" xr:uid="{00000000-0005-0000-0000-0000BA650000}"/>
    <cellStyle name="amount 4 5" xfId="23965" xr:uid="{00000000-0005-0000-0000-0000BB650000}"/>
    <cellStyle name="amount 5" xfId="8212" xr:uid="{00000000-0005-0000-0000-0000BC650000}"/>
    <cellStyle name="amount 5 2" xfId="8213" xr:uid="{00000000-0005-0000-0000-0000BD650000}"/>
    <cellStyle name="amount 5 2 2" xfId="15971" xr:uid="{00000000-0005-0000-0000-0000BE650000}"/>
    <cellStyle name="amount 5 2 2 2" xfId="27828" xr:uid="{00000000-0005-0000-0000-0000BF650000}"/>
    <cellStyle name="amount 5 2 3" xfId="19922" xr:uid="{00000000-0005-0000-0000-0000C0650000}"/>
    <cellStyle name="amount 5 2 3 2" xfId="31614" xr:uid="{00000000-0005-0000-0000-0000C1650000}"/>
    <cellStyle name="amount 5 2 4" xfId="23968" xr:uid="{00000000-0005-0000-0000-0000C2650000}"/>
    <cellStyle name="amount 5 3" xfId="15970" xr:uid="{00000000-0005-0000-0000-0000C3650000}"/>
    <cellStyle name="amount 5 3 2" xfId="27827" xr:uid="{00000000-0005-0000-0000-0000C4650000}"/>
    <cellStyle name="amount 5 4" xfId="19921" xr:uid="{00000000-0005-0000-0000-0000C5650000}"/>
    <cellStyle name="amount 5 4 2" xfId="31613" xr:uid="{00000000-0005-0000-0000-0000C6650000}"/>
    <cellStyle name="amount 5 5" xfId="23967" xr:uid="{00000000-0005-0000-0000-0000C7650000}"/>
    <cellStyle name="amount 6" xfId="8214" xr:uid="{00000000-0005-0000-0000-0000C8650000}"/>
    <cellStyle name="amount 6 2" xfId="8215" xr:uid="{00000000-0005-0000-0000-0000C9650000}"/>
    <cellStyle name="amount 6 2 2" xfId="15973" xr:uid="{00000000-0005-0000-0000-0000CA650000}"/>
    <cellStyle name="amount 6 2 2 2" xfId="27830" xr:uid="{00000000-0005-0000-0000-0000CB650000}"/>
    <cellStyle name="amount 6 2 3" xfId="19924" xr:uid="{00000000-0005-0000-0000-0000CC650000}"/>
    <cellStyle name="amount 6 2 3 2" xfId="31616" xr:uid="{00000000-0005-0000-0000-0000CD650000}"/>
    <cellStyle name="amount 6 2 4" xfId="23970" xr:uid="{00000000-0005-0000-0000-0000CE650000}"/>
    <cellStyle name="amount 6 3" xfId="15972" xr:uid="{00000000-0005-0000-0000-0000CF650000}"/>
    <cellStyle name="amount 6 3 2" xfId="27829" xr:uid="{00000000-0005-0000-0000-0000D0650000}"/>
    <cellStyle name="amount 6 4" xfId="19923" xr:uid="{00000000-0005-0000-0000-0000D1650000}"/>
    <cellStyle name="amount 6 4 2" xfId="31615" xr:uid="{00000000-0005-0000-0000-0000D2650000}"/>
    <cellStyle name="amount 6 5" xfId="23969" xr:uid="{00000000-0005-0000-0000-0000D3650000}"/>
    <cellStyle name="amount 7" xfId="8216" xr:uid="{00000000-0005-0000-0000-0000D4650000}"/>
    <cellStyle name="amount 7 2" xfId="8217" xr:uid="{00000000-0005-0000-0000-0000D5650000}"/>
    <cellStyle name="amount 7 2 2" xfId="15975" xr:uid="{00000000-0005-0000-0000-0000D6650000}"/>
    <cellStyle name="amount 7 2 2 2" xfId="27832" xr:uid="{00000000-0005-0000-0000-0000D7650000}"/>
    <cellStyle name="amount 7 2 3" xfId="19926" xr:uid="{00000000-0005-0000-0000-0000D8650000}"/>
    <cellStyle name="amount 7 2 3 2" xfId="31618" xr:uid="{00000000-0005-0000-0000-0000D9650000}"/>
    <cellStyle name="amount 7 2 4" xfId="23972" xr:uid="{00000000-0005-0000-0000-0000DA650000}"/>
    <cellStyle name="amount 7 3" xfId="15974" xr:uid="{00000000-0005-0000-0000-0000DB650000}"/>
    <cellStyle name="amount 7 3 2" xfId="27831" xr:uid="{00000000-0005-0000-0000-0000DC650000}"/>
    <cellStyle name="amount 7 4" xfId="19925" xr:uid="{00000000-0005-0000-0000-0000DD650000}"/>
    <cellStyle name="amount 7 4 2" xfId="31617" xr:uid="{00000000-0005-0000-0000-0000DE650000}"/>
    <cellStyle name="amount 7 5" xfId="23971" xr:uid="{00000000-0005-0000-0000-0000DF650000}"/>
    <cellStyle name="Ana Başlık" xfId="16357" xr:uid="{00000000-0005-0000-0000-0000E0650000}"/>
    <cellStyle name="Andre's Title" xfId="16358" xr:uid="{00000000-0005-0000-0000-0000E1650000}"/>
    <cellStyle name="Ann'l_Incr" xfId="8218" xr:uid="{00000000-0005-0000-0000-0000E2650000}"/>
    <cellStyle name="args.style" xfId="8219" xr:uid="{00000000-0005-0000-0000-0000E3650000}"/>
    <cellStyle name="args.style 10" xfId="8220" xr:uid="{00000000-0005-0000-0000-0000E4650000}"/>
    <cellStyle name="args.style 10 2" xfId="8221" xr:uid="{00000000-0005-0000-0000-0000E5650000}"/>
    <cellStyle name="args.style 11" xfId="8222" xr:uid="{00000000-0005-0000-0000-0000E6650000}"/>
    <cellStyle name="args.style 11 2" xfId="8223" xr:uid="{00000000-0005-0000-0000-0000E7650000}"/>
    <cellStyle name="args.style 12" xfId="8224" xr:uid="{00000000-0005-0000-0000-0000E8650000}"/>
    <cellStyle name="args.style 12 2" xfId="8225" xr:uid="{00000000-0005-0000-0000-0000E9650000}"/>
    <cellStyle name="args.style 13" xfId="8226" xr:uid="{00000000-0005-0000-0000-0000EA650000}"/>
    <cellStyle name="args.style 13 2" xfId="8227" xr:uid="{00000000-0005-0000-0000-0000EB650000}"/>
    <cellStyle name="args.style 14" xfId="8228" xr:uid="{00000000-0005-0000-0000-0000EC650000}"/>
    <cellStyle name="args.style 15" xfId="8229" xr:uid="{00000000-0005-0000-0000-0000ED650000}"/>
    <cellStyle name="args.style 16" xfId="8230" xr:uid="{00000000-0005-0000-0000-0000EE650000}"/>
    <cellStyle name="args.style 17" xfId="8231" xr:uid="{00000000-0005-0000-0000-0000EF650000}"/>
    <cellStyle name="args.style 18" xfId="8232" xr:uid="{00000000-0005-0000-0000-0000F0650000}"/>
    <cellStyle name="args.style 2" xfId="8233" xr:uid="{00000000-0005-0000-0000-0000F1650000}"/>
    <cellStyle name="args.style 2 10" xfId="8234" xr:uid="{00000000-0005-0000-0000-0000F2650000}"/>
    <cellStyle name="args.style 2 2" xfId="8235" xr:uid="{00000000-0005-0000-0000-0000F3650000}"/>
    <cellStyle name="args.style 2 2 2" xfId="8236" xr:uid="{00000000-0005-0000-0000-0000F4650000}"/>
    <cellStyle name="args.style 2 2 2 2" xfId="8237" xr:uid="{00000000-0005-0000-0000-0000F5650000}"/>
    <cellStyle name="args.style 2 2 2 2 2" xfId="8238" xr:uid="{00000000-0005-0000-0000-0000F6650000}"/>
    <cellStyle name="args.style 2 2 2 2 3" xfId="8239" xr:uid="{00000000-0005-0000-0000-0000F7650000}"/>
    <cellStyle name="args.style 2 2 2 2 4" xfId="8240" xr:uid="{00000000-0005-0000-0000-0000F8650000}"/>
    <cellStyle name="args.style 2 2 2 2 5" xfId="8241" xr:uid="{00000000-0005-0000-0000-0000F9650000}"/>
    <cellStyle name="args.style 2 2 2 2 6" xfId="8242" xr:uid="{00000000-0005-0000-0000-0000FA650000}"/>
    <cellStyle name="args.style 2 2 2 2 7" xfId="8243" xr:uid="{00000000-0005-0000-0000-0000FB650000}"/>
    <cellStyle name="args.style 2 2 2 2 8" xfId="8244" xr:uid="{00000000-0005-0000-0000-0000FC650000}"/>
    <cellStyle name="args.style 2 2 2 3" xfId="8245" xr:uid="{00000000-0005-0000-0000-0000FD650000}"/>
    <cellStyle name="args.style 2 2 2 4" xfId="8246" xr:uid="{00000000-0005-0000-0000-0000FE650000}"/>
    <cellStyle name="args.style 2 2 2 5" xfId="8247" xr:uid="{00000000-0005-0000-0000-0000FF650000}"/>
    <cellStyle name="args.style 2 2 2 6" xfId="8248" xr:uid="{00000000-0005-0000-0000-000000660000}"/>
    <cellStyle name="args.style 2 2 2 7" xfId="8249" xr:uid="{00000000-0005-0000-0000-000001660000}"/>
    <cellStyle name="args.style 2 2 2 8" xfId="8250" xr:uid="{00000000-0005-0000-0000-000002660000}"/>
    <cellStyle name="args.style 2 2 3" xfId="8251" xr:uid="{00000000-0005-0000-0000-000003660000}"/>
    <cellStyle name="args.style 2 2 4" xfId="8252" xr:uid="{00000000-0005-0000-0000-000004660000}"/>
    <cellStyle name="args.style 2 2 5" xfId="8253" xr:uid="{00000000-0005-0000-0000-000005660000}"/>
    <cellStyle name="args.style 2 2 6" xfId="8254" xr:uid="{00000000-0005-0000-0000-000006660000}"/>
    <cellStyle name="args.style 2 2 7" xfId="8255" xr:uid="{00000000-0005-0000-0000-000007660000}"/>
    <cellStyle name="args.style 2 2 8" xfId="8256" xr:uid="{00000000-0005-0000-0000-000008660000}"/>
    <cellStyle name="args.style 2 3" xfId="8257" xr:uid="{00000000-0005-0000-0000-000009660000}"/>
    <cellStyle name="args.style 2 3 2" xfId="8258" xr:uid="{00000000-0005-0000-0000-00000A660000}"/>
    <cellStyle name="args.style 2 3 3" xfId="8259" xr:uid="{00000000-0005-0000-0000-00000B660000}"/>
    <cellStyle name="args.style 2 3 4" xfId="8260" xr:uid="{00000000-0005-0000-0000-00000C660000}"/>
    <cellStyle name="args.style 2 3 5" xfId="8261" xr:uid="{00000000-0005-0000-0000-00000D660000}"/>
    <cellStyle name="args.style 2 3 6" xfId="8262" xr:uid="{00000000-0005-0000-0000-00000E660000}"/>
    <cellStyle name="args.style 2 3 7" xfId="8263" xr:uid="{00000000-0005-0000-0000-00000F660000}"/>
    <cellStyle name="args.style 2 3 8" xfId="8264" xr:uid="{00000000-0005-0000-0000-000010660000}"/>
    <cellStyle name="args.style 2 4" xfId="8265" xr:uid="{00000000-0005-0000-0000-000011660000}"/>
    <cellStyle name="args.style 2 5" xfId="8266" xr:uid="{00000000-0005-0000-0000-000012660000}"/>
    <cellStyle name="args.style 2 6" xfId="8267" xr:uid="{00000000-0005-0000-0000-000013660000}"/>
    <cellStyle name="args.style 2 7" xfId="8268" xr:uid="{00000000-0005-0000-0000-000014660000}"/>
    <cellStyle name="args.style 2 8" xfId="8269" xr:uid="{00000000-0005-0000-0000-000015660000}"/>
    <cellStyle name="args.style 2 9" xfId="8270" xr:uid="{00000000-0005-0000-0000-000016660000}"/>
    <cellStyle name="args.style 3" xfId="8271" xr:uid="{00000000-0005-0000-0000-000017660000}"/>
    <cellStyle name="args.style 3 10" xfId="8272" xr:uid="{00000000-0005-0000-0000-000018660000}"/>
    <cellStyle name="args.style 3 2" xfId="8273" xr:uid="{00000000-0005-0000-0000-000019660000}"/>
    <cellStyle name="args.style 3 2 2" xfId="8274" xr:uid="{00000000-0005-0000-0000-00001A660000}"/>
    <cellStyle name="args.style 3 2 2 2" xfId="8275" xr:uid="{00000000-0005-0000-0000-00001B660000}"/>
    <cellStyle name="args.style 3 2 2 2 2" xfId="8276" xr:uid="{00000000-0005-0000-0000-00001C660000}"/>
    <cellStyle name="args.style 3 2 2 2 3" xfId="8277" xr:uid="{00000000-0005-0000-0000-00001D660000}"/>
    <cellStyle name="args.style 3 2 2 2 4" xfId="8278" xr:uid="{00000000-0005-0000-0000-00001E660000}"/>
    <cellStyle name="args.style 3 2 2 2 5" xfId="8279" xr:uid="{00000000-0005-0000-0000-00001F660000}"/>
    <cellStyle name="args.style 3 2 2 2 6" xfId="8280" xr:uid="{00000000-0005-0000-0000-000020660000}"/>
    <cellStyle name="args.style 3 2 2 2 7" xfId="8281" xr:uid="{00000000-0005-0000-0000-000021660000}"/>
    <cellStyle name="args.style 3 2 2 2 8" xfId="8282" xr:uid="{00000000-0005-0000-0000-000022660000}"/>
    <cellStyle name="args.style 3 2 2 3" xfId="8283" xr:uid="{00000000-0005-0000-0000-000023660000}"/>
    <cellStyle name="args.style 3 2 2 4" xfId="8284" xr:uid="{00000000-0005-0000-0000-000024660000}"/>
    <cellStyle name="args.style 3 2 2 5" xfId="8285" xr:uid="{00000000-0005-0000-0000-000025660000}"/>
    <cellStyle name="args.style 3 2 2 6" xfId="8286" xr:uid="{00000000-0005-0000-0000-000026660000}"/>
    <cellStyle name="args.style 3 2 2 7" xfId="8287" xr:uid="{00000000-0005-0000-0000-000027660000}"/>
    <cellStyle name="args.style 3 2 2 8" xfId="8288" xr:uid="{00000000-0005-0000-0000-000028660000}"/>
    <cellStyle name="args.style 3 2 3" xfId="8289" xr:uid="{00000000-0005-0000-0000-000029660000}"/>
    <cellStyle name="args.style 3 2 4" xfId="8290" xr:uid="{00000000-0005-0000-0000-00002A660000}"/>
    <cellStyle name="args.style 3 2 5" xfId="8291" xr:uid="{00000000-0005-0000-0000-00002B660000}"/>
    <cellStyle name="args.style 3 2 6" xfId="8292" xr:uid="{00000000-0005-0000-0000-00002C660000}"/>
    <cellStyle name="args.style 3 2 7" xfId="8293" xr:uid="{00000000-0005-0000-0000-00002D660000}"/>
    <cellStyle name="args.style 3 2 8" xfId="8294" xr:uid="{00000000-0005-0000-0000-00002E660000}"/>
    <cellStyle name="args.style 3 3" xfId="8295" xr:uid="{00000000-0005-0000-0000-00002F660000}"/>
    <cellStyle name="args.style 3 3 2" xfId="8296" xr:uid="{00000000-0005-0000-0000-000030660000}"/>
    <cellStyle name="args.style 3 3 3" xfId="8297" xr:uid="{00000000-0005-0000-0000-000031660000}"/>
    <cellStyle name="args.style 3 3 4" xfId="8298" xr:uid="{00000000-0005-0000-0000-000032660000}"/>
    <cellStyle name="args.style 3 3 5" xfId="8299" xr:uid="{00000000-0005-0000-0000-000033660000}"/>
    <cellStyle name="args.style 3 3 6" xfId="8300" xr:uid="{00000000-0005-0000-0000-000034660000}"/>
    <cellStyle name="args.style 3 3 7" xfId="8301" xr:uid="{00000000-0005-0000-0000-000035660000}"/>
    <cellStyle name="args.style 3 3 8" xfId="8302" xr:uid="{00000000-0005-0000-0000-000036660000}"/>
    <cellStyle name="args.style 3 4" xfId="8303" xr:uid="{00000000-0005-0000-0000-000037660000}"/>
    <cellStyle name="args.style 3 5" xfId="8304" xr:uid="{00000000-0005-0000-0000-000038660000}"/>
    <cellStyle name="args.style 3 6" xfId="8305" xr:uid="{00000000-0005-0000-0000-000039660000}"/>
    <cellStyle name="args.style 3 7" xfId="8306" xr:uid="{00000000-0005-0000-0000-00003A660000}"/>
    <cellStyle name="args.style 3 8" xfId="8307" xr:uid="{00000000-0005-0000-0000-00003B660000}"/>
    <cellStyle name="args.style 3 9" xfId="8308" xr:uid="{00000000-0005-0000-0000-00003C660000}"/>
    <cellStyle name="args.style 4" xfId="8309" xr:uid="{00000000-0005-0000-0000-00003D660000}"/>
    <cellStyle name="args.style 4 2" xfId="8310" xr:uid="{00000000-0005-0000-0000-00003E660000}"/>
    <cellStyle name="args.style 4 2 2" xfId="8311" xr:uid="{00000000-0005-0000-0000-00003F660000}"/>
    <cellStyle name="args.style 4 2 2 2" xfId="8312" xr:uid="{00000000-0005-0000-0000-000040660000}"/>
    <cellStyle name="args.style 4 3" xfId="8313" xr:uid="{00000000-0005-0000-0000-000041660000}"/>
    <cellStyle name="args.style 4 4" xfId="8314" xr:uid="{00000000-0005-0000-0000-000042660000}"/>
    <cellStyle name="args.style 5" xfId="8315" xr:uid="{00000000-0005-0000-0000-000043660000}"/>
    <cellStyle name="args.style 5 2" xfId="8316" xr:uid="{00000000-0005-0000-0000-000044660000}"/>
    <cellStyle name="args.style 5 2 2" xfId="8317" xr:uid="{00000000-0005-0000-0000-000045660000}"/>
    <cellStyle name="args.style 5 2 3" xfId="8318" xr:uid="{00000000-0005-0000-0000-000046660000}"/>
    <cellStyle name="args.style 5 3" xfId="8319" xr:uid="{00000000-0005-0000-0000-000047660000}"/>
    <cellStyle name="args.style 5 4" xfId="8320" xr:uid="{00000000-0005-0000-0000-000048660000}"/>
    <cellStyle name="args.style 5 5" xfId="8321" xr:uid="{00000000-0005-0000-0000-000049660000}"/>
    <cellStyle name="args.style 6" xfId="8322" xr:uid="{00000000-0005-0000-0000-00004A660000}"/>
    <cellStyle name="args.style 6 2" xfId="8323" xr:uid="{00000000-0005-0000-0000-00004B660000}"/>
    <cellStyle name="args.style 6 3" xfId="8324" xr:uid="{00000000-0005-0000-0000-00004C660000}"/>
    <cellStyle name="args.style 6 4" xfId="8325" xr:uid="{00000000-0005-0000-0000-00004D660000}"/>
    <cellStyle name="args.style 7" xfId="8326" xr:uid="{00000000-0005-0000-0000-00004E660000}"/>
    <cellStyle name="args.style 7 2" xfId="8327" xr:uid="{00000000-0005-0000-0000-00004F660000}"/>
    <cellStyle name="args.style 8" xfId="8328" xr:uid="{00000000-0005-0000-0000-000050660000}"/>
    <cellStyle name="args.style 8 2" xfId="8329" xr:uid="{00000000-0005-0000-0000-000051660000}"/>
    <cellStyle name="args.style 9" xfId="8330" xr:uid="{00000000-0005-0000-0000-000052660000}"/>
    <cellStyle name="args.style 9 2" xfId="8331" xr:uid="{00000000-0005-0000-0000-000053660000}"/>
    <cellStyle name="Arial 10" xfId="8332" xr:uid="{00000000-0005-0000-0000-000054660000}"/>
    <cellStyle name="Arial 10 10" xfId="8333" xr:uid="{00000000-0005-0000-0000-000055660000}"/>
    <cellStyle name="Arial 10 10 2" xfId="8334" xr:uid="{00000000-0005-0000-0000-000056660000}"/>
    <cellStyle name="Arial 10 10 3" xfId="8335" xr:uid="{00000000-0005-0000-0000-000057660000}"/>
    <cellStyle name="Arial 10 11" xfId="8336" xr:uid="{00000000-0005-0000-0000-000058660000}"/>
    <cellStyle name="Arial 10 11 2" xfId="8337" xr:uid="{00000000-0005-0000-0000-000059660000}"/>
    <cellStyle name="Arial 10 11 2 2" xfId="8338" xr:uid="{00000000-0005-0000-0000-00005A660000}"/>
    <cellStyle name="Arial 10 11 2 3" xfId="8339" xr:uid="{00000000-0005-0000-0000-00005B660000}"/>
    <cellStyle name="Arial 10 11 3" xfId="8340" xr:uid="{00000000-0005-0000-0000-00005C660000}"/>
    <cellStyle name="Arial 10 12" xfId="8341" xr:uid="{00000000-0005-0000-0000-00005D660000}"/>
    <cellStyle name="Arial 10 13" xfId="8342" xr:uid="{00000000-0005-0000-0000-00005E660000}"/>
    <cellStyle name="Arial 10 14" xfId="8343" xr:uid="{00000000-0005-0000-0000-00005F660000}"/>
    <cellStyle name="Arial 10 15" xfId="8344" xr:uid="{00000000-0005-0000-0000-000060660000}"/>
    <cellStyle name="Arial 10 16" xfId="8345" xr:uid="{00000000-0005-0000-0000-000061660000}"/>
    <cellStyle name="Arial 10 17" xfId="8346" xr:uid="{00000000-0005-0000-0000-000062660000}"/>
    <cellStyle name="Arial 10 2" xfId="8347" xr:uid="{00000000-0005-0000-0000-000063660000}"/>
    <cellStyle name="Arial 10 2 10" xfId="8348" xr:uid="{00000000-0005-0000-0000-000064660000}"/>
    <cellStyle name="Arial 10 2 11" xfId="8349" xr:uid="{00000000-0005-0000-0000-000065660000}"/>
    <cellStyle name="Arial 10 2 12" xfId="8350" xr:uid="{00000000-0005-0000-0000-000066660000}"/>
    <cellStyle name="Arial 10 2 2" xfId="8351" xr:uid="{00000000-0005-0000-0000-000067660000}"/>
    <cellStyle name="Arial 10 2 2 2" xfId="8352" xr:uid="{00000000-0005-0000-0000-000068660000}"/>
    <cellStyle name="Arial 10 2 2 2 2" xfId="8353" xr:uid="{00000000-0005-0000-0000-000069660000}"/>
    <cellStyle name="Arial 10 2 2 2 2 2" xfId="8354" xr:uid="{00000000-0005-0000-0000-00006A660000}"/>
    <cellStyle name="Arial 10 2 2 2 2 2 2" xfId="8355" xr:uid="{00000000-0005-0000-0000-00006B660000}"/>
    <cellStyle name="Arial 10 2 2 2 2 2 3" xfId="8356" xr:uid="{00000000-0005-0000-0000-00006C660000}"/>
    <cellStyle name="Arial 10 2 2 2 2 2 4" xfId="8357" xr:uid="{00000000-0005-0000-0000-00006D660000}"/>
    <cellStyle name="Arial 10 2 2 2 2 2 5" xfId="8358" xr:uid="{00000000-0005-0000-0000-00006E660000}"/>
    <cellStyle name="Arial 10 2 2 2 2 2 6" xfId="8359" xr:uid="{00000000-0005-0000-0000-00006F660000}"/>
    <cellStyle name="Arial 10 2 2 2 2 2 7" xfId="8360" xr:uid="{00000000-0005-0000-0000-000070660000}"/>
    <cellStyle name="Arial 10 2 2 2 2 2 8" xfId="8361" xr:uid="{00000000-0005-0000-0000-000071660000}"/>
    <cellStyle name="Arial 10 2 2 2 2 3" xfId="8362" xr:uid="{00000000-0005-0000-0000-000072660000}"/>
    <cellStyle name="Arial 10 2 2 2 2 4" xfId="8363" xr:uid="{00000000-0005-0000-0000-000073660000}"/>
    <cellStyle name="Arial 10 2 2 2 2 5" xfId="8364" xr:uid="{00000000-0005-0000-0000-000074660000}"/>
    <cellStyle name="Arial 10 2 2 2 2 6" xfId="8365" xr:uid="{00000000-0005-0000-0000-000075660000}"/>
    <cellStyle name="Arial 10 2 2 2 2 7" xfId="8366" xr:uid="{00000000-0005-0000-0000-000076660000}"/>
    <cellStyle name="Arial 10 2 2 2 2 8" xfId="8367" xr:uid="{00000000-0005-0000-0000-000077660000}"/>
    <cellStyle name="Arial 10 2 2 2 2 9" xfId="8368" xr:uid="{00000000-0005-0000-0000-000078660000}"/>
    <cellStyle name="Arial 10 2 2 2 3" xfId="8369" xr:uid="{00000000-0005-0000-0000-000079660000}"/>
    <cellStyle name="Arial 10 2 2 2 4" xfId="8370" xr:uid="{00000000-0005-0000-0000-00007A660000}"/>
    <cellStyle name="Arial 10 2 2 2 5" xfId="8371" xr:uid="{00000000-0005-0000-0000-00007B660000}"/>
    <cellStyle name="Arial 10 2 2 2 6" xfId="8372" xr:uid="{00000000-0005-0000-0000-00007C660000}"/>
    <cellStyle name="Arial 10 2 2 2 7" xfId="8373" xr:uid="{00000000-0005-0000-0000-00007D660000}"/>
    <cellStyle name="Arial 10 2 2 2 8" xfId="8374" xr:uid="{00000000-0005-0000-0000-00007E660000}"/>
    <cellStyle name="Arial 10 2 2 2 9" xfId="8375" xr:uid="{00000000-0005-0000-0000-00007F660000}"/>
    <cellStyle name="Arial 10 2 2 3" xfId="8376" xr:uid="{00000000-0005-0000-0000-000080660000}"/>
    <cellStyle name="Arial 10 2 2 4" xfId="8377" xr:uid="{00000000-0005-0000-0000-000081660000}"/>
    <cellStyle name="Arial 10 2 2 5" xfId="8378" xr:uid="{00000000-0005-0000-0000-000082660000}"/>
    <cellStyle name="Arial 10 2 2 6" xfId="8379" xr:uid="{00000000-0005-0000-0000-000083660000}"/>
    <cellStyle name="Arial 10 2 2 7" xfId="8380" xr:uid="{00000000-0005-0000-0000-000084660000}"/>
    <cellStyle name="Arial 10 2 2 8" xfId="8381" xr:uid="{00000000-0005-0000-0000-000085660000}"/>
    <cellStyle name="Arial 10 2 2 9" xfId="8382" xr:uid="{00000000-0005-0000-0000-000086660000}"/>
    <cellStyle name="Arial 10 2 3" xfId="8383" xr:uid="{00000000-0005-0000-0000-000087660000}"/>
    <cellStyle name="Arial 10 2 4" xfId="8384" xr:uid="{00000000-0005-0000-0000-000088660000}"/>
    <cellStyle name="Arial 10 2 5" xfId="8385" xr:uid="{00000000-0005-0000-0000-000089660000}"/>
    <cellStyle name="Arial 10 2 6" xfId="8386" xr:uid="{00000000-0005-0000-0000-00008A660000}"/>
    <cellStyle name="Arial 10 2 7" xfId="8387" xr:uid="{00000000-0005-0000-0000-00008B660000}"/>
    <cellStyle name="Arial 10 2 8" xfId="8388" xr:uid="{00000000-0005-0000-0000-00008C660000}"/>
    <cellStyle name="Arial 10 2 9" xfId="8389" xr:uid="{00000000-0005-0000-0000-00008D660000}"/>
    <cellStyle name="Arial 10 3" xfId="8390" xr:uid="{00000000-0005-0000-0000-00008E660000}"/>
    <cellStyle name="Arial 10 3 2" xfId="8391" xr:uid="{00000000-0005-0000-0000-00008F660000}"/>
    <cellStyle name="Arial 10 3 3" xfId="8392" xr:uid="{00000000-0005-0000-0000-000090660000}"/>
    <cellStyle name="Arial 10 3 4" xfId="8393" xr:uid="{00000000-0005-0000-0000-000091660000}"/>
    <cellStyle name="Arial 10 3 5" xfId="8394" xr:uid="{00000000-0005-0000-0000-000092660000}"/>
    <cellStyle name="Arial 10 3 6" xfId="8395" xr:uid="{00000000-0005-0000-0000-000093660000}"/>
    <cellStyle name="Arial 10 3 7" xfId="8396" xr:uid="{00000000-0005-0000-0000-000094660000}"/>
    <cellStyle name="Arial 10 3 8" xfId="8397" xr:uid="{00000000-0005-0000-0000-000095660000}"/>
    <cellStyle name="Arial 10 3 9" xfId="8398" xr:uid="{00000000-0005-0000-0000-000096660000}"/>
    <cellStyle name="Arial 10 4" xfId="8399" xr:uid="{00000000-0005-0000-0000-000097660000}"/>
    <cellStyle name="Arial 10 4 2" xfId="8400" xr:uid="{00000000-0005-0000-0000-000098660000}"/>
    <cellStyle name="Arial 10 4 3" xfId="8401" xr:uid="{00000000-0005-0000-0000-000099660000}"/>
    <cellStyle name="Arial 10 4 4" xfId="8402" xr:uid="{00000000-0005-0000-0000-00009A660000}"/>
    <cellStyle name="Arial 10 4 5" xfId="8403" xr:uid="{00000000-0005-0000-0000-00009B660000}"/>
    <cellStyle name="Arial 10 4 6" xfId="8404" xr:uid="{00000000-0005-0000-0000-00009C660000}"/>
    <cellStyle name="Arial 10 4 7" xfId="8405" xr:uid="{00000000-0005-0000-0000-00009D660000}"/>
    <cellStyle name="Arial 10 4 8" xfId="8406" xr:uid="{00000000-0005-0000-0000-00009E660000}"/>
    <cellStyle name="Arial 10 4 9" xfId="8407" xr:uid="{00000000-0005-0000-0000-00009F660000}"/>
    <cellStyle name="Arial 10 5" xfId="8408" xr:uid="{00000000-0005-0000-0000-0000A0660000}"/>
    <cellStyle name="Arial 10 5 2" xfId="8409" xr:uid="{00000000-0005-0000-0000-0000A1660000}"/>
    <cellStyle name="Arial 10 5 3" xfId="8410" xr:uid="{00000000-0005-0000-0000-0000A2660000}"/>
    <cellStyle name="Arial 10 5 4" xfId="8411" xr:uid="{00000000-0005-0000-0000-0000A3660000}"/>
    <cellStyle name="Arial 10 5 5" xfId="8412" xr:uid="{00000000-0005-0000-0000-0000A4660000}"/>
    <cellStyle name="Arial 10 5 6" xfId="8413" xr:uid="{00000000-0005-0000-0000-0000A5660000}"/>
    <cellStyle name="Arial 10 5 7" xfId="8414" xr:uid="{00000000-0005-0000-0000-0000A6660000}"/>
    <cellStyle name="Arial 10 5 8" xfId="8415" xr:uid="{00000000-0005-0000-0000-0000A7660000}"/>
    <cellStyle name="Arial 10 5 9" xfId="8416" xr:uid="{00000000-0005-0000-0000-0000A8660000}"/>
    <cellStyle name="Arial 10 6" xfId="8417" xr:uid="{00000000-0005-0000-0000-0000A9660000}"/>
    <cellStyle name="Arial 10 6 2" xfId="8418" xr:uid="{00000000-0005-0000-0000-0000AA660000}"/>
    <cellStyle name="Arial 10 6 3" xfId="8419" xr:uid="{00000000-0005-0000-0000-0000AB660000}"/>
    <cellStyle name="Arial 10 6 4" xfId="8420" xr:uid="{00000000-0005-0000-0000-0000AC660000}"/>
    <cellStyle name="Arial 10 6 5" xfId="8421" xr:uid="{00000000-0005-0000-0000-0000AD660000}"/>
    <cellStyle name="Arial 10 6 6" xfId="8422" xr:uid="{00000000-0005-0000-0000-0000AE660000}"/>
    <cellStyle name="Arial 10 6 7" xfId="8423" xr:uid="{00000000-0005-0000-0000-0000AF660000}"/>
    <cellStyle name="Arial 10 6 8" xfId="8424" xr:uid="{00000000-0005-0000-0000-0000B0660000}"/>
    <cellStyle name="Arial 10 6 9" xfId="8425" xr:uid="{00000000-0005-0000-0000-0000B1660000}"/>
    <cellStyle name="Arial 10 7" xfId="8426" xr:uid="{00000000-0005-0000-0000-0000B2660000}"/>
    <cellStyle name="Arial 10 7 2" xfId="8427" xr:uid="{00000000-0005-0000-0000-0000B3660000}"/>
    <cellStyle name="Arial 10 7 3" xfId="8428" xr:uid="{00000000-0005-0000-0000-0000B4660000}"/>
    <cellStyle name="Arial 10 7 4" xfId="8429" xr:uid="{00000000-0005-0000-0000-0000B5660000}"/>
    <cellStyle name="Arial 10 7 5" xfId="8430" xr:uid="{00000000-0005-0000-0000-0000B6660000}"/>
    <cellStyle name="Arial 10 7 6" xfId="8431" xr:uid="{00000000-0005-0000-0000-0000B7660000}"/>
    <cellStyle name="Arial 10 7 7" xfId="8432" xr:uid="{00000000-0005-0000-0000-0000B8660000}"/>
    <cellStyle name="Arial 10 7 8" xfId="8433" xr:uid="{00000000-0005-0000-0000-0000B9660000}"/>
    <cellStyle name="Arial 10 7 9" xfId="8434" xr:uid="{00000000-0005-0000-0000-0000BA660000}"/>
    <cellStyle name="Arial 10 8" xfId="8435" xr:uid="{00000000-0005-0000-0000-0000BB660000}"/>
    <cellStyle name="Arial 10 8 2" xfId="8436" xr:uid="{00000000-0005-0000-0000-0000BC660000}"/>
    <cellStyle name="Arial 10 8 3" xfId="8437" xr:uid="{00000000-0005-0000-0000-0000BD660000}"/>
    <cellStyle name="Arial 10 8 4" xfId="8438" xr:uid="{00000000-0005-0000-0000-0000BE660000}"/>
    <cellStyle name="Arial 10 8 5" xfId="8439" xr:uid="{00000000-0005-0000-0000-0000BF660000}"/>
    <cellStyle name="Arial 10 8 6" xfId="8440" xr:uid="{00000000-0005-0000-0000-0000C0660000}"/>
    <cellStyle name="Arial 10 8 7" xfId="8441" xr:uid="{00000000-0005-0000-0000-0000C1660000}"/>
    <cellStyle name="Arial 10 8 8" xfId="8442" xr:uid="{00000000-0005-0000-0000-0000C2660000}"/>
    <cellStyle name="Arial 10 8 9" xfId="8443" xr:uid="{00000000-0005-0000-0000-0000C3660000}"/>
    <cellStyle name="Arial 10 9" xfId="8444" xr:uid="{00000000-0005-0000-0000-0000C4660000}"/>
    <cellStyle name="Arial 10 9 2" xfId="8445" xr:uid="{00000000-0005-0000-0000-0000C5660000}"/>
    <cellStyle name="Arial 10 9 3" xfId="8446" xr:uid="{00000000-0005-0000-0000-0000C6660000}"/>
    <cellStyle name="Arial 10 9 4" xfId="8447" xr:uid="{00000000-0005-0000-0000-0000C7660000}"/>
    <cellStyle name="Arial 10 9 5" xfId="8448" xr:uid="{00000000-0005-0000-0000-0000C8660000}"/>
    <cellStyle name="Arial 10 9 6" xfId="8449" xr:uid="{00000000-0005-0000-0000-0000C9660000}"/>
    <cellStyle name="Arial 10 9 7" xfId="8450" xr:uid="{00000000-0005-0000-0000-0000CA660000}"/>
    <cellStyle name="Arial 10 9 8" xfId="8451" xr:uid="{00000000-0005-0000-0000-0000CB660000}"/>
    <cellStyle name="Arial 10 9 9" xfId="8452" xr:uid="{00000000-0005-0000-0000-0000CC660000}"/>
    <cellStyle name="Arial 12" xfId="8453" xr:uid="{00000000-0005-0000-0000-0000CD660000}"/>
    <cellStyle name="Arial 12 2" xfId="8454" xr:uid="{00000000-0005-0000-0000-0000CE660000}"/>
    <cellStyle name="Arial 12 2 2" xfId="8455" xr:uid="{00000000-0005-0000-0000-0000CF660000}"/>
    <cellStyle name="Arial 12 2 2 2" xfId="8456" xr:uid="{00000000-0005-0000-0000-0000D0660000}"/>
    <cellStyle name="Arial 12 3" xfId="8457" xr:uid="{00000000-0005-0000-0000-0000D1660000}"/>
    <cellStyle name="Arial 12 4" xfId="8458" xr:uid="{00000000-0005-0000-0000-0000D2660000}"/>
    <cellStyle name="Arial 12 5" xfId="8459" xr:uid="{00000000-0005-0000-0000-0000D3660000}"/>
    <cellStyle name="ARIAL 14" xfId="8460" xr:uid="{00000000-0005-0000-0000-0000D4660000}"/>
    <cellStyle name="ARIAL 14 2" xfId="8461" xr:uid="{00000000-0005-0000-0000-0000D5660000}"/>
    <cellStyle name="Arial6Bold" xfId="8462" xr:uid="{00000000-0005-0000-0000-0000D6660000}"/>
    <cellStyle name="Arial6Bold 2" xfId="8463" xr:uid="{00000000-0005-0000-0000-0000D7660000}"/>
    <cellStyle name="Arial6Bold 2 2" xfId="8464" xr:uid="{00000000-0005-0000-0000-0000D8660000}"/>
    <cellStyle name="Arial6Bold 2 2 2" xfId="8465" xr:uid="{00000000-0005-0000-0000-0000D9660000}"/>
    <cellStyle name="Arial6Bold 2 2 2 2" xfId="19930" xr:uid="{00000000-0005-0000-0000-0000DA660000}"/>
    <cellStyle name="Arial6Bold 2 2 2 2 2" xfId="31622" xr:uid="{00000000-0005-0000-0000-0000DB660000}"/>
    <cellStyle name="Arial6Bold 2 2 2 3" xfId="23976" xr:uid="{00000000-0005-0000-0000-0000DC660000}"/>
    <cellStyle name="Arial6Bold 2 2 3" xfId="19929" xr:uid="{00000000-0005-0000-0000-0000DD660000}"/>
    <cellStyle name="Arial6Bold 2 2 3 2" xfId="31621" xr:uid="{00000000-0005-0000-0000-0000DE660000}"/>
    <cellStyle name="Arial6Bold 2 2 4" xfId="23975" xr:uid="{00000000-0005-0000-0000-0000DF660000}"/>
    <cellStyle name="Arial6Bold 2 3" xfId="8466" xr:uid="{00000000-0005-0000-0000-0000E0660000}"/>
    <cellStyle name="Arial6Bold 2 3 2" xfId="8467" xr:uid="{00000000-0005-0000-0000-0000E1660000}"/>
    <cellStyle name="Arial6Bold 2 3 2 2" xfId="19932" xr:uid="{00000000-0005-0000-0000-0000E2660000}"/>
    <cellStyle name="Arial6Bold 2 3 2 2 2" xfId="31624" xr:uid="{00000000-0005-0000-0000-0000E3660000}"/>
    <cellStyle name="Arial6Bold 2 3 2 3" xfId="23978" xr:uid="{00000000-0005-0000-0000-0000E4660000}"/>
    <cellStyle name="Arial6Bold 2 3 3" xfId="19931" xr:uid="{00000000-0005-0000-0000-0000E5660000}"/>
    <cellStyle name="Arial6Bold 2 3 3 2" xfId="31623" xr:uid="{00000000-0005-0000-0000-0000E6660000}"/>
    <cellStyle name="Arial6Bold 2 3 4" xfId="23977" xr:uid="{00000000-0005-0000-0000-0000E7660000}"/>
    <cellStyle name="Arial6Bold 2 4" xfId="8468" xr:uid="{00000000-0005-0000-0000-0000E8660000}"/>
    <cellStyle name="Arial6Bold 2 4 2" xfId="19933" xr:uid="{00000000-0005-0000-0000-0000E9660000}"/>
    <cellStyle name="Arial6Bold 2 4 2 2" xfId="31625" xr:uid="{00000000-0005-0000-0000-0000EA660000}"/>
    <cellStyle name="Arial6Bold 2 4 3" xfId="23979" xr:uid="{00000000-0005-0000-0000-0000EB660000}"/>
    <cellStyle name="Arial6Bold 2 5" xfId="19928" xr:uid="{00000000-0005-0000-0000-0000EC660000}"/>
    <cellStyle name="Arial6Bold 2 5 2" xfId="31620" xr:uid="{00000000-0005-0000-0000-0000ED660000}"/>
    <cellStyle name="Arial6Bold 2 6" xfId="23974" xr:uid="{00000000-0005-0000-0000-0000EE660000}"/>
    <cellStyle name="Arial6Bold 3" xfId="8469" xr:uid="{00000000-0005-0000-0000-0000EF660000}"/>
    <cellStyle name="Arial6Bold 3 2" xfId="8470" xr:uid="{00000000-0005-0000-0000-0000F0660000}"/>
    <cellStyle name="Arial6Bold 3 2 2" xfId="19935" xr:uid="{00000000-0005-0000-0000-0000F1660000}"/>
    <cellStyle name="Arial6Bold 3 2 2 2" xfId="31627" xr:uid="{00000000-0005-0000-0000-0000F2660000}"/>
    <cellStyle name="Arial6Bold 3 2 3" xfId="23981" xr:uid="{00000000-0005-0000-0000-0000F3660000}"/>
    <cellStyle name="Arial6Bold 3 3" xfId="19934" xr:uid="{00000000-0005-0000-0000-0000F4660000}"/>
    <cellStyle name="Arial6Bold 3 3 2" xfId="31626" xr:uid="{00000000-0005-0000-0000-0000F5660000}"/>
    <cellStyle name="Arial6Bold 3 4" xfId="23980" xr:uid="{00000000-0005-0000-0000-0000F6660000}"/>
    <cellStyle name="Arial6Bold 4" xfId="8471" xr:uid="{00000000-0005-0000-0000-0000F7660000}"/>
    <cellStyle name="Arial6Bold 4 2" xfId="8472" xr:uid="{00000000-0005-0000-0000-0000F8660000}"/>
    <cellStyle name="Arial6Bold 4 2 2" xfId="19937" xr:uid="{00000000-0005-0000-0000-0000F9660000}"/>
    <cellStyle name="Arial6Bold 4 2 2 2" xfId="31629" xr:uid="{00000000-0005-0000-0000-0000FA660000}"/>
    <cellStyle name="Arial6Bold 4 2 3" xfId="23983" xr:uid="{00000000-0005-0000-0000-0000FB660000}"/>
    <cellStyle name="Arial6Bold 4 3" xfId="19936" xr:uid="{00000000-0005-0000-0000-0000FC660000}"/>
    <cellStyle name="Arial6Bold 4 3 2" xfId="31628" xr:uid="{00000000-0005-0000-0000-0000FD660000}"/>
    <cellStyle name="Arial6Bold 4 4" xfId="23982" xr:uid="{00000000-0005-0000-0000-0000FE660000}"/>
    <cellStyle name="Arial6Bold 5" xfId="8473" xr:uid="{00000000-0005-0000-0000-0000FF660000}"/>
    <cellStyle name="Arial6Bold 5 2" xfId="19938" xr:uid="{00000000-0005-0000-0000-000000670000}"/>
    <cellStyle name="Arial6Bold 5 2 2" xfId="31630" xr:uid="{00000000-0005-0000-0000-000001670000}"/>
    <cellStyle name="Arial6Bold 5 3" xfId="23984" xr:uid="{00000000-0005-0000-0000-000002670000}"/>
    <cellStyle name="Arial6Bold 6" xfId="19927" xr:uid="{00000000-0005-0000-0000-000003670000}"/>
    <cellStyle name="Arial6Bold 6 2" xfId="31619" xr:uid="{00000000-0005-0000-0000-000004670000}"/>
    <cellStyle name="Arial6Bold 7" xfId="23973" xr:uid="{00000000-0005-0000-0000-000005670000}"/>
    <cellStyle name="Arial8Bold" xfId="8474" xr:uid="{00000000-0005-0000-0000-000006670000}"/>
    <cellStyle name="Arial8Bold 2" xfId="8475" xr:uid="{00000000-0005-0000-0000-000007670000}"/>
    <cellStyle name="Arial8Bold 2 2" xfId="8476" xr:uid="{00000000-0005-0000-0000-000008670000}"/>
    <cellStyle name="Arial8Bold 2 2 2" xfId="8477" xr:uid="{00000000-0005-0000-0000-000009670000}"/>
    <cellStyle name="Arial8Bold 2 2 2 2" xfId="19942" xr:uid="{00000000-0005-0000-0000-00000A670000}"/>
    <cellStyle name="Arial8Bold 2 2 2 2 2" xfId="31634" xr:uid="{00000000-0005-0000-0000-00000B670000}"/>
    <cellStyle name="Arial8Bold 2 2 2 3" xfId="23988" xr:uid="{00000000-0005-0000-0000-00000C670000}"/>
    <cellStyle name="Arial8Bold 2 2 3" xfId="19941" xr:uid="{00000000-0005-0000-0000-00000D670000}"/>
    <cellStyle name="Arial8Bold 2 2 3 2" xfId="31633" xr:uid="{00000000-0005-0000-0000-00000E670000}"/>
    <cellStyle name="Arial8Bold 2 2 4" xfId="23987" xr:uid="{00000000-0005-0000-0000-00000F670000}"/>
    <cellStyle name="Arial8Bold 2 3" xfId="8478" xr:uid="{00000000-0005-0000-0000-000010670000}"/>
    <cellStyle name="Arial8Bold 2 3 2" xfId="8479" xr:uid="{00000000-0005-0000-0000-000011670000}"/>
    <cellStyle name="Arial8Bold 2 3 2 2" xfId="19944" xr:uid="{00000000-0005-0000-0000-000012670000}"/>
    <cellStyle name="Arial8Bold 2 3 2 2 2" xfId="31636" xr:uid="{00000000-0005-0000-0000-000013670000}"/>
    <cellStyle name="Arial8Bold 2 3 2 3" xfId="23990" xr:uid="{00000000-0005-0000-0000-000014670000}"/>
    <cellStyle name="Arial8Bold 2 3 3" xfId="19943" xr:uid="{00000000-0005-0000-0000-000015670000}"/>
    <cellStyle name="Arial8Bold 2 3 3 2" xfId="31635" xr:uid="{00000000-0005-0000-0000-000016670000}"/>
    <cellStyle name="Arial8Bold 2 3 4" xfId="23989" xr:uid="{00000000-0005-0000-0000-000017670000}"/>
    <cellStyle name="Arial8Bold 2 4" xfId="8480" xr:uid="{00000000-0005-0000-0000-000018670000}"/>
    <cellStyle name="Arial8Bold 2 4 2" xfId="19945" xr:uid="{00000000-0005-0000-0000-000019670000}"/>
    <cellStyle name="Arial8Bold 2 4 2 2" xfId="31637" xr:uid="{00000000-0005-0000-0000-00001A670000}"/>
    <cellStyle name="Arial8Bold 2 4 3" xfId="23991" xr:uid="{00000000-0005-0000-0000-00001B670000}"/>
    <cellStyle name="Arial8Bold 2 5" xfId="19940" xr:uid="{00000000-0005-0000-0000-00001C670000}"/>
    <cellStyle name="Arial8Bold 2 5 2" xfId="31632" xr:uid="{00000000-0005-0000-0000-00001D670000}"/>
    <cellStyle name="Arial8Bold 2 6" xfId="23986" xr:uid="{00000000-0005-0000-0000-00001E670000}"/>
    <cellStyle name="Arial8Bold 3" xfId="8481" xr:uid="{00000000-0005-0000-0000-00001F670000}"/>
    <cellStyle name="Arial8Bold 3 2" xfId="8482" xr:uid="{00000000-0005-0000-0000-000020670000}"/>
    <cellStyle name="Arial8Bold 3 2 2" xfId="19947" xr:uid="{00000000-0005-0000-0000-000021670000}"/>
    <cellStyle name="Arial8Bold 3 2 2 2" xfId="31639" xr:uid="{00000000-0005-0000-0000-000022670000}"/>
    <cellStyle name="Arial8Bold 3 2 3" xfId="23993" xr:uid="{00000000-0005-0000-0000-000023670000}"/>
    <cellStyle name="Arial8Bold 3 3" xfId="19946" xr:uid="{00000000-0005-0000-0000-000024670000}"/>
    <cellStyle name="Arial8Bold 3 3 2" xfId="31638" xr:uid="{00000000-0005-0000-0000-000025670000}"/>
    <cellStyle name="Arial8Bold 3 4" xfId="23992" xr:uid="{00000000-0005-0000-0000-000026670000}"/>
    <cellStyle name="Arial8Bold 4" xfId="8483" xr:uid="{00000000-0005-0000-0000-000027670000}"/>
    <cellStyle name="Arial8Bold 4 2" xfId="8484" xr:uid="{00000000-0005-0000-0000-000028670000}"/>
    <cellStyle name="Arial8Bold 4 2 2" xfId="19949" xr:uid="{00000000-0005-0000-0000-000029670000}"/>
    <cellStyle name="Arial8Bold 4 2 2 2" xfId="31641" xr:uid="{00000000-0005-0000-0000-00002A670000}"/>
    <cellStyle name="Arial8Bold 4 2 3" xfId="23995" xr:uid="{00000000-0005-0000-0000-00002B670000}"/>
    <cellStyle name="Arial8Bold 4 3" xfId="19948" xr:uid="{00000000-0005-0000-0000-00002C670000}"/>
    <cellStyle name="Arial8Bold 4 3 2" xfId="31640" xr:uid="{00000000-0005-0000-0000-00002D670000}"/>
    <cellStyle name="Arial8Bold 4 4" xfId="23994" xr:uid="{00000000-0005-0000-0000-00002E670000}"/>
    <cellStyle name="Arial8Bold 5" xfId="8485" xr:uid="{00000000-0005-0000-0000-00002F670000}"/>
    <cellStyle name="Arial8Bold 5 2" xfId="19950" xr:uid="{00000000-0005-0000-0000-000030670000}"/>
    <cellStyle name="Arial8Bold 5 2 2" xfId="31642" xr:uid="{00000000-0005-0000-0000-000031670000}"/>
    <cellStyle name="Arial8Bold 5 3" xfId="23996" xr:uid="{00000000-0005-0000-0000-000032670000}"/>
    <cellStyle name="Arial8Bold 6" xfId="19939" xr:uid="{00000000-0005-0000-0000-000033670000}"/>
    <cellStyle name="Arial8Bold 6 2" xfId="31631" xr:uid="{00000000-0005-0000-0000-000034670000}"/>
    <cellStyle name="Arial8Bold 7" xfId="23985" xr:uid="{00000000-0005-0000-0000-000035670000}"/>
    <cellStyle name="Arial8Italic" xfId="8486" xr:uid="{00000000-0005-0000-0000-000036670000}"/>
    <cellStyle name="Arial8Italic 2" xfId="8487" xr:uid="{00000000-0005-0000-0000-000037670000}"/>
    <cellStyle name="Arial8Italic 2 2" xfId="8488" xr:uid="{00000000-0005-0000-0000-000038670000}"/>
    <cellStyle name="Arial8Italic 2 2 2" xfId="8489" xr:uid="{00000000-0005-0000-0000-000039670000}"/>
    <cellStyle name="Arial8Italic 2 2 2 2" xfId="19954" xr:uid="{00000000-0005-0000-0000-00003A670000}"/>
    <cellStyle name="Arial8Italic 2 2 2 2 2" xfId="31646" xr:uid="{00000000-0005-0000-0000-00003B670000}"/>
    <cellStyle name="Arial8Italic 2 2 2 3" xfId="24000" xr:uid="{00000000-0005-0000-0000-00003C670000}"/>
    <cellStyle name="Arial8Italic 2 2 3" xfId="19953" xr:uid="{00000000-0005-0000-0000-00003D670000}"/>
    <cellStyle name="Arial8Italic 2 2 3 2" xfId="31645" xr:uid="{00000000-0005-0000-0000-00003E670000}"/>
    <cellStyle name="Arial8Italic 2 2 4" xfId="23999" xr:uid="{00000000-0005-0000-0000-00003F670000}"/>
    <cellStyle name="Arial8Italic 2 3" xfId="8490" xr:uid="{00000000-0005-0000-0000-000040670000}"/>
    <cellStyle name="Arial8Italic 2 3 2" xfId="8491" xr:uid="{00000000-0005-0000-0000-000041670000}"/>
    <cellStyle name="Arial8Italic 2 3 2 2" xfId="19956" xr:uid="{00000000-0005-0000-0000-000042670000}"/>
    <cellStyle name="Arial8Italic 2 3 2 2 2" xfId="31648" xr:uid="{00000000-0005-0000-0000-000043670000}"/>
    <cellStyle name="Arial8Italic 2 3 2 3" xfId="24002" xr:uid="{00000000-0005-0000-0000-000044670000}"/>
    <cellStyle name="Arial8Italic 2 3 3" xfId="19955" xr:uid="{00000000-0005-0000-0000-000045670000}"/>
    <cellStyle name="Arial8Italic 2 3 3 2" xfId="31647" xr:uid="{00000000-0005-0000-0000-000046670000}"/>
    <cellStyle name="Arial8Italic 2 3 4" xfId="24001" xr:uid="{00000000-0005-0000-0000-000047670000}"/>
    <cellStyle name="Arial8Italic 2 4" xfId="8492" xr:uid="{00000000-0005-0000-0000-000048670000}"/>
    <cellStyle name="Arial8Italic 2 4 2" xfId="19957" xr:uid="{00000000-0005-0000-0000-000049670000}"/>
    <cellStyle name="Arial8Italic 2 4 2 2" xfId="31649" xr:uid="{00000000-0005-0000-0000-00004A670000}"/>
    <cellStyle name="Arial8Italic 2 4 3" xfId="24003" xr:uid="{00000000-0005-0000-0000-00004B670000}"/>
    <cellStyle name="Arial8Italic 2 5" xfId="19952" xr:uid="{00000000-0005-0000-0000-00004C670000}"/>
    <cellStyle name="Arial8Italic 2 5 2" xfId="31644" xr:uid="{00000000-0005-0000-0000-00004D670000}"/>
    <cellStyle name="Arial8Italic 2 6" xfId="23998" xr:uid="{00000000-0005-0000-0000-00004E670000}"/>
    <cellStyle name="Arial8Italic 3" xfId="8493" xr:uid="{00000000-0005-0000-0000-00004F670000}"/>
    <cellStyle name="Arial8Italic 3 2" xfId="8494" xr:uid="{00000000-0005-0000-0000-000050670000}"/>
    <cellStyle name="Arial8Italic 3 2 2" xfId="19959" xr:uid="{00000000-0005-0000-0000-000051670000}"/>
    <cellStyle name="Arial8Italic 3 2 2 2" xfId="31651" xr:uid="{00000000-0005-0000-0000-000052670000}"/>
    <cellStyle name="Arial8Italic 3 2 3" xfId="24005" xr:uid="{00000000-0005-0000-0000-000053670000}"/>
    <cellStyle name="Arial8Italic 3 3" xfId="19958" xr:uid="{00000000-0005-0000-0000-000054670000}"/>
    <cellStyle name="Arial8Italic 3 3 2" xfId="31650" xr:uid="{00000000-0005-0000-0000-000055670000}"/>
    <cellStyle name="Arial8Italic 3 4" xfId="24004" xr:uid="{00000000-0005-0000-0000-000056670000}"/>
    <cellStyle name="Arial8Italic 4" xfId="8495" xr:uid="{00000000-0005-0000-0000-000057670000}"/>
    <cellStyle name="Arial8Italic 4 2" xfId="8496" xr:uid="{00000000-0005-0000-0000-000058670000}"/>
    <cellStyle name="Arial8Italic 4 2 2" xfId="19961" xr:uid="{00000000-0005-0000-0000-000059670000}"/>
    <cellStyle name="Arial8Italic 4 2 2 2" xfId="31653" xr:uid="{00000000-0005-0000-0000-00005A670000}"/>
    <cellStyle name="Arial8Italic 4 2 3" xfId="24007" xr:uid="{00000000-0005-0000-0000-00005B670000}"/>
    <cellStyle name="Arial8Italic 4 3" xfId="19960" xr:uid="{00000000-0005-0000-0000-00005C670000}"/>
    <cellStyle name="Arial8Italic 4 3 2" xfId="31652" xr:uid="{00000000-0005-0000-0000-00005D670000}"/>
    <cellStyle name="Arial8Italic 4 4" xfId="24006" xr:uid="{00000000-0005-0000-0000-00005E670000}"/>
    <cellStyle name="Arial8Italic 5" xfId="8497" xr:uid="{00000000-0005-0000-0000-00005F670000}"/>
    <cellStyle name="Arial8Italic 5 2" xfId="19962" xr:uid="{00000000-0005-0000-0000-000060670000}"/>
    <cellStyle name="Arial8Italic 5 2 2" xfId="31654" xr:uid="{00000000-0005-0000-0000-000061670000}"/>
    <cellStyle name="Arial8Italic 5 3" xfId="24008" xr:uid="{00000000-0005-0000-0000-000062670000}"/>
    <cellStyle name="Arial8Italic 6" xfId="19951" xr:uid="{00000000-0005-0000-0000-000063670000}"/>
    <cellStyle name="Arial8Italic 6 2" xfId="31643" xr:uid="{00000000-0005-0000-0000-000064670000}"/>
    <cellStyle name="Arial8Italic 7" xfId="23997" xr:uid="{00000000-0005-0000-0000-000065670000}"/>
    <cellStyle name="ArialNormal" xfId="8498" xr:uid="{00000000-0005-0000-0000-000066670000}"/>
    <cellStyle name="ArialNormal 2" xfId="8499" xr:uid="{00000000-0005-0000-0000-000067670000}"/>
    <cellStyle name="ArialNormal 2 2" xfId="8500" xr:uid="{00000000-0005-0000-0000-000068670000}"/>
    <cellStyle name="ArialNormal 2 2 2" xfId="8501" xr:uid="{00000000-0005-0000-0000-000069670000}"/>
    <cellStyle name="ArialNormal 2 2 2 2" xfId="19964" xr:uid="{00000000-0005-0000-0000-00006A670000}"/>
    <cellStyle name="ArialNormal 2 2 2 2 2" xfId="31656" xr:uid="{00000000-0005-0000-0000-00006B670000}"/>
    <cellStyle name="ArialNormal 2 2 2 3" xfId="24010" xr:uid="{00000000-0005-0000-0000-00006C670000}"/>
    <cellStyle name="ArialNormal 2 2 3" xfId="19963" xr:uid="{00000000-0005-0000-0000-00006D670000}"/>
    <cellStyle name="ArialNormal 2 2 3 2" xfId="31655" xr:uid="{00000000-0005-0000-0000-00006E670000}"/>
    <cellStyle name="ArialNormal 2 2 4" xfId="24009" xr:uid="{00000000-0005-0000-0000-00006F670000}"/>
    <cellStyle name="ArialNormal 2 3" xfId="8502" xr:uid="{00000000-0005-0000-0000-000070670000}"/>
    <cellStyle name="ArialNormal 2 3 2" xfId="8503" xr:uid="{00000000-0005-0000-0000-000071670000}"/>
    <cellStyle name="ArialNormal 2 3 2 2" xfId="19966" xr:uid="{00000000-0005-0000-0000-000072670000}"/>
    <cellStyle name="ArialNormal 2 3 2 2 2" xfId="31658" xr:uid="{00000000-0005-0000-0000-000073670000}"/>
    <cellStyle name="ArialNormal 2 3 2 3" xfId="24012" xr:uid="{00000000-0005-0000-0000-000074670000}"/>
    <cellStyle name="ArialNormal 2 3 3" xfId="19965" xr:uid="{00000000-0005-0000-0000-000075670000}"/>
    <cellStyle name="ArialNormal 2 3 3 2" xfId="31657" xr:uid="{00000000-0005-0000-0000-000076670000}"/>
    <cellStyle name="ArialNormal 2 3 4" xfId="24011" xr:uid="{00000000-0005-0000-0000-000077670000}"/>
    <cellStyle name="ArialNormal 3" xfId="8504" xr:uid="{00000000-0005-0000-0000-000078670000}"/>
    <cellStyle name="ArialNormal 3 2" xfId="8505" xr:uid="{00000000-0005-0000-0000-000079670000}"/>
    <cellStyle name="ArialNormal 3 2 2" xfId="19968" xr:uid="{00000000-0005-0000-0000-00007A670000}"/>
    <cellStyle name="ArialNormal 3 2 2 2" xfId="31660" xr:uid="{00000000-0005-0000-0000-00007B670000}"/>
    <cellStyle name="ArialNormal 3 2 3" xfId="24014" xr:uid="{00000000-0005-0000-0000-00007C670000}"/>
    <cellStyle name="ArialNormal 3 3" xfId="19967" xr:uid="{00000000-0005-0000-0000-00007D670000}"/>
    <cellStyle name="ArialNormal 3 3 2" xfId="31659" xr:uid="{00000000-0005-0000-0000-00007E670000}"/>
    <cellStyle name="ArialNormal 3 4" xfId="24013" xr:uid="{00000000-0005-0000-0000-00007F670000}"/>
    <cellStyle name="ArialNormal 4" xfId="8506" xr:uid="{00000000-0005-0000-0000-000080670000}"/>
    <cellStyle name="ArialNormal 4 2" xfId="8507" xr:uid="{00000000-0005-0000-0000-000081670000}"/>
    <cellStyle name="ArialNormal 4 2 2" xfId="19970" xr:uid="{00000000-0005-0000-0000-000082670000}"/>
    <cellStyle name="ArialNormal 4 2 2 2" xfId="31662" xr:uid="{00000000-0005-0000-0000-000083670000}"/>
    <cellStyle name="ArialNormal 4 2 3" xfId="24016" xr:uid="{00000000-0005-0000-0000-000084670000}"/>
    <cellStyle name="ArialNormal 4 3" xfId="19969" xr:uid="{00000000-0005-0000-0000-000085670000}"/>
    <cellStyle name="ArialNormal 4 3 2" xfId="31661" xr:uid="{00000000-0005-0000-0000-000086670000}"/>
    <cellStyle name="ArialNormal 4 4" xfId="24015" xr:uid="{00000000-0005-0000-0000-000087670000}"/>
    <cellStyle name="Ariel 7 pt. plain" xfId="16359" xr:uid="{00000000-0005-0000-0000-000088670000}"/>
    <cellStyle name="Array" xfId="8508" xr:uid="{00000000-0005-0000-0000-000089670000}"/>
    <cellStyle name="Array Enter" xfId="8509" xr:uid="{00000000-0005-0000-0000-00008A670000}"/>
    <cellStyle name="Assumption" xfId="16360" xr:uid="{00000000-0005-0000-0000-00008B670000}"/>
    <cellStyle name="ÄÞ¸¶ [0]_±âÅ¸" xfId="16361" xr:uid="{00000000-0005-0000-0000-00008C670000}"/>
    <cellStyle name="ÄÞ¸¶_±âÅ¸" xfId="16362" xr:uid="{00000000-0005-0000-0000-00008D670000}"/>
    <cellStyle name="AuditErrRangeFormula" xfId="16363" xr:uid="{00000000-0005-0000-0000-00008E670000}"/>
    <cellStyle name="AuditErrRangeText" xfId="16364" xr:uid="{00000000-0005-0000-0000-00008F670000}"/>
    <cellStyle name="AutoFormat" xfId="16365" xr:uid="{00000000-0005-0000-0000-000090670000}"/>
    <cellStyle name="avihai" xfId="8510" xr:uid="{00000000-0005-0000-0000-000091670000}"/>
    <cellStyle name="avihai 2" xfId="8511" xr:uid="{00000000-0005-0000-0000-000092670000}"/>
    <cellStyle name="b" xfId="8512" xr:uid="{00000000-0005-0000-0000-000093670000}"/>
    <cellStyle name="b - Line" xfId="8513" xr:uid="{00000000-0005-0000-0000-000094670000}"/>
    <cellStyle name="b - Line - Dotted" xfId="8514" xr:uid="{00000000-0005-0000-0000-000095670000}"/>
    <cellStyle name="b 2" xfId="8515" xr:uid="{00000000-0005-0000-0000-000096670000}"/>
    <cellStyle name="b_Master Utilities Comps 060210 with IBES links" xfId="8516" xr:uid="{00000000-0005-0000-0000-000097670000}"/>
    <cellStyle name="Bad 10" xfId="8517" xr:uid="{00000000-0005-0000-0000-000098670000}"/>
    <cellStyle name="Bad 11" xfId="8518" xr:uid="{00000000-0005-0000-0000-000099670000}"/>
    <cellStyle name="Bad 12" xfId="8519" xr:uid="{00000000-0005-0000-0000-00009A670000}"/>
    <cellStyle name="Bad 13" xfId="8520" xr:uid="{00000000-0005-0000-0000-00009B670000}"/>
    <cellStyle name="Bad 14" xfId="8521" xr:uid="{00000000-0005-0000-0000-00009C670000}"/>
    <cellStyle name="Bad 15" xfId="8522" xr:uid="{00000000-0005-0000-0000-00009D670000}"/>
    <cellStyle name="Bad 16" xfId="8523" xr:uid="{00000000-0005-0000-0000-00009E670000}"/>
    <cellStyle name="Bad 17" xfId="8524" xr:uid="{00000000-0005-0000-0000-00009F670000}"/>
    <cellStyle name="Bad 18" xfId="8525" xr:uid="{00000000-0005-0000-0000-0000A0670000}"/>
    <cellStyle name="Bad 19" xfId="8526" xr:uid="{00000000-0005-0000-0000-0000A1670000}"/>
    <cellStyle name="Bad 2" xfId="8527" xr:uid="{00000000-0005-0000-0000-0000A2670000}"/>
    <cellStyle name="Bad 2 2" xfId="8528" xr:uid="{00000000-0005-0000-0000-0000A3670000}"/>
    <cellStyle name="Bad 2 2 2" xfId="8529" xr:uid="{00000000-0005-0000-0000-0000A4670000}"/>
    <cellStyle name="Bad 2 3" xfId="8530" xr:uid="{00000000-0005-0000-0000-0000A5670000}"/>
    <cellStyle name="Bad 2 3 2" xfId="8531" xr:uid="{00000000-0005-0000-0000-0000A6670000}"/>
    <cellStyle name="Bad 2 4" xfId="8532" xr:uid="{00000000-0005-0000-0000-0000A7670000}"/>
    <cellStyle name="Bad 2 4 2" xfId="8533" xr:uid="{00000000-0005-0000-0000-0000A8670000}"/>
    <cellStyle name="Bad 2 4 3" xfId="8534" xr:uid="{00000000-0005-0000-0000-0000A9670000}"/>
    <cellStyle name="Bad 2 5" xfId="8535" xr:uid="{00000000-0005-0000-0000-0000AA670000}"/>
    <cellStyle name="Bad 2 6" xfId="8536" xr:uid="{00000000-0005-0000-0000-0000AB670000}"/>
    <cellStyle name="Bad 2 7" xfId="8537" xr:uid="{00000000-0005-0000-0000-0000AC670000}"/>
    <cellStyle name="Bad 2 8" xfId="8538" xr:uid="{00000000-0005-0000-0000-0000AD670000}"/>
    <cellStyle name="Bad 3" xfId="8539" xr:uid="{00000000-0005-0000-0000-0000AE670000}"/>
    <cellStyle name="Bad 3 2" xfId="8540" xr:uid="{00000000-0005-0000-0000-0000AF670000}"/>
    <cellStyle name="Bad 3 2 2" xfId="8541" xr:uid="{00000000-0005-0000-0000-0000B0670000}"/>
    <cellStyle name="Bad 3 2 3" xfId="8542" xr:uid="{00000000-0005-0000-0000-0000B1670000}"/>
    <cellStyle name="Bad 3 3" xfId="8543" xr:uid="{00000000-0005-0000-0000-0000B2670000}"/>
    <cellStyle name="Bad 3 4" xfId="8544" xr:uid="{00000000-0005-0000-0000-0000B3670000}"/>
    <cellStyle name="Bad 3 5" xfId="8545" xr:uid="{00000000-0005-0000-0000-0000B4670000}"/>
    <cellStyle name="Bad 4" xfId="8546" xr:uid="{00000000-0005-0000-0000-0000B5670000}"/>
    <cellStyle name="Bad 4 2" xfId="8547" xr:uid="{00000000-0005-0000-0000-0000B6670000}"/>
    <cellStyle name="Bad 4 2 2" xfId="8548" xr:uid="{00000000-0005-0000-0000-0000B7670000}"/>
    <cellStyle name="Bad 4 2 3" xfId="8549" xr:uid="{00000000-0005-0000-0000-0000B8670000}"/>
    <cellStyle name="Bad 4 3" xfId="8550" xr:uid="{00000000-0005-0000-0000-0000B9670000}"/>
    <cellStyle name="Bad 4 4" xfId="8551" xr:uid="{00000000-0005-0000-0000-0000BA670000}"/>
    <cellStyle name="Bad 4 5" xfId="8552" xr:uid="{00000000-0005-0000-0000-0000BB670000}"/>
    <cellStyle name="Bad 5" xfId="8553" xr:uid="{00000000-0005-0000-0000-0000BC670000}"/>
    <cellStyle name="Bad 5 2" xfId="8554" xr:uid="{00000000-0005-0000-0000-0000BD670000}"/>
    <cellStyle name="Bad 5 2 2" xfId="8555" xr:uid="{00000000-0005-0000-0000-0000BE670000}"/>
    <cellStyle name="Bad 5 2 3" xfId="8556" xr:uid="{00000000-0005-0000-0000-0000BF670000}"/>
    <cellStyle name="Bad 5 3" xfId="8557" xr:uid="{00000000-0005-0000-0000-0000C0670000}"/>
    <cellStyle name="Bad 5 4" xfId="8558" xr:uid="{00000000-0005-0000-0000-0000C1670000}"/>
    <cellStyle name="Bad 5 5" xfId="8559" xr:uid="{00000000-0005-0000-0000-0000C2670000}"/>
    <cellStyle name="Bad 6" xfId="8560" xr:uid="{00000000-0005-0000-0000-0000C3670000}"/>
    <cellStyle name="Bad 6 2" xfId="8561" xr:uid="{00000000-0005-0000-0000-0000C4670000}"/>
    <cellStyle name="Bad 6 3" xfId="8562" xr:uid="{00000000-0005-0000-0000-0000C5670000}"/>
    <cellStyle name="Bad 7" xfId="8563" xr:uid="{00000000-0005-0000-0000-0000C6670000}"/>
    <cellStyle name="Bad 8" xfId="8564" xr:uid="{00000000-0005-0000-0000-0000C7670000}"/>
    <cellStyle name="Bad 9" xfId="8565" xr:uid="{00000000-0005-0000-0000-0000C8670000}"/>
    <cellStyle name="Bağlı Hücre" xfId="16366" xr:uid="{00000000-0005-0000-0000-0000C9670000}"/>
    <cellStyle name="BalanceSheet" xfId="16367" xr:uid="{00000000-0005-0000-0000-0000CA670000}"/>
    <cellStyle name="bar" xfId="16368" xr:uid="{00000000-0005-0000-0000-0000CB670000}"/>
    <cellStyle name="Bar Title" xfId="16369" xr:uid="{00000000-0005-0000-0000-0000CC670000}"/>
    <cellStyle name="Bar1" xfId="8566" xr:uid="{00000000-0005-0000-0000-0000CD670000}"/>
    <cellStyle name="BAS Comma [0]" xfId="16370" xr:uid="{00000000-0005-0000-0000-0000CE670000}"/>
    <cellStyle name="BAS Date mm/dd/yy" xfId="16371" xr:uid="{00000000-0005-0000-0000-0000CF670000}"/>
    <cellStyle name="-Bas de tableau" xfId="8567" xr:uid="{00000000-0005-0000-0000-0000D0670000}"/>
    <cellStyle name="BAS Percent Actual [1]" xfId="16372" xr:uid="{00000000-0005-0000-0000-0000D1670000}"/>
    <cellStyle name="Başlık 1" xfId="16373" xr:uid="{00000000-0005-0000-0000-0000D2670000}"/>
    <cellStyle name="Başlık 2" xfId="16374" xr:uid="{00000000-0005-0000-0000-0000D3670000}"/>
    <cellStyle name="Başlık 3" xfId="16375" xr:uid="{00000000-0005-0000-0000-0000D4670000}"/>
    <cellStyle name="Başlık 4" xfId="16376" xr:uid="{00000000-0005-0000-0000-0000D5670000}"/>
    <cellStyle name="bch" xfId="16377" xr:uid="{00000000-0005-0000-0000-0000D6670000}"/>
    <cellStyle name="bci" xfId="16378" xr:uid="{00000000-0005-0000-0000-0000D7670000}"/>
    <cellStyle name="Below 0" xfId="16379" xr:uid="{00000000-0005-0000-0000-0000D8670000}"/>
    <cellStyle name="Below 0 2" xfId="28074" xr:uid="{00000000-0005-0000-0000-0000D9670000}"/>
    <cellStyle name="Below 0.0" xfId="16380" xr:uid="{00000000-0005-0000-0000-0000DA670000}"/>
    <cellStyle name="Best" xfId="8568" xr:uid="{00000000-0005-0000-0000-0000DB670000}"/>
    <cellStyle name="Besuchter Hyperlink" xfId="16381" xr:uid="{00000000-0005-0000-0000-0000DC670000}"/>
    <cellStyle name="Black" xfId="8569" xr:uid="{00000000-0005-0000-0000-0000DD670000}"/>
    <cellStyle name="Black 2" xfId="8570" xr:uid="{00000000-0005-0000-0000-0000DE670000}"/>
    <cellStyle name="Black 2 2" xfId="8571" xr:uid="{00000000-0005-0000-0000-0000DF670000}"/>
    <cellStyle name="Black 3" xfId="8572" xr:uid="{00000000-0005-0000-0000-0000E0670000}"/>
    <cellStyle name="Black 4" xfId="8573" xr:uid="{00000000-0005-0000-0000-0000E1670000}"/>
    <cellStyle name="Black 5" xfId="8574" xr:uid="{00000000-0005-0000-0000-0000E2670000}"/>
    <cellStyle name="Black Days" xfId="8575" xr:uid="{00000000-0005-0000-0000-0000E3670000}"/>
    <cellStyle name="Black Days 2" xfId="8576" xr:uid="{00000000-0005-0000-0000-0000E4670000}"/>
    <cellStyle name="Black Decimal" xfId="8577" xr:uid="{00000000-0005-0000-0000-0000E5670000}"/>
    <cellStyle name="Black Decimal 2" xfId="8578" xr:uid="{00000000-0005-0000-0000-0000E6670000}"/>
    <cellStyle name="Black Decimal 2 2" xfId="8579" xr:uid="{00000000-0005-0000-0000-0000E7670000}"/>
    <cellStyle name="Black Decimal 3" xfId="8580" xr:uid="{00000000-0005-0000-0000-0000E8670000}"/>
    <cellStyle name="Black Decimal 4" xfId="8581" xr:uid="{00000000-0005-0000-0000-0000E9670000}"/>
    <cellStyle name="Black Decimal 5" xfId="8582" xr:uid="{00000000-0005-0000-0000-0000EA670000}"/>
    <cellStyle name="Black Dollar" xfId="8583" xr:uid="{00000000-0005-0000-0000-0000EB670000}"/>
    <cellStyle name="Black Dollar 2" xfId="8584" xr:uid="{00000000-0005-0000-0000-0000EC670000}"/>
    <cellStyle name="Black Dollar 2 2" xfId="8585" xr:uid="{00000000-0005-0000-0000-0000ED670000}"/>
    <cellStyle name="Black Dollar 2 3" xfId="15977" xr:uid="{00000000-0005-0000-0000-0000EE670000}"/>
    <cellStyle name="Black Dollar 2 3 2" xfId="27834" xr:uid="{00000000-0005-0000-0000-0000EF670000}"/>
    <cellStyle name="Black Dollar 2 4" xfId="19972" xr:uid="{00000000-0005-0000-0000-0000F0670000}"/>
    <cellStyle name="Black Dollar 2 4 2" xfId="31664" xr:uid="{00000000-0005-0000-0000-0000F1670000}"/>
    <cellStyle name="Black Dollar 2 5" xfId="24018" xr:uid="{00000000-0005-0000-0000-0000F2670000}"/>
    <cellStyle name="Black Dollar 3" xfId="8586" xr:uid="{00000000-0005-0000-0000-0000F3670000}"/>
    <cellStyle name="Black Dollar 3 2" xfId="15978" xr:uid="{00000000-0005-0000-0000-0000F4670000}"/>
    <cellStyle name="Black Dollar 3 2 2" xfId="27835" xr:uid="{00000000-0005-0000-0000-0000F5670000}"/>
    <cellStyle name="Black Dollar 3 3" xfId="19973" xr:uid="{00000000-0005-0000-0000-0000F6670000}"/>
    <cellStyle name="Black Dollar 3 3 2" xfId="31665" xr:uid="{00000000-0005-0000-0000-0000F7670000}"/>
    <cellStyle name="Black Dollar 3 4" xfId="24019" xr:uid="{00000000-0005-0000-0000-0000F8670000}"/>
    <cellStyle name="Black Dollar 4" xfId="8587" xr:uid="{00000000-0005-0000-0000-0000F9670000}"/>
    <cellStyle name="Black Dollar 4 2" xfId="15979" xr:uid="{00000000-0005-0000-0000-0000FA670000}"/>
    <cellStyle name="Black Dollar 4 2 2" xfId="27836" xr:uid="{00000000-0005-0000-0000-0000FB670000}"/>
    <cellStyle name="Black Dollar 4 3" xfId="19974" xr:uid="{00000000-0005-0000-0000-0000FC670000}"/>
    <cellStyle name="Black Dollar 4 3 2" xfId="31666" xr:uid="{00000000-0005-0000-0000-0000FD670000}"/>
    <cellStyle name="Black Dollar 4 4" xfId="24020" xr:uid="{00000000-0005-0000-0000-0000FE670000}"/>
    <cellStyle name="Black Dollar 5" xfId="8588" xr:uid="{00000000-0005-0000-0000-0000FF670000}"/>
    <cellStyle name="Black Dollar 5 2" xfId="15980" xr:uid="{00000000-0005-0000-0000-000000680000}"/>
    <cellStyle name="Black Dollar 5 2 2" xfId="27837" xr:uid="{00000000-0005-0000-0000-000001680000}"/>
    <cellStyle name="Black Dollar 5 3" xfId="19975" xr:uid="{00000000-0005-0000-0000-000002680000}"/>
    <cellStyle name="Black Dollar 5 3 2" xfId="31667" xr:uid="{00000000-0005-0000-0000-000003680000}"/>
    <cellStyle name="Black Dollar 5 4" xfId="24021" xr:uid="{00000000-0005-0000-0000-000004680000}"/>
    <cellStyle name="Black Dollar 6" xfId="15976" xr:uid="{00000000-0005-0000-0000-000005680000}"/>
    <cellStyle name="Black Dollar 6 2" xfId="27833" xr:uid="{00000000-0005-0000-0000-000006680000}"/>
    <cellStyle name="Black Dollar 7" xfId="19971" xr:uid="{00000000-0005-0000-0000-000007680000}"/>
    <cellStyle name="Black Dollar 7 2" xfId="31663" xr:uid="{00000000-0005-0000-0000-000008680000}"/>
    <cellStyle name="Black Dollar 8" xfId="24017" xr:uid="{00000000-0005-0000-0000-000009680000}"/>
    <cellStyle name="Black EPS" xfId="8589" xr:uid="{00000000-0005-0000-0000-00000A680000}"/>
    <cellStyle name="Black EPS 2" xfId="8590" xr:uid="{00000000-0005-0000-0000-00000B680000}"/>
    <cellStyle name="Black Percent" xfId="8591" xr:uid="{00000000-0005-0000-0000-00000C680000}"/>
    <cellStyle name="Black Percent 2" xfId="8592" xr:uid="{00000000-0005-0000-0000-00000D680000}"/>
    <cellStyle name="Black Percent2" xfId="8593" xr:uid="{00000000-0005-0000-0000-00000E680000}"/>
    <cellStyle name="Black Percent2 2" xfId="8594" xr:uid="{00000000-0005-0000-0000-00000F680000}"/>
    <cellStyle name="Black Times" xfId="8595" xr:uid="{00000000-0005-0000-0000-000010680000}"/>
    <cellStyle name="Black Times 2" xfId="8596" xr:uid="{00000000-0005-0000-0000-000011680000}"/>
    <cellStyle name="Black Times 2 2" xfId="8597" xr:uid="{00000000-0005-0000-0000-000012680000}"/>
    <cellStyle name="Black Times 3" xfId="8598" xr:uid="{00000000-0005-0000-0000-000013680000}"/>
    <cellStyle name="Black Times 4" xfId="8599" xr:uid="{00000000-0005-0000-0000-000014680000}"/>
    <cellStyle name="Black Times 5" xfId="8600" xr:uid="{00000000-0005-0000-0000-000015680000}"/>
    <cellStyle name="Black Times Two Deci" xfId="8601" xr:uid="{00000000-0005-0000-0000-000016680000}"/>
    <cellStyle name="Black Times Two Deci 2" xfId="8602" xr:uid="{00000000-0005-0000-0000-000017680000}"/>
    <cellStyle name="Black Times Two Deci2" xfId="8603" xr:uid="{00000000-0005-0000-0000-000018680000}"/>
    <cellStyle name="Black Times Two Deci2 2" xfId="8604" xr:uid="{00000000-0005-0000-0000-000019680000}"/>
    <cellStyle name="Black Times_Anaphore 12 31 2008 Draft Analysis 02 19 2009" xfId="8605" xr:uid="{00000000-0005-0000-0000-00001A680000}"/>
    <cellStyle name="Black Times2" xfId="8606" xr:uid="{00000000-0005-0000-0000-00001B680000}"/>
    <cellStyle name="Black Times2 2" xfId="8607" xr:uid="{00000000-0005-0000-0000-00001C680000}"/>
    <cellStyle name="Black Times2 2 2" xfId="8608" xr:uid="{00000000-0005-0000-0000-00001D680000}"/>
    <cellStyle name="Black Times2 3" xfId="8609" xr:uid="{00000000-0005-0000-0000-00001E680000}"/>
    <cellStyle name="Black Times2 4" xfId="8610" xr:uid="{00000000-0005-0000-0000-00001F680000}"/>
    <cellStyle name="Black Times2 5" xfId="8611" xr:uid="{00000000-0005-0000-0000-000020680000}"/>
    <cellStyle name="Black_Anaphore 12 31 2008 Draft Analysis 02 19 2009" xfId="8612" xr:uid="{00000000-0005-0000-0000-000021680000}"/>
    <cellStyle name="BlackStrike" xfId="8613" xr:uid="{00000000-0005-0000-0000-000022680000}"/>
    <cellStyle name="BlackText" xfId="8614" xr:uid="{00000000-0005-0000-0000-000023680000}"/>
    <cellStyle name="blank" xfId="8615" xr:uid="{00000000-0005-0000-0000-000024680000}"/>
    <cellStyle name="Blank[$]" xfId="8616" xr:uid="{00000000-0005-0000-0000-000025680000}"/>
    <cellStyle name="Blank[,]" xfId="8617" xr:uid="{00000000-0005-0000-0000-000026680000}"/>
    <cellStyle name="Blank[1$]" xfId="8618" xr:uid="{00000000-0005-0000-0000-000027680000}"/>
    <cellStyle name="Blank[1%]" xfId="8619" xr:uid="{00000000-0005-0000-0000-000028680000}"/>
    <cellStyle name="Blank[1]" xfId="8620" xr:uid="{00000000-0005-0000-0000-000029680000}"/>
    <cellStyle name="Blank[2$]" xfId="8621" xr:uid="{00000000-0005-0000-0000-00002A680000}"/>
    <cellStyle name="Blank[2%]" xfId="8622" xr:uid="{00000000-0005-0000-0000-00002B680000}"/>
    <cellStyle name="Blank[2]" xfId="8623" xr:uid="{00000000-0005-0000-0000-00002C680000}"/>
    <cellStyle name="Blank[3$]" xfId="8624" xr:uid="{00000000-0005-0000-0000-00002D680000}"/>
    <cellStyle name="Blank[3]" xfId="8625" xr:uid="{00000000-0005-0000-0000-00002E680000}"/>
    <cellStyle name="blue" xfId="8626" xr:uid="{00000000-0005-0000-0000-00002F680000}"/>
    <cellStyle name="Blue 2" xfId="8627" xr:uid="{00000000-0005-0000-0000-000030680000}"/>
    <cellStyle name="Blue Decimal" xfId="8628" xr:uid="{00000000-0005-0000-0000-000031680000}"/>
    <cellStyle name="Blue Decimal 2" xfId="8629" xr:uid="{00000000-0005-0000-0000-000032680000}"/>
    <cellStyle name="Blue Dollar" xfId="8630" xr:uid="{00000000-0005-0000-0000-000033680000}"/>
    <cellStyle name="Blue Dollar 2" xfId="8631" xr:uid="{00000000-0005-0000-0000-000034680000}"/>
    <cellStyle name="Blue EPS" xfId="8632" xr:uid="{00000000-0005-0000-0000-000035680000}"/>
    <cellStyle name="Blue EPS 2" xfId="8633" xr:uid="{00000000-0005-0000-0000-000036680000}"/>
    <cellStyle name="Blue Header" xfId="8634" xr:uid="{00000000-0005-0000-0000-000037680000}"/>
    <cellStyle name="Blue Header 2" xfId="8635" xr:uid="{00000000-0005-0000-0000-000038680000}"/>
    <cellStyle name="Blue Header 2 2" xfId="20255" xr:uid="{00000000-0005-0000-0000-000039680000}"/>
    <cellStyle name="Blue Header 3" xfId="8636" xr:uid="{00000000-0005-0000-0000-00003A680000}"/>
    <cellStyle name="Blue Header 3 2" xfId="20256" xr:uid="{00000000-0005-0000-0000-00003B680000}"/>
    <cellStyle name="Blue Header 4" xfId="20257" xr:uid="{00000000-0005-0000-0000-00003C680000}"/>
    <cellStyle name="blue shading" xfId="8637" xr:uid="{00000000-0005-0000-0000-00003D680000}"/>
    <cellStyle name="blue shading 2" xfId="8638" xr:uid="{00000000-0005-0000-0000-00003E680000}"/>
    <cellStyle name="Blue Text" xfId="8639" xr:uid="{00000000-0005-0000-0000-00003F680000}"/>
    <cellStyle name="Blue Text 2" xfId="8640" xr:uid="{00000000-0005-0000-0000-000040680000}"/>
    <cellStyle name="Blue Title" xfId="8641" xr:uid="{00000000-0005-0000-0000-000041680000}"/>
    <cellStyle name="Blue Title 2" xfId="8642" xr:uid="{00000000-0005-0000-0000-000042680000}"/>
    <cellStyle name="Blue Title 2 2" xfId="8643" xr:uid="{00000000-0005-0000-0000-000043680000}"/>
    <cellStyle name="Blue Title 3" xfId="8644" xr:uid="{00000000-0005-0000-0000-000044680000}"/>
    <cellStyle name="Blue Title 4" xfId="8645" xr:uid="{00000000-0005-0000-0000-000045680000}"/>
    <cellStyle name="Blue Title 5" xfId="8646" xr:uid="{00000000-0005-0000-0000-000046680000}"/>
    <cellStyle name="Blue Zero Deci" xfId="8647" xr:uid="{00000000-0005-0000-0000-000047680000}"/>
    <cellStyle name="Blue Zero Deci 2" xfId="8648" xr:uid="{00000000-0005-0000-0000-000048680000}"/>
    <cellStyle name="Blue_Boston Power VD 01 31 2008 Model 02 26 2008" xfId="8649" xr:uid="{00000000-0005-0000-0000-000049680000}"/>
    <cellStyle name="Body" xfId="8650" xr:uid="{00000000-0005-0000-0000-00004A680000}"/>
    <cellStyle name="Body 2" xfId="8651" xr:uid="{00000000-0005-0000-0000-00004B680000}"/>
    <cellStyle name="Body text" xfId="8652" xr:uid="{00000000-0005-0000-0000-00004C680000}"/>
    <cellStyle name="Body text 2" xfId="8653" xr:uid="{00000000-0005-0000-0000-00004D680000}"/>
    <cellStyle name="Body_$Numeric" xfId="8654" xr:uid="{00000000-0005-0000-0000-00004E680000}"/>
    <cellStyle name="bold" xfId="8655" xr:uid="{00000000-0005-0000-0000-00004F680000}"/>
    <cellStyle name="bold 2" xfId="8656" xr:uid="{00000000-0005-0000-0000-000050680000}"/>
    <cellStyle name="Bold Italic + Line Top" xfId="8657" xr:uid="{00000000-0005-0000-0000-000051680000}"/>
    <cellStyle name="Bold Italic + Line Top 2" xfId="8658" xr:uid="{00000000-0005-0000-0000-000052680000}"/>
    <cellStyle name="Bold Label" xfId="8659" xr:uid="{00000000-0005-0000-0000-000053680000}"/>
    <cellStyle name="Bold Text" xfId="8660" xr:uid="{00000000-0005-0000-0000-000054680000}"/>
    <cellStyle name="Bold Text %" xfId="8661" xr:uid="{00000000-0005-0000-0000-000055680000}"/>
    <cellStyle name="Bold Text + Line Top" xfId="8662" xr:uid="{00000000-0005-0000-0000-000056680000}"/>
    <cellStyle name="Bold Text + Line Top 2" xfId="8663" xr:uid="{00000000-0005-0000-0000-000057680000}"/>
    <cellStyle name="Bold Text 2" xfId="8664" xr:uid="{00000000-0005-0000-0000-000058680000}"/>
    <cellStyle name="Bold/Border" xfId="8665" xr:uid="{00000000-0005-0000-0000-000059680000}"/>
    <cellStyle name="Bold/Border 2" xfId="8666" xr:uid="{00000000-0005-0000-0000-00005A680000}"/>
    <cellStyle name="Bold/Border 3" xfId="8667" xr:uid="{00000000-0005-0000-0000-00005B680000}"/>
    <cellStyle name="Bold/Border 3 2" xfId="20258" xr:uid="{00000000-0005-0000-0000-00005C680000}"/>
    <cellStyle name="bold_Boston Power VD 01 31 2008 Model 02 26 2008" xfId="8668" xr:uid="{00000000-0005-0000-0000-00005D680000}"/>
    <cellStyle name="Bol-Data" xfId="8669" xr:uid="{00000000-0005-0000-0000-00005E680000}"/>
    <cellStyle name="BoldCen" xfId="8670" xr:uid="{00000000-0005-0000-0000-00005F680000}"/>
    <cellStyle name="BoldCenUnd" xfId="8671" xr:uid="{00000000-0005-0000-0000-000060680000}"/>
    <cellStyle name="BoldCenUnd 2" xfId="8672" xr:uid="{00000000-0005-0000-0000-000061680000}"/>
    <cellStyle name="BoldText" xfId="8673" xr:uid="{00000000-0005-0000-0000-000062680000}"/>
    <cellStyle name="bolet" xfId="8674" xr:uid="{00000000-0005-0000-0000-000063680000}"/>
    <cellStyle name="Boletim" xfId="8675" xr:uid="{00000000-0005-0000-0000-000064680000}"/>
    <cellStyle name="Bom" xfId="8676" xr:uid="{00000000-0005-0000-0000-000065680000}"/>
    <cellStyle name="Border" xfId="8677" xr:uid="{00000000-0005-0000-0000-000066680000}"/>
    <cellStyle name="Border 10" xfId="8678" xr:uid="{00000000-0005-0000-0000-000067680000}"/>
    <cellStyle name="Border 10 2" xfId="8679" xr:uid="{00000000-0005-0000-0000-000068680000}"/>
    <cellStyle name="Border 10 2 2" xfId="15982" xr:uid="{00000000-0005-0000-0000-000069680000}"/>
    <cellStyle name="Border 10 2 2 2" xfId="27839" xr:uid="{00000000-0005-0000-0000-00006A680000}"/>
    <cellStyle name="Border 10 2 3" xfId="19977" xr:uid="{00000000-0005-0000-0000-00006B680000}"/>
    <cellStyle name="Border 10 2 3 2" xfId="31669" xr:uid="{00000000-0005-0000-0000-00006C680000}"/>
    <cellStyle name="Border 10 2 4" xfId="24023" xr:uid="{00000000-0005-0000-0000-00006D680000}"/>
    <cellStyle name="Border 10 3" xfId="8680" xr:uid="{00000000-0005-0000-0000-00006E680000}"/>
    <cellStyle name="Border 10 3 2" xfId="15983" xr:uid="{00000000-0005-0000-0000-00006F680000}"/>
    <cellStyle name="Border 10 3 2 2" xfId="27840" xr:uid="{00000000-0005-0000-0000-000070680000}"/>
    <cellStyle name="Border 10 3 3" xfId="19978" xr:uid="{00000000-0005-0000-0000-000071680000}"/>
    <cellStyle name="Border 10 3 3 2" xfId="31670" xr:uid="{00000000-0005-0000-0000-000072680000}"/>
    <cellStyle name="Border 10 3 4" xfId="24024" xr:uid="{00000000-0005-0000-0000-000073680000}"/>
    <cellStyle name="Border 10 4" xfId="15981" xr:uid="{00000000-0005-0000-0000-000074680000}"/>
    <cellStyle name="Border 10 4 2" xfId="27838" xr:uid="{00000000-0005-0000-0000-000075680000}"/>
    <cellStyle name="Border 10 5" xfId="19976" xr:uid="{00000000-0005-0000-0000-000076680000}"/>
    <cellStyle name="Border 10 5 2" xfId="31668" xr:uid="{00000000-0005-0000-0000-000077680000}"/>
    <cellStyle name="Border 10 6" xfId="24022" xr:uid="{00000000-0005-0000-0000-000078680000}"/>
    <cellStyle name="Border 11" xfId="8681" xr:uid="{00000000-0005-0000-0000-000079680000}"/>
    <cellStyle name="Border 11 2" xfId="8682" xr:uid="{00000000-0005-0000-0000-00007A680000}"/>
    <cellStyle name="Border 11 2 2" xfId="15985" xr:uid="{00000000-0005-0000-0000-00007B680000}"/>
    <cellStyle name="Border 11 2 2 2" xfId="27842" xr:uid="{00000000-0005-0000-0000-00007C680000}"/>
    <cellStyle name="Border 11 2 3" xfId="19980" xr:uid="{00000000-0005-0000-0000-00007D680000}"/>
    <cellStyle name="Border 11 2 3 2" xfId="31672" xr:uid="{00000000-0005-0000-0000-00007E680000}"/>
    <cellStyle name="Border 11 2 4" xfId="24026" xr:uid="{00000000-0005-0000-0000-00007F680000}"/>
    <cellStyle name="Border 11 3" xfId="8683" xr:uid="{00000000-0005-0000-0000-000080680000}"/>
    <cellStyle name="Border 11 3 2" xfId="15986" xr:uid="{00000000-0005-0000-0000-000081680000}"/>
    <cellStyle name="Border 11 3 2 2" xfId="27843" xr:uid="{00000000-0005-0000-0000-000082680000}"/>
    <cellStyle name="Border 11 3 3" xfId="19981" xr:uid="{00000000-0005-0000-0000-000083680000}"/>
    <cellStyle name="Border 11 3 3 2" xfId="31673" xr:uid="{00000000-0005-0000-0000-000084680000}"/>
    <cellStyle name="Border 11 3 4" xfId="24027" xr:uid="{00000000-0005-0000-0000-000085680000}"/>
    <cellStyle name="Border 11 4" xfId="15984" xr:uid="{00000000-0005-0000-0000-000086680000}"/>
    <cellStyle name="Border 11 4 2" xfId="27841" xr:uid="{00000000-0005-0000-0000-000087680000}"/>
    <cellStyle name="Border 11 5" xfId="19979" xr:uid="{00000000-0005-0000-0000-000088680000}"/>
    <cellStyle name="Border 11 5 2" xfId="31671" xr:uid="{00000000-0005-0000-0000-000089680000}"/>
    <cellStyle name="Border 11 6" xfId="24025" xr:uid="{00000000-0005-0000-0000-00008A680000}"/>
    <cellStyle name="Border 12" xfId="8684" xr:uid="{00000000-0005-0000-0000-00008B680000}"/>
    <cellStyle name="Border 12 2" xfId="8685" xr:uid="{00000000-0005-0000-0000-00008C680000}"/>
    <cellStyle name="Border 12 2 2" xfId="15988" xr:uid="{00000000-0005-0000-0000-00008D680000}"/>
    <cellStyle name="Border 12 2 2 2" xfId="27845" xr:uid="{00000000-0005-0000-0000-00008E680000}"/>
    <cellStyle name="Border 12 2 3" xfId="19983" xr:uid="{00000000-0005-0000-0000-00008F680000}"/>
    <cellStyle name="Border 12 2 3 2" xfId="31675" xr:uid="{00000000-0005-0000-0000-000090680000}"/>
    <cellStyle name="Border 12 2 4" xfId="24029" xr:uid="{00000000-0005-0000-0000-000091680000}"/>
    <cellStyle name="Border 12 3" xfId="8686" xr:uid="{00000000-0005-0000-0000-000092680000}"/>
    <cellStyle name="Border 12 3 2" xfId="15989" xr:uid="{00000000-0005-0000-0000-000093680000}"/>
    <cellStyle name="Border 12 3 2 2" xfId="27846" xr:uid="{00000000-0005-0000-0000-000094680000}"/>
    <cellStyle name="Border 12 3 3" xfId="19984" xr:uid="{00000000-0005-0000-0000-000095680000}"/>
    <cellStyle name="Border 12 3 3 2" xfId="31676" xr:uid="{00000000-0005-0000-0000-000096680000}"/>
    <cellStyle name="Border 12 3 4" xfId="24030" xr:uid="{00000000-0005-0000-0000-000097680000}"/>
    <cellStyle name="Border 12 4" xfId="15987" xr:uid="{00000000-0005-0000-0000-000098680000}"/>
    <cellStyle name="Border 12 4 2" xfId="27844" xr:uid="{00000000-0005-0000-0000-000099680000}"/>
    <cellStyle name="Border 12 5" xfId="19982" xr:uid="{00000000-0005-0000-0000-00009A680000}"/>
    <cellStyle name="Border 12 5 2" xfId="31674" xr:uid="{00000000-0005-0000-0000-00009B680000}"/>
    <cellStyle name="Border 12 6" xfId="24028" xr:uid="{00000000-0005-0000-0000-00009C680000}"/>
    <cellStyle name="Border 13" xfId="8687" xr:uid="{00000000-0005-0000-0000-00009D680000}"/>
    <cellStyle name="Border 13 2" xfId="15990" xr:uid="{00000000-0005-0000-0000-00009E680000}"/>
    <cellStyle name="Border 13 2 2" xfId="27847" xr:uid="{00000000-0005-0000-0000-00009F680000}"/>
    <cellStyle name="Border 13 3" xfId="19985" xr:uid="{00000000-0005-0000-0000-0000A0680000}"/>
    <cellStyle name="Border 13 3 2" xfId="31677" xr:uid="{00000000-0005-0000-0000-0000A1680000}"/>
    <cellStyle name="Border 13 4" xfId="24031" xr:uid="{00000000-0005-0000-0000-0000A2680000}"/>
    <cellStyle name="Border 14" xfId="8688" xr:uid="{00000000-0005-0000-0000-0000A3680000}"/>
    <cellStyle name="Border 14 2" xfId="15991" xr:uid="{00000000-0005-0000-0000-0000A4680000}"/>
    <cellStyle name="Border 14 2 2" xfId="27848" xr:uid="{00000000-0005-0000-0000-0000A5680000}"/>
    <cellStyle name="Border 14 3" xfId="19986" xr:uid="{00000000-0005-0000-0000-0000A6680000}"/>
    <cellStyle name="Border 14 3 2" xfId="31678" xr:uid="{00000000-0005-0000-0000-0000A7680000}"/>
    <cellStyle name="Border 14 4" xfId="24032" xr:uid="{00000000-0005-0000-0000-0000A8680000}"/>
    <cellStyle name="Border 2" xfId="8689" xr:uid="{00000000-0005-0000-0000-0000A9680000}"/>
    <cellStyle name="Border 2 10" xfId="8690" xr:uid="{00000000-0005-0000-0000-0000AA680000}"/>
    <cellStyle name="Border 2 10 2" xfId="15993" xr:uid="{00000000-0005-0000-0000-0000AB680000}"/>
    <cellStyle name="Border 2 10 2 2" xfId="27850" xr:uid="{00000000-0005-0000-0000-0000AC680000}"/>
    <cellStyle name="Border 2 10 3" xfId="19988" xr:uid="{00000000-0005-0000-0000-0000AD680000}"/>
    <cellStyle name="Border 2 10 3 2" xfId="31680" xr:uid="{00000000-0005-0000-0000-0000AE680000}"/>
    <cellStyle name="Border 2 10 4" xfId="24034" xr:uid="{00000000-0005-0000-0000-0000AF680000}"/>
    <cellStyle name="Border 2 11" xfId="8691" xr:uid="{00000000-0005-0000-0000-0000B0680000}"/>
    <cellStyle name="Border 2 11 2" xfId="15994" xr:uid="{00000000-0005-0000-0000-0000B1680000}"/>
    <cellStyle name="Border 2 11 2 2" xfId="27851" xr:uid="{00000000-0005-0000-0000-0000B2680000}"/>
    <cellStyle name="Border 2 11 3" xfId="19989" xr:uid="{00000000-0005-0000-0000-0000B3680000}"/>
    <cellStyle name="Border 2 11 3 2" xfId="31681" xr:uid="{00000000-0005-0000-0000-0000B4680000}"/>
    <cellStyle name="Border 2 11 4" xfId="24035" xr:uid="{00000000-0005-0000-0000-0000B5680000}"/>
    <cellStyle name="Border 2 12" xfId="15992" xr:uid="{00000000-0005-0000-0000-0000B6680000}"/>
    <cellStyle name="Border 2 12 2" xfId="27849" xr:uid="{00000000-0005-0000-0000-0000B7680000}"/>
    <cellStyle name="Border 2 13" xfId="19987" xr:uid="{00000000-0005-0000-0000-0000B8680000}"/>
    <cellStyle name="Border 2 13 2" xfId="31679" xr:uid="{00000000-0005-0000-0000-0000B9680000}"/>
    <cellStyle name="Border 2 14" xfId="24033" xr:uid="{00000000-0005-0000-0000-0000BA680000}"/>
    <cellStyle name="Border 2 2" xfId="8692" xr:uid="{00000000-0005-0000-0000-0000BB680000}"/>
    <cellStyle name="Border 2 2 2" xfId="8693" xr:uid="{00000000-0005-0000-0000-0000BC680000}"/>
    <cellStyle name="Border 2 2 2 2" xfId="15996" xr:uid="{00000000-0005-0000-0000-0000BD680000}"/>
    <cellStyle name="Border 2 2 2 2 2" xfId="27853" xr:uid="{00000000-0005-0000-0000-0000BE680000}"/>
    <cellStyle name="Border 2 2 2 3" xfId="19991" xr:uid="{00000000-0005-0000-0000-0000BF680000}"/>
    <cellStyle name="Border 2 2 2 3 2" xfId="31683" xr:uid="{00000000-0005-0000-0000-0000C0680000}"/>
    <cellStyle name="Border 2 2 2 4" xfId="24037" xr:uid="{00000000-0005-0000-0000-0000C1680000}"/>
    <cellStyle name="Border 2 2 3" xfId="8694" xr:uid="{00000000-0005-0000-0000-0000C2680000}"/>
    <cellStyle name="Border 2 2 3 2" xfId="15997" xr:uid="{00000000-0005-0000-0000-0000C3680000}"/>
    <cellStyle name="Border 2 2 3 2 2" xfId="27854" xr:uid="{00000000-0005-0000-0000-0000C4680000}"/>
    <cellStyle name="Border 2 2 3 3" xfId="19992" xr:uid="{00000000-0005-0000-0000-0000C5680000}"/>
    <cellStyle name="Border 2 2 3 3 2" xfId="31684" xr:uid="{00000000-0005-0000-0000-0000C6680000}"/>
    <cellStyle name="Border 2 2 3 4" xfId="24038" xr:uid="{00000000-0005-0000-0000-0000C7680000}"/>
    <cellStyle name="Border 2 2 4" xfId="15995" xr:uid="{00000000-0005-0000-0000-0000C8680000}"/>
    <cellStyle name="Border 2 2 4 2" xfId="27852" xr:uid="{00000000-0005-0000-0000-0000C9680000}"/>
    <cellStyle name="Border 2 2 5" xfId="19990" xr:uid="{00000000-0005-0000-0000-0000CA680000}"/>
    <cellStyle name="Border 2 2 5 2" xfId="31682" xr:uid="{00000000-0005-0000-0000-0000CB680000}"/>
    <cellStyle name="Border 2 2 6" xfId="24036" xr:uid="{00000000-0005-0000-0000-0000CC680000}"/>
    <cellStyle name="Border 2 3" xfId="8695" xr:uid="{00000000-0005-0000-0000-0000CD680000}"/>
    <cellStyle name="Border 2 3 2" xfId="8696" xr:uid="{00000000-0005-0000-0000-0000CE680000}"/>
    <cellStyle name="Border 2 3 2 2" xfId="15999" xr:uid="{00000000-0005-0000-0000-0000CF680000}"/>
    <cellStyle name="Border 2 3 2 2 2" xfId="27856" xr:uid="{00000000-0005-0000-0000-0000D0680000}"/>
    <cellStyle name="Border 2 3 2 3" xfId="19994" xr:uid="{00000000-0005-0000-0000-0000D1680000}"/>
    <cellStyle name="Border 2 3 2 3 2" xfId="31686" xr:uid="{00000000-0005-0000-0000-0000D2680000}"/>
    <cellStyle name="Border 2 3 2 4" xfId="24040" xr:uid="{00000000-0005-0000-0000-0000D3680000}"/>
    <cellStyle name="Border 2 3 3" xfId="8697" xr:uid="{00000000-0005-0000-0000-0000D4680000}"/>
    <cellStyle name="Border 2 3 3 2" xfId="16000" xr:uid="{00000000-0005-0000-0000-0000D5680000}"/>
    <cellStyle name="Border 2 3 3 2 2" xfId="27857" xr:uid="{00000000-0005-0000-0000-0000D6680000}"/>
    <cellStyle name="Border 2 3 3 3" xfId="19995" xr:uid="{00000000-0005-0000-0000-0000D7680000}"/>
    <cellStyle name="Border 2 3 3 3 2" xfId="31687" xr:uid="{00000000-0005-0000-0000-0000D8680000}"/>
    <cellStyle name="Border 2 3 3 4" xfId="24041" xr:uid="{00000000-0005-0000-0000-0000D9680000}"/>
    <cellStyle name="Border 2 3 4" xfId="15998" xr:uid="{00000000-0005-0000-0000-0000DA680000}"/>
    <cellStyle name="Border 2 3 4 2" xfId="27855" xr:uid="{00000000-0005-0000-0000-0000DB680000}"/>
    <cellStyle name="Border 2 3 5" xfId="19993" xr:uid="{00000000-0005-0000-0000-0000DC680000}"/>
    <cellStyle name="Border 2 3 5 2" xfId="31685" xr:uid="{00000000-0005-0000-0000-0000DD680000}"/>
    <cellStyle name="Border 2 3 6" xfId="24039" xr:uid="{00000000-0005-0000-0000-0000DE680000}"/>
    <cellStyle name="Border 2 4" xfId="8698" xr:uid="{00000000-0005-0000-0000-0000DF680000}"/>
    <cellStyle name="Border 2 4 2" xfId="8699" xr:uid="{00000000-0005-0000-0000-0000E0680000}"/>
    <cellStyle name="Border 2 4 2 2" xfId="16002" xr:uid="{00000000-0005-0000-0000-0000E1680000}"/>
    <cellStyle name="Border 2 4 2 2 2" xfId="27859" xr:uid="{00000000-0005-0000-0000-0000E2680000}"/>
    <cellStyle name="Border 2 4 2 3" xfId="19997" xr:uid="{00000000-0005-0000-0000-0000E3680000}"/>
    <cellStyle name="Border 2 4 2 3 2" xfId="31689" xr:uid="{00000000-0005-0000-0000-0000E4680000}"/>
    <cellStyle name="Border 2 4 2 4" xfId="24043" xr:uid="{00000000-0005-0000-0000-0000E5680000}"/>
    <cellStyle name="Border 2 4 3" xfId="8700" xr:uid="{00000000-0005-0000-0000-0000E6680000}"/>
    <cellStyle name="Border 2 4 3 2" xfId="16003" xr:uid="{00000000-0005-0000-0000-0000E7680000}"/>
    <cellStyle name="Border 2 4 3 2 2" xfId="27860" xr:uid="{00000000-0005-0000-0000-0000E8680000}"/>
    <cellStyle name="Border 2 4 3 3" xfId="19998" xr:uid="{00000000-0005-0000-0000-0000E9680000}"/>
    <cellStyle name="Border 2 4 3 3 2" xfId="31690" xr:uid="{00000000-0005-0000-0000-0000EA680000}"/>
    <cellStyle name="Border 2 4 3 4" xfId="24044" xr:uid="{00000000-0005-0000-0000-0000EB680000}"/>
    <cellStyle name="Border 2 4 4" xfId="16001" xr:uid="{00000000-0005-0000-0000-0000EC680000}"/>
    <cellStyle name="Border 2 4 4 2" xfId="27858" xr:uid="{00000000-0005-0000-0000-0000ED680000}"/>
    <cellStyle name="Border 2 4 5" xfId="19996" xr:uid="{00000000-0005-0000-0000-0000EE680000}"/>
    <cellStyle name="Border 2 4 5 2" xfId="31688" xr:uid="{00000000-0005-0000-0000-0000EF680000}"/>
    <cellStyle name="Border 2 4 6" xfId="24042" xr:uid="{00000000-0005-0000-0000-0000F0680000}"/>
    <cellStyle name="Border 2 5" xfId="8701" xr:uid="{00000000-0005-0000-0000-0000F1680000}"/>
    <cellStyle name="Border 2 5 2" xfId="8702" xr:uid="{00000000-0005-0000-0000-0000F2680000}"/>
    <cellStyle name="Border 2 5 2 2" xfId="16005" xr:uid="{00000000-0005-0000-0000-0000F3680000}"/>
    <cellStyle name="Border 2 5 2 2 2" xfId="27862" xr:uid="{00000000-0005-0000-0000-0000F4680000}"/>
    <cellStyle name="Border 2 5 2 3" xfId="20000" xr:uid="{00000000-0005-0000-0000-0000F5680000}"/>
    <cellStyle name="Border 2 5 2 3 2" xfId="31692" xr:uid="{00000000-0005-0000-0000-0000F6680000}"/>
    <cellStyle name="Border 2 5 2 4" xfId="24046" xr:uid="{00000000-0005-0000-0000-0000F7680000}"/>
    <cellStyle name="Border 2 5 3" xfId="8703" xr:uid="{00000000-0005-0000-0000-0000F8680000}"/>
    <cellStyle name="Border 2 5 3 2" xfId="16006" xr:uid="{00000000-0005-0000-0000-0000F9680000}"/>
    <cellStyle name="Border 2 5 3 2 2" xfId="27863" xr:uid="{00000000-0005-0000-0000-0000FA680000}"/>
    <cellStyle name="Border 2 5 3 3" xfId="20001" xr:uid="{00000000-0005-0000-0000-0000FB680000}"/>
    <cellStyle name="Border 2 5 3 3 2" xfId="31693" xr:uid="{00000000-0005-0000-0000-0000FC680000}"/>
    <cellStyle name="Border 2 5 3 4" xfId="24047" xr:uid="{00000000-0005-0000-0000-0000FD680000}"/>
    <cellStyle name="Border 2 5 4" xfId="16004" xr:uid="{00000000-0005-0000-0000-0000FE680000}"/>
    <cellStyle name="Border 2 5 4 2" xfId="27861" xr:uid="{00000000-0005-0000-0000-0000FF680000}"/>
    <cellStyle name="Border 2 5 5" xfId="19999" xr:uid="{00000000-0005-0000-0000-000000690000}"/>
    <cellStyle name="Border 2 5 5 2" xfId="31691" xr:uid="{00000000-0005-0000-0000-000001690000}"/>
    <cellStyle name="Border 2 5 6" xfId="24045" xr:uid="{00000000-0005-0000-0000-000002690000}"/>
    <cellStyle name="Border 2 6" xfId="8704" xr:uid="{00000000-0005-0000-0000-000003690000}"/>
    <cellStyle name="Border 2 6 2" xfId="8705" xr:uid="{00000000-0005-0000-0000-000004690000}"/>
    <cellStyle name="Border 2 6 2 2" xfId="16008" xr:uid="{00000000-0005-0000-0000-000005690000}"/>
    <cellStyle name="Border 2 6 2 2 2" xfId="27865" xr:uid="{00000000-0005-0000-0000-000006690000}"/>
    <cellStyle name="Border 2 6 2 3" xfId="20003" xr:uid="{00000000-0005-0000-0000-000007690000}"/>
    <cellStyle name="Border 2 6 2 3 2" xfId="31695" xr:uid="{00000000-0005-0000-0000-000008690000}"/>
    <cellStyle name="Border 2 6 2 4" xfId="24049" xr:uid="{00000000-0005-0000-0000-000009690000}"/>
    <cellStyle name="Border 2 6 3" xfId="8706" xr:uid="{00000000-0005-0000-0000-00000A690000}"/>
    <cellStyle name="Border 2 6 3 2" xfId="16009" xr:uid="{00000000-0005-0000-0000-00000B690000}"/>
    <cellStyle name="Border 2 6 3 2 2" xfId="27866" xr:uid="{00000000-0005-0000-0000-00000C690000}"/>
    <cellStyle name="Border 2 6 3 3" xfId="20004" xr:uid="{00000000-0005-0000-0000-00000D690000}"/>
    <cellStyle name="Border 2 6 3 3 2" xfId="31696" xr:uid="{00000000-0005-0000-0000-00000E690000}"/>
    <cellStyle name="Border 2 6 3 4" xfId="24050" xr:uid="{00000000-0005-0000-0000-00000F690000}"/>
    <cellStyle name="Border 2 6 4" xfId="16007" xr:uid="{00000000-0005-0000-0000-000010690000}"/>
    <cellStyle name="Border 2 6 4 2" xfId="27864" xr:uid="{00000000-0005-0000-0000-000011690000}"/>
    <cellStyle name="Border 2 6 5" xfId="20002" xr:uid="{00000000-0005-0000-0000-000012690000}"/>
    <cellStyle name="Border 2 6 5 2" xfId="31694" xr:uid="{00000000-0005-0000-0000-000013690000}"/>
    <cellStyle name="Border 2 6 6" xfId="24048" xr:uid="{00000000-0005-0000-0000-000014690000}"/>
    <cellStyle name="Border 2 7" xfId="8707" xr:uid="{00000000-0005-0000-0000-000015690000}"/>
    <cellStyle name="Border 2 7 2" xfId="8708" xr:uid="{00000000-0005-0000-0000-000016690000}"/>
    <cellStyle name="Border 2 7 2 2" xfId="16011" xr:uid="{00000000-0005-0000-0000-000017690000}"/>
    <cellStyle name="Border 2 7 2 2 2" xfId="27868" xr:uid="{00000000-0005-0000-0000-000018690000}"/>
    <cellStyle name="Border 2 7 2 3" xfId="20006" xr:uid="{00000000-0005-0000-0000-000019690000}"/>
    <cellStyle name="Border 2 7 2 3 2" xfId="31698" xr:uid="{00000000-0005-0000-0000-00001A690000}"/>
    <cellStyle name="Border 2 7 2 4" xfId="24052" xr:uid="{00000000-0005-0000-0000-00001B690000}"/>
    <cellStyle name="Border 2 7 3" xfId="8709" xr:uid="{00000000-0005-0000-0000-00001C690000}"/>
    <cellStyle name="Border 2 7 3 2" xfId="16012" xr:uid="{00000000-0005-0000-0000-00001D690000}"/>
    <cellStyle name="Border 2 7 3 2 2" xfId="27869" xr:uid="{00000000-0005-0000-0000-00001E690000}"/>
    <cellStyle name="Border 2 7 3 3" xfId="20007" xr:uid="{00000000-0005-0000-0000-00001F690000}"/>
    <cellStyle name="Border 2 7 3 3 2" xfId="31699" xr:uid="{00000000-0005-0000-0000-000020690000}"/>
    <cellStyle name="Border 2 7 3 4" xfId="24053" xr:uid="{00000000-0005-0000-0000-000021690000}"/>
    <cellStyle name="Border 2 7 4" xfId="16010" xr:uid="{00000000-0005-0000-0000-000022690000}"/>
    <cellStyle name="Border 2 7 4 2" xfId="27867" xr:uid="{00000000-0005-0000-0000-000023690000}"/>
    <cellStyle name="Border 2 7 5" xfId="20005" xr:uid="{00000000-0005-0000-0000-000024690000}"/>
    <cellStyle name="Border 2 7 5 2" xfId="31697" xr:uid="{00000000-0005-0000-0000-000025690000}"/>
    <cellStyle name="Border 2 7 6" xfId="24051" xr:uid="{00000000-0005-0000-0000-000026690000}"/>
    <cellStyle name="Border 2 8" xfId="8710" xr:uid="{00000000-0005-0000-0000-000027690000}"/>
    <cellStyle name="Border 2 8 2" xfId="8711" xr:uid="{00000000-0005-0000-0000-000028690000}"/>
    <cellStyle name="Border 2 8 2 2" xfId="16014" xr:uid="{00000000-0005-0000-0000-000029690000}"/>
    <cellStyle name="Border 2 8 2 2 2" xfId="27871" xr:uid="{00000000-0005-0000-0000-00002A690000}"/>
    <cellStyle name="Border 2 8 2 3" xfId="20009" xr:uid="{00000000-0005-0000-0000-00002B690000}"/>
    <cellStyle name="Border 2 8 2 3 2" xfId="31701" xr:uid="{00000000-0005-0000-0000-00002C690000}"/>
    <cellStyle name="Border 2 8 2 4" xfId="24055" xr:uid="{00000000-0005-0000-0000-00002D690000}"/>
    <cellStyle name="Border 2 8 3" xfId="8712" xr:uid="{00000000-0005-0000-0000-00002E690000}"/>
    <cellStyle name="Border 2 8 3 2" xfId="16015" xr:uid="{00000000-0005-0000-0000-00002F690000}"/>
    <cellStyle name="Border 2 8 3 2 2" xfId="27872" xr:uid="{00000000-0005-0000-0000-000030690000}"/>
    <cellStyle name="Border 2 8 3 3" xfId="20010" xr:uid="{00000000-0005-0000-0000-000031690000}"/>
    <cellStyle name="Border 2 8 3 3 2" xfId="31702" xr:uid="{00000000-0005-0000-0000-000032690000}"/>
    <cellStyle name="Border 2 8 3 4" xfId="24056" xr:uid="{00000000-0005-0000-0000-000033690000}"/>
    <cellStyle name="Border 2 8 4" xfId="16013" xr:uid="{00000000-0005-0000-0000-000034690000}"/>
    <cellStyle name="Border 2 8 4 2" xfId="27870" xr:uid="{00000000-0005-0000-0000-000035690000}"/>
    <cellStyle name="Border 2 8 5" xfId="20008" xr:uid="{00000000-0005-0000-0000-000036690000}"/>
    <cellStyle name="Border 2 8 5 2" xfId="31700" xr:uid="{00000000-0005-0000-0000-000037690000}"/>
    <cellStyle name="Border 2 8 6" xfId="24054" xr:uid="{00000000-0005-0000-0000-000038690000}"/>
    <cellStyle name="Border 2 9" xfId="8713" xr:uid="{00000000-0005-0000-0000-000039690000}"/>
    <cellStyle name="Border 2 9 2" xfId="8714" xr:uid="{00000000-0005-0000-0000-00003A690000}"/>
    <cellStyle name="Border 2 9 2 2" xfId="16017" xr:uid="{00000000-0005-0000-0000-00003B690000}"/>
    <cellStyle name="Border 2 9 2 2 2" xfId="27874" xr:uid="{00000000-0005-0000-0000-00003C690000}"/>
    <cellStyle name="Border 2 9 2 3" xfId="20012" xr:uid="{00000000-0005-0000-0000-00003D690000}"/>
    <cellStyle name="Border 2 9 2 3 2" xfId="31704" xr:uid="{00000000-0005-0000-0000-00003E690000}"/>
    <cellStyle name="Border 2 9 2 4" xfId="24058" xr:uid="{00000000-0005-0000-0000-00003F690000}"/>
    <cellStyle name="Border 2 9 3" xfId="8715" xr:uid="{00000000-0005-0000-0000-000040690000}"/>
    <cellStyle name="Border 2 9 3 2" xfId="16018" xr:uid="{00000000-0005-0000-0000-000041690000}"/>
    <cellStyle name="Border 2 9 3 2 2" xfId="27875" xr:uid="{00000000-0005-0000-0000-000042690000}"/>
    <cellStyle name="Border 2 9 3 3" xfId="20013" xr:uid="{00000000-0005-0000-0000-000043690000}"/>
    <cellStyle name="Border 2 9 3 3 2" xfId="31705" xr:uid="{00000000-0005-0000-0000-000044690000}"/>
    <cellStyle name="Border 2 9 3 4" xfId="24059" xr:uid="{00000000-0005-0000-0000-000045690000}"/>
    <cellStyle name="Border 2 9 4" xfId="16016" xr:uid="{00000000-0005-0000-0000-000046690000}"/>
    <cellStyle name="Border 2 9 4 2" xfId="27873" xr:uid="{00000000-0005-0000-0000-000047690000}"/>
    <cellStyle name="Border 2 9 5" xfId="20011" xr:uid="{00000000-0005-0000-0000-000048690000}"/>
    <cellStyle name="Border 2 9 5 2" xfId="31703" xr:uid="{00000000-0005-0000-0000-000049690000}"/>
    <cellStyle name="Border 2 9 6" xfId="24057" xr:uid="{00000000-0005-0000-0000-00004A690000}"/>
    <cellStyle name="Border 3" xfId="8716" xr:uid="{00000000-0005-0000-0000-00004B690000}"/>
    <cellStyle name="Border 3 10" xfId="8717" xr:uid="{00000000-0005-0000-0000-00004C690000}"/>
    <cellStyle name="Border 3 10 2" xfId="16020" xr:uid="{00000000-0005-0000-0000-00004D690000}"/>
    <cellStyle name="Border 3 10 2 2" xfId="27877" xr:uid="{00000000-0005-0000-0000-00004E690000}"/>
    <cellStyle name="Border 3 10 3" xfId="20015" xr:uid="{00000000-0005-0000-0000-00004F690000}"/>
    <cellStyle name="Border 3 10 3 2" xfId="31707" xr:uid="{00000000-0005-0000-0000-000050690000}"/>
    <cellStyle name="Border 3 10 4" xfId="24061" xr:uid="{00000000-0005-0000-0000-000051690000}"/>
    <cellStyle name="Border 3 11" xfId="8718" xr:uid="{00000000-0005-0000-0000-000052690000}"/>
    <cellStyle name="Border 3 11 2" xfId="16021" xr:uid="{00000000-0005-0000-0000-000053690000}"/>
    <cellStyle name="Border 3 11 2 2" xfId="27878" xr:uid="{00000000-0005-0000-0000-000054690000}"/>
    <cellStyle name="Border 3 11 3" xfId="20016" xr:uid="{00000000-0005-0000-0000-000055690000}"/>
    <cellStyle name="Border 3 11 3 2" xfId="31708" xr:uid="{00000000-0005-0000-0000-000056690000}"/>
    <cellStyle name="Border 3 11 4" xfId="24062" xr:uid="{00000000-0005-0000-0000-000057690000}"/>
    <cellStyle name="Border 3 12" xfId="16019" xr:uid="{00000000-0005-0000-0000-000058690000}"/>
    <cellStyle name="Border 3 12 2" xfId="27876" xr:uid="{00000000-0005-0000-0000-000059690000}"/>
    <cellStyle name="Border 3 13" xfId="20014" xr:uid="{00000000-0005-0000-0000-00005A690000}"/>
    <cellStyle name="Border 3 13 2" xfId="31706" xr:uid="{00000000-0005-0000-0000-00005B690000}"/>
    <cellStyle name="Border 3 14" xfId="24060" xr:uid="{00000000-0005-0000-0000-00005C690000}"/>
    <cellStyle name="Border 3 2" xfId="8719" xr:uid="{00000000-0005-0000-0000-00005D690000}"/>
    <cellStyle name="Border 3 2 2" xfId="8720" xr:uid="{00000000-0005-0000-0000-00005E690000}"/>
    <cellStyle name="Border 3 2 2 2" xfId="16023" xr:uid="{00000000-0005-0000-0000-00005F690000}"/>
    <cellStyle name="Border 3 2 2 2 2" xfId="27880" xr:uid="{00000000-0005-0000-0000-000060690000}"/>
    <cellStyle name="Border 3 2 2 3" xfId="20018" xr:uid="{00000000-0005-0000-0000-000061690000}"/>
    <cellStyle name="Border 3 2 2 3 2" xfId="31710" xr:uid="{00000000-0005-0000-0000-000062690000}"/>
    <cellStyle name="Border 3 2 2 4" xfId="24064" xr:uid="{00000000-0005-0000-0000-000063690000}"/>
    <cellStyle name="Border 3 2 3" xfId="8721" xr:uid="{00000000-0005-0000-0000-000064690000}"/>
    <cellStyle name="Border 3 2 3 2" xfId="16024" xr:uid="{00000000-0005-0000-0000-000065690000}"/>
    <cellStyle name="Border 3 2 3 2 2" xfId="27881" xr:uid="{00000000-0005-0000-0000-000066690000}"/>
    <cellStyle name="Border 3 2 3 3" xfId="20019" xr:uid="{00000000-0005-0000-0000-000067690000}"/>
    <cellStyle name="Border 3 2 3 3 2" xfId="31711" xr:uid="{00000000-0005-0000-0000-000068690000}"/>
    <cellStyle name="Border 3 2 3 4" xfId="24065" xr:uid="{00000000-0005-0000-0000-000069690000}"/>
    <cellStyle name="Border 3 2 4" xfId="16022" xr:uid="{00000000-0005-0000-0000-00006A690000}"/>
    <cellStyle name="Border 3 2 4 2" xfId="27879" xr:uid="{00000000-0005-0000-0000-00006B690000}"/>
    <cellStyle name="Border 3 2 5" xfId="20017" xr:uid="{00000000-0005-0000-0000-00006C690000}"/>
    <cellStyle name="Border 3 2 5 2" xfId="31709" xr:uid="{00000000-0005-0000-0000-00006D690000}"/>
    <cellStyle name="Border 3 2 6" xfId="24063" xr:uid="{00000000-0005-0000-0000-00006E690000}"/>
    <cellStyle name="Border 3 3" xfId="8722" xr:uid="{00000000-0005-0000-0000-00006F690000}"/>
    <cellStyle name="Border 3 3 2" xfId="8723" xr:uid="{00000000-0005-0000-0000-000070690000}"/>
    <cellStyle name="Border 3 3 2 2" xfId="16026" xr:uid="{00000000-0005-0000-0000-000071690000}"/>
    <cellStyle name="Border 3 3 2 2 2" xfId="27883" xr:uid="{00000000-0005-0000-0000-000072690000}"/>
    <cellStyle name="Border 3 3 2 3" xfId="20021" xr:uid="{00000000-0005-0000-0000-000073690000}"/>
    <cellStyle name="Border 3 3 2 3 2" xfId="31713" xr:uid="{00000000-0005-0000-0000-000074690000}"/>
    <cellStyle name="Border 3 3 2 4" xfId="24067" xr:uid="{00000000-0005-0000-0000-000075690000}"/>
    <cellStyle name="Border 3 3 3" xfId="8724" xr:uid="{00000000-0005-0000-0000-000076690000}"/>
    <cellStyle name="Border 3 3 3 2" xfId="16027" xr:uid="{00000000-0005-0000-0000-000077690000}"/>
    <cellStyle name="Border 3 3 3 2 2" xfId="27884" xr:uid="{00000000-0005-0000-0000-000078690000}"/>
    <cellStyle name="Border 3 3 3 3" xfId="20022" xr:uid="{00000000-0005-0000-0000-000079690000}"/>
    <cellStyle name="Border 3 3 3 3 2" xfId="31714" xr:uid="{00000000-0005-0000-0000-00007A690000}"/>
    <cellStyle name="Border 3 3 3 4" xfId="24068" xr:uid="{00000000-0005-0000-0000-00007B690000}"/>
    <cellStyle name="Border 3 3 4" xfId="16025" xr:uid="{00000000-0005-0000-0000-00007C690000}"/>
    <cellStyle name="Border 3 3 4 2" xfId="27882" xr:uid="{00000000-0005-0000-0000-00007D690000}"/>
    <cellStyle name="Border 3 3 5" xfId="20020" xr:uid="{00000000-0005-0000-0000-00007E690000}"/>
    <cellStyle name="Border 3 3 5 2" xfId="31712" xr:uid="{00000000-0005-0000-0000-00007F690000}"/>
    <cellStyle name="Border 3 3 6" xfId="24066" xr:uid="{00000000-0005-0000-0000-000080690000}"/>
    <cellStyle name="Border 3 4" xfId="8725" xr:uid="{00000000-0005-0000-0000-000081690000}"/>
    <cellStyle name="Border 3 4 2" xfId="8726" xr:uid="{00000000-0005-0000-0000-000082690000}"/>
    <cellStyle name="Border 3 4 2 2" xfId="16029" xr:uid="{00000000-0005-0000-0000-000083690000}"/>
    <cellStyle name="Border 3 4 2 2 2" xfId="27886" xr:uid="{00000000-0005-0000-0000-000084690000}"/>
    <cellStyle name="Border 3 4 2 3" xfId="20024" xr:uid="{00000000-0005-0000-0000-000085690000}"/>
    <cellStyle name="Border 3 4 2 3 2" xfId="31716" xr:uid="{00000000-0005-0000-0000-000086690000}"/>
    <cellStyle name="Border 3 4 2 4" xfId="24070" xr:uid="{00000000-0005-0000-0000-000087690000}"/>
    <cellStyle name="Border 3 4 3" xfId="8727" xr:uid="{00000000-0005-0000-0000-000088690000}"/>
    <cellStyle name="Border 3 4 3 2" xfId="16030" xr:uid="{00000000-0005-0000-0000-000089690000}"/>
    <cellStyle name="Border 3 4 3 2 2" xfId="27887" xr:uid="{00000000-0005-0000-0000-00008A690000}"/>
    <cellStyle name="Border 3 4 3 3" xfId="20025" xr:uid="{00000000-0005-0000-0000-00008B690000}"/>
    <cellStyle name="Border 3 4 3 3 2" xfId="31717" xr:uid="{00000000-0005-0000-0000-00008C690000}"/>
    <cellStyle name="Border 3 4 3 4" xfId="24071" xr:uid="{00000000-0005-0000-0000-00008D690000}"/>
    <cellStyle name="Border 3 4 4" xfId="16028" xr:uid="{00000000-0005-0000-0000-00008E690000}"/>
    <cellStyle name="Border 3 4 4 2" xfId="27885" xr:uid="{00000000-0005-0000-0000-00008F690000}"/>
    <cellStyle name="Border 3 4 5" xfId="20023" xr:uid="{00000000-0005-0000-0000-000090690000}"/>
    <cellStyle name="Border 3 4 5 2" xfId="31715" xr:uid="{00000000-0005-0000-0000-000091690000}"/>
    <cellStyle name="Border 3 4 6" xfId="24069" xr:uid="{00000000-0005-0000-0000-000092690000}"/>
    <cellStyle name="Border 3 5" xfId="8728" xr:uid="{00000000-0005-0000-0000-000093690000}"/>
    <cellStyle name="Border 3 5 2" xfId="8729" xr:uid="{00000000-0005-0000-0000-000094690000}"/>
    <cellStyle name="Border 3 5 2 2" xfId="16032" xr:uid="{00000000-0005-0000-0000-000095690000}"/>
    <cellStyle name="Border 3 5 2 2 2" xfId="27889" xr:uid="{00000000-0005-0000-0000-000096690000}"/>
    <cellStyle name="Border 3 5 2 3" xfId="20027" xr:uid="{00000000-0005-0000-0000-000097690000}"/>
    <cellStyle name="Border 3 5 2 3 2" xfId="31719" xr:uid="{00000000-0005-0000-0000-000098690000}"/>
    <cellStyle name="Border 3 5 2 4" xfId="24073" xr:uid="{00000000-0005-0000-0000-000099690000}"/>
    <cellStyle name="Border 3 5 3" xfId="8730" xr:uid="{00000000-0005-0000-0000-00009A690000}"/>
    <cellStyle name="Border 3 5 3 2" xfId="16033" xr:uid="{00000000-0005-0000-0000-00009B690000}"/>
    <cellStyle name="Border 3 5 3 2 2" xfId="27890" xr:uid="{00000000-0005-0000-0000-00009C690000}"/>
    <cellStyle name="Border 3 5 3 3" xfId="20028" xr:uid="{00000000-0005-0000-0000-00009D690000}"/>
    <cellStyle name="Border 3 5 3 3 2" xfId="31720" xr:uid="{00000000-0005-0000-0000-00009E690000}"/>
    <cellStyle name="Border 3 5 3 4" xfId="24074" xr:uid="{00000000-0005-0000-0000-00009F690000}"/>
    <cellStyle name="Border 3 5 4" xfId="16031" xr:uid="{00000000-0005-0000-0000-0000A0690000}"/>
    <cellStyle name="Border 3 5 4 2" xfId="27888" xr:uid="{00000000-0005-0000-0000-0000A1690000}"/>
    <cellStyle name="Border 3 5 5" xfId="20026" xr:uid="{00000000-0005-0000-0000-0000A2690000}"/>
    <cellStyle name="Border 3 5 5 2" xfId="31718" xr:uid="{00000000-0005-0000-0000-0000A3690000}"/>
    <cellStyle name="Border 3 5 6" xfId="24072" xr:uid="{00000000-0005-0000-0000-0000A4690000}"/>
    <cellStyle name="Border 3 6" xfId="8731" xr:uid="{00000000-0005-0000-0000-0000A5690000}"/>
    <cellStyle name="Border 3 6 2" xfId="8732" xr:uid="{00000000-0005-0000-0000-0000A6690000}"/>
    <cellStyle name="Border 3 6 2 2" xfId="16035" xr:uid="{00000000-0005-0000-0000-0000A7690000}"/>
    <cellStyle name="Border 3 6 2 2 2" xfId="27892" xr:uid="{00000000-0005-0000-0000-0000A8690000}"/>
    <cellStyle name="Border 3 6 2 3" xfId="20030" xr:uid="{00000000-0005-0000-0000-0000A9690000}"/>
    <cellStyle name="Border 3 6 2 3 2" xfId="31722" xr:uid="{00000000-0005-0000-0000-0000AA690000}"/>
    <cellStyle name="Border 3 6 2 4" xfId="24076" xr:uid="{00000000-0005-0000-0000-0000AB690000}"/>
    <cellStyle name="Border 3 6 3" xfId="8733" xr:uid="{00000000-0005-0000-0000-0000AC690000}"/>
    <cellStyle name="Border 3 6 3 2" xfId="16036" xr:uid="{00000000-0005-0000-0000-0000AD690000}"/>
    <cellStyle name="Border 3 6 3 2 2" xfId="27893" xr:uid="{00000000-0005-0000-0000-0000AE690000}"/>
    <cellStyle name="Border 3 6 3 3" xfId="20031" xr:uid="{00000000-0005-0000-0000-0000AF690000}"/>
    <cellStyle name="Border 3 6 3 3 2" xfId="31723" xr:uid="{00000000-0005-0000-0000-0000B0690000}"/>
    <cellStyle name="Border 3 6 3 4" xfId="24077" xr:uid="{00000000-0005-0000-0000-0000B1690000}"/>
    <cellStyle name="Border 3 6 4" xfId="16034" xr:uid="{00000000-0005-0000-0000-0000B2690000}"/>
    <cellStyle name="Border 3 6 4 2" xfId="27891" xr:uid="{00000000-0005-0000-0000-0000B3690000}"/>
    <cellStyle name="Border 3 6 5" xfId="20029" xr:uid="{00000000-0005-0000-0000-0000B4690000}"/>
    <cellStyle name="Border 3 6 5 2" xfId="31721" xr:uid="{00000000-0005-0000-0000-0000B5690000}"/>
    <cellStyle name="Border 3 6 6" xfId="24075" xr:uid="{00000000-0005-0000-0000-0000B6690000}"/>
    <cellStyle name="Border 3 7" xfId="8734" xr:uid="{00000000-0005-0000-0000-0000B7690000}"/>
    <cellStyle name="Border 3 7 2" xfId="8735" xr:uid="{00000000-0005-0000-0000-0000B8690000}"/>
    <cellStyle name="Border 3 7 2 2" xfId="16038" xr:uid="{00000000-0005-0000-0000-0000B9690000}"/>
    <cellStyle name="Border 3 7 2 2 2" xfId="27895" xr:uid="{00000000-0005-0000-0000-0000BA690000}"/>
    <cellStyle name="Border 3 7 2 3" xfId="20033" xr:uid="{00000000-0005-0000-0000-0000BB690000}"/>
    <cellStyle name="Border 3 7 2 3 2" xfId="31725" xr:uid="{00000000-0005-0000-0000-0000BC690000}"/>
    <cellStyle name="Border 3 7 2 4" xfId="24079" xr:uid="{00000000-0005-0000-0000-0000BD690000}"/>
    <cellStyle name="Border 3 7 3" xfId="8736" xr:uid="{00000000-0005-0000-0000-0000BE690000}"/>
    <cellStyle name="Border 3 7 3 2" xfId="16039" xr:uid="{00000000-0005-0000-0000-0000BF690000}"/>
    <cellStyle name="Border 3 7 3 2 2" xfId="27896" xr:uid="{00000000-0005-0000-0000-0000C0690000}"/>
    <cellStyle name="Border 3 7 3 3" xfId="20034" xr:uid="{00000000-0005-0000-0000-0000C1690000}"/>
    <cellStyle name="Border 3 7 3 3 2" xfId="31726" xr:uid="{00000000-0005-0000-0000-0000C2690000}"/>
    <cellStyle name="Border 3 7 3 4" xfId="24080" xr:uid="{00000000-0005-0000-0000-0000C3690000}"/>
    <cellStyle name="Border 3 7 4" xfId="16037" xr:uid="{00000000-0005-0000-0000-0000C4690000}"/>
    <cellStyle name="Border 3 7 4 2" xfId="27894" xr:uid="{00000000-0005-0000-0000-0000C5690000}"/>
    <cellStyle name="Border 3 7 5" xfId="20032" xr:uid="{00000000-0005-0000-0000-0000C6690000}"/>
    <cellStyle name="Border 3 7 5 2" xfId="31724" xr:uid="{00000000-0005-0000-0000-0000C7690000}"/>
    <cellStyle name="Border 3 7 6" xfId="24078" xr:uid="{00000000-0005-0000-0000-0000C8690000}"/>
    <cellStyle name="Border 3 8" xfId="8737" xr:uid="{00000000-0005-0000-0000-0000C9690000}"/>
    <cellStyle name="Border 3 8 2" xfId="8738" xr:uid="{00000000-0005-0000-0000-0000CA690000}"/>
    <cellStyle name="Border 3 8 2 2" xfId="16041" xr:uid="{00000000-0005-0000-0000-0000CB690000}"/>
    <cellStyle name="Border 3 8 2 2 2" xfId="27898" xr:uid="{00000000-0005-0000-0000-0000CC690000}"/>
    <cellStyle name="Border 3 8 2 3" xfId="20036" xr:uid="{00000000-0005-0000-0000-0000CD690000}"/>
    <cellStyle name="Border 3 8 2 3 2" xfId="31728" xr:uid="{00000000-0005-0000-0000-0000CE690000}"/>
    <cellStyle name="Border 3 8 2 4" xfId="24082" xr:uid="{00000000-0005-0000-0000-0000CF690000}"/>
    <cellStyle name="Border 3 8 3" xfId="8739" xr:uid="{00000000-0005-0000-0000-0000D0690000}"/>
    <cellStyle name="Border 3 8 3 2" xfId="16042" xr:uid="{00000000-0005-0000-0000-0000D1690000}"/>
    <cellStyle name="Border 3 8 3 2 2" xfId="27899" xr:uid="{00000000-0005-0000-0000-0000D2690000}"/>
    <cellStyle name="Border 3 8 3 3" xfId="20037" xr:uid="{00000000-0005-0000-0000-0000D3690000}"/>
    <cellStyle name="Border 3 8 3 3 2" xfId="31729" xr:uid="{00000000-0005-0000-0000-0000D4690000}"/>
    <cellStyle name="Border 3 8 3 4" xfId="24083" xr:uid="{00000000-0005-0000-0000-0000D5690000}"/>
    <cellStyle name="Border 3 8 4" xfId="16040" xr:uid="{00000000-0005-0000-0000-0000D6690000}"/>
    <cellStyle name="Border 3 8 4 2" xfId="27897" xr:uid="{00000000-0005-0000-0000-0000D7690000}"/>
    <cellStyle name="Border 3 8 5" xfId="20035" xr:uid="{00000000-0005-0000-0000-0000D8690000}"/>
    <cellStyle name="Border 3 8 5 2" xfId="31727" xr:uid="{00000000-0005-0000-0000-0000D9690000}"/>
    <cellStyle name="Border 3 8 6" xfId="24081" xr:uid="{00000000-0005-0000-0000-0000DA690000}"/>
    <cellStyle name="Border 3 9" xfId="8740" xr:uid="{00000000-0005-0000-0000-0000DB690000}"/>
    <cellStyle name="Border 3 9 2" xfId="8741" xr:uid="{00000000-0005-0000-0000-0000DC690000}"/>
    <cellStyle name="Border 3 9 2 2" xfId="16044" xr:uid="{00000000-0005-0000-0000-0000DD690000}"/>
    <cellStyle name="Border 3 9 2 2 2" xfId="27901" xr:uid="{00000000-0005-0000-0000-0000DE690000}"/>
    <cellStyle name="Border 3 9 2 3" xfId="20039" xr:uid="{00000000-0005-0000-0000-0000DF690000}"/>
    <cellStyle name="Border 3 9 2 3 2" xfId="31731" xr:uid="{00000000-0005-0000-0000-0000E0690000}"/>
    <cellStyle name="Border 3 9 2 4" xfId="24085" xr:uid="{00000000-0005-0000-0000-0000E1690000}"/>
    <cellStyle name="Border 3 9 3" xfId="8742" xr:uid="{00000000-0005-0000-0000-0000E2690000}"/>
    <cellStyle name="Border 3 9 3 2" xfId="16045" xr:uid="{00000000-0005-0000-0000-0000E3690000}"/>
    <cellStyle name="Border 3 9 3 2 2" xfId="27902" xr:uid="{00000000-0005-0000-0000-0000E4690000}"/>
    <cellStyle name="Border 3 9 3 3" xfId="20040" xr:uid="{00000000-0005-0000-0000-0000E5690000}"/>
    <cellStyle name="Border 3 9 3 3 2" xfId="31732" xr:uid="{00000000-0005-0000-0000-0000E6690000}"/>
    <cellStyle name="Border 3 9 3 4" xfId="24086" xr:uid="{00000000-0005-0000-0000-0000E7690000}"/>
    <cellStyle name="Border 3 9 4" xfId="16043" xr:uid="{00000000-0005-0000-0000-0000E8690000}"/>
    <cellStyle name="Border 3 9 4 2" xfId="27900" xr:uid="{00000000-0005-0000-0000-0000E9690000}"/>
    <cellStyle name="Border 3 9 5" xfId="20038" xr:uid="{00000000-0005-0000-0000-0000EA690000}"/>
    <cellStyle name="Border 3 9 5 2" xfId="31730" xr:uid="{00000000-0005-0000-0000-0000EB690000}"/>
    <cellStyle name="Border 3 9 6" xfId="24084" xr:uid="{00000000-0005-0000-0000-0000EC690000}"/>
    <cellStyle name="Border 4" xfId="8743" xr:uid="{00000000-0005-0000-0000-0000ED690000}"/>
    <cellStyle name="Border 4 2" xfId="8744" xr:uid="{00000000-0005-0000-0000-0000EE690000}"/>
    <cellStyle name="Border 4 2 2" xfId="8745" xr:uid="{00000000-0005-0000-0000-0000EF690000}"/>
    <cellStyle name="Border 4 2 2 2" xfId="16048" xr:uid="{00000000-0005-0000-0000-0000F0690000}"/>
    <cellStyle name="Border 4 2 2 2 2" xfId="27905" xr:uid="{00000000-0005-0000-0000-0000F1690000}"/>
    <cellStyle name="Border 4 2 2 3" xfId="20043" xr:uid="{00000000-0005-0000-0000-0000F2690000}"/>
    <cellStyle name="Border 4 2 2 3 2" xfId="31735" xr:uid="{00000000-0005-0000-0000-0000F3690000}"/>
    <cellStyle name="Border 4 2 2 4" xfId="24089" xr:uid="{00000000-0005-0000-0000-0000F4690000}"/>
    <cellStyle name="Border 4 2 3" xfId="8746" xr:uid="{00000000-0005-0000-0000-0000F5690000}"/>
    <cellStyle name="Border 4 2 3 2" xfId="16049" xr:uid="{00000000-0005-0000-0000-0000F6690000}"/>
    <cellStyle name="Border 4 2 3 2 2" xfId="27906" xr:uid="{00000000-0005-0000-0000-0000F7690000}"/>
    <cellStyle name="Border 4 2 3 3" xfId="20044" xr:uid="{00000000-0005-0000-0000-0000F8690000}"/>
    <cellStyle name="Border 4 2 3 3 2" xfId="31736" xr:uid="{00000000-0005-0000-0000-0000F9690000}"/>
    <cellStyle name="Border 4 2 3 4" xfId="24090" xr:uid="{00000000-0005-0000-0000-0000FA690000}"/>
    <cellStyle name="Border 4 2 4" xfId="16047" xr:uid="{00000000-0005-0000-0000-0000FB690000}"/>
    <cellStyle name="Border 4 2 4 2" xfId="27904" xr:uid="{00000000-0005-0000-0000-0000FC690000}"/>
    <cellStyle name="Border 4 2 5" xfId="20042" xr:uid="{00000000-0005-0000-0000-0000FD690000}"/>
    <cellStyle name="Border 4 2 5 2" xfId="31734" xr:uid="{00000000-0005-0000-0000-0000FE690000}"/>
    <cellStyle name="Border 4 2 6" xfId="24088" xr:uid="{00000000-0005-0000-0000-0000FF690000}"/>
    <cellStyle name="Border 4 3" xfId="8747" xr:uid="{00000000-0005-0000-0000-0000006A0000}"/>
    <cellStyle name="Border 4 3 2" xfId="8748" xr:uid="{00000000-0005-0000-0000-0000016A0000}"/>
    <cellStyle name="Border 4 3 2 2" xfId="16051" xr:uid="{00000000-0005-0000-0000-0000026A0000}"/>
    <cellStyle name="Border 4 3 2 2 2" xfId="27908" xr:uid="{00000000-0005-0000-0000-0000036A0000}"/>
    <cellStyle name="Border 4 3 2 3" xfId="20046" xr:uid="{00000000-0005-0000-0000-0000046A0000}"/>
    <cellStyle name="Border 4 3 2 3 2" xfId="31738" xr:uid="{00000000-0005-0000-0000-0000056A0000}"/>
    <cellStyle name="Border 4 3 2 4" xfId="24092" xr:uid="{00000000-0005-0000-0000-0000066A0000}"/>
    <cellStyle name="Border 4 3 3" xfId="8749" xr:uid="{00000000-0005-0000-0000-0000076A0000}"/>
    <cellStyle name="Border 4 3 3 2" xfId="16052" xr:uid="{00000000-0005-0000-0000-0000086A0000}"/>
    <cellStyle name="Border 4 3 3 2 2" xfId="27909" xr:uid="{00000000-0005-0000-0000-0000096A0000}"/>
    <cellStyle name="Border 4 3 3 3" xfId="20047" xr:uid="{00000000-0005-0000-0000-00000A6A0000}"/>
    <cellStyle name="Border 4 3 3 3 2" xfId="31739" xr:uid="{00000000-0005-0000-0000-00000B6A0000}"/>
    <cellStyle name="Border 4 3 3 4" xfId="24093" xr:uid="{00000000-0005-0000-0000-00000C6A0000}"/>
    <cellStyle name="Border 4 3 4" xfId="16050" xr:uid="{00000000-0005-0000-0000-00000D6A0000}"/>
    <cellStyle name="Border 4 3 4 2" xfId="27907" xr:uid="{00000000-0005-0000-0000-00000E6A0000}"/>
    <cellStyle name="Border 4 3 5" xfId="20045" xr:uid="{00000000-0005-0000-0000-00000F6A0000}"/>
    <cellStyle name="Border 4 3 5 2" xfId="31737" xr:uid="{00000000-0005-0000-0000-0000106A0000}"/>
    <cellStyle name="Border 4 3 6" xfId="24091" xr:uid="{00000000-0005-0000-0000-0000116A0000}"/>
    <cellStyle name="Border 4 4" xfId="8750" xr:uid="{00000000-0005-0000-0000-0000126A0000}"/>
    <cellStyle name="Border 4 4 2" xfId="16053" xr:uid="{00000000-0005-0000-0000-0000136A0000}"/>
    <cellStyle name="Border 4 4 2 2" xfId="27910" xr:uid="{00000000-0005-0000-0000-0000146A0000}"/>
    <cellStyle name="Border 4 4 3" xfId="20048" xr:uid="{00000000-0005-0000-0000-0000156A0000}"/>
    <cellStyle name="Border 4 4 3 2" xfId="31740" xr:uid="{00000000-0005-0000-0000-0000166A0000}"/>
    <cellStyle name="Border 4 4 4" xfId="24094" xr:uid="{00000000-0005-0000-0000-0000176A0000}"/>
    <cellStyle name="Border 4 5" xfId="8751" xr:uid="{00000000-0005-0000-0000-0000186A0000}"/>
    <cellStyle name="Border 4 5 2" xfId="16054" xr:uid="{00000000-0005-0000-0000-0000196A0000}"/>
    <cellStyle name="Border 4 5 2 2" xfId="27911" xr:uid="{00000000-0005-0000-0000-00001A6A0000}"/>
    <cellStyle name="Border 4 5 3" xfId="20049" xr:uid="{00000000-0005-0000-0000-00001B6A0000}"/>
    <cellStyle name="Border 4 5 3 2" xfId="31741" xr:uid="{00000000-0005-0000-0000-00001C6A0000}"/>
    <cellStyle name="Border 4 5 4" xfId="24095" xr:uid="{00000000-0005-0000-0000-00001D6A0000}"/>
    <cellStyle name="Border 4 6" xfId="16046" xr:uid="{00000000-0005-0000-0000-00001E6A0000}"/>
    <cellStyle name="Border 4 6 2" xfId="27903" xr:uid="{00000000-0005-0000-0000-00001F6A0000}"/>
    <cellStyle name="Border 4 7" xfId="20041" xr:uid="{00000000-0005-0000-0000-0000206A0000}"/>
    <cellStyle name="Border 4 7 2" xfId="31733" xr:uid="{00000000-0005-0000-0000-0000216A0000}"/>
    <cellStyle name="Border 4 8" xfId="24087" xr:uid="{00000000-0005-0000-0000-0000226A0000}"/>
    <cellStyle name="Border 5" xfId="8752" xr:uid="{00000000-0005-0000-0000-0000236A0000}"/>
    <cellStyle name="Border 5 2" xfId="8753" xr:uid="{00000000-0005-0000-0000-0000246A0000}"/>
    <cellStyle name="Border 5 2 2" xfId="16056" xr:uid="{00000000-0005-0000-0000-0000256A0000}"/>
    <cellStyle name="Border 5 2 2 2" xfId="27913" xr:uid="{00000000-0005-0000-0000-0000266A0000}"/>
    <cellStyle name="Border 5 2 3" xfId="20051" xr:uid="{00000000-0005-0000-0000-0000276A0000}"/>
    <cellStyle name="Border 5 2 3 2" xfId="31743" xr:uid="{00000000-0005-0000-0000-0000286A0000}"/>
    <cellStyle name="Border 5 2 4" xfId="24097" xr:uid="{00000000-0005-0000-0000-0000296A0000}"/>
    <cellStyle name="Border 5 3" xfId="8754" xr:uid="{00000000-0005-0000-0000-00002A6A0000}"/>
    <cellStyle name="Border 5 3 2" xfId="16057" xr:uid="{00000000-0005-0000-0000-00002B6A0000}"/>
    <cellStyle name="Border 5 3 2 2" xfId="27914" xr:uid="{00000000-0005-0000-0000-00002C6A0000}"/>
    <cellStyle name="Border 5 3 3" xfId="20052" xr:uid="{00000000-0005-0000-0000-00002D6A0000}"/>
    <cellStyle name="Border 5 3 3 2" xfId="31744" xr:uid="{00000000-0005-0000-0000-00002E6A0000}"/>
    <cellStyle name="Border 5 3 4" xfId="24098" xr:uid="{00000000-0005-0000-0000-00002F6A0000}"/>
    <cellStyle name="Border 5 4" xfId="16055" xr:uid="{00000000-0005-0000-0000-0000306A0000}"/>
    <cellStyle name="Border 5 4 2" xfId="27912" xr:uid="{00000000-0005-0000-0000-0000316A0000}"/>
    <cellStyle name="Border 5 5" xfId="20050" xr:uid="{00000000-0005-0000-0000-0000326A0000}"/>
    <cellStyle name="Border 5 5 2" xfId="31742" xr:uid="{00000000-0005-0000-0000-0000336A0000}"/>
    <cellStyle name="Border 5 6" xfId="24096" xr:uid="{00000000-0005-0000-0000-0000346A0000}"/>
    <cellStyle name="Border 6" xfId="8755" xr:uid="{00000000-0005-0000-0000-0000356A0000}"/>
    <cellStyle name="Border 6 2" xfId="8756" xr:uid="{00000000-0005-0000-0000-0000366A0000}"/>
    <cellStyle name="Border 6 2 2" xfId="16059" xr:uid="{00000000-0005-0000-0000-0000376A0000}"/>
    <cellStyle name="Border 6 2 2 2" xfId="27916" xr:uid="{00000000-0005-0000-0000-0000386A0000}"/>
    <cellStyle name="Border 6 2 3" xfId="20054" xr:uid="{00000000-0005-0000-0000-0000396A0000}"/>
    <cellStyle name="Border 6 2 3 2" xfId="31746" xr:uid="{00000000-0005-0000-0000-00003A6A0000}"/>
    <cellStyle name="Border 6 2 4" xfId="24100" xr:uid="{00000000-0005-0000-0000-00003B6A0000}"/>
    <cellStyle name="Border 6 3" xfId="8757" xr:uid="{00000000-0005-0000-0000-00003C6A0000}"/>
    <cellStyle name="Border 6 3 2" xfId="16060" xr:uid="{00000000-0005-0000-0000-00003D6A0000}"/>
    <cellStyle name="Border 6 3 2 2" xfId="27917" xr:uid="{00000000-0005-0000-0000-00003E6A0000}"/>
    <cellStyle name="Border 6 3 3" xfId="20055" xr:uid="{00000000-0005-0000-0000-00003F6A0000}"/>
    <cellStyle name="Border 6 3 3 2" xfId="31747" xr:uid="{00000000-0005-0000-0000-0000406A0000}"/>
    <cellStyle name="Border 6 3 4" xfId="24101" xr:uid="{00000000-0005-0000-0000-0000416A0000}"/>
    <cellStyle name="Border 6 4" xfId="16058" xr:uid="{00000000-0005-0000-0000-0000426A0000}"/>
    <cellStyle name="Border 6 4 2" xfId="27915" xr:uid="{00000000-0005-0000-0000-0000436A0000}"/>
    <cellStyle name="Border 6 5" xfId="20053" xr:uid="{00000000-0005-0000-0000-0000446A0000}"/>
    <cellStyle name="Border 6 5 2" xfId="31745" xr:uid="{00000000-0005-0000-0000-0000456A0000}"/>
    <cellStyle name="Border 6 6" xfId="24099" xr:uid="{00000000-0005-0000-0000-0000466A0000}"/>
    <cellStyle name="Border 7" xfId="8758" xr:uid="{00000000-0005-0000-0000-0000476A0000}"/>
    <cellStyle name="Border 7 2" xfId="8759" xr:uid="{00000000-0005-0000-0000-0000486A0000}"/>
    <cellStyle name="Border 7 2 2" xfId="16062" xr:uid="{00000000-0005-0000-0000-0000496A0000}"/>
    <cellStyle name="Border 7 2 2 2" xfId="27919" xr:uid="{00000000-0005-0000-0000-00004A6A0000}"/>
    <cellStyle name="Border 7 2 3" xfId="20057" xr:uid="{00000000-0005-0000-0000-00004B6A0000}"/>
    <cellStyle name="Border 7 2 3 2" xfId="31749" xr:uid="{00000000-0005-0000-0000-00004C6A0000}"/>
    <cellStyle name="Border 7 2 4" xfId="24103" xr:uid="{00000000-0005-0000-0000-00004D6A0000}"/>
    <cellStyle name="Border 7 3" xfId="8760" xr:uid="{00000000-0005-0000-0000-00004E6A0000}"/>
    <cellStyle name="Border 7 3 2" xfId="16063" xr:uid="{00000000-0005-0000-0000-00004F6A0000}"/>
    <cellStyle name="Border 7 3 2 2" xfId="27920" xr:uid="{00000000-0005-0000-0000-0000506A0000}"/>
    <cellStyle name="Border 7 3 3" xfId="20058" xr:uid="{00000000-0005-0000-0000-0000516A0000}"/>
    <cellStyle name="Border 7 3 3 2" xfId="31750" xr:uid="{00000000-0005-0000-0000-0000526A0000}"/>
    <cellStyle name="Border 7 3 4" xfId="24104" xr:uid="{00000000-0005-0000-0000-0000536A0000}"/>
    <cellStyle name="Border 7 4" xfId="16061" xr:uid="{00000000-0005-0000-0000-0000546A0000}"/>
    <cellStyle name="Border 7 4 2" xfId="27918" xr:uid="{00000000-0005-0000-0000-0000556A0000}"/>
    <cellStyle name="Border 7 5" xfId="20056" xr:uid="{00000000-0005-0000-0000-0000566A0000}"/>
    <cellStyle name="Border 7 5 2" xfId="31748" xr:uid="{00000000-0005-0000-0000-0000576A0000}"/>
    <cellStyle name="Border 7 6" xfId="24102" xr:uid="{00000000-0005-0000-0000-0000586A0000}"/>
    <cellStyle name="Border 8" xfId="8761" xr:uid="{00000000-0005-0000-0000-0000596A0000}"/>
    <cellStyle name="Border 8 2" xfId="8762" xr:uid="{00000000-0005-0000-0000-00005A6A0000}"/>
    <cellStyle name="Border 8 2 2" xfId="16065" xr:uid="{00000000-0005-0000-0000-00005B6A0000}"/>
    <cellStyle name="Border 8 2 2 2" xfId="27922" xr:uid="{00000000-0005-0000-0000-00005C6A0000}"/>
    <cellStyle name="Border 8 2 3" xfId="20060" xr:uid="{00000000-0005-0000-0000-00005D6A0000}"/>
    <cellStyle name="Border 8 2 3 2" xfId="31752" xr:uid="{00000000-0005-0000-0000-00005E6A0000}"/>
    <cellStyle name="Border 8 2 4" xfId="24106" xr:uid="{00000000-0005-0000-0000-00005F6A0000}"/>
    <cellStyle name="Border 8 3" xfId="8763" xr:uid="{00000000-0005-0000-0000-0000606A0000}"/>
    <cellStyle name="Border 8 3 2" xfId="16066" xr:uid="{00000000-0005-0000-0000-0000616A0000}"/>
    <cellStyle name="Border 8 3 2 2" xfId="27923" xr:uid="{00000000-0005-0000-0000-0000626A0000}"/>
    <cellStyle name="Border 8 3 3" xfId="20061" xr:uid="{00000000-0005-0000-0000-0000636A0000}"/>
    <cellStyle name="Border 8 3 3 2" xfId="31753" xr:uid="{00000000-0005-0000-0000-0000646A0000}"/>
    <cellStyle name="Border 8 3 4" xfId="24107" xr:uid="{00000000-0005-0000-0000-0000656A0000}"/>
    <cellStyle name="Border 8 4" xfId="16064" xr:uid="{00000000-0005-0000-0000-0000666A0000}"/>
    <cellStyle name="Border 8 4 2" xfId="27921" xr:uid="{00000000-0005-0000-0000-0000676A0000}"/>
    <cellStyle name="Border 8 5" xfId="20059" xr:uid="{00000000-0005-0000-0000-0000686A0000}"/>
    <cellStyle name="Border 8 5 2" xfId="31751" xr:uid="{00000000-0005-0000-0000-0000696A0000}"/>
    <cellStyle name="Border 8 6" xfId="24105" xr:uid="{00000000-0005-0000-0000-00006A6A0000}"/>
    <cellStyle name="Border 9" xfId="8764" xr:uid="{00000000-0005-0000-0000-00006B6A0000}"/>
    <cellStyle name="Border 9 2" xfId="8765" xr:uid="{00000000-0005-0000-0000-00006C6A0000}"/>
    <cellStyle name="Border 9 2 2" xfId="16068" xr:uid="{00000000-0005-0000-0000-00006D6A0000}"/>
    <cellStyle name="Border 9 2 2 2" xfId="27925" xr:uid="{00000000-0005-0000-0000-00006E6A0000}"/>
    <cellStyle name="Border 9 2 3" xfId="20063" xr:uid="{00000000-0005-0000-0000-00006F6A0000}"/>
    <cellStyle name="Border 9 2 3 2" xfId="31755" xr:uid="{00000000-0005-0000-0000-0000706A0000}"/>
    <cellStyle name="Border 9 2 4" xfId="24109" xr:uid="{00000000-0005-0000-0000-0000716A0000}"/>
    <cellStyle name="Border 9 3" xfId="8766" xr:uid="{00000000-0005-0000-0000-0000726A0000}"/>
    <cellStyle name="Border 9 3 2" xfId="16069" xr:uid="{00000000-0005-0000-0000-0000736A0000}"/>
    <cellStyle name="Border 9 3 2 2" xfId="27926" xr:uid="{00000000-0005-0000-0000-0000746A0000}"/>
    <cellStyle name="Border 9 3 3" xfId="20064" xr:uid="{00000000-0005-0000-0000-0000756A0000}"/>
    <cellStyle name="Border 9 3 3 2" xfId="31756" xr:uid="{00000000-0005-0000-0000-0000766A0000}"/>
    <cellStyle name="Border 9 3 4" xfId="24110" xr:uid="{00000000-0005-0000-0000-0000776A0000}"/>
    <cellStyle name="Border 9 4" xfId="16067" xr:uid="{00000000-0005-0000-0000-0000786A0000}"/>
    <cellStyle name="Border 9 4 2" xfId="27924" xr:uid="{00000000-0005-0000-0000-0000796A0000}"/>
    <cellStyle name="Border 9 5" xfId="20062" xr:uid="{00000000-0005-0000-0000-00007A6A0000}"/>
    <cellStyle name="Border 9 5 2" xfId="31754" xr:uid="{00000000-0005-0000-0000-00007B6A0000}"/>
    <cellStyle name="Border 9 6" xfId="24108" xr:uid="{00000000-0005-0000-0000-00007C6A0000}"/>
    <cellStyle name="Border Heavy" xfId="8767" xr:uid="{00000000-0005-0000-0000-00007D6A0000}"/>
    <cellStyle name="Border Heavy 2" xfId="8768" xr:uid="{00000000-0005-0000-0000-00007E6A0000}"/>
    <cellStyle name="Border Heavy 2 2" xfId="8769" xr:uid="{00000000-0005-0000-0000-00007F6A0000}"/>
    <cellStyle name="Border Heavy 3" xfId="8770" xr:uid="{00000000-0005-0000-0000-0000806A0000}"/>
    <cellStyle name="Border Heavy 4" xfId="8771" xr:uid="{00000000-0005-0000-0000-0000816A0000}"/>
    <cellStyle name="Border Thin" xfId="8772" xr:uid="{00000000-0005-0000-0000-0000826A0000}"/>
    <cellStyle name="Border Thin 2" xfId="8773" xr:uid="{00000000-0005-0000-0000-0000836A0000}"/>
    <cellStyle name="Border Thin 2 2" xfId="8774" xr:uid="{00000000-0005-0000-0000-0000846A0000}"/>
    <cellStyle name="Border Thin 3" xfId="8775" xr:uid="{00000000-0005-0000-0000-0000856A0000}"/>
    <cellStyle name="Border, Bottom" xfId="8776" xr:uid="{00000000-0005-0000-0000-0000866A0000}"/>
    <cellStyle name="Border, Bottom 2" xfId="8777" xr:uid="{00000000-0005-0000-0000-0000876A0000}"/>
    <cellStyle name="Border, Left" xfId="8778" xr:uid="{00000000-0005-0000-0000-0000886A0000}"/>
    <cellStyle name="Border, Right" xfId="8779" xr:uid="{00000000-0005-0000-0000-0000896A0000}"/>
    <cellStyle name="Border, Top" xfId="8780" xr:uid="{00000000-0005-0000-0000-00008A6A0000}"/>
    <cellStyle name="Border, Top 2" xfId="8781" xr:uid="{00000000-0005-0000-0000-00008B6A0000}"/>
    <cellStyle name="Border_Anaphore 12 31 2008 Draft Analysis 02 19 2009" xfId="8782" xr:uid="{00000000-0005-0000-0000-00008C6A0000}"/>
    <cellStyle name="Bottom bold border" xfId="8783" xr:uid="{00000000-0005-0000-0000-00008D6A0000}"/>
    <cellStyle name="Bottom bold border 2" xfId="8784" xr:uid="{00000000-0005-0000-0000-00008E6A0000}"/>
    <cellStyle name="Bottom bold border 2 2" xfId="8785" xr:uid="{00000000-0005-0000-0000-00008F6A0000}"/>
    <cellStyle name="Bottom bold border 3" xfId="8786" xr:uid="{00000000-0005-0000-0000-0000906A0000}"/>
    <cellStyle name="Bottom bold border 4" xfId="8787" xr:uid="{00000000-0005-0000-0000-0000916A0000}"/>
    <cellStyle name="Bottom bold border 5" xfId="8788" xr:uid="{00000000-0005-0000-0000-0000926A0000}"/>
    <cellStyle name="Bottom Edge" xfId="8789" xr:uid="{00000000-0005-0000-0000-0000936A0000}"/>
    <cellStyle name="Bottom Edge 2" xfId="8790" xr:uid="{00000000-0005-0000-0000-0000946A0000}"/>
    <cellStyle name="Bottom single border" xfId="8791" xr:uid="{00000000-0005-0000-0000-0000956A0000}"/>
    <cellStyle name="Bottom single border 2" xfId="8792" xr:uid="{00000000-0005-0000-0000-0000966A0000}"/>
    <cellStyle name="Bottom single border 2 2" xfId="8793" xr:uid="{00000000-0005-0000-0000-0000976A0000}"/>
    <cellStyle name="Bottom single border 2 3" xfId="20259" xr:uid="{00000000-0005-0000-0000-0000986A0000}"/>
    <cellStyle name="Bottom single border 3" xfId="8794" xr:uid="{00000000-0005-0000-0000-0000996A0000}"/>
    <cellStyle name="Bottom single border 3 2" xfId="20260" xr:uid="{00000000-0005-0000-0000-00009A6A0000}"/>
    <cellStyle name="Bottom single border 4" xfId="8795" xr:uid="{00000000-0005-0000-0000-00009B6A0000}"/>
    <cellStyle name="Bottom single border 4 2" xfId="20261" xr:uid="{00000000-0005-0000-0000-00009C6A0000}"/>
    <cellStyle name="Bottom single border 5" xfId="8796" xr:uid="{00000000-0005-0000-0000-00009D6A0000}"/>
    <cellStyle name="Bottom single border 5 2" xfId="20262" xr:uid="{00000000-0005-0000-0000-00009E6A0000}"/>
    <cellStyle name="British Pound" xfId="8797" xr:uid="{00000000-0005-0000-0000-00009F6A0000}"/>
    <cellStyle name="British Pound 10" xfId="8798" xr:uid="{00000000-0005-0000-0000-0000A06A0000}"/>
    <cellStyle name="British Pound 10 2" xfId="8799" xr:uid="{00000000-0005-0000-0000-0000A16A0000}"/>
    <cellStyle name="British Pound 10 3" xfId="8800" xr:uid="{00000000-0005-0000-0000-0000A26A0000}"/>
    <cellStyle name="British Pound 10 4" xfId="8801" xr:uid="{00000000-0005-0000-0000-0000A36A0000}"/>
    <cellStyle name="British Pound 10 5" xfId="8802" xr:uid="{00000000-0005-0000-0000-0000A46A0000}"/>
    <cellStyle name="British Pound 10 6" xfId="8803" xr:uid="{00000000-0005-0000-0000-0000A56A0000}"/>
    <cellStyle name="British Pound 10 7" xfId="8804" xr:uid="{00000000-0005-0000-0000-0000A66A0000}"/>
    <cellStyle name="British Pound 10 8" xfId="8805" xr:uid="{00000000-0005-0000-0000-0000A76A0000}"/>
    <cellStyle name="British Pound 10 9" xfId="8806" xr:uid="{00000000-0005-0000-0000-0000A86A0000}"/>
    <cellStyle name="British Pound 11" xfId="8807" xr:uid="{00000000-0005-0000-0000-0000A96A0000}"/>
    <cellStyle name="British Pound 11 2" xfId="8808" xr:uid="{00000000-0005-0000-0000-0000AA6A0000}"/>
    <cellStyle name="British Pound 11 2 2" xfId="8809" xr:uid="{00000000-0005-0000-0000-0000AB6A0000}"/>
    <cellStyle name="British Pound 11 2 2 2" xfId="8810" xr:uid="{00000000-0005-0000-0000-0000AC6A0000}"/>
    <cellStyle name="British Pound 11 2 2 3" xfId="8811" xr:uid="{00000000-0005-0000-0000-0000AD6A0000}"/>
    <cellStyle name="British Pound 11 2 2 4" xfId="8812" xr:uid="{00000000-0005-0000-0000-0000AE6A0000}"/>
    <cellStyle name="British Pound 11 2 2 5" xfId="8813" xr:uid="{00000000-0005-0000-0000-0000AF6A0000}"/>
    <cellStyle name="British Pound 11 2 2 6" xfId="8814" xr:uid="{00000000-0005-0000-0000-0000B06A0000}"/>
    <cellStyle name="British Pound 11 2 2 7" xfId="8815" xr:uid="{00000000-0005-0000-0000-0000B16A0000}"/>
    <cellStyle name="British Pound 11 2 2 8" xfId="8816" xr:uid="{00000000-0005-0000-0000-0000B26A0000}"/>
    <cellStyle name="British Pound 11 2 3" xfId="8817" xr:uid="{00000000-0005-0000-0000-0000B36A0000}"/>
    <cellStyle name="British Pound 11 2 4" xfId="8818" xr:uid="{00000000-0005-0000-0000-0000B46A0000}"/>
    <cellStyle name="British Pound 11 2 5" xfId="8819" xr:uid="{00000000-0005-0000-0000-0000B56A0000}"/>
    <cellStyle name="British Pound 11 2 6" xfId="8820" xr:uid="{00000000-0005-0000-0000-0000B66A0000}"/>
    <cellStyle name="British Pound 11 2 7" xfId="8821" xr:uid="{00000000-0005-0000-0000-0000B76A0000}"/>
    <cellStyle name="British Pound 11 2 8" xfId="8822" xr:uid="{00000000-0005-0000-0000-0000B86A0000}"/>
    <cellStyle name="British Pound 11 2 9" xfId="8823" xr:uid="{00000000-0005-0000-0000-0000B96A0000}"/>
    <cellStyle name="British Pound 11 3" xfId="8824" xr:uid="{00000000-0005-0000-0000-0000BA6A0000}"/>
    <cellStyle name="British Pound 11 3 2" xfId="8825" xr:uid="{00000000-0005-0000-0000-0000BB6A0000}"/>
    <cellStyle name="British Pound 11 3 3" xfId="8826" xr:uid="{00000000-0005-0000-0000-0000BC6A0000}"/>
    <cellStyle name="British Pound 11 3 4" xfId="8827" xr:uid="{00000000-0005-0000-0000-0000BD6A0000}"/>
    <cellStyle name="British Pound 11 3 5" xfId="8828" xr:uid="{00000000-0005-0000-0000-0000BE6A0000}"/>
    <cellStyle name="British Pound 11 3 6" xfId="8829" xr:uid="{00000000-0005-0000-0000-0000BF6A0000}"/>
    <cellStyle name="British Pound 11 3 7" xfId="8830" xr:uid="{00000000-0005-0000-0000-0000C06A0000}"/>
    <cellStyle name="British Pound 11 3 8" xfId="8831" xr:uid="{00000000-0005-0000-0000-0000C16A0000}"/>
    <cellStyle name="British Pound 11 4" xfId="8832" xr:uid="{00000000-0005-0000-0000-0000C26A0000}"/>
    <cellStyle name="British Pound 11 5" xfId="8833" xr:uid="{00000000-0005-0000-0000-0000C36A0000}"/>
    <cellStyle name="British Pound 11 6" xfId="8834" xr:uid="{00000000-0005-0000-0000-0000C46A0000}"/>
    <cellStyle name="British Pound 11 7" xfId="8835" xr:uid="{00000000-0005-0000-0000-0000C56A0000}"/>
    <cellStyle name="British Pound 11 8" xfId="8836" xr:uid="{00000000-0005-0000-0000-0000C66A0000}"/>
    <cellStyle name="British Pound 11 9" xfId="8837" xr:uid="{00000000-0005-0000-0000-0000C76A0000}"/>
    <cellStyle name="British Pound 12" xfId="8838" xr:uid="{00000000-0005-0000-0000-0000C86A0000}"/>
    <cellStyle name="British Pound 12 10" xfId="8839" xr:uid="{00000000-0005-0000-0000-0000C96A0000}"/>
    <cellStyle name="British Pound 12 11" xfId="8840" xr:uid="{00000000-0005-0000-0000-0000CA6A0000}"/>
    <cellStyle name="British Pound 12 12" xfId="8841" xr:uid="{00000000-0005-0000-0000-0000CB6A0000}"/>
    <cellStyle name="British Pound 12 13" xfId="8842" xr:uid="{00000000-0005-0000-0000-0000CC6A0000}"/>
    <cellStyle name="British Pound 12 14" xfId="8843" xr:uid="{00000000-0005-0000-0000-0000CD6A0000}"/>
    <cellStyle name="British Pound 12 15" xfId="8844" xr:uid="{00000000-0005-0000-0000-0000CE6A0000}"/>
    <cellStyle name="British Pound 12 16" xfId="8845" xr:uid="{00000000-0005-0000-0000-0000CF6A0000}"/>
    <cellStyle name="British Pound 12 2" xfId="8846" xr:uid="{00000000-0005-0000-0000-0000D06A0000}"/>
    <cellStyle name="British Pound 12 3" xfId="8847" xr:uid="{00000000-0005-0000-0000-0000D16A0000}"/>
    <cellStyle name="British Pound 12 4" xfId="8848" xr:uid="{00000000-0005-0000-0000-0000D26A0000}"/>
    <cellStyle name="British Pound 12 5" xfId="8849" xr:uid="{00000000-0005-0000-0000-0000D36A0000}"/>
    <cellStyle name="British Pound 12 6" xfId="8850" xr:uid="{00000000-0005-0000-0000-0000D46A0000}"/>
    <cellStyle name="British Pound 12 7" xfId="8851" xr:uid="{00000000-0005-0000-0000-0000D56A0000}"/>
    <cellStyle name="British Pound 12 8" xfId="8852" xr:uid="{00000000-0005-0000-0000-0000D66A0000}"/>
    <cellStyle name="British Pound 12 9" xfId="8853" xr:uid="{00000000-0005-0000-0000-0000D76A0000}"/>
    <cellStyle name="British Pound 13" xfId="8854" xr:uid="{00000000-0005-0000-0000-0000D86A0000}"/>
    <cellStyle name="British Pound 13 2" xfId="8855" xr:uid="{00000000-0005-0000-0000-0000D96A0000}"/>
    <cellStyle name="British Pound 13 3" xfId="8856" xr:uid="{00000000-0005-0000-0000-0000DA6A0000}"/>
    <cellStyle name="British Pound 13 4" xfId="8857" xr:uid="{00000000-0005-0000-0000-0000DB6A0000}"/>
    <cellStyle name="British Pound 13 5" xfId="8858" xr:uid="{00000000-0005-0000-0000-0000DC6A0000}"/>
    <cellStyle name="British Pound 13 6" xfId="8859" xr:uid="{00000000-0005-0000-0000-0000DD6A0000}"/>
    <cellStyle name="British Pound 13 7" xfId="8860" xr:uid="{00000000-0005-0000-0000-0000DE6A0000}"/>
    <cellStyle name="British Pound 13 8" xfId="8861" xr:uid="{00000000-0005-0000-0000-0000DF6A0000}"/>
    <cellStyle name="British Pound 13 9" xfId="8862" xr:uid="{00000000-0005-0000-0000-0000E06A0000}"/>
    <cellStyle name="British Pound 14" xfId="8863" xr:uid="{00000000-0005-0000-0000-0000E16A0000}"/>
    <cellStyle name="British Pound 14 2" xfId="8864" xr:uid="{00000000-0005-0000-0000-0000E26A0000}"/>
    <cellStyle name="British Pound 14 3" xfId="8865" xr:uid="{00000000-0005-0000-0000-0000E36A0000}"/>
    <cellStyle name="British Pound 14 4" xfId="8866" xr:uid="{00000000-0005-0000-0000-0000E46A0000}"/>
    <cellStyle name="British Pound 14 5" xfId="8867" xr:uid="{00000000-0005-0000-0000-0000E56A0000}"/>
    <cellStyle name="British Pound 14 6" xfId="8868" xr:uid="{00000000-0005-0000-0000-0000E66A0000}"/>
    <cellStyle name="British Pound 14 7" xfId="8869" xr:uid="{00000000-0005-0000-0000-0000E76A0000}"/>
    <cellStyle name="British Pound 14 8" xfId="8870" xr:uid="{00000000-0005-0000-0000-0000E86A0000}"/>
    <cellStyle name="British Pound 14 9" xfId="8871" xr:uid="{00000000-0005-0000-0000-0000E96A0000}"/>
    <cellStyle name="British Pound 15" xfId="8872" xr:uid="{00000000-0005-0000-0000-0000EA6A0000}"/>
    <cellStyle name="British Pound 15 2" xfId="8873" xr:uid="{00000000-0005-0000-0000-0000EB6A0000}"/>
    <cellStyle name="British Pound 15 3" xfId="8874" xr:uid="{00000000-0005-0000-0000-0000EC6A0000}"/>
    <cellStyle name="British Pound 15 4" xfId="8875" xr:uid="{00000000-0005-0000-0000-0000ED6A0000}"/>
    <cellStyle name="British Pound 15 5" xfId="8876" xr:uid="{00000000-0005-0000-0000-0000EE6A0000}"/>
    <cellStyle name="British Pound 15 6" xfId="8877" xr:uid="{00000000-0005-0000-0000-0000EF6A0000}"/>
    <cellStyle name="British Pound 15 7" xfId="8878" xr:uid="{00000000-0005-0000-0000-0000F06A0000}"/>
    <cellStyle name="British Pound 15 8" xfId="8879" xr:uid="{00000000-0005-0000-0000-0000F16A0000}"/>
    <cellStyle name="British Pound 15 9" xfId="8880" xr:uid="{00000000-0005-0000-0000-0000F26A0000}"/>
    <cellStyle name="British Pound 16" xfId="8881" xr:uid="{00000000-0005-0000-0000-0000F36A0000}"/>
    <cellStyle name="British Pound 16 2" xfId="8882" xr:uid="{00000000-0005-0000-0000-0000F46A0000}"/>
    <cellStyle name="British Pound 16 3" xfId="8883" xr:uid="{00000000-0005-0000-0000-0000F56A0000}"/>
    <cellStyle name="British Pound 16 4" xfId="8884" xr:uid="{00000000-0005-0000-0000-0000F66A0000}"/>
    <cellStyle name="British Pound 16 5" xfId="8885" xr:uid="{00000000-0005-0000-0000-0000F76A0000}"/>
    <cellStyle name="British Pound 16 6" xfId="8886" xr:uid="{00000000-0005-0000-0000-0000F86A0000}"/>
    <cellStyle name="British Pound 16 7" xfId="8887" xr:uid="{00000000-0005-0000-0000-0000F96A0000}"/>
    <cellStyle name="British Pound 16 8" xfId="8888" xr:uid="{00000000-0005-0000-0000-0000FA6A0000}"/>
    <cellStyle name="British Pound 16 9" xfId="8889" xr:uid="{00000000-0005-0000-0000-0000FB6A0000}"/>
    <cellStyle name="British Pound 17" xfId="8890" xr:uid="{00000000-0005-0000-0000-0000FC6A0000}"/>
    <cellStyle name="British Pound 17 2" xfId="8891" xr:uid="{00000000-0005-0000-0000-0000FD6A0000}"/>
    <cellStyle name="British Pound 17 3" xfId="8892" xr:uid="{00000000-0005-0000-0000-0000FE6A0000}"/>
    <cellStyle name="British Pound 17 4" xfId="8893" xr:uid="{00000000-0005-0000-0000-0000FF6A0000}"/>
    <cellStyle name="British Pound 17 5" xfId="8894" xr:uid="{00000000-0005-0000-0000-0000006B0000}"/>
    <cellStyle name="British Pound 17 6" xfId="8895" xr:uid="{00000000-0005-0000-0000-0000016B0000}"/>
    <cellStyle name="British Pound 17 7" xfId="8896" xr:uid="{00000000-0005-0000-0000-0000026B0000}"/>
    <cellStyle name="British Pound 17 8" xfId="8897" xr:uid="{00000000-0005-0000-0000-0000036B0000}"/>
    <cellStyle name="British Pound 17 9" xfId="8898" xr:uid="{00000000-0005-0000-0000-0000046B0000}"/>
    <cellStyle name="British Pound 18" xfId="8899" xr:uid="{00000000-0005-0000-0000-0000056B0000}"/>
    <cellStyle name="British Pound 18 2" xfId="8900" xr:uid="{00000000-0005-0000-0000-0000066B0000}"/>
    <cellStyle name="British Pound 18 3" xfId="8901" xr:uid="{00000000-0005-0000-0000-0000076B0000}"/>
    <cellStyle name="British Pound 18 4" xfId="8902" xr:uid="{00000000-0005-0000-0000-0000086B0000}"/>
    <cellStyle name="British Pound 18 5" xfId="8903" xr:uid="{00000000-0005-0000-0000-0000096B0000}"/>
    <cellStyle name="British Pound 18 6" xfId="8904" xr:uid="{00000000-0005-0000-0000-00000A6B0000}"/>
    <cellStyle name="British Pound 18 7" xfId="8905" xr:uid="{00000000-0005-0000-0000-00000B6B0000}"/>
    <cellStyle name="British Pound 18 8" xfId="8906" xr:uid="{00000000-0005-0000-0000-00000C6B0000}"/>
    <cellStyle name="British Pound 18 9" xfId="8907" xr:uid="{00000000-0005-0000-0000-00000D6B0000}"/>
    <cellStyle name="British Pound 19" xfId="8908" xr:uid="{00000000-0005-0000-0000-00000E6B0000}"/>
    <cellStyle name="British Pound 19 2" xfId="8909" xr:uid="{00000000-0005-0000-0000-00000F6B0000}"/>
    <cellStyle name="British Pound 19 3" xfId="8910" xr:uid="{00000000-0005-0000-0000-0000106B0000}"/>
    <cellStyle name="British Pound 19 4" xfId="8911" xr:uid="{00000000-0005-0000-0000-0000116B0000}"/>
    <cellStyle name="British Pound 19 5" xfId="8912" xr:uid="{00000000-0005-0000-0000-0000126B0000}"/>
    <cellStyle name="British Pound 19 6" xfId="8913" xr:uid="{00000000-0005-0000-0000-0000136B0000}"/>
    <cellStyle name="British Pound 19 7" xfId="8914" xr:uid="{00000000-0005-0000-0000-0000146B0000}"/>
    <cellStyle name="British Pound 19 8" xfId="8915" xr:uid="{00000000-0005-0000-0000-0000156B0000}"/>
    <cellStyle name="British Pound 19 9" xfId="8916" xr:uid="{00000000-0005-0000-0000-0000166B0000}"/>
    <cellStyle name="British Pound 2" xfId="8917" xr:uid="{00000000-0005-0000-0000-0000176B0000}"/>
    <cellStyle name="British Pound 2 10" xfId="8918" xr:uid="{00000000-0005-0000-0000-0000186B0000}"/>
    <cellStyle name="British Pound 2 11" xfId="8919" xr:uid="{00000000-0005-0000-0000-0000196B0000}"/>
    <cellStyle name="British Pound 2 11 2" xfId="8920" xr:uid="{00000000-0005-0000-0000-00001A6B0000}"/>
    <cellStyle name="British Pound 2 11 3" xfId="8921" xr:uid="{00000000-0005-0000-0000-00001B6B0000}"/>
    <cellStyle name="British Pound 2 11 4" xfId="8922" xr:uid="{00000000-0005-0000-0000-00001C6B0000}"/>
    <cellStyle name="British Pound 2 11 5" xfId="8923" xr:uid="{00000000-0005-0000-0000-00001D6B0000}"/>
    <cellStyle name="British Pound 2 11 6" xfId="8924" xr:uid="{00000000-0005-0000-0000-00001E6B0000}"/>
    <cellStyle name="British Pound 2 11 7" xfId="8925" xr:uid="{00000000-0005-0000-0000-00001F6B0000}"/>
    <cellStyle name="British Pound 2 11 8" xfId="8926" xr:uid="{00000000-0005-0000-0000-0000206B0000}"/>
    <cellStyle name="British Pound 2 12" xfId="8927" xr:uid="{00000000-0005-0000-0000-0000216B0000}"/>
    <cellStyle name="British Pound 2 12 2" xfId="8928" xr:uid="{00000000-0005-0000-0000-0000226B0000}"/>
    <cellStyle name="British Pound 2 12 3" xfId="8929" xr:uid="{00000000-0005-0000-0000-0000236B0000}"/>
    <cellStyle name="British Pound 2 12 4" xfId="8930" xr:uid="{00000000-0005-0000-0000-0000246B0000}"/>
    <cellStyle name="British Pound 2 12 5" xfId="8931" xr:uid="{00000000-0005-0000-0000-0000256B0000}"/>
    <cellStyle name="British Pound 2 12 6" xfId="8932" xr:uid="{00000000-0005-0000-0000-0000266B0000}"/>
    <cellStyle name="British Pound 2 12 7" xfId="8933" xr:uid="{00000000-0005-0000-0000-0000276B0000}"/>
    <cellStyle name="British Pound 2 12 8" xfId="8934" xr:uid="{00000000-0005-0000-0000-0000286B0000}"/>
    <cellStyle name="British Pound 2 13" xfId="8935" xr:uid="{00000000-0005-0000-0000-0000296B0000}"/>
    <cellStyle name="British Pound 2 14" xfId="8936" xr:uid="{00000000-0005-0000-0000-00002A6B0000}"/>
    <cellStyle name="British Pound 2 15" xfId="8937" xr:uid="{00000000-0005-0000-0000-00002B6B0000}"/>
    <cellStyle name="British Pound 2 16" xfId="8938" xr:uid="{00000000-0005-0000-0000-00002C6B0000}"/>
    <cellStyle name="British Pound 2 17" xfId="8939" xr:uid="{00000000-0005-0000-0000-00002D6B0000}"/>
    <cellStyle name="British Pound 2 18" xfId="8940" xr:uid="{00000000-0005-0000-0000-00002E6B0000}"/>
    <cellStyle name="British Pound 2 2" xfId="8941" xr:uid="{00000000-0005-0000-0000-00002F6B0000}"/>
    <cellStyle name="British Pound 2 2 10" xfId="8942" xr:uid="{00000000-0005-0000-0000-0000306B0000}"/>
    <cellStyle name="British Pound 2 2 11" xfId="8943" xr:uid="{00000000-0005-0000-0000-0000316B0000}"/>
    <cellStyle name="British Pound 2 2 12" xfId="8944" xr:uid="{00000000-0005-0000-0000-0000326B0000}"/>
    <cellStyle name="British Pound 2 2 13" xfId="8945" xr:uid="{00000000-0005-0000-0000-0000336B0000}"/>
    <cellStyle name="British Pound 2 2 14" xfId="8946" xr:uid="{00000000-0005-0000-0000-0000346B0000}"/>
    <cellStyle name="British Pound 2 2 15" xfId="8947" xr:uid="{00000000-0005-0000-0000-0000356B0000}"/>
    <cellStyle name="British Pound 2 2 16" xfId="8948" xr:uid="{00000000-0005-0000-0000-0000366B0000}"/>
    <cellStyle name="British Pound 2 2 17" xfId="8949" xr:uid="{00000000-0005-0000-0000-0000376B0000}"/>
    <cellStyle name="British Pound 2 2 18" xfId="8950" xr:uid="{00000000-0005-0000-0000-0000386B0000}"/>
    <cellStyle name="British Pound 2 2 2" xfId="8951" xr:uid="{00000000-0005-0000-0000-0000396B0000}"/>
    <cellStyle name="British Pound 2 2 2 10" xfId="8952" xr:uid="{00000000-0005-0000-0000-00003A6B0000}"/>
    <cellStyle name="British Pound 2 2 2 11" xfId="8953" xr:uid="{00000000-0005-0000-0000-00003B6B0000}"/>
    <cellStyle name="British Pound 2 2 2 12" xfId="8954" xr:uid="{00000000-0005-0000-0000-00003C6B0000}"/>
    <cellStyle name="British Pound 2 2 2 13" xfId="8955" xr:uid="{00000000-0005-0000-0000-00003D6B0000}"/>
    <cellStyle name="British Pound 2 2 2 14" xfId="8956" xr:uid="{00000000-0005-0000-0000-00003E6B0000}"/>
    <cellStyle name="British Pound 2 2 2 15" xfId="8957" xr:uid="{00000000-0005-0000-0000-00003F6B0000}"/>
    <cellStyle name="British Pound 2 2 2 16" xfId="8958" xr:uid="{00000000-0005-0000-0000-0000406B0000}"/>
    <cellStyle name="British Pound 2 2 2 2" xfId="8959" xr:uid="{00000000-0005-0000-0000-0000416B0000}"/>
    <cellStyle name="British Pound 2 2 2 2 10" xfId="8960" xr:uid="{00000000-0005-0000-0000-0000426B0000}"/>
    <cellStyle name="British Pound 2 2 2 2 11" xfId="8961" xr:uid="{00000000-0005-0000-0000-0000436B0000}"/>
    <cellStyle name="British Pound 2 2 2 2 12" xfId="8962" xr:uid="{00000000-0005-0000-0000-0000446B0000}"/>
    <cellStyle name="British Pound 2 2 2 2 13" xfId="8963" xr:uid="{00000000-0005-0000-0000-0000456B0000}"/>
    <cellStyle name="British Pound 2 2 2 2 14" xfId="8964" xr:uid="{00000000-0005-0000-0000-0000466B0000}"/>
    <cellStyle name="British Pound 2 2 2 2 15" xfId="8965" xr:uid="{00000000-0005-0000-0000-0000476B0000}"/>
    <cellStyle name="British Pound 2 2 2 2 2" xfId="8966" xr:uid="{00000000-0005-0000-0000-0000486B0000}"/>
    <cellStyle name="British Pound 2 2 2 2 2 2" xfId="8967" xr:uid="{00000000-0005-0000-0000-0000496B0000}"/>
    <cellStyle name="British Pound 2 2 2 2 2 2 2" xfId="8968" xr:uid="{00000000-0005-0000-0000-00004A6B0000}"/>
    <cellStyle name="British Pound 2 2 2 2 2 2 2 2" xfId="8969" xr:uid="{00000000-0005-0000-0000-00004B6B0000}"/>
    <cellStyle name="British Pound 2 2 2 2 2 2 2 3" xfId="8970" xr:uid="{00000000-0005-0000-0000-00004C6B0000}"/>
    <cellStyle name="British Pound 2 2 2 2 2 2 2 4" xfId="8971" xr:uid="{00000000-0005-0000-0000-00004D6B0000}"/>
    <cellStyle name="British Pound 2 2 2 2 2 2 2 5" xfId="8972" xr:uid="{00000000-0005-0000-0000-00004E6B0000}"/>
    <cellStyle name="British Pound 2 2 2 2 2 2 2 6" xfId="8973" xr:uid="{00000000-0005-0000-0000-00004F6B0000}"/>
    <cellStyle name="British Pound 2 2 2 2 2 2 2 7" xfId="8974" xr:uid="{00000000-0005-0000-0000-0000506B0000}"/>
    <cellStyle name="British Pound 2 2 2 2 2 2 2 8" xfId="8975" xr:uid="{00000000-0005-0000-0000-0000516B0000}"/>
    <cellStyle name="British Pound 2 2 2 2 2 2 3" xfId="8976" xr:uid="{00000000-0005-0000-0000-0000526B0000}"/>
    <cellStyle name="British Pound 2 2 2 2 2 2 4" xfId="8977" xr:uid="{00000000-0005-0000-0000-0000536B0000}"/>
    <cellStyle name="British Pound 2 2 2 2 2 2 5" xfId="8978" xr:uid="{00000000-0005-0000-0000-0000546B0000}"/>
    <cellStyle name="British Pound 2 2 2 2 2 2 6" xfId="8979" xr:uid="{00000000-0005-0000-0000-0000556B0000}"/>
    <cellStyle name="British Pound 2 2 2 2 2 2 7" xfId="8980" xr:uid="{00000000-0005-0000-0000-0000566B0000}"/>
    <cellStyle name="British Pound 2 2 2 2 2 2 8" xfId="8981" xr:uid="{00000000-0005-0000-0000-0000576B0000}"/>
    <cellStyle name="British Pound 2 2 2 2 2 2 9" xfId="8982" xr:uid="{00000000-0005-0000-0000-0000586B0000}"/>
    <cellStyle name="British Pound 2 2 2 2 2 3" xfId="8983" xr:uid="{00000000-0005-0000-0000-0000596B0000}"/>
    <cellStyle name="British Pound 2 2 2 2 2 4" xfId="8984" xr:uid="{00000000-0005-0000-0000-00005A6B0000}"/>
    <cellStyle name="British Pound 2 2 2 2 2 5" xfId="8985" xr:uid="{00000000-0005-0000-0000-00005B6B0000}"/>
    <cellStyle name="British Pound 2 2 2 2 2 6" xfId="8986" xr:uid="{00000000-0005-0000-0000-00005C6B0000}"/>
    <cellStyle name="British Pound 2 2 2 2 2 7" xfId="8987" xr:uid="{00000000-0005-0000-0000-00005D6B0000}"/>
    <cellStyle name="British Pound 2 2 2 2 2 8" xfId="8988" xr:uid="{00000000-0005-0000-0000-00005E6B0000}"/>
    <cellStyle name="British Pound 2 2 2 2 2 9" xfId="8989" xr:uid="{00000000-0005-0000-0000-00005F6B0000}"/>
    <cellStyle name="British Pound 2 2 2 2 3" xfId="8990" xr:uid="{00000000-0005-0000-0000-0000606B0000}"/>
    <cellStyle name="British Pound 2 2 2 2 3 2" xfId="8991" xr:uid="{00000000-0005-0000-0000-0000616B0000}"/>
    <cellStyle name="British Pound 2 2 2 2 3 3" xfId="8992" xr:uid="{00000000-0005-0000-0000-0000626B0000}"/>
    <cellStyle name="British Pound 2 2 2 2 3 4" xfId="8993" xr:uid="{00000000-0005-0000-0000-0000636B0000}"/>
    <cellStyle name="British Pound 2 2 2 2 3 5" xfId="8994" xr:uid="{00000000-0005-0000-0000-0000646B0000}"/>
    <cellStyle name="British Pound 2 2 2 2 3 6" xfId="8995" xr:uid="{00000000-0005-0000-0000-0000656B0000}"/>
    <cellStyle name="British Pound 2 2 2 2 3 7" xfId="8996" xr:uid="{00000000-0005-0000-0000-0000666B0000}"/>
    <cellStyle name="British Pound 2 2 2 2 3 8" xfId="8997" xr:uid="{00000000-0005-0000-0000-0000676B0000}"/>
    <cellStyle name="British Pound 2 2 2 2 4" xfId="8998" xr:uid="{00000000-0005-0000-0000-0000686B0000}"/>
    <cellStyle name="British Pound 2 2 2 2 5" xfId="8999" xr:uid="{00000000-0005-0000-0000-0000696B0000}"/>
    <cellStyle name="British Pound 2 2 2 2 6" xfId="9000" xr:uid="{00000000-0005-0000-0000-00006A6B0000}"/>
    <cellStyle name="British Pound 2 2 2 2 7" xfId="9001" xr:uid="{00000000-0005-0000-0000-00006B6B0000}"/>
    <cellStyle name="British Pound 2 2 2 2 8" xfId="9002" xr:uid="{00000000-0005-0000-0000-00006C6B0000}"/>
    <cellStyle name="British Pound 2 2 2 2 9" xfId="9003" xr:uid="{00000000-0005-0000-0000-00006D6B0000}"/>
    <cellStyle name="British Pound 2 2 2 3" xfId="9004" xr:uid="{00000000-0005-0000-0000-00006E6B0000}"/>
    <cellStyle name="British Pound 2 2 2 3 2" xfId="9005" xr:uid="{00000000-0005-0000-0000-00006F6B0000}"/>
    <cellStyle name="British Pound 2 2 2 3 3" xfId="9006" xr:uid="{00000000-0005-0000-0000-0000706B0000}"/>
    <cellStyle name="British Pound 2 2 2 3 4" xfId="9007" xr:uid="{00000000-0005-0000-0000-0000716B0000}"/>
    <cellStyle name="British Pound 2 2 2 3 5" xfId="9008" xr:uid="{00000000-0005-0000-0000-0000726B0000}"/>
    <cellStyle name="British Pound 2 2 2 3 6" xfId="9009" xr:uid="{00000000-0005-0000-0000-0000736B0000}"/>
    <cellStyle name="British Pound 2 2 2 3 7" xfId="9010" xr:uid="{00000000-0005-0000-0000-0000746B0000}"/>
    <cellStyle name="British Pound 2 2 2 3 8" xfId="9011" xr:uid="{00000000-0005-0000-0000-0000756B0000}"/>
    <cellStyle name="British Pound 2 2 2 4" xfId="9012" xr:uid="{00000000-0005-0000-0000-0000766B0000}"/>
    <cellStyle name="British Pound 2 2 2 4 2" xfId="9013" xr:uid="{00000000-0005-0000-0000-0000776B0000}"/>
    <cellStyle name="British Pound 2 2 2 4 3" xfId="9014" xr:uid="{00000000-0005-0000-0000-0000786B0000}"/>
    <cellStyle name="British Pound 2 2 2 4 4" xfId="9015" xr:uid="{00000000-0005-0000-0000-0000796B0000}"/>
    <cellStyle name="British Pound 2 2 2 4 5" xfId="9016" xr:uid="{00000000-0005-0000-0000-00007A6B0000}"/>
    <cellStyle name="British Pound 2 2 2 4 6" xfId="9017" xr:uid="{00000000-0005-0000-0000-00007B6B0000}"/>
    <cellStyle name="British Pound 2 2 2 4 7" xfId="9018" xr:uid="{00000000-0005-0000-0000-00007C6B0000}"/>
    <cellStyle name="British Pound 2 2 2 4 8" xfId="9019" xr:uid="{00000000-0005-0000-0000-00007D6B0000}"/>
    <cellStyle name="British Pound 2 2 2 5" xfId="9020" xr:uid="{00000000-0005-0000-0000-00007E6B0000}"/>
    <cellStyle name="British Pound 2 2 2 5 2" xfId="9021" xr:uid="{00000000-0005-0000-0000-00007F6B0000}"/>
    <cellStyle name="British Pound 2 2 2 5 3" xfId="9022" xr:uid="{00000000-0005-0000-0000-0000806B0000}"/>
    <cellStyle name="British Pound 2 2 2 5 4" xfId="9023" xr:uid="{00000000-0005-0000-0000-0000816B0000}"/>
    <cellStyle name="British Pound 2 2 2 5 5" xfId="9024" xr:uid="{00000000-0005-0000-0000-0000826B0000}"/>
    <cellStyle name="British Pound 2 2 2 5 6" xfId="9025" xr:uid="{00000000-0005-0000-0000-0000836B0000}"/>
    <cellStyle name="British Pound 2 2 2 5 7" xfId="9026" xr:uid="{00000000-0005-0000-0000-0000846B0000}"/>
    <cellStyle name="British Pound 2 2 2 5 8" xfId="9027" xr:uid="{00000000-0005-0000-0000-0000856B0000}"/>
    <cellStyle name="British Pound 2 2 2 6" xfId="9028" xr:uid="{00000000-0005-0000-0000-0000866B0000}"/>
    <cellStyle name="British Pound 2 2 2 6 2" xfId="9029" xr:uid="{00000000-0005-0000-0000-0000876B0000}"/>
    <cellStyle name="British Pound 2 2 2 6 3" xfId="9030" xr:uid="{00000000-0005-0000-0000-0000886B0000}"/>
    <cellStyle name="British Pound 2 2 2 6 4" xfId="9031" xr:uid="{00000000-0005-0000-0000-0000896B0000}"/>
    <cellStyle name="British Pound 2 2 2 6 5" xfId="9032" xr:uid="{00000000-0005-0000-0000-00008A6B0000}"/>
    <cellStyle name="British Pound 2 2 2 6 6" xfId="9033" xr:uid="{00000000-0005-0000-0000-00008B6B0000}"/>
    <cellStyle name="British Pound 2 2 2 6 7" xfId="9034" xr:uid="{00000000-0005-0000-0000-00008C6B0000}"/>
    <cellStyle name="British Pound 2 2 2 6 8" xfId="9035" xr:uid="{00000000-0005-0000-0000-00008D6B0000}"/>
    <cellStyle name="British Pound 2 2 2 7" xfId="9036" xr:uid="{00000000-0005-0000-0000-00008E6B0000}"/>
    <cellStyle name="British Pound 2 2 2 8" xfId="9037" xr:uid="{00000000-0005-0000-0000-00008F6B0000}"/>
    <cellStyle name="British Pound 2 2 2 9" xfId="9038" xr:uid="{00000000-0005-0000-0000-0000906B0000}"/>
    <cellStyle name="British Pound 2 2 3" xfId="9039" xr:uid="{00000000-0005-0000-0000-0000916B0000}"/>
    <cellStyle name="British Pound 2 2 3 10" xfId="9040" xr:uid="{00000000-0005-0000-0000-0000926B0000}"/>
    <cellStyle name="British Pound 2 2 3 11" xfId="9041" xr:uid="{00000000-0005-0000-0000-0000936B0000}"/>
    <cellStyle name="British Pound 2 2 3 12" xfId="9042" xr:uid="{00000000-0005-0000-0000-0000946B0000}"/>
    <cellStyle name="British Pound 2 2 3 13" xfId="9043" xr:uid="{00000000-0005-0000-0000-0000956B0000}"/>
    <cellStyle name="British Pound 2 2 3 14" xfId="9044" xr:uid="{00000000-0005-0000-0000-0000966B0000}"/>
    <cellStyle name="British Pound 2 2 3 15" xfId="9045" xr:uid="{00000000-0005-0000-0000-0000976B0000}"/>
    <cellStyle name="British Pound 2 2 3 16" xfId="9046" xr:uid="{00000000-0005-0000-0000-0000986B0000}"/>
    <cellStyle name="British Pound 2 2 3 2" xfId="9047" xr:uid="{00000000-0005-0000-0000-0000996B0000}"/>
    <cellStyle name="British Pound 2 2 3 2 2" xfId="9048" xr:uid="{00000000-0005-0000-0000-00009A6B0000}"/>
    <cellStyle name="British Pound 2 2 3 2 3" xfId="9049" xr:uid="{00000000-0005-0000-0000-00009B6B0000}"/>
    <cellStyle name="British Pound 2 2 3 2 4" xfId="9050" xr:uid="{00000000-0005-0000-0000-00009C6B0000}"/>
    <cellStyle name="British Pound 2 2 3 2 5" xfId="9051" xr:uid="{00000000-0005-0000-0000-00009D6B0000}"/>
    <cellStyle name="British Pound 2 2 3 2 6" xfId="9052" xr:uid="{00000000-0005-0000-0000-00009E6B0000}"/>
    <cellStyle name="British Pound 2 2 3 2 7" xfId="9053" xr:uid="{00000000-0005-0000-0000-00009F6B0000}"/>
    <cellStyle name="British Pound 2 2 3 2 8" xfId="9054" xr:uid="{00000000-0005-0000-0000-0000A06B0000}"/>
    <cellStyle name="British Pound 2 2 3 3" xfId="9055" xr:uid="{00000000-0005-0000-0000-0000A16B0000}"/>
    <cellStyle name="British Pound 2 2 3 3 2" xfId="9056" xr:uid="{00000000-0005-0000-0000-0000A26B0000}"/>
    <cellStyle name="British Pound 2 2 3 3 3" xfId="9057" xr:uid="{00000000-0005-0000-0000-0000A36B0000}"/>
    <cellStyle name="British Pound 2 2 3 3 4" xfId="9058" xr:uid="{00000000-0005-0000-0000-0000A46B0000}"/>
    <cellStyle name="British Pound 2 2 3 3 5" xfId="9059" xr:uid="{00000000-0005-0000-0000-0000A56B0000}"/>
    <cellStyle name="British Pound 2 2 3 3 6" xfId="9060" xr:uid="{00000000-0005-0000-0000-0000A66B0000}"/>
    <cellStyle name="British Pound 2 2 3 3 7" xfId="9061" xr:uid="{00000000-0005-0000-0000-0000A76B0000}"/>
    <cellStyle name="British Pound 2 2 3 3 8" xfId="9062" xr:uid="{00000000-0005-0000-0000-0000A86B0000}"/>
    <cellStyle name="British Pound 2 2 3 4" xfId="9063" xr:uid="{00000000-0005-0000-0000-0000A96B0000}"/>
    <cellStyle name="British Pound 2 2 3 5" xfId="9064" xr:uid="{00000000-0005-0000-0000-0000AA6B0000}"/>
    <cellStyle name="British Pound 2 2 3 6" xfId="9065" xr:uid="{00000000-0005-0000-0000-0000AB6B0000}"/>
    <cellStyle name="British Pound 2 2 3 7" xfId="9066" xr:uid="{00000000-0005-0000-0000-0000AC6B0000}"/>
    <cellStyle name="British Pound 2 2 3 8" xfId="9067" xr:uid="{00000000-0005-0000-0000-0000AD6B0000}"/>
    <cellStyle name="British Pound 2 2 3 9" xfId="9068" xr:uid="{00000000-0005-0000-0000-0000AE6B0000}"/>
    <cellStyle name="British Pound 2 2 4" xfId="9069" xr:uid="{00000000-0005-0000-0000-0000AF6B0000}"/>
    <cellStyle name="British Pound 2 2 4 2" xfId="9070" xr:uid="{00000000-0005-0000-0000-0000B06B0000}"/>
    <cellStyle name="British Pound 2 2 4 2 2" xfId="9071" xr:uid="{00000000-0005-0000-0000-0000B16B0000}"/>
    <cellStyle name="British Pound 2 2 4 2 2 2" xfId="9072" xr:uid="{00000000-0005-0000-0000-0000B26B0000}"/>
    <cellStyle name="British Pound 2 2 4 2 2 3" xfId="9073" xr:uid="{00000000-0005-0000-0000-0000B36B0000}"/>
    <cellStyle name="British Pound 2 2 4 2 2 4" xfId="9074" xr:uid="{00000000-0005-0000-0000-0000B46B0000}"/>
    <cellStyle name="British Pound 2 2 4 2 2 5" xfId="9075" xr:uid="{00000000-0005-0000-0000-0000B56B0000}"/>
    <cellStyle name="British Pound 2 2 4 2 2 6" xfId="9076" xr:uid="{00000000-0005-0000-0000-0000B66B0000}"/>
    <cellStyle name="British Pound 2 2 4 2 2 7" xfId="9077" xr:uid="{00000000-0005-0000-0000-0000B76B0000}"/>
    <cellStyle name="British Pound 2 2 4 2 2 8" xfId="9078" xr:uid="{00000000-0005-0000-0000-0000B86B0000}"/>
    <cellStyle name="British Pound 2 2 4 2 3" xfId="9079" xr:uid="{00000000-0005-0000-0000-0000B96B0000}"/>
    <cellStyle name="British Pound 2 2 4 2 4" xfId="9080" xr:uid="{00000000-0005-0000-0000-0000BA6B0000}"/>
    <cellStyle name="British Pound 2 2 4 2 5" xfId="9081" xr:uid="{00000000-0005-0000-0000-0000BB6B0000}"/>
    <cellStyle name="British Pound 2 2 4 2 6" xfId="9082" xr:uid="{00000000-0005-0000-0000-0000BC6B0000}"/>
    <cellStyle name="British Pound 2 2 4 2 7" xfId="9083" xr:uid="{00000000-0005-0000-0000-0000BD6B0000}"/>
    <cellStyle name="British Pound 2 2 4 2 8" xfId="9084" xr:uid="{00000000-0005-0000-0000-0000BE6B0000}"/>
    <cellStyle name="British Pound 2 2 4 2 9" xfId="9085" xr:uid="{00000000-0005-0000-0000-0000BF6B0000}"/>
    <cellStyle name="British Pound 2 2 4 3" xfId="9086" xr:uid="{00000000-0005-0000-0000-0000C06B0000}"/>
    <cellStyle name="British Pound 2 2 4 4" xfId="9087" xr:uid="{00000000-0005-0000-0000-0000C16B0000}"/>
    <cellStyle name="British Pound 2 2 4 5" xfId="9088" xr:uid="{00000000-0005-0000-0000-0000C26B0000}"/>
    <cellStyle name="British Pound 2 2 4 6" xfId="9089" xr:uid="{00000000-0005-0000-0000-0000C36B0000}"/>
    <cellStyle name="British Pound 2 2 4 7" xfId="9090" xr:uid="{00000000-0005-0000-0000-0000C46B0000}"/>
    <cellStyle name="British Pound 2 2 4 8" xfId="9091" xr:uid="{00000000-0005-0000-0000-0000C56B0000}"/>
    <cellStyle name="British Pound 2 2 4 9" xfId="9092" xr:uid="{00000000-0005-0000-0000-0000C66B0000}"/>
    <cellStyle name="British Pound 2 2 5" xfId="9093" xr:uid="{00000000-0005-0000-0000-0000C76B0000}"/>
    <cellStyle name="British Pound 2 2 6" xfId="9094" xr:uid="{00000000-0005-0000-0000-0000C86B0000}"/>
    <cellStyle name="British Pound 2 2 7" xfId="9095" xr:uid="{00000000-0005-0000-0000-0000C96B0000}"/>
    <cellStyle name="British Pound 2 2 7 2" xfId="9096" xr:uid="{00000000-0005-0000-0000-0000CA6B0000}"/>
    <cellStyle name="British Pound 2 2 7 3" xfId="9097" xr:uid="{00000000-0005-0000-0000-0000CB6B0000}"/>
    <cellStyle name="British Pound 2 2 7 4" xfId="9098" xr:uid="{00000000-0005-0000-0000-0000CC6B0000}"/>
    <cellStyle name="British Pound 2 2 7 5" xfId="9099" xr:uid="{00000000-0005-0000-0000-0000CD6B0000}"/>
    <cellStyle name="British Pound 2 2 7 6" xfId="9100" xr:uid="{00000000-0005-0000-0000-0000CE6B0000}"/>
    <cellStyle name="British Pound 2 2 7 7" xfId="9101" xr:uid="{00000000-0005-0000-0000-0000CF6B0000}"/>
    <cellStyle name="British Pound 2 2 7 8" xfId="9102" xr:uid="{00000000-0005-0000-0000-0000D06B0000}"/>
    <cellStyle name="British Pound 2 2 8" xfId="9103" xr:uid="{00000000-0005-0000-0000-0000D16B0000}"/>
    <cellStyle name="British Pound 2 2 9" xfId="9104" xr:uid="{00000000-0005-0000-0000-0000D26B0000}"/>
    <cellStyle name="British Pound 2 3" xfId="9105" xr:uid="{00000000-0005-0000-0000-0000D36B0000}"/>
    <cellStyle name="British Pound 2 3 10" xfId="9106" xr:uid="{00000000-0005-0000-0000-0000D46B0000}"/>
    <cellStyle name="British Pound 2 3 11" xfId="9107" xr:uid="{00000000-0005-0000-0000-0000D56B0000}"/>
    <cellStyle name="British Pound 2 3 12" xfId="9108" xr:uid="{00000000-0005-0000-0000-0000D66B0000}"/>
    <cellStyle name="British Pound 2 3 13" xfId="9109" xr:uid="{00000000-0005-0000-0000-0000D76B0000}"/>
    <cellStyle name="British Pound 2 3 14" xfId="9110" xr:uid="{00000000-0005-0000-0000-0000D86B0000}"/>
    <cellStyle name="British Pound 2 3 15" xfId="9111" xr:uid="{00000000-0005-0000-0000-0000D96B0000}"/>
    <cellStyle name="British Pound 2 3 16" xfId="9112" xr:uid="{00000000-0005-0000-0000-0000DA6B0000}"/>
    <cellStyle name="British Pound 2 3 2" xfId="9113" xr:uid="{00000000-0005-0000-0000-0000DB6B0000}"/>
    <cellStyle name="British Pound 2 3 2 2" xfId="9114" xr:uid="{00000000-0005-0000-0000-0000DC6B0000}"/>
    <cellStyle name="British Pound 2 3 2 3" xfId="9115" xr:uid="{00000000-0005-0000-0000-0000DD6B0000}"/>
    <cellStyle name="British Pound 2 3 2 4" xfId="9116" xr:uid="{00000000-0005-0000-0000-0000DE6B0000}"/>
    <cellStyle name="British Pound 2 3 2 5" xfId="9117" xr:uid="{00000000-0005-0000-0000-0000DF6B0000}"/>
    <cellStyle name="British Pound 2 3 2 6" xfId="9118" xr:uid="{00000000-0005-0000-0000-0000E06B0000}"/>
    <cellStyle name="British Pound 2 3 2 7" xfId="9119" xr:uid="{00000000-0005-0000-0000-0000E16B0000}"/>
    <cellStyle name="British Pound 2 3 2 8" xfId="9120" xr:uid="{00000000-0005-0000-0000-0000E26B0000}"/>
    <cellStyle name="British Pound 2 3 3" xfId="9121" xr:uid="{00000000-0005-0000-0000-0000E36B0000}"/>
    <cellStyle name="British Pound 2 3 3 2" xfId="9122" xr:uid="{00000000-0005-0000-0000-0000E46B0000}"/>
    <cellStyle name="British Pound 2 3 3 3" xfId="9123" xr:uid="{00000000-0005-0000-0000-0000E56B0000}"/>
    <cellStyle name="British Pound 2 3 3 4" xfId="9124" xr:uid="{00000000-0005-0000-0000-0000E66B0000}"/>
    <cellStyle name="British Pound 2 3 3 5" xfId="9125" xr:uid="{00000000-0005-0000-0000-0000E76B0000}"/>
    <cellStyle name="British Pound 2 3 3 6" xfId="9126" xr:uid="{00000000-0005-0000-0000-0000E86B0000}"/>
    <cellStyle name="British Pound 2 3 3 7" xfId="9127" xr:uid="{00000000-0005-0000-0000-0000E96B0000}"/>
    <cellStyle name="British Pound 2 3 3 8" xfId="9128" xr:uid="{00000000-0005-0000-0000-0000EA6B0000}"/>
    <cellStyle name="British Pound 2 3 4" xfId="9129" xr:uid="{00000000-0005-0000-0000-0000EB6B0000}"/>
    <cellStyle name="British Pound 2 3 5" xfId="9130" xr:uid="{00000000-0005-0000-0000-0000EC6B0000}"/>
    <cellStyle name="British Pound 2 3 6" xfId="9131" xr:uid="{00000000-0005-0000-0000-0000ED6B0000}"/>
    <cellStyle name="British Pound 2 3 7" xfId="9132" xr:uid="{00000000-0005-0000-0000-0000EE6B0000}"/>
    <cellStyle name="British Pound 2 3 8" xfId="9133" xr:uid="{00000000-0005-0000-0000-0000EF6B0000}"/>
    <cellStyle name="British Pound 2 3 9" xfId="9134" xr:uid="{00000000-0005-0000-0000-0000F06B0000}"/>
    <cellStyle name="British Pound 2 4" xfId="9135" xr:uid="{00000000-0005-0000-0000-0000F16B0000}"/>
    <cellStyle name="British Pound 2 4 2" xfId="9136" xr:uid="{00000000-0005-0000-0000-0000F26B0000}"/>
    <cellStyle name="British Pound 2 4 3" xfId="9137" xr:uid="{00000000-0005-0000-0000-0000F36B0000}"/>
    <cellStyle name="British Pound 2 4 4" xfId="9138" xr:uid="{00000000-0005-0000-0000-0000F46B0000}"/>
    <cellStyle name="British Pound 2 4 5" xfId="9139" xr:uid="{00000000-0005-0000-0000-0000F56B0000}"/>
    <cellStyle name="British Pound 2 4 6" xfId="9140" xr:uid="{00000000-0005-0000-0000-0000F66B0000}"/>
    <cellStyle name="British Pound 2 4 7" xfId="9141" xr:uid="{00000000-0005-0000-0000-0000F76B0000}"/>
    <cellStyle name="British Pound 2 4 8" xfId="9142" xr:uid="{00000000-0005-0000-0000-0000F86B0000}"/>
    <cellStyle name="British Pound 2 4 9" xfId="9143" xr:uid="{00000000-0005-0000-0000-0000F96B0000}"/>
    <cellStyle name="British Pound 2 5" xfId="9144" xr:uid="{00000000-0005-0000-0000-0000FA6B0000}"/>
    <cellStyle name="British Pound 2 5 2" xfId="9145" xr:uid="{00000000-0005-0000-0000-0000FB6B0000}"/>
    <cellStyle name="British Pound 2 5 3" xfId="9146" xr:uid="{00000000-0005-0000-0000-0000FC6B0000}"/>
    <cellStyle name="British Pound 2 5 4" xfId="9147" xr:uid="{00000000-0005-0000-0000-0000FD6B0000}"/>
    <cellStyle name="British Pound 2 5 5" xfId="9148" xr:uid="{00000000-0005-0000-0000-0000FE6B0000}"/>
    <cellStyle name="British Pound 2 5 6" xfId="9149" xr:uid="{00000000-0005-0000-0000-0000FF6B0000}"/>
    <cellStyle name="British Pound 2 5 7" xfId="9150" xr:uid="{00000000-0005-0000-0000-0000006C0000}"/>
    <cellStyle name="British Pound 2 5 8" xfId="9151" xr:uid="{00000000-0005-0000-0000-0000016C0000}"/>
    <cellStyle name="British Pound 2 5 9" xfId="9152" xr:uid="{00000000-0005-0000-0000-0000026C0000}"/>
    <cellStyle name="British Pound 2 6" xfId="9153" xr:uid="{00000000-0005-0000-0000-0000036C0000}"/>
    <cellStyle name="British Pound 2 6 2" xfId="9154" xr:uid="{00000000-0005-0000-0000-0000046C0000}"/>
    <cellStyle name="British Pound 2 6 3" xfId="9155" xr:uid="{00000000-0005-0000-0000-0000056C0000}"/>
    <cellStyle name="British Pound 2 6 4" xfId="9156" xr:uid="{00000000-0005-0000-0000-0000066C0000}"/>
    <cellStyle name="British Pound 2 6 5" xfId="9157" xr:uid="{00000000-0005-0000-0000-0000076C0000}"/>
    <cellStyle name="British Pound 2 6 6" xfId="9158" xr:uid="{00000000-0005-0000-0000-0000086C0000}"/>
    <cellStyle name="British Pound 2 6 7" xfId="9159" xr:uid="{00000000-0005-0000-0000-0000096C0000}"/>
    <cellStyle name="British Pound 2 6 8" xfId="9160" xr:uid="{00000000-0005-0000-0000-00000A6C0000}"/>
    <cellStyle name="British Pound 2 6 9" xfId="9161" xr:uid="{00000000-0005-0000-0000-00000B6C0000}"/>
    <cellStyle name="British Pound 2 7" xfId="9162" xr:uid="{00000000-0005-0000-0000-00000C6C0000}"/>
    <cellStyle name="British Pound 2 7 2" xfId="9163" xr:uid="{00000000-0005-0000-0000-00000D6C0000}"/>
    <cellStyle name="British Pound 2 7 3" xfId="9164" xr:uid="{00000000-0005-0000-0000-00000E6C0000}"/>
    <cellStyle name="British Pound 2 7 4" xfId="9165" xr:uid="{00000000-0005-0000-0000-00000F6C0000}"/>
    <cellStyle name="British Pound 2 7 5" xfId="9166" xr:uid="{00000000-0005-0000-0000-0000106C0000}"/>
    <cellStyle name="British Pound 2 7 6" xfId="9167" xr:uid="{00000000-0005-0000-0000-0000116C0000}"/>
    <cellStyle name="British Pound 2 7 7" xfId="9168" xr:uid="{00000000-0005-0000-0000-0000126C0000}"/>
    <cellStyle name="British Pound 2 7 8" xfId="9169" xr:uid="{00000000-0005-0000-0000-0000136C0000}"/>
    <cellStyle name="British Pound 2 7 9" xfId="9170" xr:uid="{00000000-0005-0000-0000-0000146C0000}"/>
    <cellStyle name="British Pound 2 8" xfId="9171" xr:uid="{00000000-0005-0000-0000-0000156C0000}"/>
    <cellStyle name="British Pound 2 8 2" xfId="9172" xr:uid="{00000000-0005-0000-0000-0000166C0000}"/>
    <cellStyle name="British Pound 2 8 3" xfId="9173" xr:uid="{00000000-0005-0000-0000-0000176C0000}"/>
    <cellStyle name="British Pound 2 8 4" xfId="9174" xr:uid="{00000000-0005-0000-0000-0000186C0000}"/>
    <cellStyle name="British Pound 2 8 5" xfId="9175" xr:uid="{00000000-0005-0000-0000-0000196C0000}"/>
    <cellStyle name="British Pound 2 8 6" xfId="9176" xr:uid="{00000000-0005-0000-0000-00001A6C0000}"/>
    <cellStyle name="British Pound 2 8 7" xfId="9177" xr:uid="{00000000-0005-0000-0000-00001B6C0000}"/>
    <cellStyle name="British Pound 2 8 8" xfId="9178" xr:uid="{00000000-0005-0000-0000-00001C6C0000}"/>
    <cellStyle name="British Pound 2 8 9" xfId="9179" xr:uid="{00000000-0005-0000-0000-00001D6C0000}"/>
    <cellStyle name="British Pound 2 9" xfId="9180" xr:uid="{00000000-0005-0000-0000-00001E6C0000}"/>
    <cellStyle name="British Pound 2 9 2" xfId="9181" xr:uid="{00000000-0005-0000-0000-00001F6C0000}"/>
    <cellStyle name="British Pound 2 9 2 2" xfId="9182" xr:uid="{00000000-0005-0000-0000-0000206C0000}"/>
    <cellStyle name="British Pound 2 9 2 2 2" xfId="9183" xr:uid="{00000000-0005-0000-0000-0000216C0000}"/>
    <cellStyle name="British Pound 2 9 2 2 3" xfId="9184" xr:uid="{00000000-0005-0000-0000-0000226C0000}"/>
    <cellStyle name="British Pound 2 9 2 2 4" xfId="9185" xr:uid="{00000000-0005-0000-0000-0000236C0000}"/>
    <cellStyle name="British Pound 2 9 2 2 5" xfId="9186" xr:uid="{00000000-0005-0000-0000-0000246C0000}"/>
    <cellStyle name="British Pound 2 9 2 2 6" xfId="9187" xr:uid="{00000000-0005-0000-0000-0000256C0000}"/>
    <cellStyle name="British Pound 2 9 2 2 7" xfId="9188" xr:uid="{00000000-0005-0000-0000-0000266C0000}"/>
    <cellStyle name="British Pound 2 9 2 2 8" xfId="9189" xr:uid="{00000000-0005-0000-0000-0000276C0000}"/>
    <cellStyle name="British Pound 2 9 2 3" xfId="9190" xr:uid="{00000000-0005-0000-0000-0000286C0000}"/>
    <cellStyle name="British Pound 2 9 2 4" xfId="9191" xr:uid="{00000000-0005-0000-0000-0000296C0000}"/>
    <cellStyle name="British Pound 2 9 2 5" xfId="9192" xr:uid="{00000000-0005-0000-0000-00002A6C0000}"/>
    <cellStyle name="British Pound 2 9 2 6" xfId="9193" xr:uid="{00000000-0005-0000-0000-00002B6C0000}"/>
    <cellStyle name="British Pound 2 9 2 7" xfId="9194" xr:uid="{00000000-0005-0000-0000-00002C6C0000}"/>
    <cellStyle name="British Pound 2 9 2 8" xfId="9195" xr:uid="{00000000-0005-0000-0000-00002D6C0000}"/>
    <cellStyle name="British Pound 2 9 2 9" xfId="9196" xr:uid="{00000000-0005-0000-0000-00002E6C0000}"/>
    <cellStyle name="British Pound 2 9 3" xfId="9197" xr:uid="{00000000-0005-0000-0000-00002F6C0000}"/>
    <cellStyle name="British Pound 2 9 4" xfId="9198" xr:uid="{00000000-0005-0000-0000-0000306C0000}"/>
    <cellStyle name="British Pound 2 9 5" xfId="9199" xr:uid="{00000000-0005-0000-0000-0000316C0000}"/>
    <cellStyle name="British Pound 2 9 6" xfId="9200" xr:uid="{00000000-0005-0000-0000-0000326C0000}"/>
    <cellStyle name="British Pound 2 9 7" xfId="9201" xr:uid="{00000000-0005-0000-0000-0000336C0000}"/>
    <cellStyle name="British Pound 2 9 8" xfId="9202" xr:uid="{00000000-0005-0000-0000-0000346C0000}"/>
    <cellStyle name="British Pound 2 9 9" xfId="9203" xr:uid="{00000000-0005-0000-0000-0000356C0000}"/>
    <cellStyle name="British Pound 20" xfId="9204" xr:uid="{00000000-0005-0000-0000-0000366C0000}"/>
    <cellStyle name="British Pound 20 2" xfId="9205" xr:uid="{00000000-0005-0000-0000-0000376C0000}"/>
    <cellStyle name="British Pound 20 3" xfId="9206" xr:uid="{00000000-0005-0000-0000-0000386C0000}"/>
    <cellStyle name="British Pound 20 4" xfId="9207" xr:uid="{00000000-0005-0000-0000-0000396C0000}"/>
    <cellStyle name="British Pound 20 5" xfId="9208" xr:uid="{00000000-0005-0000-0000-00003A6C0000}"/>
    <cellStyle name="British Pound 20 6" xfId="9209" xr:uid="{00000000-0005-0000-0000-00003B6C0000}"/>
    <cellStyle name="British Pound 20 7" xfId="9210" xr:uid="{00000000-0005-0000-0000-00003C6C0000}"/>
    <cellStyle name="British Pound 20 8" xfId="9211" xr:uid="{00000000-0005-0000-0000-00003D6C0000}"/>
    <cellStyle name="British Pound 20 9" xfId="9212" xr:uid="{00000000-0005-0000-0000-00003E6C0000}"/>
    <cellStyle name="British Pound 21" xfId="9213" xr:uid="{00000000-0005-0000-0000-00003F6C0000}"/>
    <cellStyle name="British Pound 21 2" xfId="9214" xr:uid="{00000000-0005-0000-0000-0000406C0000}"/>
    <cellStyle name="British Pound 21 3" xfId="9215" xr:uid="{00000000-0005-0000-0000-0000416C0000}"/>
    <cellStyle name="British Pound 21 4" xfId="9216" xr:uid="{00000000-0005-0000-0000-0000426C0000}"/>
    <cellStyle name="British Pound 21 5" xfId="9217" xr:uid="{00000000-0005-0000-0000-0000436C0000}"/>
    <cellStyle name="British Pound 21 6" xfId="9218" xr:uid="{00000000-0005-0000-0000-0000446C0000}"/>
    <cellStyle name="British Pound 21 7" xfId="9219" xr:uid="{00000000-0005-0000-0000-0000456C0000}"/>
    <cellStyle name="British Pound 21 8" xfId="9220" xr:uid="{00000000-0005-0000-0000-0000466C0000}"/>
    <cellStyle name="British Pound 21 9" xfId="9221" xr:uid="{00000000-0005-0000-0000-0000476C0000}"/>
    <cellStyle name="British Pound 22" xfId="9222" xr:uid="{00000000-0005-0000-0000-0000486C0000}"/>
    <cellStyle name="British Pound 22 2" xfId="9223" xr:uid="{00000000-0005-0000-0000-0000496C0000}"/>
    <cellStyle name="British Pound 22 3" xfId="9224" xr:uid="{00000000-0005-0000-0000-00004A6C0000}"/>
    <cellStyle name="British Pound 22 4" xfId="9225" xr:uid="{00000000-0005-0000-0000-00004B6C0000}"/>
    <cellStyle name="British Pound 22 5" xfId="9226" xr:uid="{00000000-0005-0000-0000-00004C6C0000}"/>
    <cellStyle name="British Pound 22 6" xfId="9227" xr:uid="{00000000-0005-0000-0000-00004D6C0000}"/>
    <cellStyle name="British Pound 22 7" xfId="9228" xr:uid="{00000000-0005-0000-0000-00004E6C0000}"/>
    <cellStyle name="British Pound 22 8" xfId="9229" xr:uid="{00000000-0005-0000-0000-00004F6C0000}"/>
    <cellStyle name="British Pound 22 9" xfId="9230" xr:uid="{00000000-0005-0000-0000-0000506C0000}"/>
    <cellStyle name="British Pound 23" xfId="9231" xr:uid="{00000000-0005-0000-0000-0000516C0000}"/>
    <cellStyle name="British Pound 24" xfId="9232" xr:uid="{00000000-0005-0000-0000-0000526C0000}"/>
    <cellStyle name="British Pound 25" xfId="9233" xr:uid="{00000000-0005-0000-0000-0000536C0000}"/>
    <cellStyle name="British Pound 26" xfId="9234" xr:uid="{00000000-0005-0000-0000-0000546C0000}"/>
    <cellStyle name="British Pound 27" xfId="9235" xr:uid="{00000000-0005-0000-0000-0000556C0000}"/>
    <cellStyle name="British Pound 28" xfId="9236" xr:uid="{00000000-0005-0000-0000-0000566C0000}"/>
    <cellStyle name="British Pound 29" xfId="9237" xr:uid="{00000000-0005-0000-0000-0000576C0000}"/>
    <cellStyle name="British Pound 3" xfId="9238" xr:uid="{00000000-0005-0000-0000-0000586C0000}"/>
    <cellStyle name="British Pound 3 2" xfId="9239" xr:uid="{00000000-0005-0000-0000-0000596C0000}"/>
    <cellStyle name="British Pound 3 2 2" xfId="9240" xr:uid="{00000000-0005-0000-0000-00005A6C0000}"/>
    <cellStyle name="British Pound 3 2 2 2" xfId="9241" xr:uid="{00000000-0005-0000-0000-00005B6C0000}"/>
    <cellStyle name="British Pound 3 2 2 2 2" xfId="9242" xr:uid="{00000000-0005-0000-0000-00005C6C0000}"/>
    <cellStyle name="British Pound 3 2 2 2 2 2" xfId="9243" xr:uid="{00000000-0005-0000-0000-00005D6C0000}"/>
    <cellStyle name="British Pound 3 2 2 2 2 3" xfId="9244" xr:uid="{00000000-0005-0000-0000-00005E6C0000}"/>
    <cellStyle name="British Pound 3 2 2 2 2 4" xfId="9245" xr:uid="{00000000-0005-0000-0000-00005F6C0000}"/>
    <cellStyle name="British Pound 3 2 2 2 2 5" xfId="9246" xr:uid="{00000000-0005-0000-0000-0000606C0000}"/>
    <cellStyle name="British Pound 3 2 2 2 2 6" xfId="9247" xr:uid="{00000000-0005-0000-0000-0000616C0000}"/>
    <cellStyle name="British Pound 3 2 2 2 2 7" xfId="9248" xr:uid="{00000000-0005-0000-0000-0000626C0000}"/>
    <cellStyle name="British Pound 3 2 2 2 2 8" xfId="9249" xr:uid="{00000000-0005-0000-0000-0000636C0000}"/>
    <cellStyle name="British Pound 3 2 2 2 3" xfId="9250" xr:uid="{00000000-0005-0000-0000-0000646C0000}"/>
    <cellStyle name="British Pound 3 2 2 2 4" xfId="9251" xr:uid="{00000000-0005-0000-0000-0000656C0000}"/>
    <cellStyle name="British Pound 3 2 2 2 5" xfId="9252" xr:uid="{00000000-0005-0000-0000-0000666C0000}"/>
    <cellStyle name="British Pound 3 2 2 2 6" xfId="9253" xr:uid="{00000000-0005-0000-0000-0000676C0000}"/>
    <cellStyle name="British Pound 3 2 2 2 7" xfId="9254" xr:uid="{00000000-0005-0000-0000-0000686C0000}"/>
    <cellStyle name="British Pound 3 2 2 2 8" xfId="9255" xr:uid="{00000000-0005-0000-0000-0000696C0000}"/>
    <cellStyle name="British Pound 3 2 2 2 9" xfId="9256" xr:uid="{00000000-0005-0000-0000-00006A6C0000}"/>
    <cellStyle name="British Pound 3 2 2 3" xfId="9257" xr:uid="{00000000-0005-0000-0000-00006B6C0000}"/>
    <cellStyle name="British Pound 3 2 2 4" xfId="9258" xr:uid="{00000000-0005-0000-0000-00006C6C0000}"/>
    <cellStyle name="British Pound 3 2 2 5" xfId="9259" xr:uid="{00000000-0005-0000-0000-00006D6C0000}"/>
    <cellStyle name="British Pound 3 2 2 6" xfId="9260" xr:uid="{00000000-0005-0000-0000-00006E6C0000}"/>
    <cellStyle name="British Pound 3 2 2 7" xfId="9261" xr:uid="{00000000-0005-0000-0000-00006F6C0000}"/>
    <cellStyle name="British Pound 3 2 2 8" xfId="9262" xr:uid="{00000000-0005-0000-0000-0000706C0000}"/>
    <cellStyle name="British Pound 3 2 2 9" xfId="9263" xr:uid="{00000000-0005-0000-0000-0000716C0000}"/>
    <cellStyle name="British Pound 3 2 3" xfId="9264" xr:uid="{00000000-0005-0000-0000-0000726C0000}"/>
    <cellStyle name="British Pound 3 2 4" xfId="9265" xr:uid="{00000000-0005-0000-0000-0000736C0000}"/>
    <cellStyle name="British Pound 3 2 5" xfId="9266" xr:uid="{00000000-0005-0000-0000-0000746C0000}"/>
    <cellStyle name="British Pound 3 2 6" xfId="9267" xr:uid="{00000000-0005-0000-0000-0000756C0000}"/>
    <cellStyle name="British Pound 3 2 7" xfId="9268" xr:uid="{00000000-0005-0000-0000-0000766C0000}"/>
    <cellStyle name="British Pound 3 2 8" xfId="9269" xr:uid="{00000000-0005-0000-0000-0000776C0000}"/>
    <cellStyle name="British Pound 3 2 9" xfId="9270" xr:uid="{00000000-0005-0000-0000-0000786C0000}"/>
    <cellStyle name="British Pound 3 3" xfId="9271" xr:uid="{00000000-0005-0000-0000-0000796C0000}"/>
    <cellStyle name="British Pound 3 4" xfId="9272" xr:uid="{00000000-0005-0000-0000-00007A6C0000}"/>
    <cellStyle name="British Pound 3 5" xfId="9273" xr:uid="{00000000-0005-0000-0000-00007B6C0000}"/>
    <cellStyle name="British Pound 3 6" xfId="9274" xr:uid="{00000000-0005-0000-0000-00007C6C0000}"/>
    <cellStyle name="British Pound 3 6 2" xfId="9275" xr:uid="{00000000-0005-0000-0000-00007D6C0000}"/>
    <cellStyle name="British Pound 3 6 3" xfId="9276" xr:uid="{00000000-0005-0000-0000-00007E6C0000}"/>
    <cellStyle name="British Pound 3 6 4" xfId="9277" xr:uid="{00000000-0005-0000-0000-00007F6C0000}"/>
    <cellStyle name="British Pound 3 6 5" xfId="9278" xr:uid="{00000000-0005-0000-0000-0000806C0000}"/>
    <cellStyle name="British Pound 3 6 6" xfId="9279" xr:uid="{00000000-0005-0000-0000-0000816C0000}"/>
    <cellStyle name="British Pound 3 6 7" xfId="9280" xr:uid="{00000000-0005-0000-0000-0000826C0000}"/>
    <cellStyle name="British Pound 3 6 8" xfId="9281" xr:uid="{00000000-0005-0000-0000-0000836C0000}"/>
    <cellStyle name="British Pound 3 7" xfId="9282" xr:uid="{00000000-0005-0000-0000-0000846C0000}"/>
    <cellStyle name="British Pound 3 8" xfId="9283" xr:uid="{00000000-0005-0000-0000-0000856C0000}"/>
    <cellStyle name="British Pound 3 9" xfId="9284" xr:uid="{00000000-0005-0000-0000-0000866C0000}"/>
    <cellStyle name="British Pound 30" xfId="9285" xr:uid="{00000000-0005-0000-0000-0000876C0000}"/>
    <cellStyle name="British Pound 31" xfId="9286" xr:uid="{00000000-0005-0000-0000-0000886C0000}"/>
    <cellStyle name="British Pound 32" xfId="9287" xr:uid="{00000000-0005-0000-0000-0000896C0000}"/>
    <cellStyle name="British Pound 33" xfId="9288" xr:uid="{00000000-0005-0000-0000-00008A6C0000}"/>
    <cellStyle name="British Pound 34" xfId="9289" xr:uid="{00000000-0005-0000-0000-00008B6C0000}"/>
    <cellStyle name="British Pound 35" xfId="9290" xr:uid="{00000000-0005-0000-0000-00008C6C0000}"/>
    <cellStyle name="British Pound 36" xfId="9291" xr:uid="{00000000-0005-0000-0000-00008D6C0000}"/>
    <cellStyle name="British Pound 37" xfId="9292" xr:uid="{00000000-0005-0000-0000-00008E6C0000}"/>
    <cellStyle name="British Pound 4" xfId="9293" xr:uid="{00000000-0005-0000-0000-00008F6C0000}"/>
    <cellStyle name="British Pound 4 2" xfId="9294" xr:uid="{00000000-0005-0000-0000-0000906C0000}"/>
    <cellStyle name="British Pound 4 3" xfId="9295" xr:uid="{00000000-0005-0000-0000-0000916C0000}"/>
    <cellStyle name="British Pound 4 4" xfId="9296" xr:uid="{00000000-0005-0000-0000-0000926C0000}"/>
    <cellStyle name="British Pound 4 5" xfId="9297" xr:uid="{00000000-0005-0000-0000-0000936C0000}"/>
    <cellStyle name="British Pound 4 6" xfId="9298" xr:uid="{00000000-0005-0000-0000-0000946C0000}"/>
    <cellStyle name="British Pound 4 7" xfId="9299" xr:uid="{00000000-0005-0000-0000-0000956C0000}"/>
    <cellStyle name="British Pound 4 8" xfId="9300" xr:uid="{00000000-0005-0000-0000-0000966C0000}"/>
    <cellStyle name="British Pound 4 9" xfId="9301" xr:uid="{00000000-0005-0000-0000-0000976C0000}"/>
    <cellStyle name="British Pound 5" xfId="9302" xr:uid="{00000000-0005-0000-0000-0000986C0000}"/>
    <cellStyle name="British Pound 5 2" xfId="9303" xr:uid="{00000000-0005-0000-0000-0000996C0000}"/>
    <cellStyle name="British Pound 5 3" xfId="9304" xr:uid="{00000000-0005-0000-0000-00009A6C0000}"/>
    <cellStyle name="British Pound 5 4" xfId="9305" xr:uid="{00000000-0005-0000-0000-00009B6C0000}"/>
    <cellStyle name="British Pound 5 5" xfId="9306" xr:uid="{00000000-0005-0000-0000-00009C6C0000}"/>
    <cellStyle name="British Pound 5 6" xfId="9307" xr:uid="{00000000-0005-0000-0000-00009D6C0000}"/>
    <cellStyle name="British Pound 5 7" xfId="9308" xr:uid="{00000000-0005-0000-0000-00009E6C0000}"/>
    <cellStyle name="British Pound 5 8" xfId="9309" xr:uid="{00000000-0005-0000-0000-00009F6C0000}"/>
    <cellStyle name="British Pound 5 9" xfId="9310" xr:uid="{00000000-0005-0000-0000-0000A06C0000}"/>
    <cellStyle name="British Pound 6" xfId="9311" xr:uid="{00000000-0005-0000-0000-0000A16C0000}"/>
    <cellStyle name="British Pound 6 2" xfId="9312" xr:uid="{00000000-0005-0000-0000-0000A26C0000}"/>
    <cellStyle name="British Pound 6 3" xfId="9313" xr:uid="{00000000-0005-0000-0000-0000A36C0000}"/>
    <cellStyle name="British Pound 6 4" xfId="9314" xr:uid="{00000000-0005-0000-0000-0000A46C0000}"/>
    <cellStyle name="British Pound 6 5" xfId="9315" xr:uid="{00000000-0005-0000-0000-0000A56C0000}"/>
    <cellStyle name="British Pound 6 6" xfId="9316" xr:uid="{00000000-0005-0000-0000-0000A66C0000}"/>
    <cellStyle name="British Pound 6 7" xfId="9317" xr:uid="{00000000-0005-0000-0000-0000A76C0000}"/>
    <cellStyle name="British Pound 6 8" xfId="9318" xr:uid="{00000000-0005-0000-0000-0000A86C0000}"/>
    <cellStyle name="British Pound 6 9" xfId="9319" xr:uid="{00000000-0005-0000-0000-0000A96C0000}"/>
    <cellStyle name="British Pound 7" xfId="9320" xr:uid="{00000000-0005-0000-0000-0000AA6C0000}"/>
    <cellStyle name="British Pound 7 2" xfId="9321" xr:uid="{00000000-0005-0000-0000-0000AB6C0000}"/>
    <cellStyle name="British Pound 7 3" xfId="9322" xr:uid="{00000000-0005-0000-0000-0000AC6C0000}"/>
    <cellStyle name="British Pound 7 4" xfId="9323" xr:uid="{00000000-0005-0000-0000-0000AD6C0000}"/>
    <cellStyle name="British Pound 7 5" xfId="9324" xr:uid="{00000000-0005-0000-0000-0000AE6C0000}"/>
    <cellStyle name="British Pound 7 6" xfId="9325" xr:uid="{00000000-0005-0000-0000-0000AF6C0000}"/>
    <cellStyle name="British Pound 7 7" xfId="9326" xr:uid="{00000000-0005-0000-0000-0000B06C0000}"/>
    <cellStyle name="British Pound 7 8" xfId="9327" xr:uid="{00000000-0005-0000-0000-0000B16C0000}"/>
    <cellStyle name="British Pound 7 9" xfId="9328" xr:uid="{00000000-0005-0000-0000-0000B26C0000}"/>
    <cellStyle name="British Pound 8" xfId="9329" xr:uid="{00000000-0005-0000-0000-0000B36C0000}"/>
    <cellStyle name="British Pound 8 10" xfId="9330" xr:uid="{00000000-0005-0000-0000-0000B46C0000}"/>
    <cellStyle name="British Pound 8 11" xfId="9331" xr:uid="{00000000-0005-0000-0000-0000B56C0000}"/>
    <cellStyle name="British Pound 8 12" xfId="9332" xr:uid="{00000000-0005-0000-0000-0000B66C0000}"/>
    <cellStyle name="British Pound 8 13" xfId="9333" xr:uid="{00000000-0005-0000-0000-0000B76C0000}"/>
    <cellStyle name="British Pound 8 14" xfId="9334" xr:uid="{00000000-0005-0000-0000-0000B86C0000}"/>
    <cellStyle name="British Pound 8 15" xfId="9335" xr:uid="{00000000-0005-0000-0000-0000B96C0000}"/>
    <cellStyle name="British Pound 8 16" xfId="9336" xr:uid="{00000000-0005-0000-0000-0000BA6C0000}"/>
    <cellStyle name="British Pound 8 2" xfId="9337" xr:uid="{00000000-0005-0000-0000-0000BB6C0000}"/>
    <cellStyle name="British Pound 8 2 2" xfId="9338" xr:uid="{00000000-0005-0000-0000-0000BC6C0000}"/>
    <cellStyle name="British Pound 8 2 3" xfId="9339" xr:uid="{00000000-0005-0000-0000-0000BD6C0000}"/>
    <cellStyle name="British Pound 8 2 4" xfId="9340" xr:uid="{00000000-0005-0000-0000-0000BE6C0000}"/>
    <cellStyle name="British Pound 8 2 5" xfId="9341" xr:uid="{00000000-0005-0000-0000-0000BF6C0000}"/>
    <cellStyle name="British Pound 8 2 6" xfId="9342" xr:uid="{00000000-0005-0000-0000-0000C06C0000}"/>
    <cellStyle name="British Pound 8 2 7" xfId="9343" xr:uid="{00000000-0005-0000-0000-0000C16C0000}"/>
    <cellStyle name="British Pound 8 2 8" xfId="9344" xr:uid="{00000000-0005-0000-0000-0000C26C0000}"/>
    <cellStyle name="British Pound 8 3" xfId="9345" xr:uid="{00000000-0005-0000-0000-0000C36C0000}"/>
    <cellStyle name="British Pound 8 3 2" xfId="9346" xr:uid="{00000000-0005-0000-0000-0000C46C0000}"/>
    <cellStyle name="British Pound 8 3 3" xfId="9347" xr:uid="{00000000-0005-0000-0000-0000C56C0000}"/>
    <cellStyle name="British Pound 8 3 4" xfId="9348" xr:uid="{00000000-0005-0000-0000-0000C66C0000}"/>
    <cellStyle name="British Pound 8 3 5" xfId="9349" xr:uid="{00000000-0005-0000-0000-0000C76C0000}"/>
    <cellStyle name="British Pound 8 3 6" xfId="9350" xr:uid="{00000000-0005-0000-0000-0000C86C0000}"/>
    <cellStyle name="British Pound 8 3 7" xfId="9351" xr:uid="{00000000-0005-0000-0000-0000C96C0000}"/>
    <cellStyle name="British Pound 8 3 8" xfId="9352" xr:uid="{00000000-0005-0000-0000-0000CA6C0000}"/>
    <cellStyle name="British Pound 8 4" xfId="9353" xr:uid="{00000000-0005-0000-0000-0000CB6C0000}"/>
    <cellStyle name="British Pound 8 5" xfId="9354" xr:uid="{00000000-0005-0000-0000-0000CC6C0000}"/>
    <cellStyle name="British Pound 8 6" xfId="9355" xr:uid="{00000000-0005-0000-0000-0000CD6C0000}"/>
    <cellStyle name="British Pound 8 7" xfId="9356" xr:uid="{00000000-0005-0000-0000-0000CE6C0000}"/>
    <cellStyle name="British Pound 8 8" xfId="9357" xr:uid="{00000000-0005-0000-0000-0000CF6C0000}"/>
    <cellStyle name="British Pound 8 9" xfId="9358" xr:uid="{00000000-0005-0000-0000-0000D06C0000}"/>
    <cellStyle name="British Pound 9" xfId="9359" xr:uid="{00000000-0005-0000-0000-0000D16C0000}"/>
    <cellStyle name="British Pound 9 2" xfId="9360" xr:uid="{00000000-0005-0000-0000-0000D26C0000}"/>
    <cellStyle name="British Pound 9 3" xfId="9361" xr:uid="{00000000-0005-0000-0000-0000D36C0000}"/>
    <cellStyle name="British Pound 9 4" xfId="9362" xr:uid="{00000000-0005-0000-0000-0000D46C0000}"/>
    <cellStyle name="British Pound 9 5" xfId="9363" xr:uid="{00000000-0005-0000-0000-0000D56C0000}"/>
    <cellStyle name="British Pound 9 6" xfId="9364" xr:uid="{00000000-0005-0000-0000-0000D66C0000}"/>
    <cellStyle name="British Pound 9 7" xfId="9365" xr:uid="{00000000-0005-0000-0000-0000D76C0000}"/>
    <cellStyle name="British Pound 9 8" xfId="9366" xr:uid="{00000000-0005-0000-0000-0000D86C0000}"/>
    <cellStyle name="British Pound 9 9" xfId="9367" xr:uid="{00000000-0005-0000-0000-0000D96C0000}"/>
    <cellStyle name="BrödText" xfId="9368" xr:uid="{00000000-0005-0000-0000-0000DA6C0000}"/>
    <cellStyle name="BrödText 2" xfId="9369" xr:uid="{00000000-0005-0000-0000-0000DB6C0000}"/>
    <cellStyle name="BrödText 2 2" xfId="9370" xr:uid="{00000000-0005-0000-0000-0000DC6C0000}"/>
    <cellStyle name="BrödText 3" xfId="9371" xr:uid="{00000000-0005-0000-0000-0000DD6C0000}"/>
    <cellStyle name="BrödText 4" xfId="9372" xr:uid="{00000000-0005-0000-0000-0000DE6C0000}"/>
    <cellStyle name="BrödText 5" xfId="9373" xr:uid="{00000000-0005-0000-0000-0000DF6C0000}"/>
    <cellStyle name="Buena" xfId="9374" xr:uid="{00000000-0005-0000-0000-0000E06C0000}"/>
    <cellStyle name="Bullet" xfId="9375" xr:uid="{00000000-0005-0000-0000-0000E16C0000}"/>
    <cellStyle name="Bullet 2" xfId="9376" xr:uid="{00000000-0005-0000-0000-0000E26C0000}"/>
    <cellStyle name="CABEÇALHO" xfId="9377" xr:uid="{00000000-0005-0000-0000-0000E36C0000}"/>
    <cellStyle name="Cadre" xfId="9378" xr:uid="{00000000-0005-0000-0000-0000E46C0000}"/>
    <cellStyle name="Cadre 2" xfId="9379" xr:uid="{00000000-0005-0000-0000-0000E56C0000}"/>
    <cellStyle name="Calc" xfId="9380" xr:uid="{00000000-0005-0000-0000-0000E66C0000}"/>
    <cellStyle name="Calc # [0]" xfId="9381" xr:uid="{00000000-0005-0000-0000-0000E76C0000}"/>
    <cellStyle name="Calc # [1]" xfId="9382" xr:uid="{00000000-0005-0000-0000-0000E86C0000}"/>
    <cellStyle name="Calc # [2]" xfId="9383" xr:uid="{00000000-0005-0000-0000-0000E96C0000}"/>
    <cellStyle name="Calc % [0]" xfId="9384" xr:uid="{00000000-0005-0000-0000-0000EA6C0000}"/>
    <cellStyle name="Calc % [1]" xfId="9385" xr:uid="{00000000-0005-0000-0000-0000EB6C0000}"/>
    <cellStyle name="Calc % [2]" xfId="9386" xr:uid="{00000000-0005-0000-0000-0000EC6C0000}"/>
    <cellStyle name="Calc 2" xfId="9387" xr:uid="{00000000-0005-0000-0000-0000ED6C0000}"/>
    <cellStyle name="Calc Currency (0)" xfId="9388" xr:uid="{00000000-0005-0000-0000-0000EE6C0000}"/>
    <cellStyle name="Calc Currency (0) 10" xfId="9389" xr:uid="{00000000-0005-0000-0000-0000EF6C0000}"/>
    <cellStyle name="Calc Currency (0) 10 10" xfId="9390" xr:uid="{00000000-0005-0000-0000-0000F06C0000}"/>
    <cellStyle name="Calc Currency (0) 10 11" xfId="9391" xr:uid="{00000000-0005-0000-0000-0000F16C0000}"/>
    <cellStyle name="Calc Currency (0) 10 2" xfId="9392" xr:uid="{00000000-0005-0000-0000-0000F26C0000}"/>
    <cellStyle name="Calc Currency (0) 10 2 2" xfId="9393" xr:uid="{00000000-0005-0000-0000-0000F36C0000}"/>
    <cellStyle name="Calc Currency (0) 10 2 3" xfId="9394" xr:uid="{00000000-0005-0000-0000-0000F46C0000}"/>
    <cellStyle name="Calc Currency (0) 10 2 4" xfId="9395" xr:uid="{00000000-0005-0000-0000-0000F56C0000}"/>
    <cellStyle name="Calc Currency (0) 10 2 5" xfId="9396" xr:uid="{00000000-0005-0000-0000-0000F66C0000}"/>
    <cellStyle name="Calc Currency (0) 10 2 6" xfId="9397" xr:uid="{00000000-0005-0000-0000-0000F76C0000}"/>
    <cellStyle name="Calc Currency (0) 10 2 7" xfId="9398" xr:uid="{00000000-0005-0000-0000-0000F86C0000}"/>
    <cellStyle name="Calc Currency (0) 10 2 8" xfId="9399" xr:uid="{00000000-0005-0000-0000-0000F96C0000}"/>
    <cellStyle name="Calc Currency (0) 10 2 9" xfId="9400" xr:uid="{00000000-0005-0000-0000-0000FA6C0000}"/>
    <cellStyle name="Calc Currency (0) 10 3" xfId="9401" xr:uid="{00000000-0005-0000-0000-0000FB6C0000}"/>
    <cellStyle name="Calc Currency (0) 10 3 2" xfId="9402" xr:uid="{00000000-0005-0000-0000-0000FC6C0000}"/>
    <cellStyle name="Calc Currency (0) 10 3 3" xfId="9403" xr:uid="{00000000-0005-0000-0000-0000FD6C0000}"/>
    <cellStyle name="Calc Currency (0) 10 3 4" xfId="9404" xr:uid="{00000000-0005-0000-0000-0000FE6C0000}"/>
    <cellStyle name="Calc Currency (0) 10 3 5" xfId="9405" xr:uid="{00000000-0005-0000-0000-0000FF6C0000}"/>
    <cellStyle name="Calc Currency (0) 10 3 6" xfId="9406" xr:uid="{00000000-0005-0000-0000-0000006D0000}"/>
    <cellStyle name="Calc Currency (0) 10 3 7" xfId="9407" xr:uid="{00000000-0005-0000-0000-0000016D0000}"/>
    <cellStyle name="Calc Currency (0) 10 3 8" xfId="9408" xr:uid="{00000000-0005-0000-0000-0000026D0000}"/>
    <cellStyle name="Calc Currency (0) 10 3 9" xfId="9409" xr:uid="{00000000-0005-0000-0000-0000036D0000}"/>
    <cellStyle name="Calc Currency (0) 10 4" xfId="9410" xr:uid="{00000000-0005-0000-0000-0000046D0000}"/>
    <cellStyle name="Calc Currency (0) 10 5" xfId="9411" xr:uid="{00000000-0005-0000-0000-0000056D0000}"/>
    <cellStyle name="Calc Currency (0) 10 6" xfId="9412" xr:uid="{00000000-0005-0000-0000-0000066D0000}"/>
    <cellStyle name="Calc Currency (0) 10 7" xfId="9413" xr:uid="{00000000-0005-0000-0000-0000076D0000}"/>
    <cellStyle name="Calc Currency (0) 10 8" xfId="9414" xr:uid="{00000000-0005-0000-0000-0000086D0000}"/>
    <cellStyle name="Calc Currency (0) 10 9" xfId="9415" xr:uid="{00000000-0005-0000-0000-0000096D0000}"/>
    <cellStyle name="Calc Currency (0) 11" xfId="9416" xr:uid="{00000000-0005-0000-0000-00000A6D0000}"/>
    <cellStyle name="Calc Currency (0) 11 2" xfId="9417" xr:uid="{00000000-0005-0000-0000-00000B6D0000}"/>
    <cellStyle name="Calc Currency (0) 11 3" xfId="9418" xr:uid="{00000000-0005-0000-0000-00000C6D0000}"/>
    <cellStyle name="Calc Currency (0) 11 4" xfId="9419" xr:uid="{00000000-0005-0000-0000-00000D6D0000}"/>
    <cellStyle name="Calc Currency (0) 11 5" xfId="9420" xr:uid="{00000000-0005-0000-0000-00000E6D0000}"/>
    <cellStyle name="Calc Currency (0) 11 6" xfId="9421" xr:uid="{00000000-0005-0000-0000-00000F6D0000}"/>
    <cellStyle name="Calc Currency (0) 11 7" xfId="9422" xr:uid="{00000000-0005-0000-0000-0000106D0000}"/>
    <cellStyle name="Calc Currency (0) 11 8" xfId="9423" xr:uid="{00000000-0005-0000-0000-0000116D0000}"/>
    <cellStyle name="Calc Currency (0) 11 9" xfId="9424" xr:uid="{00000000-0005-0000-0000-0000126D0000}"/>
    <cellStyle name="Calc Currency (0) 12" xfId="9425" xr:uid="{00000000-0005-0000-0000-0000136D0000}"/>
    <cellStyle name="Calc Currency (0) 12 2" xfId="9426" xr:uid="{00000000-0005-0000-0000-0000146D0000}"/>
    <cellStyle name="Calc Currency (0) 12 3" xfId="9427" xr:uid="{00000000-0005-0000-0000-0000156D0000}"/>
    <cellStyle name="Calc Currency (0) 12 4" xfId="9428" xr:uid="{00000000-0005-0000-0000-0000166D0000}"/>
    <cellStyle name="Calc Currency (0) 12 5" xfId="9429" xr:uid="{00000000-0005-0000-0000-0000176D0000}"/>
    <cellStyle name="Calc Currency (0) 12 6" xfId="9430" xr:uid="{00000000-0005-0000-0000-0000186D0000}"/>
    <cellStyle name="Calc Currency (0) 12 7" xfId="9431" xr:uid="{00000000-0005-0000-0000-0000196D0000}"/>
    <cellStyle name="Calc Currency (0) 12 8" xfId="9432" xr:uid="{00000000-0005-0000-0000-00001A6D0000}"/>
    <cellStyle name="Calc Currency (0) 12 9" xfId="9433" xr:uid="{00000000-0005-0000-0000-00001B6D0000}"/>
    <cellStyle name="Calc Currency (0) 13" xfId="9434" xr:uid="{00000000-0005-0000-0000-00001C6D0000}"/>
    <cellStyle name="Calc Currency (0) 13 10" xfId="9435" xr:uid="{00000000-0005-0000-0000-00001D6D0000}"/>
    <cellStyle name="Calc Currency (0) 13 11" xfId="9436" xr:uid="{00000000-0005-0000-0000-00001E6D0000}"/>
    <cellStyle name="Calc Currency (0) 13 12" xfId="9437" xr:uid="{00000000-0005-0000-0000-00001F6D0000}"/>
    <cellStyle name="Calc Currency (0) 13 13" xfId="9438" xr:uid="{00000000-0005-0000-0000-0000206D0000}"/>
    <cellStyle name="Calc Currency (0) 13 14" xfId="9439" xr:uid="{00000000-0005-0000-0000-0000216D0000}"/>
    <cellStyle name="Calc Currency (0) 13 15" xfId="9440" xr:uid="{00000000-0005-0000-0000-0000226D0000}"/>
    <cellStyle name="Calc Currency (0) 13 16" xfId="9441" xr:uid="{00000000-0005-0000-0000-0000236D0000}"/>
    <cellStyle name="Calc Currency (0) 13 2" xfId="9442" xr:uid="{00000000-0005-0000-0000-0000246D0000}"/>
    <cellStyle name="Calc Currency (0) 13 3" xfId="9443" xr:uid="{00000000-0005-0000-0000-0000256D0000}"/>
    <cellStyle name="Calc Currency (0) 13 4" xfId="9444" xr:uid="{00000000-0005-0000-0000-0000266D0000}"/>
    <cellStyle name="Calc Currency (0) 13 5" xfId="9445" xr:uid="{00000000-0005-0000-0000-0000276D0000}"/>
    <cellStyle name="Calc Currency (0) 13 6" xfId="9446" xr:uid="{00000000-0005-0000-0000-0000286D0000}"/>
    <cellStyle name="Calc Currency (0) 13 7" xfId="9447" xr:uid="{00000000-0005-0000-0000-0000296D0000}"/>
    <cellStyle name="Calc Currency (0) 13 8" xfId="9448" xr:uid="{00000000-0005-0000-0000-00002A6D0000}"/>
    <cellStyle name="Calc Currency (0) 13 9" xfId="9449" xr:uid="{00000000-0005-0000-0000-00002B6D0000}"/>
    <cellStyle name="Calc Currency (0) 14" xfId="9450" xr:uid="{00000000-0005-0000-0000-00002C6D0000}"/>
    <cellStyle name="Calc Currency (0) 14 10" xfId="9451" xr:uid="{00000000-0005-0000-0000-00002D6D0000}"/>
    <cellStyle name="Calc Currency (0) 14 11" xfId="9452" xr:uid="{00000000-0005-0000-0000-00002E6D0000}"/>
    <cellStyle name="Calc Currency (0) 14 12" xfId="9453" xr:uid="{00000000-0005-0000-0000-00002F6D0000}"/>
    <cellStyle name="Calc Currency (0) 14 13" xfId="9454" xr:uid="{00000000-0005-0000-0000-0000306D0000}"/>
    <cellStyle name="Calc Currency (0) 14 14" xfId="9455" xr:uid="{00000000-0005-0000-0000-0000316D0000}"/>
    <cellStyle name="Calc Currency (0) 14 15" xfId="9456" xr:uid="{00000000-0005-0000-0000-0000326D0000}"/>
    <cellStyle name="Calc Currency (0) 14 16" xfId="9457" xr:uid="{00000000-0005-0000-0000-0000336D0000}"/>
    <cellStyle name="Calc Currency (0) 14 2" xfId="9458" xr:uid="{00000000-0005-0000-0000-0000346D0000}"/>
    <cellStyle name="Calc Currency (0) 14 3" xfId="9459" xr:uid="{00000000-0005-0000-0000-0000356D0000}"/>
    <cellStyle name="Calc Currency (0) 14 4" xfId="9460" xr:uid="{00000000-0005-0000-0000-0000366D0000}"/>
    <cellStyle name="Calc Currency (0) 14 5" xfId="9461" xr:uid="{00000000-0005-0000-0000-0000376D0000}"/>
    <cellStyle name="Calc Currency (0) 14 6" xfId="9462" xr:uid="{00000000-0005-0000-0000-0000386D0000}"/>
    <cellStyle name="Calc Currency (0) 14 7" xfId="9463" xr:uid="{00000000-0005-0000-0000-0000396D0000}"/>
    <cellStyle name="Calc Currency (0) 14 8" xfId="9464" xr:uid="{00000000-0005-0000-0000-00003A6D0000}"/>
    <cellStyle name="Calc Currency (0) 14 9" xfId="9465" xr:uid="{00000000-0005-0000-0000-00003B6D0000}"/>
    <cellStyle name="Calc Currency (0) 15" xfId="9466" xr:uid="{00000000-0005-0000-0000-00003C6D0000}"/>
    <cellStyle name="Calc Currency (0) 15 10" xfId="9467" xr:uid="{00000000-0005-0000-0000-00003D6D0000}"/>
    <cellStyle name="Calc Currency (0) 15 11" xfId="9468" xr:uid="{00000000-0005-0000-0000-00003E6D0000}"/>
    <cellStyle name="Calc Currency (0) 15 12" xfId="9469" xr:uid="{00000000-0005-0000-0000-00003F6D0000}"/>
    <cellStyle name="Calc Currency (0) 15 13" xfId="9470" xr:uid="{00000000-0005-0000-0000-0000406D0000}"/>
    <cellStyle name="Calc Currency (0) 15 14" xfId="9471" xr:uid="{00000000-0005-0000-0000-0000416D0000}"/>
    <cellStyle name="Calc Currency (0) 15 15" xfId="9472" xr:uid="{00000000-0005-0000-0000-0000426D0000}"/>
    <cellStyle name="Calc Currency (0) 15 16" xfId="9473" xr:uid="{00000000-0005-0000-0000-0000436D0000}"/>
    <cellStyle name="Calc Currency (0) 15 2" xfId="9474" xr:uid="{00000000-0005-0000-0000-0000446D0000}"/>
    <cellStyle name="Calc Currency (0) 15 3" xfId="9475" xr:uid="{00000000-0005-0000-0000-0000456D0000}"/>
    <cellStyle name="Calc Currency (0) 15 4" xfId="9476" xr:uid="{00000000-0005-0000-0000-0000466D0000}"/>
    <cellStyle name="Calc Currency (0) 15 5" xfId="9477" xr:uid="{00000000-0005-0000-0000-0000476D0000}"/>
    <cellStyle name="Calc Currency (0) 15 6" xfId="9478" xr:uid="{00000000-0005-0000-0000-0000486D0000}"/>
    <cellStyle name="Calc Currency (0) 15 7" xfId="9479" xr:uid="{00000000-0005-0000-0000-0000496D0000}"/>
    <cellStyle name="Calc Currency (0) 15 8" xfId="9480" xr:uid="{00000000-0005-0000-0000-00004A6D0000}"/>
    <cellStyle name="Calc Currency (0) 15 9" xfId="9481" xr:uid="{00000000-0005-0000-0000-00004B6D0000}"/>
    <cellStyle name="Calc Currency (0) 16" xfId="9482" xr:uid="{00000000-0005-0000-0000-00004C6D0000}"/>
    <cellStyle name="Calc Currency (0) 16 2" xfId="9483" xr:uid="{00000000-0005-0000-0000-00004D6D0000}"/>
    <cellStyle name="Calc Currency (0) 16 3" xfId="9484" xr:uid="{00000000-0005-0000-0000-00004E6D0000}"/>
    <cellStyle name="Calc Currency (0) 16 4" xfId="9485" xr:uid="{00000000-0005-0000-0000-00004F6D0000}"/>
    <cellStyle name="Calc Currency (0) 16 5" xfId="9486" xr:uid="{00000000-0005-0000-0000-0000506D0000}"/>
    <cellStyle name="Calc Currency (0) 16 6" xfId="9487" xr:uid="{00000000-0005-0000-0000-0000516D0000}"/>
    <cellStyle name="Calc Currency (0) 16 7" xfId="9488" xr:uid="{00000000-0005-0000-0000-0000526D0000}"/>
    <cellStyle name="Calc Currency (0) 16 8" xfId="9489" xr:uid="{00000000-0005-0000-0000-0000536D0000}"/>
    <cellStyle name="Calc Currency (0) 16 9" xfId="9490" xr:uid="{00000000-0005-0000-0000-0000546D0000}"/>
    <cellStyle name="Calc Currency (0) 17" xfId="9491" xr:uid="{00000000-0005-0000-0000-0000556D0000}"/>
    <cellStyle name="Calc Currency (0) 17 2" xfId="9492" xr:uid="{00000000-0005-0000-0000-0000566D0000}"/>
    <cellStyle name="Calc Currency (0) 17 3" xfId="9493" xr:uid="{00000000-0005-0000-0000-0000576D0000}"/>
    <cellStyle name="Calc Currency (0) 17 4" xfId="9494" xr:uid="{00000000-0005-0000-0000-0000586D0000}"/>
    <cellStyle name="Calc Currency (0) 17 5" xfId="9495" xr:uid="{00000000-0005-0000-0000-0000596D0000}"/>
    <cellStyle name="Calc Currency (0) 17 6" xfId="9496" xr:uid="{00000000-0005-0000-0000-00005A6D0000}"/>
    <cellStyle name="Calc Currency (0) 17 7" xfId="9497" xr:uid="{00000000-0005-0000-0000-00005B6D0000}"/>
    <cellStyle name="Calc Currency (0) 17 8" xfId="9498" xr:uid="{00000000-0005-0000-0000-00005C6D0000}"/>
    <cellStyle name="Calc Currency (0) 17 9" xfId="9499" xr:uid="{00000000-0005-0000-0000-00005D6D0000}"/>
    <cellStyle name="Calc Currency (0) 18" xfId="9500" xr:uid="{00000000-0005-0000-0000-00005E6D0000}"/>
    <cellStyle name="Calc Currency (0) 18 2" xfId="9501" xr:uid="{00000000-0005-0000-0000-00005F6D0000}"/>
    <cellStyle name="Calc Currency (0) 18 3" xfId="9502" xr:uid="{00000000-0005-0000-0000-0000606D0000}"/>
    <cellStyle name="Calc Currency (0) 18 4" xfId="9503" xr:uid="{00000000-0005-0000-0000-0000616D0000}"/>
    <cellStyle name="Calc Currency (0) 18 5" xfId="9504" xr:uid="{00000000-0005-0000-0000-0000626D0000}"/>
    <cellStyle name="Calc Currency (0) 18 6" xfId="9505" xr:uid="{00000000-0005-0000-0000-0000636D0000}"/>
    <cellStyle name="Calc Currency (0) 18 7" xfId="9506" xr:uid="{00000000-0005-0000-0000-0000646D0000}"/>
    <cellStyle name="Calc Currency (0) 18 8" xfId="9507" xr:uid="{00000000-0005-0000-0000-0000656D0000}"/>
    <cellStyle name="Calc Currency (0) 18 9" xfId="9508" xr:uid="{00000000-0005-0000-0000-0000666D0000}"/>
    <cellStyle name="Calc Currency (0) 19" xfId="9509" xr:uid="{00000000-0005-0000-0000-0000676D0000}"/>
    <cellStyle name="Calc Currency (0) 19 2" xfId="9510" xr:uid="{00000000-0005-0000-0000-0000686D0000}"/>
    <cellStyle name="Calc Currency (0) 19 3" xfId="9511" xr:uid="{00000000-0005-0000-0000-0000696D0000}"/>
    <cellStyle name="Calc Currency (0) 19 4" xfId="9512" xr:uid="{00000000-0005-0000-0000-00006A6D0000}"/>
    <cellStyle name="Calc Currency (0) 19 5" xfId="9513" xr:uid="{00000000-0005-0000-0000-00006B6D0000}"/>
    <cellStyle name="Calc Currency (0) 19 6" xfId="9514" xr:uid="{00000000-0005-0000-0000-00006C6D0000}"/>
    <cellStyle name="Calc Currency (0) 19 7" xfId="9515" xr:uid="{00000000-0005-0000-0000-00006D6D0000}"/>
    <cellStyle name="Calc Currency (0) 19 8" xfId="9516" xr:uid="{00000000-0005-0000-0000-00006E6D0000}"/>
    <cellStyle name="Calc Currency (0) 19 9" xfId="9517" xr:uid="{00000000-0005-0000-0000-00006F6D0000}"/>
    <cellStyle name="Calc Currency (0) 2" xfId="9518" xr:uid="{00000000-0005-0000-0000-0000706D0000}"/>
    <cellStyle name="Calc Currency (0) 2 10" xfId="9519" xr:uid="{00000000-0005-0000-0000-0000716D0000}"/>
    <cellStyle name="Calc Currency (0) 2 10 2" xfId="9520" xr:uid="{00000000-0005-0000-0000-0000726D0000}"/>
    <cellStyle name="Calc Currency (0) 2 10 3" xfId="9521" xr:uid="{00000000-0005-0000-0000-0000736D0000}"/>
    <cellStyle name="Calc Currency (0) 2 11" xfId="9522" xr:uid="{00000000-0005-0000-0000-0000746D0000}"/>
    <cellStyle name="Calc Currency (0) 2 11 2" xfId="9523" xr:uid="{00000000-0005-0000-0000-0000756D0000}"/>
    <cellStyle name="Calc Currency (0) 2 11 2 2" xfId="9524" xr:uid="{00000000-0005-0000-0000-0000766D0000}"/>
    <cellStyle name="Calc Currency (0) 2 11 2 3" xfId="9525" xr:uid="{00000000-0005-0000-0000-0000776D0000}"/>
    <cellStyle name="Calc Currency (0) 2 11 3" xfId="9526" xr:uid="{00000000-0005-0000-0000-0000786D0000}"/>
    <cellStyle name="Calc Currency (0) 2 12" xfId="9527" xr:uid="{00000000-0005-0000-0000-0000796D0000}"/>
    <cellStyle name="Calc Currency (0) 2 13" xfId="9528" xr:uid="{00000000-0005-0000-0000-00007A6D0000}"/>
    <cellStyle name="Calc Currency (0) 2 14" xfId="9529" xr:uid="{00000000-0005-0000-0000-00007B6D0000}"/>
    <cellStyle name="Calc Currency (0) 2 2" xfId="9530" xr:uid="{00000000-0005-0000-0000-00007C6D0000}"/>
    <cellStyle name="Calc Currency (0) 2 2 10" xfId="9531" xr:uid="{00000000-0005-0000-0000-00007D6D0000}"/>
    <cellStyle name="Calc Currency (0) 2 2 11" xfId="9532" xr:uid="{00000000-0005-0000-0000-00007E6D0000}"/>
    <cellStyle name="Calc Currency (0) 2 2 12" xfId="9533" xr:uid="{00000000-0005-0000-0000-00007F6D0000}"/>
    <cellStyle name="Calc Currency (0) 2 2 13" xfId="9534" xr:uid="{00000000-0005-0000-0000-0000806D0000}"/>
    <cellStyle name="Calc Currency (0) 2 2 14" xfId="9535" xr:uid="{00000000-0005-0000-0000-0000816D0000}"/>
    <cellStyle name="Calc Currency (0) 2 2 15" xfId="9536" xr:uid="{00000000-0005-0000-0000-0000826D0000}"/>
    <cellStyle name="Calc Currency (0) 2 2 16" xfId="9537" xr:uid="{00000000-0005-0000-0000-0000836D0000}"/>
    <cellStyle name="Calc Currency (0) 2 2 17" xfId="9538" xr:uid="{00000000-0005-0000-0000-0000846D0000}"/>
    <cellStyle name="Calc Currency (0) 2 2 18" xfId="9539" xr:uid="{00000000-0005-0000-0000-0000856D0000}"/>
    <cellStyle name="Calc Currency (0) 2 2 2" xfId="9540" xr:uid="{00000000-0005-0000-0000-0000866D0000}"/>
    <cellStyle name="Calc Currency (0) 2 2 2 2" xfId="9541" xr:uid="{00000000-0005-0000-0000-0000876D0000}"/>
    <cellStyle name="Calc Currency (0) 2 2 2 2 2" xfId="9542" xr:uid="{00000000-0005-0000-0000-0000886D0000}"/>
    <cellStyle name="Calc Currency (0) 2 2 2 2 3" xfId="9543" xr:uid="{00000000-0005-0000-0000-0000896D0000}"/>
    <cellStyle name="Calc Currency (0) 2 2 2 2 4" xfId="9544" xr:uid="{00000000-0005-0000-0000-00008A6D0000}"/>
    <cellStyle name="Calc Currency (0) 2 2 2 2 5" xfId="9545" xr:uid="{00000000-0005-0000-0000-00008B6D0000}"/>
    <cellStyle name="Calc Currency (0) 2 2 2 2 6" xfId="9546" xr:uid="{00000000-0005-0000-0000-00008C6D0000}"/>
    <cellStyle name="Calc Currency (0) 2 2 2 2 7" xfId="9547" xr:uid="{00000000-0005-0000-0000-00008D6D0000}"/>
    <cellStyle name="Calc Currency (0) 2 2 2 2 8" xfId="9548" xr:uid="{00000000-0005-0000-0000-00008E6D0000}"/>
    <cellStyle name="Calc Currency (0) 2 2 2 3" xfId="9549" xr:uid="{00000000-0005-0000-0000-00008F6D0000}"/>
    <cellStyle name="Calc Currency (0) 2 2 2 4" xfId="9550" xr:uid="{00000000-0005-0000-0000-0000906D0000}"/>
    <cellStyle name="Calc Currency (0) 2 2 2 5" xfId="9551" xr:uid="{00000000-0005-0000-0000-0000916D0000}"/>
    <cellStyle name="Calc Currency (0) 2 2 2 6" xfId="9552" xr:uid="{00000000-0005-0000-0000-0000926D0000}"/>
    <cellStyle name="Calc Currency (0) 2 2 2 7" xfId="9553" xr:uid="{00000000-0005-0000-0000-0000936D0000}"/>
    <cellStyle name="Calc Currency (0) 2 2 2 8" xfId="9554" xr:uid="{00000000-0005-0000-0000-0000946D0000}"/>
    <cellStyle name="Calc Currency (0) 2 2 2 9" xfId="9555" xr:uid="{00000000-0005-0000-0000-0000956D0000}"/>
    <cellStyle name="Calc Currency (0) 2 2 3" xfId="9556" xr:uid="{00000000-0005-0000-0000-0000966D0000}"/>
    <cellStyle name="Calc Currency (0) 2 2 3 2" xfId="9557" xr:uid="{00000000-0005-0000-0000-0000976D0000}"/>
    <cellStyle name="Calc Currency (0) 2 2 3 3" xfId="9558" xr:uid="{00000000-0005-0000-0000-0000986D0000}"/>
    <cellStyle name="Calc Currency (0) 2 2 3 4" xfId="9559" xr:uid="{00000000-0005-0000-0000-0000996D0000}"/>
    <cellStyle name="Calc Currency (0) 2 2 3 5" xfId="9560" xr:uid="{00000000-0005-0000-0000-00009A6D0000}"/>
    <cellStyle name="Calc Currency (0) 2 2 3 6" xfId="9561" xr:uid="{00000000-0005-0000-0000-00009B6D0000}"/>
    <cellStyle name="Calc Currency (0) 2 2 3 7" xfId="9562" xr:uid="{00000000-0005-0000-0000-00009C6D0000}"/>
    <cellStyle name="Calc Currency (0) 2 2 3 8" xfId="9563" xr:uid="{00000000-0005-0000-0000-00009D6D0000}"/>
    <cellStyle name="Calc Currency (0) 2 2 3 9" xfId="9564" xr:uid="{00000000-0005-0000-0000-00009E6D0000}"/>
    <cellStyle name="Calc Currency (0) 2 2 4" xfId="9565" xr:uid="{00000000-0005-0000-0000-00009F6D0000}"/>
    <cellStyle name="Calc Currency (0) 2 2 5" xfId="9566" xr:uid="{00000000-0005-0000-0000-0000A06D0000}"/>
    <cellStyle name="Calc Currency (0) 2 2 6" xfId="9567" xr:uid="{00000000-0005-0000-0000-0000A16D0000}"/>
    <cellStyle name="Calc Currency (0) 2 2 7" xfId="9568" xr:uid="{00000000-0005-0000-0000-0000A26D0000}"/>
    <cellStyle name="Calc Currency (0) 2 2 8" xfId="9569" xr:uid="{00000000-0005-0000-0000-0000A36D0000}"/>
    <cellStyle name="Calc Currency (0) 2 2 9" xfId="9570" xr:uid="{00000000-0005-0000-0000-0000A46D0000}"/>
    <cellStyle name="Calc Currency (0) 2 3" xfId="9571" xr:uid="{00000000-0005-0000-0000-0000A56D0000}"/>
    <cellStyle name="Calc Currency (0) 2 3 10" xfId="9572" xr:uid="{00000000-0005-0000-0000-0000A66D0000}"/>
    <cellStyle name="Calc Currency (0) 2 3 11" xfId="9573" xr:uid="{00000000-0005-0000-0000-0000A76D0000}"/>
    <cellStyle name="Calc Currency (0) 2 3 12" xfId="9574" xr:uid="{00000000-0005-0000-0000-0000A86D0000}"/>
    <cellStyle name="Calc Currency (0) 2 3 13" xfId="9575" xr:uid="{00000000-0005-0000-0000-0000A96D0000}"/>
    <cellStyle name="Calc Currency (0) 2 3 14" xfId="9576" xr:uid="{00000000-0005-0000-0000-0000AA6D0000}"/>
    <cellStyle name="Calc Currency (0) 2 3 15" xfId="9577" xr:uid="{00000000-0005-0000-0000-0000AB6D0000}"/>
    <cellStyle name="Calc Currency (0) 2 3 16" xfId="9578" xr:uid="{00000000-0005-0000-0000-0000AC6D0000}"/>
    <cellStyle name="Calc Currency (0) 2 3 2" xfId="9579" xr:uid="{00000000-0005-0000-0000-0000AD6D0000}"/>
    <cellStyle name="Calc Currency (0) 2 3 2 2" xfId="9580" xr:uid="{00000000-0005-0000-0000-0000AE6D0000}"/>
    <cellStyle name="Calc Currency (0) 2 3 2 2 2" xfId="9581" xr:uid="{00000000-0005-0000-0000-0000AF6D0000}"/>
    <cellStyle name="Calc Currency (0) 2 3 2 2 2 2" xfId="9582" xr:uid="{00000000-0005-0000-0000-0000B06D0000}"/>
    <cellStyle name="Calc Currency (0) 2 3 2 2 2 2 2" xfId="9583" xr:uid="{00000000-0005-0000-0000-0000B16D0000}"/>
    <cellStyle name="Calc Currency (0) 2 3 2 2 2 2 3" xfId="9584" xr:uid="{00000000-0005-0000-0000-0000B26D0000}"/>
    <cellStyle name="Calc Currency (0) 2 3 2 2 2 2 4" xfId="9585" xr:uid="{00000000-0005-0000-0000-0000B36D0000}"/>
    <cellStyle name="Calc Currency (0) 2 3 2 2 2 2 5" xfId="9586" xr:uid="{00000000-0005-0000-0000-0000B46D0000}"/>
    <cellStyle name="Calc Currency (0) 2 3 2 2 2 2 6" xfId="9587" xr:uid="{00000000-0005-0000-0000-0000B56D0000}"/>
    <cellStyle name="Calc Currency (0) 2 3 2 2 2 2 7" xfId="9588" xr:uid="{00000000-0005-0000-0000-0000B66D0000}"/>
    <cellStyle name="Calc Currency (0) 2 3 2 2 2 2 8" xfId="9589" xr:uid="{00000000-0005-0000-0000-0000B76D0000}"/>
    <cellStyle name="Calc Currency (0) 2 3 2 2 2 3" xfId="9590" xr:uid="{00000000-0005-0000-0000-0000B86D0000}"/>
    <cellStyle name="Calc Currency (0) 2 3 2 2 2 4" xfId="9591" xr:uid="{00000000-0005-0000-0000-0000B96D0000}"/>
    <cellStyle name="Calc Currency (0) 2 3 2 2 2 5" xfId="9592" xr:uid="{00000000-0005-0000-0000-0000BA6D0000}"/>
    <cellStyle name="Calc Currency (0) 2 3 2 2 2 6" xfId="9593" xr:uid="{00000000-0005-0000-0000-0000BB6D0000}"/>
    <cellStyle name="Calc Currency (0) 2 3 2 2 2 7" xfId="9594" xr:uid="{00000000-0005-0000-0000-0000BC6D0000}"/>
    <cellStyle name="Calc Currency (0) 2 3 2 2 2 8" xfId="9595" xr:uid="{00000000-0005-0000-0000-0000BD6D0000}"/>
    <cellStyle name="Calc Currency (0) 2 3 2 2 2 9" xfId="9596" xr:uid="{00000000-0005-0000-0000-0000BE6D0000}"/>
    <cellStyle name="Calc Currency (0) 2 3 2 2 3" xfId="9597" xr:uid="{00000000-0005-0000-0000-0000BF6D0000}"/>
    <cellStyle name="Calc Currency (0) 2 3 2 2 4" xfId="9598" xr:uid="{00000000-0005-0000-0000-0000C06D0000}"/>
    <cellStyle name="Calc Currency (0) 2 3 2 2 5" xfId="9599" xr:uid="{00000000-0005-0000-0000-0000C16D0000}"/>
    <cellStyle name="Calc Currency (0) 2 3 2 2 6" xfId="9600" xr:uid="{00000000-0005-0000-0000-0000C26D0000}"/>
    <cellStyle name="Calc Currency (0) 2 3 2 2 7" xfId="9601" xr:uid="{00000000-0005-0000-0000-0000C36D0000}"/>
    <cellStyle name="Calc Currency (0) 2 3 2 2 8" xfId="9602" xr:uid="{00000000-0005-0000-0000-0000C46D0000}"/>
    <cellStyle name="Calc Currency (0) 2 3 2 2 9" xfId="9603" xr:uid="{00000000-0005-0000-0000-0000C56D0000}"/>
    <cellStyle name="Calc Currency (0) 2 3 2 3" xfId="9604" xr:uid="{00000000-0005-0000-0000-0000C66D0000}"/>
    <cellStyle name="Calc Currency (0) 2 3 2 4" xfId="9605" xr:uid="{00000000-0005-0000-0000-0000C76D0000}"/>
    <cellStyle name="Calc Currency (0) 2 3 2 5" xfId="9606" xr:uid="{00000000-0005-0000-0000-0000C86D0000}"/>
    <cellStyle name="Calc Currency (0) 2 3 2 6" xfId="9607" xr:uid="{00000000-0005-0000-0000-0000C96D0000}"/>
    <cellStyle name="Calc Currency (0) 2 3 2 7" xfId="9608" xr:uid="{00000000-0005-0000-0000-0000CA6D0000}"/>
    <cellStyle name="Calc Currency (0) 2 3 2 8" xfId="9609" xr:uid="{00000000-0005-0000-0000-0000CB6D0000}"/>
    <cellStyle name="Calc Currency (0) 2 3 2 9" xfId="9610" xr:uid="{00000000-0005-0000-0000-0000CC6D0000}"/>
    <cellStyle name="Calc Currency (0) 2 3 3" xfId="9611" xr:uid="{00000000-0005-0000-0000-0000CD6D0000}"/>
    <cellStyle name="Calc Currency (0) 2 3 3 2" xfId="9612" xr:uid="{00000000-0005-0000-0000-0000CE6D0000}"/>
    <cellStyle name="Calc Currency (0) 2 3 3 3" xfId="9613" xr:uid="{00000000-0005-0000-0000-0000CF6D0000}"/>
    <cellStyle name="Calc Currency (0) 2 3 3 4" xfId="9614" xr:uid="{00000000-0005-0000-0000-0000D06D0000}"/>
    <cellStyle name="Calc Currency (0) 2 3 3 5" xfId="9615" xr:uid="{00000000-0005-0000-0000-0000D16D0000}"/>
    <cellStyle name="Calc Currency (0) 2 3 3 6" xfId="9616" xr:uid="{00000000-0005-0000-0000-0000D26D0000}"/>
    <cellStyle name="Calc Currency (0) 2 3 3 7" xfId="9617" xr:uid="{00000000-0005-0000-0000-0000D36D0000}"/>
    <cellStyle name="Calc Currency (0) 2 3 3 8" xfId="9618" xr:uid="{00000000-0005-0000-0000-0000D46D0000}"/>
    <cellStyle name="Calc Currency (0) 2 3 4" xfId="9619" xr:uid="{00000000-0005-0000-0000-0000D56D0000}"/>
    <cellStyle name="Calc Currency (0) 2 3 4 2" xfId="9620" xr:uid="{00000000-0005-0000-0000-0000D66D0000}"/>
    <cellStyle name="Calc Currency (0) 2 3 4 3" xfId="9621" xr:uid="{00000000-0005-0000-0000-0000D76D0000}"/>
    <cellStyle name="Calc Currency (0) 2 3 4 4" xfId="9622" xr:uid="{00000000-0005-0000-0000-0000D86D0000}"/>
    <cellStyle name="Calc Currency (0) 2 3 4 5" xfId="9623" xr:uid="{00000000-0005-0000-0000-0000D96D0000}"/>
    <cellStyle name="Calc Currency (0) 2 3 4 6" xfId="9624" xr:uid="{00000000-0005-0000-0000-0000DA6D0000}"/>
    <cellStyle name="Calc Currency (0) 2 3 4 7" xfId="9625" xr:uid="{00000000-0005-0000-0000-0000DB6D0000}"/>
    <cellStyle name="Calc Currency (0) 2 3 4 8" xfId="9626" xr:uid="{00000000-0005-0000-0000-0000DC6D0000}"/>
    <cellStyle name="Calc Currency (0) 2 3 5" xfId="9627" xr:uid="{00000000-0005-0000-0000-0000DD6D0000}"/>
    <cellStyle name="Calc Currency (0) 2 3 5 2" xfId="9628" xr:uid="{00000000-0005-0000-0000-0000DE6D0000}"/>
    <cellStyle name="Calc Currency (0) 2 3 5 3" xfId="9629" xr:uid="{00000000-0005-0000-0000-0000DF6D0000}"/>
    <cellStyle name="Calc Currency (0) 2 3 5 4" xfId="9630" xr:uid="{00000000-0005-0000-0000-0000E06D0000}"/>
    <cellStyle name="Calc Currency (0) 2 3 5 5" xfId="9631" xr:uid="{00000000-0005-0000-0000-0000E16D0000}"/>
    <cellStyle name="Calc Currency (0) 2 3 5 6" xfId="9632" xr:uid="{00000000-0005-0000-0000-0000E26D0000}"/>
    <cellStyle name="Calc Currency (0) 2 3 5 7" xfId="9633" xr:uid="{00000000-0005-0000-0000-0000E36D0000}"/>
    <cellStyle name="Calc Currency (0) 2 3 5 8" xfId="9634" xr:uid="{00000000-0005-0000-0000-0000E46D0000}"/>
    <cellStyle name="Calc Currency (0) 2 3 6" xfId="9635" xr:uid="{00000000-0005-0000-0000-0000E56D0000}"/>
    <cellStyle name="Calc Currency (0) 2 3 6 2" xfId="9636" xr:uid="{00000000-0005-0000-0000-0000E66D0000}"/>
    <cellStyle name="Calc Currency (0) 2 3 6 3" xfId="9637" xr:uid="{00000000-0005-0000-0000-0000E76D0000}"/>
    <cellStyle name="Calc Currency (0) 2 3 6 4" xfId="9638" xr:uid="{00000000-0005-0000-0000-0000E86D0000}"/>
    <cellStyle name="Calc Currency (0) 2 3 6 5" xfId="9639" xr:uid="{00000000-0005-0000-0000-0000E96D0000}"/>
    <cellStyle name="Calc Currency (0) 2 3 6 6" xfId="9640" xr:uid="{00000000-0005-0000-0000-0000EA6D0000}"/>
    <cellStyle name="Calc Currency (0) 2 3 6 7" xfId="9641" xr:uid="{00000000-0005-0000-0000-0000EB6D0000}"/>
    <cellStyle name="Calc Currency (0) 2 3 6 8" xfId="9642" xr:uid="{00000000-0005-0000-0000-0000EC6D0000}"/>
    <cellStyle name="Calc Currency (0) 2 3 7" xfId="9643" xr:uid="{00000000-0005-0000-0000-0000ED6D0000}"/>
    <cellStyle name="Calc Currency (0) 2 3 8" xfId="9644" xr:uid="{00000000-0005-0000-0000-0000EE6D0000}"/>
    <cellStyle name="Calc Currency (0) 2 3 9" xfId="9645" xr:uid="{00000000-0005-0000-0000-0000EF6D0000}"/>
    <cellStyle name="Calc Currency (0) 2 4" xfId="9646" xr:uid="{00000000-0005-0000-0000-0000F06D0000}"/>
    <cellStyle name="Calc Currency (0) 2 4 2" xfId="9647" xr:uid="{00000000-0005-0000-0000-0000F16D0000}"/>
    <cellStyle name="Calc Currency (0) 2 4 3" xfId="9648" xr:uid="{00000000-0005-0000-0000-0000F26D0000}"/>
    <cellStyle name="Calc Currency (0) 2 5" xfId="9649" xr:uid="{00000000-0005-0000-0000-0000F36D0000}"/>
    <cellStyle name="Calc Currency (0) 2 5 2" xfId="9650" xr:uid="{00000000-0005-0000-0000-0000F46D0000}"/>
    <cellStyle name="Calc Currency (0) 2 5 3" xfId="9651" xr:uid="{00000000-0005-0000-0000-0000F56D0000}"/>
    <cellStyle name="Calc Currency (0) 2 6" xfId="9652" xr:uid="{00000000-0005-0000-0000-0000F66D0000}"/>
    <cellStyle name="Calc Currency (0) 2 6 2" xfId="9653" xr:uid="{00000000-0005-0000-0000-0000F76D0000}"/>
    <cellStyle name="Calc Currency (0) 2 6 3" xfId="9654" xr:uid="{00000000-0005-0000-0000-0000F86D0000}"/>
    <cellStyle name="Calc Currency (0) 2 7" xfId="9655" xr:uid="{00000000-0005-0000-0000-0000F96D0000}"/>
    <cellStyle name="Calc Currency (0) 2 7 2" xfId="9656" xr:uid="{00000000-0005-0000-0000-0000FA6D0000}"/>
    <cellStyle name="Calc Currency (0) 2 7 3" xfId="9657" xr:uid="{00000000-0005-0000-0000-0000FB6D0000}"/>
    <cellStyle name="Calc Currency (0) 2 8" xfId="9658" xr:uid="{00000000-0005-0000-0000-0000FC6D0000}"/>
    <cellStyle name="Calc Currency (0) 2 8 2" xfId="9659" xr:uid="{00000000-0005-0000-0000-0000FD6D0000}"/>
    <cellStyle name="Calc Currency (0) 2 8 3" xfId="9660" xr:uid="{00000000-0005-0000-0000-0000FE6D0000}"/>
    <cellStyle name="Calc Currency (0) 2 9" xfId="9661" xr:uid="{00000000-0005-0000-0000-0000FF6D0000}"/>
    <cellStyle name="Calc Currency (0) 2 9 2" xfId="9662" xr:uid="{00000000-0005-0000-0000-0000006E0000}"/>
    <cellStyle name="Calc Currency (0) 2 9 3" xfId="9663" xr:uid="{00000000-0005-0000-0000-0000016E0000}"/>
    <cellStyle name="Calc Currency (0) 2_You Plus DCF Workpapers" xfId="9664" xr:uid="{00000000-0005-0000-0000-0000026E0000}"/>
    <cellStyle name="Calc Currency (0) 20" xfId="9665" xr:uid="{00000000-0005-0000-0000-0000036E0000}"/>
    <cellStyle name="Calc Currency (0) 20 2" xfId="9666" xr:uid="{00000000-0005-0000-0000-0000046E0000}"/>
    <cellStyle name="Calc Currency (0) 20 3" xfId="9667" xr:uid="{00000000-0005-0000-0000-0000056E0000}"/>
    <cellStyle name="Calc Currency (0) 20 4" xfId="9668" xr:uid="{00000000-0005-0000-0000-0000066E0000}"/>
    <cellStyle name="Calc Currency (0) 20 5" xfId="9669" xr:uid="{00000000-0005-0000-0000-0000076E0000}"/>
    <cellStyle name="Calc Currency (0) 20 6" xfId="9670" xr:uid="{00000000-0005-0000-0000-0000086E0000}"/>
    <cellStyle name="Calc Currency (0) 20 7" xfId="9671" xr:uid="{00000000-0005-0000-0000-0000096E0000}"/>
    <cellStyle name="Calc Currency (0) 20 8" xfId="9672" xr:uid="{00000000-0005-0000-0000-00000A6E0000}"/>
    <cellStyle name="Calc Currency (0) 20 9" xfId="9673" xr:uid="{00000000-0005-0000-0000-00000B6E0000}"/>
    <cellStyle name="Calc Currency (0) 21" xfId="9674" xr:uid="{00000000-0005-0000-0000-00000C6E0000}"/>
    <cellStyle name="Calc Currency (0) 21 2" xfId="9675" xr:uid="{00000000-0005-0000-0000-00000D6E0000}"/>
    <cellStyle name="Calc Currency (0) 21 3" xfId="9676" xr:uid="{00000000-0005-0000-0000-00000E6E0000}"/>
    <cellStyle name="Calc Currency (0) 21 4" xfId="9677" xr:uid="{00000000-0005-0000-0000-00000F6E0000}"/>
    <cellStyle name="Calc Currency (0) 21 5" xfId="9678" xr:uid="{00000000-0005-0000-0000-0000106E0000}"/>
    <cellStyle name="Calc Currency (0) 21 6" xfId="9679" xr:uid="{00000000-0005-0000-0000-0000116E0000}"/>
    <cellStyle name="Calc Currency (0) 21 7" xfId="9680" xr:uid="{00000000-0005-0000-0000-0000126E0000}"/>
    <cellStyle name="Calc Currency (0) 21 8" xfId="9681" xr:uid="{00000000-0005-0000-0000-0000136E0000}"/>
    <cellStyle name="Calc Currency (0) 21 9" xfId="9682" xr:uid="{00000000-0005-0000-0000-0000146E0000}"/>
    <cellStyle name="Calc Currency (0) 22" xfId="9683" xr:uid="{00000000-0005-0000-0000-0000156E0000}"/>
    <cellStyle name="Calc Currency (0) 22 2" xfId="9684" xr:uid="{00000000-0005-0000-0000-0000166E0000}"/>
    <cellStyle name="Calc Currency (0) 22 3" xfId="9685" xr:uid="{00000000-0005-0000-0000-0000176E0000}"/>
    <cellStyle name="Calc Currency (0) 22 4" xfId="9686" xr:uid="{00000000-0005-0000-0000-0000186E0000}"/>
    <cellStyle name="Calc Currency (0) 22 5" xfId="9687" xr:uid="{00000000-0005-0000-0000-0000196E0000}"/>
    <cellStyle name="Calc Currency (0) 22 6" xfId="9688" xr:uid="{00000000-0005-0000-0000-00001A6E0000}"/>
    <cellStyle name="Calc Currency (0) 22 7" xfId="9689" xr:uid="{00000000-0005-0000-0000-00001B6E0000}"/>
    <cellStyle name="Calc Currency (0) 22 8" xfId="9690" xr:uid="{00000000-0005-0000-0000-00001C6E0000}"/>
    <cellStyle name="Calc Currency (0) 22 9" xfId="9691" xr:uid="{00000000-0005-0000-0000-00001D6E0000}"/>
    <cellStyle name="Calc Currency (0) 23" xfId="9692" xr:uid="{00000000-0005-0000-0000-00001E6E0000}"/>
    <cellStyle name="Calc Currency (0) 24" xfId="9693" xr:uid="{00000000-0005-0000-0000-00001F6E0000}"/>
    <cellStyle name="Calc Currency (0) 25" xfId="9694" xr:uid="{00000000-0005-0000-0000-0000206E0000}"/>
    <cellStyle name="Calc Currency (0) 26" xfId="9695" xr:uid="{00000000-0005-0000-0000-0000216E0000}"/>
    <cellStyle name="Calc Currency (0) 27" xfId="9696" xr:uid="{00000000-0005-0000-0000-0000226E0000}"/>
    <cellStyle name="Calc Currency (0) 28" xfId="9697" xr:uid="{00000000-0005-0000-0000-0000236E0000}"/>
    <cellStyle name="Calc Currency (0) 29" xfId="9698" xr:uid="{00000000-0005-0000-0000-0000246E0000}"/>
    <cellStyle name="Calc Currency (0) 3" xfId="9699" xr:uid="{00000000-0005-0000-0000-0000256E0000}"/>
    <cellStyle name="Calc Currency (0) 3 10" xfId="9700" xr:uid="{00000000-0005-0000-0000-0000266E0000}"/>
    <cellStyle name="Calc Currency (0) 3 11" xfId="9701" xr:uid="{00000000-0005-0000-0000-0000276E0000}"/>
    <cellStyle name="Calc Currency (0) 3 2" xfId="9702" xr:uid="{00000000-0005-0000-0000-0000286E0000}"/>
    <cellStyle name="Calc Currency (0) 3 2 10" xfId="9703" xr:uid="{00000000-0005-0000-0000-0000296E0000}"/>
    <cellStyle name="Calc Currency (0) 3 2 11" xfId="9704" xr:uid="{00000000-0005-0000-0000-00002A6E0000}"/>
    <cellStyle name="Calc Currency (0) 3 2 12" xfId="9705" xr:uid="{00000000-0005-0000-0000-00002B6E0000}"/>
    <cellStyle name="Calc Currency (0) 3 2 13" xfId="9706" xr:uid="{00000000-0005-0000-0000-00002C6E0000}"/>
    <cellStyle name="Calc Currency (0) 3 2 14" xfId="9707" xr:uid="{00000000-0005-0000-0000-00002D6E0000}"/>
    <cellStyle name="Calc Currency (0) 3 2 15" xfId="9708" xr:uid="{00000000-0005-0000-0000-00002E6E0000}"/>
    <cellStyle name="Calc Currency (0) 3 2 16" xfId="9709" xr:uid="{00000000-0005-0000-0000-00002F6E0000}"/>
    <cellStyle name="Calc Currency (0) 3 2 2" xfId="9710" xr:uid="{00000000-0005-0000-0000-0000306E0000}"/>
    <cellStyle name="Calc Currency (0) 3 2 2 2" xfId="9711" xr:uid="{00000000-0005-0000-0000-0000316E0000}"/>
    <cellStyle name="Calc Currency (0) 3 2 2 3" xfId="9712" xr:uid="{00000000-0005-0000-0000-0000326E0000}"/>
    <cellStyle name="Calc Currency (0) 3 2 3" xfId="9713" xr:uid="{00000000-0005-0000-0000-0000336E0000}"/>
    <cellStyle name="Calc Currency (0) 3 2 3 2" xfId="9714" xr:uid="{00000000-0005-0000-0000-0000346E0000}"/>
    <cellStyle name="Calc Currency (0) 3 2 3 3" xfId="9715" xr:uid="{00000000-0005-0000-0000-0000356E0000}"/>
    <cellStyle name="Calc Currency (0) 3 2 3 4" xfId="9716" xr:uid="{00000000-0005-0000-0000-0000366E0000}"/>
    <cellStyle name="Calc Currency (0) 3 2 3 5" xfId="9717" xr:uid="{00000000-0005-0000-0000-0000376E0000}"/>
    <cellStyle name="Calc Currency (0) 3 2 3 6" xfId="9718" xr:uid="{00000000-0005-0000-0000-0000386E0000}"/>
    <cellStyle name="Calc Currency (0) 3 2 3 7" xfId="9719" xr:uid="{00000000-0005-0000-0000-0000396E0000}"/>
    <cellStyle name="Calc Currency (0) 3 2 3 8" xfId="9720" xr:uid="{00000000-0005-0000-0000-00003A6E0000}"/>
    <cellStyle name="Calc Currency (0) 3 2 4" xfId="9721" xr:uid="{00000000-0005-0000-0000-00003B6E0000}"/>
    <cellStyle name="Calc Currency (0) 3 2 5" xfId="9722" xr:uid="{00000000-0005-0000-0000-00003C6E0000}"/>
    <cellStyle name="Calc Currency (0) 3 2 6" xfId="9723" xr:uid="{00000000-0005-0000-0000-00003D6E0000}"/>
    <cellStyle name="Calc Currency (0) 3 2 7" xfId="9724" xr:uid="{00000000-0005-0000-0000-00003E6E0000}"/>
    <cellStyle name="Calc Currency (0) 3 2 8" xfId="9725" xr:uid="{00000000-0005-0000-0000-00003F6E0000}"/>
    <cellStyle name="Calc Currency (0) 3 2 9" xfId="9726" xr:uid="{00000000-0005-0000-0000-0000406E0000}"/>
    <cellStyle name="Calc Currency (0) 3 3" xfId="9727" xr:uid="{00000000-0005-0000-0000-0000416E0000}"/>
    <cellStyle name="Calc Currency (0) 3 3 2" xfId="9728" xr:uid="{00000000-0005-0000-0000-0000426E0000}"/>
    <cellStyle name="Calc Currency (0) 3 3 2 2" xfId="9729" xr:uid="{00000000-0005-0000-0000-0000436E0000}"/>
    <cellStyle name="Calc Currency (0) 3 3 2 2 2" xfId="9730" xr:uid="{00000000-0005-0000-0000-0000446E0000}"/>
    <cellStyle name="Calc Currency (0) 3 3 2 2 2 2" xfId="9731" xr:uid="{00000000-0005-0000-0000-0000456E0000}"/>
    <cellStyle name="Calc Currency (0) 3 3 2 2 2 3" xfId="9732" xr:uid="{00000000-0005-0000-0000-0000466E0000}"/>
    <cellStyle name="Calc Currency (0) 3 3 2 2 2 4" xfId="9733" xr:uid="{00000000-0005-0000-0000-0000476E0000}"/>
    <cellStyle name="Calc Currency (0) 3 3 2 2 2 5" xfId="9734" xr:uid="{00000000-0005-0000-0000-0000486E0000}"/>
    <cellStyle name="Calc Currency (0) 3 3 2 2 2 6" xfId="9735" xr:uid="{00000000-0005-0000-0000-0000496E0000}"/>
    <cellStyle name="Calc Currency (0) 3 3 2 2 2 7" xfId="9736" xr:uid="{00000000-0005-0000-0000-00004A6E0000}"/>
    <cellStyle name="Calc Currency (0) 3 3 2 2 2 8" xfId="9737" xr:uid="{00000000-0005-0000-0000-00004B6E0000}"/>
    <cellStyle name="Calc Currency (0) 3 3 2 2 3" xfId="9738" xr:uid="{00000000-0005-0000-0000-00004C6E0000}"/>
    <cellStyle name="Calc Currency (0) 3 3 2 2 4" xfId="9739" xr:uid="{00000000-0005-0000-0000-00004D6E0000}"/>
    <cellStyle name="Calc Currency (0) 3 3 2 2 5" xfId="9740" xr:uid="{00000000-0005-0000-0000-00004E6E0000}"/>
    <cellStyle name="Calc Currency (0) 3 3 2 2 6" xfId="9741" xr:uid="{00000000-0005-0000-0000-00004F6E0000}"/>
    <cellStyle name="Calc Currency (0) 3 3 2 2 7" xfId="9742" xr:uid="{00000000-0005-0000-0000-0000506E0000}"/>
    <cellStyle name="Calc Currency (0) 3 3 2 2 8" xfId="9743" xr:uid="{00000000-0005-0000-0000-0000516E0000}"/>
    <cellStyle name="Calc Currency (0) 3 3 2 2 9" xfId="9744" xr:uid="{00000000-0005-0000-0000-0000526E0000}"/>
    <cellStyle name="Calc Currency (0) 3 3 2 3" xfId="9745" xr:uid="{00000000-0005-0000-0000-0000536E0000}"/>
    <cellStyle name="Calc Currency (0) 3 3 2 4" xfId="9746" xr:uid="{00000000-0005-0000-0000-0000546E0000}"/>
    <cellStyle name="Calc Currency (0) 3 3 2 5" xfId="9747" xr:uid="{00000000-0005-0000-0000-0000556E0000}"/>
    <cellStyle name="Calc Currency (0) 3 3 2 6" xfId="9748" xr:uid="{00000000-0005-0000-0000-0000566E0000}"/>
    <cellStyle name="Calc Currency (0) 3 3 2 7" xfId="9749" xr:uid="{00000000-0005-0000-0000-0000576E0000}"/>
    <cellStyle name="Calc Currency (0) 3 3 2 8" xfId="9750" xr:uid="{00000000-0005-0000-0000-0000586E0000}"/>
    <cellStyle name="Calc Currency (0) 3 3 2 9" xfId="9751" xr:uid="{00000000-0005-0000-0000-0000596E0000}"/>
    <cellStyle name="Calc Currency (0) 3 3 3" xfId="9752" xr:uid="{00000000-0005-0000-0000-00005A6E0000}"/>
    <cellStyle name="Calc Currency (0) 3 3 3 2" xfId="9753" xr:uid="{00000000-0005-0000-0000-00005B6E0000}"/>
    <cellStyle name="Calc Currency (0) 3 3 3 3" xfId="9754" xr:uid="{00000000-0005-0000-0000-00005C6E0000}"/>
    <cellStyle name="Calc Currency (0) 3 3 3 4" xfId="9755" xr:uid="{00000000-0005-0000-0000-00005D6E0000}"/>
    <cellStyle name="Calc Currency (0) 3 3 3 5" xfId="9756" xr:uid="{00000000-0005-0000-0000-00005E6E0000}"/>
    <cellStyle name="Calc Currency (0) 3 3 3 6" xfId="9757" xr:uid="{00000000-0005-0000-0000-00005F6E0000}"/>
    <cellStyle name="Calc Currency (0) 3 3 3 7" xfId="9758" xr:uid="{00000000-0005-0000-0000-0000606E0000}"/>
    <cellStyle name="Calc Currency (0) 3 3 3 8" xfId="9759" xr:uid="{00000000-0005-0000-0000-0000616E0000}"/>
    <cellStyle name="Calc Currency (0) 3 3 4" xfId="9760" xr:uid="{00000000-0005-0000-0000-0000626E0000}"/>
    <cellStyle name="Calc Currency (0) 3 3 5" xfId="9761" xr:uid="{00000000-0005-0000-0000-0000636E0000}"/>
    <cellStyle name="Calc Currency (0) 3 3 6" xfId="9762" xr:uid="{00000000-0005-0000-0000-0000646E0000}"/>
    <cellStyle name="Calc Currency (0) 3 3 7" xfId="9763" xr:uid="{00000000-0005-0000-0000-0000656E0000}"/>
    <cellStyle name="Calc Currency (0) 3 3 8" xfId="9764" xr:uid="{00000000-0005-0000-0000-0000666E0000}"/>
    <cellStyle name="Calc Currency (0) 3 3 9" xfId="9765" xr:uid="{00000000-0005-0000-0000-0000676E0000}"/>
    <cellStyle name="Calc Currency (0) 3 4" xfId="9766" xr:uid="{00000000-0005-0000-0000-0000686E0000}"/>
    <cellStyle name="Calc Currency (0) 3 4 2" xfId="9767" xr:uid="{00000000-0005-0000-0000-0000696E0000}"/>
    <cellStyle name="Calc Currency (0) 3 4 3" xfId="9768" xr:uid="{00000000-0005-0000-0000-00006A6E0000}"/>
    <cellStyle name="Calc Currency (0) 3 4 4" xfId="9769" xr:uid="{00000000-0005-0000-0000-00006B6E0000}"/>
    <cellStyle name="Calc Currency (0) 3 4 5" xfId="9770" xr:uid="{00000000-0005-0000-0000-00006C6E0000}"/>
    <cellStyle name="Calc Currency (0) 3 4 6" xfId="9771" xr:uid="{00000000-0005-0000-0000-00006D6E0000}"/>
    <cellStyle name="Calc Currency (0) 3 4 7" xfId="9772" xr:uid="{00000000-0005-0000-0000-00006E6E0000}"/>
    <cellStyle name="Calc Currency (0) 3 4 8" xfId="9773" xr:uid="{00000000-0005-0000-0000-00006F6E0000}"/>
    <cellStyle name="Calc Currency (0) 3 5" xfId="9774" xr:uid="{00000000-0005-0000-0000-0000706E0000}"/>
    <cellStyle name="Calc Currency (0) 3 6" xfId="9775" xr:uid="{00000000-0005-0000-0000-0000716E0000}"/>
    <cellStyle name="Calc Currency (0) 3 7" xfId="9776" xr:uid="{00000000-0005-0000-0000-0000726E0000}"/>
    <cellStyle name="Calc Currency (0) 3 8" xfId="9777" xr:uid="{00000000-0005-0000-0000-0000736E0000}"/>
    <cellStyle name="Calc Currency (0) 3 9" xfId="9778" xr:uid="{00000000-0005-0000-0000-0000746E0000}"/>
    <cellStyle name="Calc Currency (0) 30" xfId="9779" xr:uid="{00000000-0005-0000-0000-0000756E0000}"/>
    <cellStyle name="Calc Currency (0) 31" xfId="9780" xr:uid="{00000000-0005-0000-0000-0000766E0000}"/>
    <cellStyle name="Calc Currency (0) 32" xfId="9781" xr:uid="{00000000-0005-0000-0000-0000776E0000}"/>
    <cellStyle name="Calc Currency (0) 33" xfId="9782" xr:uid="{00000000-0005-0000-0000-0000786E0000}"/>
    <cellStyle name="Calc Currency (0) 34" xfId="9783" xr:uid="{00000000-0005-0000-0000-0000796E0000}"/>
    <cellStyle name="Calc Currency (0) 35" xfId="9784" xr:uid="{00000000-0005-0000-0000-00007A6E0000}"/>
    <cellStyle name="Calc Currency (0) 36" xfId="9785" xr:uid="{00000000-0005-0000-0000-00007B6E0000}"/>
    <cellStyle name="Calc Currency (0) 4" xfId="9786" xr:uid="{00000000-0005-0000-0000-00007C6E0000}"/>
    <cellStyle name="Calc Currency (0) 4 10" xfId="9787" xr:uid="{00000000-0005-0000-0000-00007D6E0000}"/>
    <cellStyle name="Calc Currency (0) 4 11" xfId="9788" xr:uid="{00000000-0005-0000-0000-00007E6E0000}"/>
    <cellStyle name="Calc Currency (0) 4 2" xfId="9789" xr:uid="{00000000-0005-0000-0000-00007F6E0000}"/>
    <cellStyle name="Calc Currency (0) 4 2 2" xfId="9790" xr:uid="{00000000-0005-0000-0000-0000806E0000}"/>
    <cellStyle name="Calc Currency (0) 4 2 3" xfId="9791" xr:uid="{00000000-0005-0000-0000-0000816E0000}"/>
    <cellStyle name="Calc Currency (0) 4 2 4" xfId="9792" xr:uid="{00000000-0005-0000-0000-0000826E0000}"/>
    <cellStyle name="Calc Currency (0) 4 2 5" xfId="9793" xr:uid="{00000000-0005-0000-0000-0000836E0000}"/>
    <cellStyle name="Calc Currency (0) 4 2 6" xfId="9794" xr:uid="{00000000-0005-0000-0000-0000846E0000}"/>
    <cellStyle name="Calc Currency (0) 4 2 7" xfId="9795" xr:uid="{00000000-0005-0000-0000-0000856E0000}"/>
    <cellStyle name="Calc Currency (0) 4 2 8" xfId="9796" xr:uid="{00000000-0005-0000-0000-0000866E0000}"/>
    <cellStyle name="Calc Currency (0) 4 2 9" xfId="9797" xr:uid="{00000000-0005-0000-0000-0000876E0000}"/>
    <cellStyle name="Calc Currency (0) 4 3" xfId="9798" xr:uid="{00000000-0005-0000-0000-0000886E0000}"/>
    <cellStyle name="Calc Currency (0) 4 3 2" xfId="9799" xr:uid="{00000000-0005-0000-0000-0000896E0000}"/>
    <cellStyle name="Calc Currency (0) 4 3 3" xfId="9800" xr:uid="{00000000-0005-0000-0000-00008A6E0000}"/>
    <cellStyle name="Calc Currency (0) 4 3 4" xfId="9801" xr:uid="{00000000-0005-0000-0000-00008B6E0000}"/>
    <cellStyle name="Calc Currency (0) 4 3 5" xfId="9802" xr:uid="{00000000-0005-0000-0000-00008C6E0000}"/>
    <cellStyle name="Calc Currency (0) 4 3 6" xfId="9803" xr:uid="{00000000-0005-0000-0000-00008D6E0000}"/>
    <cellStyle name="Calc Currency (0) 4 3 7" xfId="9804" xr:uid="{00000000-0005-0000-0000-00008E6E0000}"/>
    <cellStyle name="Calc Currency (0) 4 3 8" xfId="9805" xr:uid="{00000000-0005-0000-0000-00008F6E0000}"/>
    <cellStyle name="Calc Currency (0) 4 3 9" xfId="9806" xr:uid="{00000000-0005-0000-0000-0000906E0000}"/>
    <cellStyle name="Calc Currency (0) 4 4" xfId="9807" xr:uid="{00000000-0005-0000-0000-0000916E0000}"/>
    <cellStyle name="Calc Currency (0) 4 5" xfId="9808" xr:uid="{00000000-0005-0000-0000-0000926E0000}"/>
    <cellStyle name="Calc Currency (0) 4 6" xfId="9809" xr:uid="{00000000-0005-0000-0000-0000936E0000}"/>
    <cellStyle name="Calc Currency (0) 4 7" xfId="9810" xr:uid="{00000000-0005-0000-0000-0000946E0000}"/>
    <cellStyle name="Calc Currency (0) 4 8" xfId="9811" xr:uid="{00000000-0005-0000-0000-0000956E0000}"/>
    <cellStyle name="Calc Currency (0) 4 9" xfId="9812" xr:uid="{00000000-0005-0000-0000-0000966E0000}"/>
    <cellStyle name="Calc Currency (0) 5" xfId="9813" xr:uid="{00000000-0005-0000-0000-0000976E0000}"/>
    <cellStyle name="Calc Currency (0) 5 10" xfId="9814" xr:uid="{00000000-0005-0000-0000-0000986E0000}"/>
    <cellStyle name="Calc Currency (0) 5 11" xfId="9815" xr:uid="{00000000-0005-0000-0000-0000996E0000}"/>
    <cellStyle name="Calc Currency (0) 5 2" xfId="9816" xr:uid="{00000000-0005-0000-0000-00009A6E0000}"/>
    <cellStyle name="Calc Currency (0) 5 2 10" xfId="9817" xr:uid="{00000000-0005-0000-0000-00009B6E0000}"/>
    <cellStyle name="Calc Currency (0) 5 2 11" xfId="9818" xr:uid="{00000000-0005-0000-0000-00009C6E0000}"/>
    <cellStyle name="Calc Currency (0) 5 2 12" xfId="9819" xr:uid="{00000000-0005-0000-0000-00009D6E0000}"/>
    <cellStyle name="Calc Currency (0) 5 2 13" xfId="9820" xr:uid="{00000000-0005-0000-0000-00009E6E0000}"/>
    <cellStyle name="Calc Currency (0) 5 2 14" xfId="9821" xr:uid="{00000000-0005-0000-0000-00009F6E0000}"/>
    <cellStyle name="Calc Currency (0) 5 2 15" xfId="9822" xr:uid="{00000000-0005-0000-0000-0000A06E0000}"/>
    <cellStyle name="Calc Currency (0) 5 2 16" xfId="9823" xr:uid="{00000000-0005-0000-0000-0000A16E0000}"/>
    <cellStyle name="Calc Currency (0) 5 2 2" xfId="9824" xr:uid="{00000000-0005-0000-0000-0000A26E0000}"/>
    <cellStyle name="Calc Currency (0) 5 2 2 2" xfId="9825" xr:uid="{00000000-0005-0000-0000-0000A36E0000}"/>
    <cellStyle name="Calc Currency (0) 5 2 2 2 2" xfId="9826" xr:uid="{00000000-0005-0000-0000-0000A46E0000}"/>
    <cellStyle name="Calc Currency (0) 5 2 2 2 3" xfId="9827" xr:uid="{00000000-0005-0000-0000-0000A56E0000}"/>
    <cellStyle name="Calc Currency (0) 5 2 2 3" xfId="9828" xr:uid="{00000000-0005-0000-0000-0000A66E0000}"/>
    <cellStyle name="Calc Currency (0) 5 2 3" xfId="9829" xr:uid="{00000000-0005-0000-0000-0000A76E0000}"/>
    <cellStyle name="Calc Currency (0) 5 2 4" xfId="9830" xr:uid="{00000000-0005-0000-0000-0000A86E0000}"/>
    <cellStyle name="Calc Currency (0) 5 2 5" xfId="9831" xr:uid="{00000000-0005-0000-0000-0000A96E0000}"/>
    <cellStyle name="Calc Currency (0) 5 2 6" xfId="9832" xr:uid="{00000000-0005-0000-0000-0000AA6E0000}"/>
    <cellStyle name="Calc Currency (0) 5 2 7" xfId="9833" xr:uid="{00000000-0005-0000-0000-0000AB6E0000}"/>
    <cellStyle name="Calc Currency (0) 5 2 8" xfId="9834" xr:uid="{00000000-0005-0000-0000-0000AC6E0000}"/>
    <cellStyle name="Calc Currency (0) 5 2 9" xfId="9835" xr:uid="{00000000-0005-0000-0000-0000AD6E0000}"/>
    <cellStyle name="Calc Currency (0) 5 3" xfId="9836" xr:uid="{00000000-0005-0000-0000-0000AE6E0000}"/>
    <cellStyle name="Calc Currency (0) 5 3 2" xfId="9837" xr:uid="{00000000-0005-0000-0000-0000AF6E0000}"/>
    <cellStyle name="Calc Currency (0) 5 3 3" xfId="9838" xr:uid="{00000000-0005-0000-0000-0000B06E0000}"/>
    <cellStyle name="Calc Currency (0) 5 3 4" xfId="9839" xr:uid="{00000000-0005-0000-0000-0000B16E0000}"/>
    <cellStyle name="Calc Currency (0) 5 3 5" xfId="9840" xr:uid="{00000000-0005-0000-0000-0000B26E0000}"/>
    <cellStyle name="Calc Currency (0) 5 3 6" xfId="9841" xr:uid="{00000000-0005-0000-0000-0000B36E0000}"/>
    <cellStyle name="Calc Currency (0) 5 3 7" xfId="9842" xr:uid="{00000000-0005-0000-0000-0000B46E0000}"/>
    <cellStyle name="Calc Currency (0) 5 3 8" xfId="9843" xr:uid="{00000000-0005-0000-0000-0000B56E0000}"/>
    <cellStyle name="Calc Currency (0) 5 3 9" xfId="9844" xr:uid="{00000000-0005-0000-0000-0000B66E0000}"/>
    <cellStyle name="Calc Currency (0) 5 4" xfId="9845" xr:uid="{00000000-0005-0000-0000-0000B76E0000}"/>
    <cellStyle name="Calc Currency (0) 5 5" xfId="9846" xr:uid="{00000000-0005-0000-0000-0000B86E0000}"/>
    <cellStyle name="Calc Currency (0) 5 6" xfId="9847" xr:uid="{00000000-0005-0000-0000-0000B96E0000}"/>
    <cellStyle name="Calc Currency (0) 5 6 2" xfId="9848" xr:uid="{00000000-0005-0000-0000-0000BA6E0000}"/>
    <cellStyle name="Calc Currency (0) 5 6 3" xfId="9849" xr:uid="{00000000-0005-0000-0000-0000BB6E0000}"/>
    <cellStyle name="Calc Currency (0) 5 6 4" xfId="9850" xr:uid="{00000000-0005-0000-0000-0000BC6E0000}"/>
    <cellStyle name="Calc Currency (0) 5 6 5" xfId="9851" xr:uid="{00000000-0005-0000-0000-0000BD6E0000}"/>
    <cellStyle name="Calc Currency (0) 5 6 6" xfId="9852" xr:uid="{00000000-0005-0000-0000-0000BE6E0000}"/>
    <cellStyle name="Calc Currency (0) 5 6 7" xfId="9853" xr:uid="{00000000-0005-0000-0000-0000BF6E0000}"/>
    <cellStyle name="Calc Currency (0) 5 6 8" xfId="9854" xr:uid="{00000000-0005-0000-0000-0000C06E0000}"/>
    <cellStyle name="Calc Currency (0) 5 7" xfId="9855" xr:uid="{00000000-0005-0000-0000-0000C16E0000}"/>
    <cellStyle name="Calc Currency (0) 5 8" xfId="9856" xr:uid="{00000000-0005-0000-0000-0000C26E0000}"/>
    <cellStyle name="Calc Currency (0) 5 9" xfId="9857" xr:uid="{00000000-0005-0000-0000-0000C36E0000}"/>
    <cellStyle name="Calc Currency (0) 6" xfId="9858" xr:uid="{00000000-0005-0000-0000-0000C46E0000}"/>
    <cellStyle name="Calc Currency (0) 6 10" xfId="9859" xr:uid="{00000000-0005-0000-0000-0000C56E0000}"/>
    <cellStyle name="Calc Currency (0) 6 11" xfId="9860" xr:uid="{00000000-0005-0000-0000-0000C66E0000}"/>
    <cellStyle name="Calc Currency (0) 6 2" xfId="9861" xr:uid="{00000000-0005-0000-0000-0000C76E0000}"/>
    <cellStyle name="Calc Currency (0) 6 2 2" xfId="9862" xr:uid="{00000000-0005-0000-0000-0000C86E0000}"/>
    <cellStyle name="Calc Currency (0) 6 2 3" xfId="9863" xr:uid="{00000000-0005-0000-0000-0000C96E0000}"/>
    <cellStyle name="Calc Currency (0) 6 2 4" xfId="9864" xr:uid="{00000000-0005-0000-0000-0000CA6E0000}"/>
    <cellStyle name="Calc Currency (0) 6 2 5" xfId="9865" xr:uid="{00000000-0005-0000-0000-0000CB6E0000}"/>
    <cellStyle name="Calc Currency (0) 6 2 6" xfId="9866" xr:uid="{00000000-0005-0000-0000-0000CC6E0000}"/>
    <cellStyle name="Calc Currency (0) 6 2 7" xfId="9867" xr:uid="{00000000-0005-0000-0000-0000CD6E0000}"/>
    <cellStyle name="Calc Currency (0) 6 2 8" xfId="9868" xr:uid="{00000000-0005-0000-0000-0000CE6E0000}"/>
    <cellStyle name="Calc Currency (0) 6 2 9" xfId="9869" xr:uid="{00000000-0005-0000-0000-0000CF6E0000}"/>
    <cellStyle name="Calc Currency (0) 6 3" xfId="9870" xr:uid="{00000000-0005-0000-0000-0000D06E0000}"/>
    <cellStyle name="Calc Currency (0) 6 3 2" xfId="9871" xr:uid="{00000000-0005-0000-0000-0000D16E0000}"/>
    <cellStyle name="Calc Currency (0) 6 3 3" xfId="9872" xr:uid="{00000000-0005-0000-0000-0000D26E0000}"/>
    <cellStyle name="Calc Currency (0) 6 3 4" xfId="9873" xr:uid="{00000000-0005-0000-0000-0000D36E0000}"/>
    <cellStyle name="Calc Currency (0) 6 3 5" xfId="9874" xr:uid="{00000000-0005-0000-0000-0000D46E0000}"/>
    <cellStyle name="Calc Currency (0) 6 3 6" xfId="9875" xr:uid="{00000000-0005-0000-0000-0000D56E0000}"/>
    <cellStyle name="Calc Currency (0) 6 3 7" xfId="9876" xr:uid="{00000000-0005-0000-0000-0000D66E0000}"/>
    <cellStyle name="Calc Currency (0) 6 3 8" xfId="9877" xr:uid="{00000000-0005-0000-0000-0000D76E0000}"/>
    <cellStyle name="Calc Currency (0) 6 3 9" xfId="9878" xr:uid="{00000000-0005-0000-0000-0000D86E0000}"/>
    <cellStyle name="Calc Currency (0) 6 4" xfId="9879" xr:uid="{00000000-0005-0000-0000-0000D96E0000}"/>
    <cellStyle name="Calc Currency (0) 6 5" xfId="9880" xr:uid="{00000000-0005-0000-0000-0000DA6E0000}"/>
    <cellStyle name="Calc Currency (0) 6 6" xfId="9881" xr:uid="{00000000-0005-0000-0000-0000DB6E0000}"/>
    <cellStyle name="Calc Currency (0) 6 7" xfId="9882" xr:uid="{00000000-0005-0000-0000-0000DC6E0000}"/>
    <cellStyle name="Calc Currency (0) 6 8" xfId="9883" xr:uid="{00000000-0005-0000-0000-0000DD6E0000}"/>
    <cellStyle name="Calc Currency (0) 6 9" xfId="9884" xr:uid="{00000000-0005-0000-0000-0000DE6E0000}"/>
    <cellStyle name="Calc Currency (0) 7" xfId="9885" xr:uid="{00000000-0005-0000-0000-0000DF6E0000}"/>
    <cellStyle name="Calc Currency (0) 7 10" xfId="9886" xr:uid="{00000000-0005-0000-0000-0000E06E0000}"/>
    <cellStyle name="Calc Currency (0) 7 11" xfId="9887" xr:uid="{00000000-0005-0000-0000-0000E16E0000}"/>
    <cellStyle name="Calc Currency (0) 7 2" xfId="9888" xr:uid="{00000000-0005-0000-0000-0000E26E0000}"/>
    <cellStyle name="Calc Currency (0) 7 2 2" xfId="9889" xr:uid="{00000000-0005-0000-0000-0000E36E0000}"/>
    <cellStyle name="Calc Currency (0) 7 2 3" xfId="9890" xr:uid="{00000000-0005-0000-0000-0000E46E0000}"/>
    <cellStyle name="Calc Currency (0) 7 2 4" xfId="9891" xr:uid="{00000000-0005-0000-0000-0000E56E0000}"/>
    <cellStyle name="Calc Currency (0) 7 2 5" xfId="9892" xr:uid="{00000000-0005-0000-0000-0000E66E0000}"/>
    <cellStyle name="Calc Currency (0) 7 2 6" xfId="9893" xr:uid="{00000000-0005-0000-0000-0000E76E0000}"/>
    <cellStyle name="Calc Currency (0) 7 2 7" xfId="9894" xr:uid="{00000000-0005-0000-0000-0000E86E0000}"/>
    <cellStyle name="Calc Currency (0) 7 2 8" xfId="9895" xr:uid="{00000000-0005-0000-0000-0000E96E0000}"/>
    <cellStyle name="Calc Currency (0) 7 2 9" xfId="9896" xr:uid="{00000000-0005-0000-0000-0000EA6E0000}"/>
    <cellStyle name="Calc Currency (0) 7 3" xfId="9897" xr:uid="{00000000-0005-0000-0000-0000EB6E0000}"/>
    <cellStyle name="Calc Currency (0) 7 3 2" xfId="9898" xr:uid="{00000000-0005-0000-0000-0000EC6E0000}"/>
    <cellStyle name="Calc Currency (0) 7 3 3" xfId="9899" xr:uid="{00000000-0005-0000-0000-0000ED6E0000}"/>
    <cellStyle name="Calc Currency (0) 7 3 4" xfId="9900" xr:uid="{00000000-0005-0000-0000-0000EE6E0000}"/>
    <cellStyle name="Calc Currency (0) 7 3 5" xfId="9901" xr:uid="{00000000-0005-0000-0000-0000EF6E0000}"/>
    <cellStyle name="Calc Currency (0) 7 3 6" xfId="9902" xr:uid="{00000000-0005-0000-0000-0000F06E0000}"/>
    <cellStyle name="Calc Currency (0) 7 3 7" xfId="9903" xr:uid="{00000000-0005-0000-0000-0000F16E0000}"/>
    <cellStyle name="Calc Currency (0) 7 3 8" xfId="9904" xr:uid="{00000000-0005-0000-0000-0000F26E0000}"/>
    <cellStyle name="Calc Currency (0) 7 3 9" xfId="9905" xr:uid="{00000000-0005-0000-0000-0000F36E0000}"/>
    <cellStyle name="Calc Currency (0) 7 4" xfId="9906" xr:uid="{00000000-0005-0000-0000-0000F46E0000}"/>
    <cellStyle name="Calc Currency (0) 7 5" xfId="9907" xr:uid="{00000000-0005-0000-0000-0000F56E0000}"/>
    <cellStyle name="Calc Currency (0) 7 6" xfId="9908" xr:uid="{00000000-0005-0000-0000-0000F66E0000}"/>
    <cellStyle name="Calc Currency (0) 7 7" xfId="9909" xr:uid="{00000000-0005-0000-0000-0000F76E0000}"/>
    <cellStyle name="Calc Currency (0) 7 8" xfId="9910" xr:uid="{00000000-0005-0000-0000-0000F86E0000}"/>
    <cellStyle name="Calc Currency (0) 7 9" xfId="9911" xr:uid="{00000000-0005-0000-0000-0000F96E0000}"/>
    <cellStyle name="Calc Currency (0) 8" xfId="9912" xr:uid="{00000000-0005-0000-0000-0000FA6E0000}"/>
    <cellStyle name="Calc Currency (0) 8 10" xfId="9913" xr:uid="{00000000-0005-0000-0000-0000FB6E0000}"/>
    <cellStyle name="Calc Currency (0) 8 11" xfId="9914" xr:uid="{00000000-0005-0000-0000-0000FC6E0000}"/>
    <cellStyle name="Calc Currency (0) 8 2" xfId="9915" xr:uid="{00000000-0005-0000-0000-0000FD6E0000}"/>
    <cellStyle name="Calc Currency (0) 8 2 2" xfId="9916" xr:uid="{00000000-0005-0000-0000-0000FE6E0000}"/>
    <cellStyle name="Calc Currency (0) 8 2 3" xfId="9917" xr:uid="{00000000-0005-0000-0000-0000FF6E0000}"/>
    <cellStyle name="Calc Currency (0) 8 2 4" xfId="9918" xr:uid="{00000000-0005-0000-0000-0000006F0000}"/>
    <cellStyle name="Calc Currency (0) 8 2 5" xfId="9919" xr:uid="{00000000-0005-0000-0000-0000016F0000}"/>
    <cellStyle name="Calc Currency (0) 8 2 6" xfId="9920" xr:uid="{00000000-0005-0000-0000-0000026F0000}"/>
    <cellStyle name="Calc Currency (0) 8 2 7" xfId="9921" xr:uid="{00000000-0005-0000-0000-0000036F0000}"/>
    <cellStyle name="Calc Currency (0) 8 2 8" xfId="9922" xr:uid="{00000000-0005-0000-0000-0000046F0000}"/>
    <cellStyle name="Calc Currency (0) 8 2 9" xfId="9923" xr:uid="{00000000-0005-0000-0000-0000056F0000}"/>
    <cellStyle name="Calc Currency (0) 8 3" xfId="9924" xr:uid="{00000000-0005-0000-0000-0000066F0000}"/>
    <cellStyle name="Calc Currency (0) 8 3 2" xfId="9925" xr:uid="{00000000-0005-0000-0000-0000076F0000}"/>
    <cellStyle name="Calc Currency (0) 8 3 3" xfId="9926" xr:uid="{00000000-0005-0000-0000-0000086F0000}"/>
    <cellStyle name="Calc Currency (0) 8 3 4" xfId="9927" xr:uid="{00000000-0005-0000-0000-0000096F0000}"/>
    <cellStyle name="Calc Currency (0) 8 3 5" xfId="9928" xr:uid="{00000000-0005-0000-0000-00000A6F0000}"/>
    <cellStyle name="Calc Currency (0) 8 3 6" xfId="9929" xr:uid="{00000000-0005-0000-0000-00000B6F0000}"/>
    <cellStyle name="Calc Currency (0) 8 3 7" xfId="9930" xr:uid="{00000000-0005-0000-0000-00000C6F0000}"/>
    <cellStyle name="Calc Currency (0) 8 3 8" xfId="9931" xr:uid="{00000000-0005-0000-0000-00000D6F0000}"/>
    <cellStyle name="Calc Currency (0) 8 3 9" xfId="9932" xr:uid="{00000000-0005-0000-0000-00000E6F0000}"/>
    <cellStyle name="Calc Currency (0) 8 4" xfId="9933" xr:uid="{00000000-0005-0000-0000-00000F6F0000}"/>
    <cellStyle name="Calc Currency (0) 8 5" xfId="9934" xr:uid="{00000000-0005-0000-0000-0000106F0000}"/>
    <cellStyle name="Calc Currency (0) 8 6" xfId="9935" xr:uid="{00000000-0005-0000-0000-0000116F0000}"/>
    <cellStyle name="Calc Currency (0) 8 7" xfId="9936" xr:uid="{00000000-0005-0000-0000-0000126F0000}"/>
    <cellStyle name="Calc Currency (0) 8 8" xfId="9937" xr:uid="{00000000-0005-0000-0000-0000136F0000}"/>
    <cellStyle name="Calc Currency (0) 8 9" xfId="9938" xr:uid="{00000000-0005-0000-0000-0000146F0000}"/>
    <cellStyle name="Calc Currency (0) 9" xfId="9939" xr:uid="{00000000-0005-0000-0000-0000156F0000}"/>
    <cellStyle name="Calc Currency (0) 9 10" xfId="9940" xr:uid="{00000000-0005-0000-0000-0000166F0000}"/>
    <cellStyle name="Calc Currency (0) 9 11" xfId="9941" xr:uid="{00000000-0005-0000-0000-0000176F0000}"/>
    <cellStyle name="Calc Currency (0) 9 2" xfId="9942" xr:uid="{00000000-0005-0000-0000-0000186F0000}"/>
    <cellStyle name="Calc Currency (0) 9 2 10" xfId="9943" xr:uid="{00000000-0005-0000-0000-0000196F0000}"/>
    <cellStyle name="Calc Currency (0) 9 2 11" xfId="9944" xr:uid="{00000000-0005-0000-0000-00001A6F0000}"/>
    <cellStyle name="Calc Currency (0) 9 2 12" xfId="9945" xr:uid="{00000000-0005-0000-0000-00001B6F0000}"/>
    <cellStyle name="Calc Currency (0) 9 2 13" xfId="9946" xr:uid="{00000000-0005-0000-0000-00001C6F0000}"/>
    <cellStyle name="Calc Currency (0) 9 2 14" xfId="9947" xr:uid="{00000000-0005-0000-0000-00001D6F0000}"/>
    <cellStyle name="Calc Currency (0) 9 2 15" xfId="9948" xr:uid="{00000000-0005-0000-0000-00001E6F0000}"/>
    <cellStyle name="Calc Currency (0) 9 2 16" xfId="9949" xr:uid="{00000000-0005-0000-0000-00001F6F0000}"/>
    <cellStyle name="Calc Currency (0) 9 2 2" xfId="9950" xr:uid="{00000000-0005-0000-0000-0000206F0000}"/>
    <cellStyle name="Calc Currency (0) 9 2 3" xfId="9951" xr:uid="{00000000-0005-0000-0000-0000216F0000}"/>
    <cellStyle name="Calc Currency (0) 9 2 4" xfId="9952" xr:uid="{00000000-0005-0000-0000-0000226F0000}"/>
    <cellStyle name="Calc Currency (0) 9 2 5" xfId="9953" xr:uid="{00000000-0005-0000-0000-0000236F0000}"/>
    <cellStyle name="Calc Currency (0) 9 2 6" xfId="9954" xr:uid="{00000000-0005-0000-0000-0000246F0000}"/>
    <cellStyle name="Calc Currency (0) 9 2 7" xfId="9955" xr:uid="{00000000-0005-0000-0000-0000256F0000}"/>
    <cellStyle name="Calc Currency (0) 9 2 8" xfId="9956" xr:uid="{00000000-0005-0000-0000-0000266F0000}"/>
    <cellStyle name="Calc Currency (0) 9 2 9" xfId="9957" xr:uid="{00000000-0005-0000-0000-0000276F0000}"/>
    <cellStyle name="Calc Currency (0) 9 3" xfId="9958" xr:uid="{00000000-0005-0000-0000-0000286F0000}"/>
    <cellStyle name="Calc Currency (0) 9 3 2" xfId="9959" xr:uid="{00000000-0005-0000-0000-0000296F0000}"/>
    <cellStyle name="Calc Currency (0) 9 3 3" xfId="9960" xr:uid="{00000000-0005-0000-0000-00002A6F0000}"/>
    <cellStyle name="Calc Currency (0) 9 3 4" xfId="9961" xr:uid="{00000000-0005-0000-0000-00002B6F0000}"/>
    <cellStyle name="Calc Currency (0) 9 3 5" xfId="9962" xr:uid="{00000000-0005-0000-0000-00002C6F0000}"/>
    <cellStyle name="Calc Currency (0) 9 3 6" xfId="9963" xr:uid="{00000000-0005-0000-0000-00002D6F0000}"/>
    <cellStyle name="Calc Currency (0) 9 3 7" xfId="9964" xr:uid="{00000000-0005-0000-0000-00002E6F0000}"/>
    <cellStyle name="Calc Currency (0) 9 3 8" xfId="9965" xr:uid="{00000000-0005-0000-0000-00002F6F0000}"/>
    <cellStyle name="Calc Currency (0) 9 3 9" xfId="9966" xr:uid="{00000000-0005-0000-0000-0000306F0000}"/>
    <cellStyle name="Calc Currency (0) 9 4" xfId="9967" xr:uid="{00000000-0005-0000-0000-0000316F0000}"/>
    <cellStyle name="Calc Currency (0) 9 4 2" xfId="9968" xr:uid="{00000000-0005-0000-0000-0000326F0000}"/>
    <cellStyle name="Calc Currency (0) 9 4 3" xfId="9969" xr:uid="{00000000-0005-0000-0000-0000336F0000}"/>
    <cellStyle name="Calc Currency (0) 9 4 4" xfId="9970" xr:uid="{00000000-0005-0000-0000-0000346F0000}"/>
    <cellStyle name="Calc Currency (0) 9 4 5" xfId="9971" xr:uid="{00000000-0005-0000-0000-0000356F0000}"/>
    <cellStyle name="Calc Currency (0) 9 4 6" xfId="9972" xr:uid="{00000000-0005-0000-0000-0000366F0000}"/>
    <cellStyle name="Calc Currency (0) 9 4 7" xfId="9973" xr:uid="{00000000-0005-0000-0000-0000376F0000}"/>
    <cellStyle name="Calc Currency (0) 9 4 8" xfId="9974" xr:uid="{00000000-0005-0000-0000-0000386F0000}"/>
    <cellStyle name="Calc Currency (0) 9 5" xfId="9975" xr:uid="{00000000-0005-0000-0000-0000396F0000}"/>
    <cellStyle name="Calc Currency (0) 9 6" xfId="9976" xr:uid="{00000000-0005-0000-0000-00003A6F0000}"/>
    <cellStyle name="Calc Currency (0) 9 7" xfId="9977" xr:uid="{00000000-0005-0000-0000-00003B6F0000}"/>
    <cellStyle name="Calc Currency (0) 9 8" xfId="9978" xr:uid="{00000000-0005-0000-0000-00003C6F0000}"/>
    <cellStyle name="Calc Currency (0) 9 9" xfId="9979" xr:uid="{00000000-0005-0000-0000-00003D6F0000}"/>
    <cellStyle name="Calc Currency (2)" xfId="9980" xr:uid="{00000000-0005-0000-0000-00003E6F0000}"/>
    <cellStyle name="Calc Currency (2) 10" xfId="9981" xr:uid="{00000000-0005-0000-0000-00003F6F0000}"/>
    <cellStyle name="Calc Currency (2) 11" xfId="9982" xr:uid="{00000000-0005-0000-0000-0000406F0000}"/>
    <cellStyle name="Calc Currency (2) 11 2" xfId="9983" xr:uid="{00000000-0005-0000-0000-0000416F0000}"/>
    <cellStyle name="Calc Currency (2) 11 2 2" xfId="9984" xr:uid="{00000000-0005-0000-0000-0000426F0000}"/>
    <cellStyle name="Calc Currency (2) 11 2 3" xfId="9985" xr:uid="{00000000-0005-0000-0000-0000436F0000}"/>
    <cellStyle name="Calc Currency (2) 11 2 4" xfId="9986" xr:uid="{00000000-0005-0000-0000-0000446F0000}"/>
    <cellStyle name="Calc Currency (2) 11 2 5" xfId="9987" xr:uid="{00000000-0005-0000-0000-0000456F0000}"/>
    <cellStyle name="Calc Currency (2) 11 2 6" xfId="9988" xr:uid="{00000000-0005-0000-0000-0000466F0000}"/>
    <cellStyle name="Calc Currency (2) 11 2 7" xfId="9989" xr:uid="{00000000-0005-0000-0000-0000476F0000}"/>
    <cellStyle name="Calc Currency (2) 11 2 8" xfId="9990" xr:uid="{00000000-0005-0000-0000-0000486F0000}"/>
    <cellStyle name="Calc Currency (2) 11 3" xfId="9991" xr:uid="{00000000-0005-0000-0000-0000496F0000}"/>
    <cellStyle name="Calc Currency (2) 11 4" xfId="9992" xr:uid="{00000000-0005-0000-0000-00004A6F0000}"/>
    <cellStyle name="Calc Currency (2) 11 5" xfId="9993" xr:uid="{00000000-0005-0000-0000-00004B6F0000}"/>
    <cellStyle name="Calc Currency (2) 11 6" xfId="9994" xr:uid="{00000000-0005-0000-0000-00004C6F0000}"/>
    <cellStyle name="Calc Currency (2) 11 7" xfId="9995" xr:uid="{00000000-0005-0000-0000-00004D6F0000}"/>
    <cellStyle name="Calc Currency (2) 11 8" xfId="9996" xr:uid="{00000000-0005-0000-0000-00004E6F0000}"/>
    <cellStyle name="Calc Currency (2) 12" xfId="9997" xr:uid="{00000000-0005-0000-0000-00004F6F0000}"/>
    <cellStyle name="Calc Currency (2) 12 2" xfId="9998" xr:uid="{00000000-0005-0000-0000-0000506F0000}"/>
    <cellStyle name="Calc Currency (2) 12 3" xfId="9999" xr:uid="{00000000-0005-0000-0000-0000516F0000}"/>
    <cellStyle name="Calc Currency (2) 12 4" xfId="10000" xr:uid="{00000000-0005-0000-0000-0000526F0000}"/>
    <cellStyle name="Calc Currency (2) 12 5" xfId="10001" xr:uid="{00000000-0005-0000-0000-0000536F0000}"/>
    <cellStyle name="Calc Currency (2) 12 6" xfId="10002" xr:uid="{00000000-0005-0000-0000-0000546F0000}"/>
    <cellStyle name="Calc Currency (2) 12 7" xfId="10003" xr:uid="{00000000-0005-0000-0000-0000556F0000}"/>
    <cellStyle name="Calc Currency (2) 12 8" xfId="10004" xr:uid="{00000000-0005-0000-0000-0000566F0000}"/>
    <cellStyle name="Calc Currency (2) 13" xfId="10005" xr:uid="{00000000-0005-0000-0000-0000576F0000}"/>
    <cellStyle name="Calc Currency (2) 14" xfId="10006" xr:uid="{00000000-0005-0000-0000-0000586F0000}"/>
    <cellStyle name="Calc Currency (2) 15" xfId="10007" xr:uid="{00000000-0005-0000-0000-0000596F0000}"/>
    <cellStyle name="Calc Currency (2) 16" xfId="10008" xr:uid="{00000000-0005-0000-0000-00005A6F0000}"/>
    <cellStyle name="Calc Currency (2) 17" xfId="10009" xr:uid="{00000000-0005-0000-0000-00005B6F0000}"/>
    <cellStyle name="Calc Currency (2) 18" xfId="10010" xr:uid="{00000000-0005-0000-0000-00005C6F0000}"/>
    <cellStyle name="Calc Currency (2) 19" xfId="10011" xr:uid="{00000000-0005-0000-0000-00005D6F0000}"/>
    <cellStyle name="Calc Currency (2) 2" xfId="10012" xr:uid="{00000000-0005-0000-0000-00005E6F0000}"/>
    <cellStyle name="Calc Currency (2) 2 10" xfId="10013" xr:uid="{00000000-0005-0000-0000-00005F6F0000}"/>
    <cellStyle name="Calc Currency (2) 2 10 2" xfId="10014" xr:uid="{00000000-0005-0000-0000-0000606F0000}"/>
    <cellStyle name="Calc Currency (2) 2 10 3" xfId="10015" xr:uid="{00000000-0005-0000-0000-0000616F0000}"/>
    <cellStyle name="Calc Currency (2) 2 10 4" xfId="10016" xr:uid="{00000000-0005-0000-0000-0000626F0000}"/>
    <cellStyle name="Calc Currency (2) 2 10 5" xfId="10017" xr:uid="{00000000-0005-0000-0000-0000636F0000}"/>
    <cellStyle name="Calc Currency (2) 2 10 6" xfId="10018" xr:uid="{00000000-0005-0000-0000-0000646F0000}"/>
    <cellStyle name="Calc Currency (2) 2 10 7" xfId="10019" xr:uid="{00000000-0005-0000-0000-0000656F0000}"/>
    <cellStyle name="Calc Currency (2) 2 10 8" xfId="10020" xr:uid="{00000000-0005-0000-0000-0000666F0000}"/>
    <cellStyle name="Calc Currency (2) 2 10 9" xfId="10021" xr:uid="{00000000-0005-0000-0000-0000676F0000}"/>
    <cellStyle name="Calc Currency (2) 2 11" xfId="10022" xr:uid="{00000000-0005-0000-0000-0000686F0000}"/>
    <cellStyle name="Calc Currency (2) 2 11 2" xfId="10023" xr:uid="{00000000-0005-0000-0000-0000696F0000}"/>
    <cellStyle name="Calc Currency (2) 2 11 2 2" xfId="10024" xr:uid="{00000000-0005-0000-0000-00006A6F0000}"/>
    <cellStyle name="Calc Currency (2) 2 11 2 3" xfId="10025" xr:uid="{00000000-0005-0000-0000-00006B6F0000}"/>
    <cellStyle name="Calc Currency (2) 2 11 2 4" xfId="10026" xr:uid="{00000000-0005-0000-0000-00006C6F0000}"/>
    <cellStyle name="Calc Currency (2) 2 11 2 5" xfId="10027" xr:uid="{00000000-0005-0000-0000-00006D6F0000}"/>
    <cellStyle name="Calc Currency (2) 2 11 2 6" xfId="10028" xr:uid="{00000000-0005-0000-0000-00006E6F0000}"/>
    <cellStyle name="Calc Currency (2) 2 11 2 7" xfId="10029" xr:uid="{00000000-0005-0000-0000-00006F6F0000}"/>
    <cellStyle name="Calc Currency (2) 2 11 2 8" xfId="10030" xr:uid="{00000000-0005-0000-0000-0000706F0000}"/>
    <cellStyle name="Calc Currency (2) 2 11 3" xfId="10031" xr:uid="{00000000-0005-0000-0000-0000716F0000}"/>
    <cellStyle name="Calc Currency (2) 2 11 4" xfId="10032" xr:uid="{00000000-0005-0000-0000-0000726F0000}"/>
    <cellStyle name="Calc Currency (2) 2 11 5" xfId="10033" xr:uid="{00000000-0005-0000-0000-0000736F0000}"/>
    <cellStyle name="Calc Currency (2) 2 11 6" xfId="10034" xr:uid="{00000000-0005-0000-0000-0000746F0000}"/>
    <cellStyle name="Calc Currency (2) 2 11 7" xfId="10035" xr:uid="{00000000-0005-0000-0000-0000756F0000}"/>
    <cellStyle name="Calc Currency (2) 2 11 8" xfId="10036" xr:uid="{00000000-0005-0000-0000-0000766F0000}"/>
    <cellStyle name="Calc Currency (2) 2 11 9" xfId="10037" xr:uid="{00000000-0005-0000-0000-0000776F0000}"/>
    <cellStyle name="Calc Currency (2) 2 12" xfId="10038" xr:uid="{00000000-0005-0000-0000-0000786F0000}"/>
    <cellStyle name="Calc Currency (2) 2 13" xfId="10039" xr:uid="{00000000-0005-0000-0000-0000796F0000}"/>
    <cellStyle name="Calc Currency (2) 2 14" xfId="10040" xr:uid="{00000000-0005-0000-0000-00007A6F0000}"/>
    <cellStyle name="Calc Currency (2) 2 15" xfId="10041" xr:uid="{00000000-0005-0000-0000-00007B6F0000}"/>
    <cellStyle name="Calc Currency (2) 2 16" xfId="10042" xr:uid="{00000000-0005-0000-0000-00007C6F0000}"/>
    <cellStyle name="Calc Currency (2) 2 17" xfId="10043" xr:uid="{00000000-0005-0000-0000-00007D6F0000}"/>
    <cellStyle name="Calc Currency (2) 2 18" xfId="10044" xr:uid="{00000000-0005-0000-0000-00007E6F0000}"/>
    <cellStyle name="Calc Currency (2) 2 19" xfId="10045" xr:uid="{00000000-0005-0000-0000-00007F6F0000}"/>
    <cellStyle name="Calc Currency (2) 2 2" xfId="10046" xr:uid="{00000000-0005-0000-0000-0000806F0000}"/>
    <cellStyle name="Calc Currency (2) 2 2 10" xfId="10047" xr:uid="{00000000-0005-0000-0000-0000816F0000}"/>
    <cellStyle name="Calc Currency (2) 2 2 11" xfId="10048" xr:uid="{00000000-0005-0000-0000-0000826F0000}"/>
    <cellStyle name="Calc Currency (2) 2 2 12" xfId="10049" xr:uid="{00000000-0005-0000-0000-0000836F0000}"/>
    <cellStyle name="Calc Currency (2) 2 2 13" xfId="10050" xr:uid="{00000000-0005-0000-0000-0000846F0000}"/>
    <cellStyle name="Calc Currency (2) 2 2 14" xfId="10051" xr:uid="{00000000-0005-0000-0000-0000856F0000}"/>
    <cellStyle name="Calc Currency (2) 2 2 15" xfId="10052" xr:uid="{00000000-0005-0000-0000-0000866F0000}"/>
    <cellStyle name="Calc Currency (2) 2 2 16" xfId="10053" xr:uid="{00000000-0005-0000-0000-0000876F0000}"/>
    <cellStyle name="Calc Currency (2) 2 2 17" xfId="10054" xr:uid="{00000000-0005-0000-0000-0000886F0000}"/>
    <cellStyle name="Calc Currency (2) 2 2 2" xfId="10055" xr:uid="{00000000-0005-0000-0000-0000896F0000}"/>
    <cellStyle name="Calc Currency (2) 2 2 2 10" xfId="10056" xr:uid="{00000000-0005-0000-0000-00008A6F0000}"/>
    <cellStyle name="Calc Currency (2) 2 2 2 11" xfId="10057" xr:uid="{00000000-0005-0000-0000-00008B6F0000}"/>
    <cellStyle name="Calc Currency (2) 2 2 2 12" xfId="10058" xr:uid="{00000000-0005-0000-0000-00008C6F0000}"/>
    <cellStyle name="Calc Currency (2) 2 2 2 13" xfId="10059" xr:uid="{00000000-0005-0000-0000-00008D6F0000}"/>
    <cellStyle name="Calc Currency (2) 2 2 2 14" xfId="10060" xr:uid="{00000000-0005-0000-0000-00008E6F0000}"/>
    <cellStyle name="Calc Currency (2) 2 2 2 15" xfId="10061" xr:uid="{00000000-0005-0000-0000-00008F6F0000}"/>
    <cellStyle name="Calc Currency (2) 2 2 2 2" xfId="10062" xr:uid="{00000000-0005-0000-0000-0000906F0000}"/>
    <cellStyle name="Calc Currency (2) 2 2 2 2 2" xfId="10063" xr:uid="{00000000-0005-0000-0000-0000916F0000}"/>
    <cellStyle name="Calc Currency (2) 2 2 2 2 3" xfId="10064" xr:uid="{00000000-0005-0000-0000-0000926F0000}"/>
    <cellStyle name="Calc Currency (2) 2 2 2 2 4" xfId="10065" xr:uid="{00000000-0005-0000-0000-0000936F0000}"/>
    <cellStyle name="Calc Currency (2) 2 2 2 2 5" xfId="10066" xr:uid="{00000000-0005-0000-0000-0000946F0000}"/>
    <cellStyle name="Calc Currency (2) 2 2 2 2 6" xfId="10067" xr:uid="{00000000-0005-0000-0000-0000956F0000}"/>
    <cellStyle name="Calc Currency (2) 2 2 2 2 7" xfId="10068" xr:uid="{00000000-0005-0000-0000-0000966F0000}"/>
    <cellStyle name="Calc Currency (2) 2 2 2 2 8" xfId="10069" xr:uid="{00000000-0005-0000-0000-0000976F0000}"/>
    <cellStyle name="Calc Currency (2) 2 2 2 3" xfId="10070" xr:uid="{00000000-0005-0000-0000-0000986F0000}"/>
    <cellStyle name="Calc Currency (2) 2 2 2 4" xfId="10071" xr:uid="{00000000-0005-0000-0000-0000996F0000}"/>
    <cellStyle name="Calc Currency (2) 2 2 2 5" xfId="10072" xr:uid="{00000000-0005-0000-0000-00009A6F0000}"/>
    <cellStyle name="Calc Currency (2) 2 2 2 6" xfId="10073" xr:uid="{00000000-0005-0000-0000-00009B6F0000}"/>
    <cellStyle name="Calc Currency (2) 2 2 2 7" xfId="10074" xr:uid="{00000000-0005-0000-0000-00009C6F0000}"/>
    <cellStyle name="Calc Currency (2) 2 2 2 8" xfId="10075" xr:uid="{00000000-0005-0000-0000-00009D6F0000}"/>
    <cellStyle name="Calc Currency (2) 2 2 2 9" xfId="10076" xr:uid="{00000000-0005-0000-0000-00009E6F0000}"/>
    <cellStyle name="Calc Currency (2) 2 2 3" xfId="10077" xr:uid="{00000000-0005-0000-0000-00009F6F0000}"/>
    <cellStyle name="Calc Currency (2) 2 2 3 2" xfId="10078" xr:uid="{00000000-0005-0000-0000-0000A06F0000}"/>
    <cellStyle name="Calc Currency (2) 2 2 3 3" xfId="10079" xr:uid="{00000000-0005-0000-0000-0000A16F0000}"/>
    <cellStyle name="Calc Currency (2) 2 2 3 4" xfId="10080" xr:uid="{00000000-0005-0000-0000-0000A26F0000}"/>
    <cellStyle name="Calc Currency (2) 2 2 3 5" xfId="10081" xr:uid="{00000000-0005-0000-0000-0000A36F0000}"/>
    <cellStyle name="Calc Currency (2) 2 2 3 6" xfId="10082" xr:uid="{00000000-0005-0000-0000-0000A46F0000}"/>
    <cellStyle name="Calc Currency (2) 2 2 3 7" xfId="10083" xr:uid="{00000000-0005-0000-0000-0000A56F0000}"/>
    <cellStyle name="Calc Currency (2) 2 2 3 8" xfId="10084" xr:uid="{00000000-0005-0000-0000-0000A66F0000}"/>
    <cellStyle name="Calc Currency (2) 2 2 4" xfId="10085" xr:uid="{00000000-0005-0000-0000-0000A76F0000}"/>
    <cellStyle name="Calc Currency (2) 2 2 5" xfId="10086" xr:uid="{00000000-0005-0000-0000-0000A86F0000}"/>
    <cellStyle name="Calc Currency (2) 2 2 6" xfId="10087" xr:uid="{00000000-0005-0000-0000-0000A96F0000}"/>
    <cellStyle name="Calc Currency (2) 2 2 7" xfId="10088" xr:uid="{00000000-0005-0000-0000-0000AA6F0000}"/>
    <cellStyle name="Calc Currency (2) 2 2 8" xfId="10089" xr:uid="{00000000-0005-0000-0000-0000AB6F0000}"/>
    <cellStyle name="Calc Currency (2) 2 2 9" xfId="10090" xr:uid="{00000000-0005-0000-0000-0000AC6F0000}"/>
    <cellStyle name="Calc Currency (2) 2 3" xfId="10091" xr:uid="{00000000-0005-0000-0000-0000AD6F0000}"/>
    <cellStyle name="Calc Currency (2) 2 3 2" xfId="10092" xr:uid="{00000000-0005-0000-0000-0000AE6F0000}"/>
    <cellStyle name="Calc Currency (2) 2 3 3" xfId="10093" xr:uid="{00000000-0005-0000-0000-0000AF6F0000}"/>
    <cellStyle name="Calc Currency (2) 2 3 4" xfId="10094" xr:uid="{00000000-0005-0000-0000-0000B06F0000}"/>
    <cellStyle name="Calc Currency (2) 2 3 5" xfId="10095" xr:uid="{00000000-0005-0000-0000-0000B16F0000}"/>
    <cellStyle name="Calc Currency (2) 2 3 6" xfId="10096" xr:uid="{00000000-0005-0000-0000-0000B26F0000}"/>
    <cellStyle name="Calc Currency (2) 2 3 7" xfId="10097" xr:uid="{00000000-0005-0000-0000-0000B36F0000}"/>
    <cellStyle name="Calc Currency (2) 2 3 8" xfId="10098" xr:uid="{00000000-0005-0000-0000-0000B46F0000}"/>
    <cellStyle name="Calc Currency (2) 2 4" xfId="10099" xr:uid="{00000000-0005-0000-0000-0000B56F0000}"/>
    <cellStyle name="Calc Currency (2) 2 4 2" xfId="10100" xr:uid="{00000000-0005-0000-0000-0000B66F0000}"/>
    <cellStyle name="Calc Currency (2) 2 4 3" xfId="10101" xr:uid="{00000000-0005-0000-0000-0000B76F0000}"/>
    <cellStyle name="Calc Currency (2) 2 4 4" xfId="10102" xr:uid="{00000000-0005-0000-0000-0000B86F0000}"/>
    <cellStyle name="Calc Currency (2) 2 4 5" xfId="10103" xr:uid="{00000000-0005-0000-0000-0000B96F0000}"/>
    <cellStyle name="Calc Currency (2) 2 4 6" xfId="10104" xr:uid="{00000000-0005-0000-0000-0000BA6F0000}"/>
    <cellStyle name="Calc Currency (2) 2 4 7" xfId="10105" xr:uid="{00000000-0005-0000-0000-0000BB6F0000}"/>
    <cellStyle name="Calc Currency (2) 2 4 8" xfId="10106" xr:uid="{00000000-0005-0000-0000-0000BC6F0000}"/>
    <cellStyle name="Calc Currency (2) 2 5" xfId="10107" xr:uid="{00000000-0005-0000-0000-0000BD6F0000}"/>
    <cellStyle name="Calc Currency (2) 2 5 2" xfId="10108" xr:uid="{00000000-0005-0000-0000-0000BE6F0000}"/>
    <cellStyle name="Calc Currency (2) 2 5 3" xfId="10109" xr:uid="{00000000-0005-0000-0000-0000BF6F0000}"/>
    <cellStyle name="Calc Currency (2) 2 5 4" xfId="10110" xr:uid="{00000000-0005-0000-0000-0000C06F0000}"/>
    <cellStyle name="Calc Currency (2) 2 5 5" xfId="10111" xr:uid="{00000000-0005-0000-0000-0000C16F0000}"/>
    <cellStyle name="Calc Currency (2) 2 5 6" xfId="10112" xr:uid="{00000000-0005-0000-0000-0000C26F0000}"/>
    <cellStyle name="Calc Currency (2) 2 5 7" xfId="10113" xr:uid="{00000000-0005-0000-0000-0000C36F0000}"/>
    <cellStyle name="Calc Currency (2) 2 5 8" xfId="10114" xr:uid="{00000000-0005-0000-0000-0000C46F0000}"/>
    <cellStyle name="Calc Currency (2) 2 6" xfId="10115" xr:uid="{00000000-0005-0000-0000-0000C56F0000}"/>
    <cellStyle name="Calc Currency (2) 2 6 2" xfId="10116" xr:uid="{00000000-0005-0000-0000-0000C66F0000}"/>
    <cellStyle name="Calc Currency (2) 2 6 3" xfId="10117" xr:uid="{00000000-0005-0000-0000-0000C76F0000}"/>
    <cellStyle name="Calc Currency (2) 2 6 4" xfId="10118" xr:uid="{00000000-0005-0000-0000-0000C86F0000}"/>
    <cellStyle name="Calc Currency (2) 2 6 5" xfId="10119" xr:uid="{00000000-0005-0000-0000-0000C96F0000}"/>
    <cellStyle name="Calc Currency (2) 2 6 6" xfId="10120" xr:uid="{00000000-0005-0000-0000-0000CA6F0000}"/>
    <cellStyle name="Calc Currency (2) 2 6 7" xfId="10121" xr:uid="{00000000-0005-0000-0000-0000CB6F0000}"/>
    <cellStyle name="Calc Currency (2) 2 6 8" xfId="10122" xr:uid="{00000000-0005-0000-0000-0000CC6F0000}"/>
    <cellStyle name="Calc Currency (2) 2 7" xfId="10123" xr:uid="{00000000-0005-0000-0000-0000CD6F0000}"/>
    <cellStyle name="Calc Currency (2) 2 7 2" xfId="10124" xr:uid="{00000000-0005-0000-0000-0000CE6F0000}"/>
    <cellStyle name="Calc Currency (2) 2 7 3" xfId="10125" xr:uid="{00000000-0005-0000-0000-0000CF6F0000}"/>
    <cellStyle name="Calc Currency (2) 2 7 4" xfId="10126" xr:uid="{00000000-0005-0000-0000-0000D06F0000}"/>
    <cellStyle name="Calc Currency (2) 2 7 5" xfId="10127" xr:uid="{00000000-0005-0000-0000-0000D16F0000}"/>
    <cellStyle name="Calc Currency (2) 2 7 6" xfId="10128" xr:uid="{00000000-0005-0000-0000-0000D26F0000}"/>
    <cellStyle name="Calc Currency (2) 2 7 7" xfId="10129" xr:uid="{00000000-0005-0000-0000-0000D36F0000}"/>
    <cellStyle name="Calc Currency (2) 2 7 8" xfId="10130" xr:uid="{00000000-0005-0000-0000-0000D46F0000}"/>
    <cellStyle name="Calc Currency (2) 2 8" xfId="10131" xr:uid="{00000000-0005-0000-0000-0000D56F0000}"/>
    <cellStyle name="Calc Currency (2) 2 8 2" xfId="10132" xr:uid="{00000000-0005-0000-0000-0000D66F0000}"/>
    <cellStyle name="Calc Currency (2) 2 8 3" xfId="10133" xr:uid="{00000000-0005-0000-0000-0000D76F0000}"/>
    <cellStyle name="Calc Currency (2) 2 8 4" xfId="10134" xr:uid="{00000000-0005-0000-0000-0000D86F0000}"/>
    <cellStyle name="Calc Currency (2) 2 8 5" xfId="10135" xr:uid="{00000000-0005-0000-0000-0000D96F0000}"/>
    <cellStyle name="Calc Currency (2) 2 8 6" xfId="10136" xr:uid="{00000000-0005-0000-0000-0000DA6F0000}"/>
    <cellStyle name="Calc Currency (2) 2 8 7" xfId="10137" xr:uid="{00000000-0005-0000-0000-0000DB6F0000}"/>
    <cellStyle name="Calc Currency (2) 2 8 8" xfId="10138" xr:uid="{00000000-0005-0000-0000-0000DC6F0000}"/>
    <cellStyle name="Calc Currency (2) 2 9" xfId="10139" xr:uid="{00000000-0005-0000-0000-0000DD6F0000}"/>
    <cellStyle name="Calc Currency (2) 2 9 2" xfId="10140" xr:uid="{00000000-0005-0000-0000-0000DE6F0000}"/>
    <cellStyle name="Calc Currency (2) 2 9 3" xfId="10141" xr:uid="{00000000-0005-0000-0000-0000DF6F0000}"/>
    <cellStyle name="Calc Currency (2) 2 9 4" xfId="10142" xr:uid="{00000000-0005-0000-0000-0000E06F0000}"/>
    <cellStyle name="Calc Currency (2) 2 9 5" xfId="10143" xr:uid="{00000000-0005-0000-0000-0000E16F0000}"/>
    <cellStyle name="Calc Currency (2) 2 9 6" xfId="10144" xr:uid="{00000000-0005-0000-0000-0000E26F0000}"/>
    <cellStyle name="Calc Currency (2) 2 9 7" xfId="10145" xr:uid="{00000000-0005-0000-0000-0000E36F0000}"/>
    <cellStyle name="Calc Currency (2) 2 9 8" xfId="10146" xr:uid="{00000000-0005-0000-0000-0000E46F0000}"/>
    <cellStyle name="Calc Currency (2) 2 9 9" xfId="10147" xr:uid="{00000000-0005-0000-0000-0000E56F0000}"/>
    <cellStyle name="Calc Currency (2) 20" xfId="10148" xr:uid="{00000000-0005-0000-0000-0000E66F0000}"/>
    <cellStyle name="Calc Currency (2) 21" xfId="10149" xr:uid="{00000000-0005-0000-0000-0000E76F0000}"/>
    <cellStyle name="Calc Currency (2) 22" xfId="10150" xr:uid="{00000000-0005-0000-0000-0000E86F0000}"/>
    <cellStyle name="Calc Currency (2) 23" xfId="10151" xr:uid="{00000000-0005-0000-0000-0000E96F0000}"/>
    <cellStyle name="Calc Currency (2) 24" xfId="10152" xr:uid="{00000000-0005-0000-0000-0000EA6F0000}"/>
    <cellStyle name="Calc Currency (2) 25" xfId="10153" xr:uid="{00000000-0005-0000-0000-0000EB6F0000}"/>
    <cellStyle name="Calc Currency (2) 26" xfId="10154" xr:uid="{00000000-0005-0000-0000-0000EC6F0000}"/>
    <cellStyle name="Calc Currency (2) 27" xfId="10155" xr:uid="{00000000-0005-0000-0000-0000ED6F0000}"/>
    <cellStyle name="Calc Currency (2) 28" xfId="10156" xr:uid="{00000000-0005-0000-0000-0000EE6F0000}"/>
    <cellStyle name="Calc Currency (2) 29" xfId="10157" xr:uid="{00000000-0005-0000-0000-0000EF6F0000}"/>
    <cellStyle name="Calc Currency (2) 3" xfId="10158" xr:uid="{00000000-0005-0000-0000-0000F06F0000}"/>
    <cellStyle name="Calc Currency (2) 30" xfId="10159" xr:uid="{00000000-0005-0000-0000-0000F16F0000}"/>
    <cellStyle name="Calc Currency (2) 31" xfId="10160" xr:uid="{00000000-0005-0000-0000-0000F26F0000}"/>
    <cellStyle name="Calc Currency (2) 32" xfId="10161" xr:uid="{00000000-0005-0000-0000-0000F36F0000}"/>
    <cellStyle name="Calc Currency (2) 33" xfId="10162" xr:uid="{00000000-0005-0000-0000-0000F46F0000}"/>
    <cellStyle name="Calc Currency (2) 34" xfId="10163" xr:uid="{00000000-0005-0000-0000-0000F56F0000}"/>
    <cellStyle name="Calc Currency (2) 35" xfId="10164" xr:uid="{00000000-0005-0000-0000-0000F66F0000}"/>
    <cellStyle name="Calc Currency (2) 36" xfId="10165" xr:uid="{00000000-0005-0000-0000-0000F76F0000}"/>
    <cellStyle name="Calc Currency (2) 4" xfId="10166" xr:uid="{00000000-0005-0000-0000-0000F86F0000}"/>
    <cellStyle name="Calc Currency (2) 5" xfId="10167" xr:uid="{00000000-0005-0000-0000-0000F96F0000}"/>
    <cellStyle name="Calc Currency (2) 6" xfId="10168" xr:uid="{00000000-0005-0000-0000-0000FA6F0000}"/>
    <cellStyle name="Calc Currency (2) 7" xfId="10169" xr:uid="{00000000-0005-0000-0000-0000FB6F0000}"/>
    <cellStyle name="Calc Currency (2) 8" xfId="10170" xr:uid="{00000000-0005-0000-0000-0000FC6F0000}"/>
    <cellStyle name="Calc Currency (2) 8 2" xfId="10171" xr:uid="{00000000-0005-0000-0000-0000FD6F0000}"/>
    <cellStyle name="Calc Currency (2) 8 3" xfId="10172" xr:uid="{00000000-0005-0000-0000-0000FE6F0000}"/>
    <cellStyle name="Calc Currency (2) 8 4" xfId="10173" xr:uid="{00000000-0005-0000-0000-0000FF6F0000}"/>
    <cellStyle name="Calc Currency (2) 8 5" xfId="10174" xr:uid="{00000000-0005-0000-0000-000000700000}"/>
    <cellStyle name="Calc Currency (2) 8 6" xfId="10175" xr:uid="{00000000-0005-0000-0000-000001700000}"/>
    <cellStyle name="Calc Currency (2) 8 7" xfId="10176" xr:uid="{00000000-0005-0000-0000-000002700000}"/>
    <cellStyle name="Calc Currency (2) 8 8" xfId="10177" xr:uid="{00000000-0005-0000-0000-000003700000}"/>
    <cellStyle name="Calc Currency (2) 9" xfId="10178" xr:uid="{00000000-0005-0000-0000-000004700000}"/>
    <cellStyle name="Calc Percent (0)" xfId="10179" xr:uid="{00000000-0005-0000-0000-000005700000}"/>
    <cellStyle name="Calc Percent (0) 10" xfId="10180" xr:uid="{00000000-0005-0000-0000-000006700000}"/>
    <cellStyle name="Calc Percent (0) 11" xfId="10181" xr:uid="{00000000-0005-0000-0000-000007700000}"/>
    <cellStyle name="Calc Percent (0) 11 2" xfId="10182" xr:uid="{00000000-0005-0000-0000-000008700000}"/>
    <cellStyle name="Calc Percent (0) 11 2 2" xfId="10183" xr:uid="{00000000-0005-0000-0000-000009700000}"/>
    <cellStyle name="Calc Percent (0) 11 2 3" xfId="10184" xr:uid="{00000000-0005-0000-0000-00000A700000}"/>
    <cellStyle name="Calc Percent (0) 11 2 4" xfId="10185" xr:uid="{00000000-0005-0000-0000-00000B700000}"/>
    <cellStyle name="Calc Percent (0) 11 2 5" xfId="10186" xr:uid="{00000000-0005-0000-0000-00000C700000}"/>
    <cellStyle name="Calc Percent (0) 11 2 6" xfId="10187" xr:uid="{00000000-0005-0000-0000-00000D700000}"/>
    <cellStyle name="Calc Percent (0) 11 2 7" xfId="10188" xr:uid="{00000000-0005-0000-0000-00000E700000}"/>
    <cellStyle name="Calc Percent (0) 11 2 8" xfId="10189" xr:uid="{00000000-0005-0000-0000-00000F700000}"/>
    <cellStyle name="Calc Percent (0) 11 3" xfId="10190" xr:uid="{00000000-0005-0000-0000-000010700000}"/>
    <cellStyle name="Calc Percent (0) 11 4" xfId="10191" xr:uid="{00000000-0005-0000-0000-000011700000}"/>
    <cellStyle name="Calc Percent (0) 11 5" xfId="10192" xr:uid="{00000000-0005-0000-0000-000012700000}"/>
    <cellStyle name="Calc Percent (0) 11 6" xfId="10193" xr:uid="{00000000-0005-0000-0000-000013700000}"/>
    <cellStyle name="Calc Percent (0) 11 7" xfId="10194" xr:uid="{00000000-0005-0000-0000-000014700000}"/>
    <cellStyle name="Calc Percent (0) 11 8" xfId="10195" xr:uid="{00000000-0005-0000-0000-000015700000}"/>
    <cellStyle name="Calc Percent (0) 12" xfId="10196" xr:uid="{00000000-0005-0000-0000-000016700000}"/>
    <cellStyle name="Calc Percent (0) 12 2" xfId="10197" xr:uid="{00000000-0005-0000-0000-000017700000}"/>
    <cellStyle name="Calc Percent (0) 12 3" xfId="10198" xr:uid="{00000000-0005-0000-0000-000018700000}"/>
    <cellStyle name="Calc Percent (0) 12 4" xfId="10199" xr:uid="{00000000-0005-0000-0000-000019700000}"/>
    <cellStyle name="Calc Percent (0) 12 5" xfId="10200" xr:uid="{00000000-0005-0000-0000-00001A700000}"/>
    <cellStyle name="Calc Percent (0) 12 6" xfId="10201" xr:uid="{00000000-0005-0000-0000-00001B700000}"/>
    <cellStyle name="Calc Percent (0) 12 7" xfId="10202" xr:uid="{00000000-0005-0000-0000-00001C700000}"/>
    <cellStyle name="Calc Percent (0) 12 8" xfId="10203" xr:uid="{00000000-0005-0000-0000-00001D700000}"/>
    <cellStyle name="Calc Percent (0) 13" xfId="10204" xr:uid="{00000000-0005-0000-0000-00001E700000}"/>
    <cellStyle name="Calc Percent (0) 14" xfId="10205" xr:uid="{00000000-0005-0000-0000-00001F700000}"/>
    <cellStyle name="Calc Percent (0) 15" xfId="10206" xr:uid="{00000000-0005-0000-0000-000020700000}"/>
    <cellStyle name="Calc Percent (0) 16" xfId="10207" xr:uid="{00000000-0005-0000-0000-000021700000}"/>
    <cellStyle name="Calc Percent (0) 17" xfId="10208" xr:uid="{00000000-0005-0000-0000-000022700000}"/>
    <cellStyle name="Calc Percent (0) 18" xfId="10209" xr:uid="{00000000-0005-0000-0000-000023700000}"/>
    <cellStyle name="Calc Percent (0) 19" xfId="10210" xr:uid="{00000000-0005-0000-0000-000024700000}"/>
    <cellStyle name="Calc Percent (0) 2" xfId="10211" xr:uid="{00000000-0005-0000-0000-000025700000}"/>
    <cellStyle name="Calc Percent (0) 2 10" xfId="10212" xr:uid="{00000000-0005-0000-0000-000026700000}"/>
    <cellStyle name="Calc Percent (0) 2 10 2" xfId="10213" xr:uid="{00000000-0005-0000-0000-000027700000}"/>
    <cellStyle name="Calc Percent (0) 2 10 3" xfId="10214" xr:uid="{00000000-0005-0000-0000-000028700000}"/>
    <cellStyle name="Calc Percent (0) 2 10 4" xfId="10215" xr:uid="{00000000-0005-0000-0000-000029700000}"/>
    <cellStyle name="Calc Percent (0) 2 10 5" xfId="10216" xr:uid="{00000000-0005-0000-0000-00002A700000}"/>
    <cellStyle name="Calc Percent (0) 2 10 6" xfId="10217" xr:uid="{00000000-0005-0000-0000-00002B700000}"/>
    <cellStyle name="Calc Percent (0) 2 10 7" xfId="10218" xr:uid="{00000000-0005-0000-0000-00002C700000}"/>
    <cellStyle name="Calc Percent (0) 2 10 8" xfId="10219" xr:uid="{00000000-0005-0000-0000-00002D700000}"/>
    <cellStyle name="Calc Percent (0) 2 10 9" xfId="10220" xr:uid="{00000000-0005-0000-0000-00002E700000}"/>
    <cellStyle name="Calc Percent (0) 2 11" xfId="10221" xr:uid="{00000000-0005-0000-0000-00002F700000}"/>
    <cellStyle name="Calc Percent (0) 2 11 2" xfId="10222" xr:uid="{00000000-0005-0000-0000-000030700000}"/>
    <cellStyle name="Calc Percent (0) 2 11 2 2" xfId="10223" xr:uid="{00000000-0005-0000-0000-000031700000}"/>
    <cellStyle name="Calc Percent (0) 2 11 2 3" xfId="10224" xr:uid="{00000000-0005-0000-0000-000032700000}"/>
    <cellStyle name="Calc Percent (0) 2 11 2 4" xfId="10225" xr:uid="{00000000-0005-0000-0000-000033700000}"/>
    <cellStyle name="Calc Percent (0) 2 11 2 5" xfId="10226" xr:uid="{00000000-0005-0000-0000-000034700000}"/>
    <cellStyle name="Calc Percent (0) 2 11 2 6" xfId="10227" xr:uid="{00000000-0005-0000-0000-000035700000}"/>
    <cellStyle name="Calc Percent (0) 2 11 2 7" xfId="10228" xr:uid="{00000000-0005-0000-0000-000036700000}"/>
    <cellStyle name="Calc Percent (0) 2 11 2 8" xfId="10229" xr:uid="{00000000-0005-0000-0000-000037700000}"/>
    <cellStyle name="Calc Percent (0) 2 11 3" xfId="10230" xr:uid="{00000000-0005-0000-0000-000038700000}"/>
    <cellStyle name="Calc Percent (0) 2 11 4" xfId="10231" xr:uid="{00000000-0005-0000-0000-000039700000}"/>
    <cellStyle name="Calc Percent (0) 2 11 5" xfId="10232" xr:uid="{00000000-0005-0000-0000-00003A700000}"/>
    <cellStyle name="Calc Percent (0) 2 11 6" xfId="10233" xr:uid="{00000000-0005-0000-0000-00003B700000}"/>
    <cellStyle name="Calc Percent (0) 2 11 7" xfId="10234" xr:uid="{00000000-0005-0000-0000-00003C700000}"/>
    <cellStyle name="Calc Percent (0) 2 11 8" xfId="10235" xr:uid="{00000000-0005-0000-0000-00003D700000}"/>
    <cellStyle name="Calc Percent (0) 2 11 9" xfId="10236" xr:uid="{00000000-0005-0000-0000-00003E700000}"/>
    <cellStyle name="Calc Percent (0) 2 12" xfId="10237" xr:uid="{00000000-0005-0000-0000-00003F700000}"/>
    <cellStyle name="Calc Percent (0) 2 13" xfId="10238" xr:uid="{00000000-0005-0000-0000-000040700000}"/>
    <cellStyle name="Calc Percent (0) 2 14" xfId="10239" xr:uid="{00000000-0005-0000-0000-000041700000}"/>
    <cellStyle name="Calc Percent (0) 2 15" xfId="10240" xr:uid="{00000000-0005-0000-0000-000042700000}"/>
    <cellStyle name="Calc Percent (0) 2 16" xfId="10241" xr:uid="{00000000-0005-0000-0000-000043700000}"/>
    <cellStyle name="Calc Percent (0) 2 17" xfId="10242" xr:uid="{00000000-0005-0000-0000-000044700000}"/>
    <cellStyle name="Calc Percent (0) 2 18" xfId="10243" xr:uid="{00000000-0005-0000-0000-000045700000}"/>
    <cellStyle name="Calc Percent (0) 2 19" xfId="10244" xr:uid="{00000000-0005-0000-0000-000046700000}"/>
    <cellStyle name="Calc Percent (0) 2 2" xfId="10245" xr:uid="{00000000-0005-0000-0000-000047700000}"/>
    <cellStyle name="Calc Percent (0) 2 2 10" xfId="10246" xr:uid="{00000000-0005-0000-0000-000048700000}"/>
    <cellStyle name="Calc Percent (0) 2 2 11" xfId="10247" xr:uid="{00000000-0005-0000-0000-000049700000}"/>
    <cellStyle name="Calc Percent (0) 2 2 12" xfId="10248" xr:uid="{00000000-0005-0000-0000-00004A700000}"/>
    <cellStyle name="Calc Percent (0) 2 2 13" xfId="10249" xr:uid="{00000000-0005-0000-0000-00004B700000}"/>
    <cellStyle name="Calc Percent (0) 2 2 14" xfId="10250" xr:uid="{00000000-0005-0000-0000-00004C700000}"/>
    <cellStyle name="Calc Percent (0) 2 2 15" xfId="10251" xr:uid="{00000000-0005-0000-0000-00004D700000}"/>
    <cellStyle name="Calc Percent (0) 2 2 16" xfId="10252" xr:uid="{00000000-0005-0000-0000-00004E700000}"/>
    <cellStyle name="Calc Percent (0) 2 2 17" xfId="10253" xr:uid="{00000000-0005-0000-0000-00004F700000}"/>
    <cellStyle name="Calc Percent (0) 2 2 2" xfId="10254" xr:uid="{00000000-0005-0000-0000-000050700000}"/>
    <cellStyle name="Calc Percent (0) 2 2 2 10" xfId="10255" xr:uid="{00000000-0005-0000-0000-000051700000}"/>
    <cellStyle name="Calc Percent (0) 2 2 2 11" xfId="10256" xr:uid="{00000000-0005-0000-0000-000052700000}"/>
    <cellStyle name="Calc Percent (0) 2 2 2 12" xfId="10257" xr:uid="{00000000-0005-0000-0000-000053700000}"/>
    <cellStyle name="Calc Percent (0) 2 2 2 13" xfId="10258" xr:uid="{00000000-0005-0000-0000-000054700000}"/>
    <cellStyle name="Calc Percent (0) 2 2 2 14" xfId="10259" xr:uid="{00000000-0005-0000-0000-000055700000}"/>
    <cellStyle name="Calc Percent (0) 2 2 2 15" xfId="10260" xr:uid="{00000000-0005-0000-0000-000056700000}"/>
    <cellStyle name="Calc Percent (0) 2 2 2 2" xfId="10261" xr:uid="{00000000-0005-0000-0000-000057700000}"/>
    <cellStyle name="Calc Percent (0) 2 2 2 2 2" xfId="10262" xr:uid="{00000000-0005-0000-0000-000058700000}"/>
    <cellStyle name="Calc Percent (0) 2 2 2 2 3" xfId="10263" xr:uid="{00000000-0005-0000-0000-000059700000}"/>
    <cellStyle name="Calc Percent (0) 2 2 2 2 4" xfId="10264" xr:uid="{00000000-0005-0000-0000-00005A700000}"/>
    <cellStyle name="Calc Percent (0) 2 2 2 2 5" xfId="10265" xr:uid="{00000000-0005-0000-0000-00005B700000}"/>
    <cellStyle name="Calc Percent (0) 2 2 2 2 6" xfId="10266" xr:uid="{00000000-0005-0000-0000-00005C700000}"/>
    <cellStyle name="Calc Percent (0) 2 2 2 2 7" xfId="10267" xr:uid="{00000000-0005-0000-0000-00005D700000}"/>
    <cellStyle name="Calc Percent (0) 2 2 2 2 8" xfId="10268" xr:uid="{00000000-0005-0000-0000-00005E700000}"/>
    <cellStyle name="Calc Percent (0) 2 2 2 3" xfId="10269" xr:uid="{00000000-0005-0000-0000-00005F700000}"/>
    <cellStyle name="Calc Percent (0) 2 2 2 4" xfId="10270" xr:uid="{00000000-0005-0000-0000-000060700000}"/>
    <cellStyle name="Calc Percent (0) 2 2 2 5" xfId="10271" xr:uid="{00000000-0005-0000-0000-000061700000}"/>
    <cellStyle name="Calc Percent (0) 2 2 2 6" xfId="10272" xr:uid="{00000000-0005-0000-0000-000062700000}"/>
    <cellStyle name="Calc Percent (0) 2 2 2 7" xfId="10273" xr:uid="{00000000-0005-0000-0000-000063700000}"/>
    <cellStyle name="Calc Percent (0) 2 2 2 8" xfId="10274" xr:uid="{00000000-0005-0000-0000-000064700000}"/>
    <cellStyle name="Calc Percent (0) 2 2 2 9" xfId="10275" xr:uid="{00000000-0005-0000-0000-000065700000}"/>
    <cellStyle name="Calc Percent (0) 2 2 3" xfId="10276" xr:uid="{00000000-0005-0000-0000-000066700000}"/>
    <cellStyle name="Calc Percent (0) 2 2 3 2" xfId="10277" xr:uid="{00000000-0005-0000-0000-000067700000}"/>
    <cellStyle name="Calc Percent (0) 2 2 3 3" xfId="10278" xr:uid="{00000000-0005-0000-0000-000068700000}"/>
    <cellStyle name="Calc Percent (0) 2 2 3 4" xfId="10279" xr:uid="{00000000-0005-0000-0000-000069700000}"/>
    <cellStyle name="Calc Percent (0) 2 2 3 5" xfId="10280" xr:uid="{00000000-0005-0000-0000-00006A700000}"/>
    <cellStyle name="Calc Percent (0) 2 2 3 6" xfId="10281" xr:uid="{00000000-0005-0000-0000-00006B700000}"/>
    <cellStyle name="Calc Percent (0) 2 2 3 7" xfId="10282" xr:uid="{00000000-0005-0000-0000-00006C700000}"/>
    <cellStyle name="Calc Percent (0) 2 2 3 8" xfId="10283" xr:uid="{00000000-0005-0000-0000-00006D700000}"/>
    <cellStyle name="Calc Percent (0) 2 2 4" xfId="10284" xr:uid="{00000000-0005-0000-0000-00006E700000}"/>
    <cellStyle name="Calc Percent (0) 2 2 5" xfId="10285" xr:uid="{00000000-0005-0000-0000-00006F700000}"/>
    <cellStyle name="Calc Percent (0) 2 2 6" xfId="10286" xr:uid="{00000000-0005-0000-0000-000070700000}"/>
    <cellStyle name="Calc Percent (0) 2 2 7" xfId="10287" xr:uid="{00000000-0005-0000-0000-000071700000}"/>
    <cellStyle name="Calc Percent (0) 2 2 8" xfId="10288" xr:uid="{00000000-0005-0000-0000-000072700000}"/>
    <cellStyle name="Calc Percent (0) 2 2 9" xfId="10289" xr:uid="{00000000-0005-0000-0000-000073700000}"/>
    <cellStyle name="Calc Percent (0) 2 3" xfId="10290" xr:uid="{00000000-0005-0000-0000-000074700000}"/>
    <cellStyle name="Calc Percent (0) 2 3 2" xfId="10291" xr:uid="{00000000-0005-0000-0000-000075700000}"/>
    <cellStyle name="Calc Percent (0) 2 3 3" xfId="10292" xr:uid="{00000000-0005-0000-0000-000076700000}"/>
    <cellStyle name="Calc Percent (0) 2 3 4" xfId="10293" xr:uid="{00000000-0005-0000-0000-000077700000}"/>
    <cellStyle name="Calc Percent (0) 2 3 5" xfId="10294" xr:uid="{00000000-0005-0000-0000-000078700000}"/>
    <cellStyle name="Calc Percent (0) 2 3 6" xfId="10295" xr:uid="{00000000-0005-0000-0000-000079700000}"/>
    <cellStyle name="Calc Percent (0) 2 3 7" xfId="10296" xr:uid="{00000000-0005-0000-0000-00007A700000}"/>
    <cellStyle name="Calc Percent (0) 2 3 8" xfId="10297" xr:uid="{00000000-0005-0000-0000-00007B700000}"/>
    <cellStyle name="Calc Percent (0) 2 4" xfId="10298" xr:uid="{00000000-0005-0000-0000-00007C700000}"/>
    <cellStyle name="Calc Percent (0) 2 4 2" xfId="10299" xr:uid="{00000000-0005-0000-0000-00007D700000}"/>
    <cellStyle name="Calc Percent (0) 2 4 3" xfId="10300" xr:uid="{00000000-0005-0000-0000-00007E700000}"/>
    <cellStyle name="Calc Percent (0) 2 4 4" xfId="10301" xr:uid="{00000000-0005-0000-0000-00007F700000}"/>
    <cellStyle name="Calc Percent (0) 2 4 5" xfId="10302" xr:uid="{00000000-0005-0000-0000-000080700000}"/>
    <cellStyle name="Calc Percent (0) 2 4 6" xfId="10303" xr:uid="{00000000-0005-0000-0000-000081700000}"/>
    <cellStyle name="Calc Percent (0) 2 4 7" xfId="10304" xr:uid="{00000000-0005-0000-0000-000082700000}"/>
    <cellStyle name="Calc Percent (0) 2 4 8" xfId="10305" xr:uid="{00000000-0005-0000-0000-000083700000}"/>
    <cellStyle name="Calc Percent (0) 2 5" xfId="10306" xr:uid="{00000000-0005-0000-0000-000084700000}"/>
    <cellStyle name="Calc Percent (0) 2 5 2" xfId="10307" xr:uid="{00000000-0005-0000-0000-000085700000}"/>
    <cellStyle name="Calc Percent (0) 2 5 3" xfId="10308" xr:uid="{00000000-0005-0000-0000-000086700000}"/>
    <cellStyle name="Calc Percent (0) 2 5 4" xfId="10309" xr:uid="{00000000-0005-0000-0000-000087700000}"/>
    <cellStyle name="Calc Percent (0) 2 5 5" xfId="10310" xr:uid="{00000000-0005-0000-0000-000088700000}"/>
    <cellStyle name="Calc Percent (0) 2 5 6" xfId="10311" xr:uid="{00000000-0005-0000-0000-000089700000}"/>
    <cellStyle name="Calc Percent (0) 2 5 7" xfId="10312" xr:uid="{00000000-0005-0000-0000-00008A700000}"/>
    <cellStyle name="Calc Percent (0) 2 5 8" xfId="10313" xr:uid="{00000000-0005-0000-0000-00008B700000}"/>
    <cellStyle name="Calc Percent (0) 2 6" xfId="10314" xr:uid="{00000000-0005-0000-0000-00008C700000}"/>
    <cellStyle name="Calc Percent (0) 2 6 2" xfId="10315" xr:uid="{00000000-0005-0000-0000-00008D700000}"/>
    <cellStyle name="Calc Percent (0) 2 6 3" xfId="10316" xr:uid="{00000000-0005-0000-0000-00008E700000}"/>
    <cellStyle name="Calc Percent (0) 2 6 4" xfId="10317" xr:uid="{00000000-0005-0000-0000-00008F700000}"/>
    <cellStyle name="Calc Percent (0) 2 6 5" xfId="10318" xr:uid="{00000000-0005-0000-0000-000090700000}"/>
    <cellStyle name="Calc Percent (0) 2 6 6" xfId="10319" xr:uid="{00000000-0005-0000-0000-000091700000}"/>
    <cellStyle name="Calc Percent (0) 2 6 7" xfId="10320" xr:uid="{00000000-0005-0000-0000-000092700000}"/>
    <cellStyle name="Calc Percent (0) 2 6 8" xfId="10321" xr:uid="{00000000-0005-0000-0000-000093700000}"/>
    <cellStyle name="Calc Percent (0) 2 7" xfId="10322" xr:uid="{00000000-0005-0000-0000-000094700000}"/>
    <cellStyle name="Calc Percent (0) 2 7 2" xfId="10323" xr:uid="{00000000-0005-0000-0000-000095700000}"/>
    <cellStyle name="Calc Percent (0) 2 7 3" xfId="10324" xr:uid="{00000000-0005-0000-0000-000096700000}"/>
    <cellStyle name="Calc Percent (0) 2 7 4" xfId="10325" xr:uid="{00000000-0005-0000-0000-000097700000}"/>
    <cellStyle name="Calc Percent (0) 2 7 5" xfId="10326" xr:uid="{00000000-0005-0000-0000-000098700000}"/>
    <cellStyle name="Calc Percent (0) 2 7 6" xfId="10327" xr:uid="{00000000-0005-0000-0000-000099700000}"/>
    <cellStyle name="Calc Percent (0) 2 7 7" xfId="10328" xr:uid="{00000000-0005-0000-0000-00009A700000}"/>
    <cellStyle name="Calc Percent (0) 2 7 8" xfId="10329" xr:uid="{00000000-0005-0000-0000-00009B700000}"/>
    <cellStyle name="Calc Percent (0) 2 8" xfId="10330" xr:uid="{00000000-0005-0000-0000-00009C700000}"/>
    <cellStyle name="Calc Percent (0) 2 8 2" xfId="10331" xr:uid="{00000000-0005-0000-0000-00009D700000}"/>
    <cellStyle name="Calc Percent (0) 2 8 3" xfId="10332" xr:uid="{00000000-0005-0000-0000-00009E700000}"/>
    <cellStyle name="Calc Percent (0) 2 8 4" xfId="10333" xr:uid="{00000000-0005-0000-0000-00009F700000}"/>
    <cellStyle name="Calc Percent (0) 2 8 5" xfId="10334" xr:uid="{00000000-0005-0000-0000-0000A0700000}"/>
    <cellStyle name="Calc Percent (0) 2 8 6" xfId="10335" xr:uid="{00000000-0005-0000-0000-0000A1700000}"/>
    <cellStyle name="Calc Percent (0) 2 8 7" xfId="10336" xr:uid="{00000000-0005-0000-0000-0000A2700000}"/>
    <cellStyle name="Calc Percent (0) 2 8 8" xfId="10337" xr:uid="{00000000-0005-0000-0000-0000A3700000}"/>
    <cellStyle name="Calc Percent (0) 2 9" xfId="10338" xr:uid="{00000000-0005-0000-0000-0000A4700000}"/>
    <cellStyle name="Calc Percent (0) 2 9 2" xfId="10339" xr:uid="{00000000-0005-0000-0000-0000A5700000}"/>
    <cellStyle name="Calc Percent (0) 2 9 3" xfId="10340" xr:uid="{00000000-0005-0000-0000-0000A6700000}"/>
    <cellStyle name="Calc Percent (0) 2 9 4" xfId="10341" xr:uid="{00000000-0005-0000-0000-0000A7700000}"/>
    <cellStyle name="Calc Percent (0) 2 9 5" xfId="10342" xr:uid="{00000000-0005-0000-0000-0000A8700000}"/>
    <cellStyle name="Calc Percent (0) 2 9 6" xfId="10343" xr:uid="{00000000-0005-0000-0000-0000A9700000}"/>
    <cellStyle name="Calc Percent (0) 2 9 7" xfId="10344" xr:uid="{00000000-0005-0000-0000-0000AA700000}"/>
    <cellStyle name="Calc Percent (0) 2 9 8" xfId="10345" xr:uid="{00000000-0005-0000-0000-0000AB700000}"/>
    <cellStyle name="Calc Percent (0) 2 9 9" xfId="10346" xr:uid="{00000000-0005-0000-0000-0000AC700000}"/>
    <cellStyle name="Calc Percent (0) 20" xfId="10347" xr:uid="{00000000-0005-0000-0000-0000AD700000}"/>
    <cellStyle name="Calc Percent (0) 21" xfId="10348" xr:uid="{00000000-0005-0000-0000-0000AE700000}"/>
    <cellStyle name="Calc Percent (0) 22" xfId="10349" xr:uid="{00000000-0005-0000-0000-0000AF700000}"/>
    <cellStyle name="Calc Percent (0) 23" xfId="10350" xr:uid="{00000000-0005-0000-0000-0000B0700000}"/>
    <cellStyle name="Calc Percent (0) 24" xfId="10351" xr:uid="{00000000-0005-0000-0000-0000B1700000}"/>
    <cellStyle name="Calc Percent (0) 25" xfId="10352" xr:uid="{00000000-0005-0000-0000-0000B2700000}"/>
    <cellStyle name="Calc Percent (0) 26" xfId="10353" xr:uid="{00000000-0005-0000-0000-0000B3700000}"/>
    <cellStyle name="Calc Percent (0) 27" xfId="10354" xr:uid="{00000000-0005-0000-0000-0000B4700000}"/>
    <cellStyle name="Calc Percent (0) 28" xfId="10355" xr:uid="{00000000-0005-0000-0000-0000B5700000}"/>
    <cellStyle name="Calc Percent (0) 29" xfId="10356" xr:uid="{00000000-0005-0000-0000-0000B6700000}"/>
    <cellStyle name="Calc Percent (0) 3" xfId="10357" xr:uid="{00000000-0005-0000-0000-0000B7700000}"/>
    <cellStyle name="Calc Percent (0) 30" xfId="10358" xr:uid="{00000000-0005-0000-0000-0000B8700000}"/>
    <cellStyle name="Calc Percent (0) 31" xfId="10359" xr:uid="{00000000-0005-0000-0000-0000B9700000}"/>
    <cellStyle name="Calc Percent (0) 32" xfId="10360" xr:uid="{00000000-0005-0000-0000-0000BA700000}"/>
    <cellStyle name="Calc Percent (0) 33" xfId="10361" xr:uid="{00000000-0005-0000-0000-0000BB700000}"/>
    <cellStyle name="Calc Percent (0) 34" xfId="10362" xr:uid="{00000000-0005-0000-0000-0000BC700000}"/>
    <cellStyle name="Calc Percent (0) 35" xfId="10363" xr:uid="{00000000-0005-0000-0000-0000BD700000}"/>
    <cellStyle name="Calc Percent (0) 36" xfId="10364" xr:uid="{00000000-0005-0000-0000-0000BE700000}"/>
    <cellStyle name="Calc Percent (0) 4" xfId="10365" xr:uid="{00000000-0005-0000-0000-0000BF700000}"/>
    <cellStyle name="Calc Percent (0) 5" xfId="10366" xr:uid="{00000000-0005-0000-0000-0000C0700000}"/>
    <cellStyle name="Calc Percent (0) 6" xfId="10367" xr:uid="{00000000-0005-0000-0000-0000C1700000}"/>
    <cellStyle name="Calc Percent (0) 7" xfId="10368" xr:uid="{00000000-0005-0000-0000-0000C2700000}"/>
    <cellStyle name="Calc Percent (0) 8" xfId="10369" xr:uid="{00000000-0005-0000-0000-0000C3700000}"/>
    <cellStyle name="Calc Percent (0) 8 2" xfId="10370" xr:uid="{00000000-0005-0000-0000-0000C4700000}"/>
    <cellStyle name="Calc Percent (0) 8 3" xfId="10371" xr:uid="{00000000-0005-0000-0000-0000C5700000}"/>
    <cellStyle name="Calc Percent (0) 8 4" xfId="10372" xr:uid="{00000000-0005-0000-0000-0000C6700000}"/>
    <cellStyle name="Calc Percent (0) 8 5" xfId="10373" xr:uid="{00000000-0005-0000-0000-0000C7700000}"/>
    <cellStyle name="Calc Percent (0) 8 6" xfId="10374" xr:uid="{00000000-0005-0000-0000-0000C8700000}"/>
    <cellStyle name="Calc Percent (0) 8 7" xfId="10375" xr:uid="{00000000-0005-0000-0000-0000C9700000}"/>
    <cellStyle name="Calc Percent (0) 8 8" xfId="10376" xr:uid="{00000000-0005-0000-0000-0000CA700000}"/>
    <cellStyle name="Calc Percent (0) 9" xfId="10377" xr:uid="{00000000-0005-0000-0000-0000CB700000}"/>
    <cellStyle name="Calc Percent (1)" xfId="10378" xr:uid="{00000000-0005-0000-0000-0000CC700000}"/>
    <cellStyle name="Calc Percent (1) 10" xfId="10379" xr:uid="{00000000-0005-0000-0000-0000CD700000}"/>
    <cellStyle name="Calc Percent (1) 10 10" xfId="10380" xr:uid="{00000000-0005-0000-0000-0000CE700000}"/>
    <cellStyle name="Calc Percent (1) 10 11" xfId="10381" xr:uid="{00000000-0005-0000-0000-0000CF700000}"/>
    <cellStyle name="Calc Percent (1) 10 2" xfId="10382" xr:uid="{00000000-0005-0000-0000-0000D0700000}"/>
    <cellStyle name="Calc Percent (1) 10 2 2" xfId="10383" xr:uid="{00000000-0005-0000-0000-0000D1700000}"/>
    <cellStyle name="Calc Percent (1) 10 2 3" xfId="10384" xr:uid="{00000000-0005-0000-0000-0000D2700000}"/>
    <cellStyle name="Calc Percent (1) 10 2 4" xfId="10385" xr:uid="{00000000-0005-0000-0000-0000D3700000}"/>
    <cellStyle name="Calc Percent (1) 10 2 5" xfId="10386" xr:uid="{00000000-0005-0000-0000-0000D4700000}"/>
    <cellStyle name="Calc Percent (1) 10 2 6" xfId="10387" xr:uid="{00000000-0005-0000-0000-0000D5700000}"/>
    <cellStyle name="Calc Percent (1) 10 2 7" xfId="10388" xr:uid="{00000000-0005-0000-0000-0000D6700000}"/>
    <cellStyle name="Calc Percent (1) 10 2 8" xfId="10389" xr:uid="{00000000-0005-0000-0000-0000D7700000}"/>
    <cellStyle name="Calc Percent (1) 10 2 9" xfId="10390" xr:uid="{00000000-0005-0000-0000-0000D8700000}"/>
    <cellStyle name="Calc Percent (1) 10 3" xfId="10391" xr:uid="{00000000-0005-0000-0000-0000D9700000}"/>
    <cellStyle name="Calc Percent (1) 10 3 2" xfId="10392" xr:uid="{00000000-0005-0000-0000-0000DA700000}"/>
    <cellStyle name="Calc Percent (1) 10 3 3" xfId="10393" xr:uid="{00000000-0005-0000-0000-0000DB700000}"/>
    <cellStyle name="Calc Percent (1) 10 3 4" xfId="10394" xr:uid="{00000000-0005-0000-0000-0000DC700000}"/>
    <cellStyle name="Calc Percent (1) 10 3 5" xfId="10395" xr:uid="{00000000-0005-0000-0000-0000DD700000}"/>
    <cellStyle name="Calc Percent (1) 10 3 6" xfId="10396" xr:uid="{00000000-0005-0000-0000-0000DE700000}"/>
    <cellStyle name="Calc Percent (1) 10 3 7" xfId="10397" xr:uid="{00000000-0005-0000-0000-0000DF700000}"/>
    <cellStyle name="Calc Percent (1) 10 3 8" xfId="10398" xr:uid="{00000000-0005-0000-0000-0000E0700000}"/>
    <cellStyle name="Calc Percent (1) 10 3 9" xfId="10399" xr:uid="{00000000-0005-0000-0000-0000E1700000}"/>
    <cellStyle name="Calc Percent (1) 10 4" xfId="10400" xr:uid="{00000000-0005-0000-0000-0000E2700000}"/>
    <cellStyle name="Calc Percent (1) 10 5" xfId="10401" xr:uid="{00000000-0005-0000-0000-0000E3700000}"/>
    <cellStyle name="Calc Percent (1) 10 6" xfId="10402" xr:uid="{00000000-0005-0000-0000-0000E4700000}"/>
    <cellStyle name="Calc Percent (1) 10 7" xfId="10403" xr:uid="{00000000-0005-0000-0000-0000E5700000}"/>
    <cellStyle name="Calc Percent (1) 10 8" xfId="10404" xr:uid="{00000000-0005-0000-0000-0000E6700000}"/>
    <cellStyle name="Calc Percent (1) 10 9" xfId="10405" xr:uid="{00000000-0005-0000-0000-0000E7700000}"/>
    <cellStyle name="Calc Percent (1) 11" xfId="10406" xr:uid="{00000000-0005-0000-0000-0000E8700000}"/>
    <cellStyle name="Calc Percent (1) 11 2" xfId="10407" xr:uid="{00000000-0005-0000-0000-0000E9700000}"/>
    <cellStyle name="Calc Percent (1) 11 3" xfId="10408" xr:uid="{00000000-0005-0000-0000-0000EA700000}"/>
    <cellStyle name="Calc Percent (1) 11 4" xfId="10409" xr:uid="{00000000-0005-0000-0000-0000EB700000}"/>
    <cellStyle name="Calc Percent (1) 11 5" xfId="10410" xr:uid="{00000000-0005-0000-0000-0000EC700000}"/>
    <cellStyle name="Calc Percent (1) 11 6" xfId="10411" xr:uid="{00000000-0005-0000-0000-0000ED700000}"/>
    <cellStyle name="Calc Percent (1) 11 7" xfId="10412" xr:uid="{00000000-0005-0000-0000-0000EE700000}"/>
    <cellStyle name="Calc Percent (1) 11 8" xfId="10413" xr:uid="{00000000-0005-0000-0000-0000EF700000}"/>
    <cellStyle name="Calc Percent (1) 11 9" xfId="10414" xr:uid="{00000000-0005-0000-0000-0000F0700000}"/>
    <cellStyle name="Calc Percent (1) 12" xfId="10415" xr:uid="{00000000-0005-0000-0000-0000F1700000}"/>
    <cellStyle name="Calc Percent (1) 12 2" xfId="10416" xr:uid="{00000000-0005-0000-0000-0000F2700000}"/>
    <cellStyle name="Calc Percent (1) 12 3" xfId="10417" xr:uid="{00000000-0005-0000-0000-0000F3700000}"/>
    <cellStyle name="Calc Percent (1) 12 4" xfId="10418" xr:uid="{00000000-0005-0000-0000-0000F4700000}"/>
    <cellStyle name="Calc Percent (1) 12 5" xfId="10419" xr:uid="{00000000-0005-0000-0000-0000F5700000}"/>
    <cellStyle name="Calc Percent (1) 12 6" xfId="10420" xr:uid="{00000000-0005-0000-0000-0000F6700000}"/>
    <cellStyle name="Calc Percent (1) 12 7" xfId="10421" xr:uid="{00000000-0005-0000-0000-0000F7700000}"/>
    <cellStyle name="Calc Percent (1) 12 8" xfId="10422" xr:uid="{00000000-0005-0000-0000-0000F8700000}"/>
    <cellStyle name="Calc Percent (1) 12 9" xfId="10423" xr:uid="{00000000-0005-0000-0000-0000F9700000}"/>
    <cellStyle name="Calc Percent (1) 13" xfId="10424" xr:uid="{00000000-0005-0000-0000-0000FA700000}"/>
    <cellStyle name="Calc Percent (1) 13 10" xfId="10425" xr:uid="{00000000-0005-0000-0000-0000FB700000}"/>
    <cellStyle name="Calc Percent (1) 13 11" xfId="10426" xr:uid="{00000000-0005-0000-0000-0000FC700000}"/>
    <cellStyle name="Calc Percent (1) 13 12" xfId="10427" xr:uid="{00000000-0005-0000-0000-0000FD700000}"/>
    <cellStyle name="Calc Percent (1) 13 13" xfId="10428" xr:uid="{00000000-0005-0000-0000-0000FE700000}"/>
    <cellStyle name="Calc Percent (1) 13 14" xfId="10429" xr:uid="{00000000-0005-0000-0000-0000FF700000}"/>
    <cellStyle name="Calc Percent (1) 13 15" xfId="10430" xr:uid="{00000000-0005-0000-0000-000000710000}"/>
    <cellStyle name="Calc Percent (1) 13 16" xfId="10431" xr:uid="{00000000-0005-0000-0000-000001710000}"/>
    <cellStyle name="Calc Percent (1) 13 2" xfId="10432" xr:uid="{00000000-0005-0000-0000-000002710000}"/>
    <cellStyle name="Calc Percent (1) 13 3" xfId="10433" xr:uid="{00000000-0005-0000-0000-000003710000}"/>
    <cellStyle name="Calc Percent (1) 13 4" xfId="10434" xr:uid="{00000000-0005-0000-0000-000004710000}"/>
    <cellStyle name="Calc Percent (1) 13 5" xfId="10435" xr:uid="{00000000-0005-0000-0000-000005710000}"/>
    <cellStyle name="Calc Percent (1) 13 6" xfId="10436" xr:uid="{00000000-0005-0000-0000-000006710000}"/>
    <cellStyle name="Calc Percent (1) 13 7" xfId="10437" xr:uid="{00000000-0005-0000-0000-000007710000}"/>
    <cellStyle name="Calc Percent (1) 13 8" xfId="10438" xr:uid="{00000000-0005-0000-0000-000008710000}"/>
    <cellStyle name="Calc Percent (1) 13 9" xfId="10439" xr:uid="{00000000-0005-0000-0000-000009710000}"/>
    <cellStyle name="Calc Percent (1) 14" xfId="10440" xr:uid="{00000000-0005-0000-0000-00000A710000}"/>
    <cellStyle name="Calc Percent (1) 14 10" xfId="10441" xr:uid="{00000000-0005-0000-0000-00000B710000}"/>
    <cellStyle name="Calc Percent (1) 14 11" xfId="10442" xr:uid="{00000000-0005-0000-0000-00000C710000}"/>
    <cellStyle name="Calc Percent (1) 14 12" xfId="10443" xr:uid="{00000000-0005-0000-0000-00000D710000}"/>
    <cellStyle name="Calc Percent (1) 14 13" xfId="10444" xr:uid="{00000000-0005-0000-0000-00000E710000}"/>
    <cellStyle name="Calc Percent (1) 14 14" xfId="10445" xr:uid="{00000000-0005-0000-0000-00000F710000}"/>
    <cellStyle name="Calc Percent (1) 14 15" xfId="10446" xr:uid="{00000000-0005-0000-0000-000010710000}"/>
    <cellStyle name="Calc Percent (1) 14 16" xfId="10447" xr:uid="{00000000-0005-0000-0000-000011710000}"/>
    <cellStyle name="Calc Percent (1) 14 2" xfId="10448" xr:uid="{00000000-0005-0000-0000-000012710000}"/>
    <cellStyle name="Calc Percent (1) 14 3" xfId="10449" xr:uid="{00000000-0005-0000-0000-000013710000}"/>
    <cellStyle name="Calc Percent (1) 14 4" xfId="10450" xr:uid="{00000000-0005-0000-0000-000014710000}"/>
    <cellStyle name="Calc Percent (1) 14 5" xfId="10451" xr:uid="{00000000-0005-0000-0000-000015710000}"/>
    <cellStyle name="Calc Percent (1) 14 6" xfId="10452" xr:uid="{00000000-0005-0000-0000-000016710000}"/>
    <cellStyle name="Calc Percent (1) 14 7" xfId="10453" xr:uid="{00000000-0005-0000-0000-000017710000}"/>
    <cellStyle name="Calc Percent (1) 14 8" xfId="10454" xr:uid="{00000000-0005-0000-0000-000018710000}"/>
    <cellStyle name="Calc Percent (1) 14 9" xfId="10455" xr:uid="{00000000-0005-0000-0000-000019710000}"/>
    <cellStyle name="Calc Percent (1) 15" xfId="10456" xr:uid="{00000000-0005-0000-0000-00001A710000}"/>
    <cellStyle name="Calc Percent (1) 15 10" xfId="10457" xr:uid="{00000000-0005-0000-0000-00001B710000}"/>
    <cellStyle name="Calc Percent (1) 15 11" xfId="10458" xr:uid="{00000000-0005-0000-0000-00001C710000}"/>
    <cellStyle name="Calc Percent (1) 15 12" xfId="10459" xr:uid="{00000000-0005-0000-0000-00001D710000}"/>
    <cellStyle name="Calc Percent (1) 15 13" xfId="10460" xr:uid="{00000000-0005-0000-0000-00001E710000}"/>
    <cellStyle name="Calc Percent (1) 15 14" xfId="10461" xr:uid="{00000000-0005-0000-0000-00001F710000}"/>
    <cellStyle name="Calc Percent (1) 15 15" xfId="10462" xr:uid="{00000000-0005-0000-0000-000020710000}"/>
    <cellStyle name="Calc Percent (1) 15 16" xfId="10463" xr:uid="{00000000-0005-0000-0000-000021710000}"/>
    <cellStyle name="Calc Percent (1) 15 2" xfId="10464" xr:uid="{00000000-0005-0000-0000-000022710000}"/>
    <cellStyle name="Calc Percent (1) 15 3" xfId="10465" xr:uid="{00000000-0005-0000-0000-000023710000}"/>
    <cellStyle name="Calc Percent (1) 15 4" xfId="10466" xr:uid="{00000000-0005-0000-0000-000024710000}"/>
    <cellStyle name="Calc Percent (1) 15 5" xfId="10467" xr:uid="{00000000-0005-0000-0000-000025710000}"/>
    <cellStyle name="Calc Percent (1) 15 6" xfId="10468" xr:uid="{00000000-0005-0000-0000-000026710000}"/>
    <cellStyle name="Calc Percent (1) 15 7" xfId="10469" xr:uid="{00000000-0005-0000-0000-000027710000}"/>
    <cellStyle name="Calc Percent (1) 15 8" xfId="10470" xr:uid="{00000000-0005-0000-0000-000028710000}"/>
    <cellStyle name="Calc Percent (1) 15 9" xfId="10471" xr:uid="{00000000-0005-0000-0000-000029710000}"/>
    <cellStyle name="Calc Percent (1) 16" xfId="10472" xr:uid="{00000000-0005-0000-0000-00002A710000}"/>
    <cellStyle name="Calc Percent (1) 16 2" xfId="10473" xr:uid="{00000000-0005-0000-0000-00002B710000}"/>
    <cellStyle name="Calc Percent (1) 16 3" xfId="10474" xr:uid="{00000000-0005-0000-0000-00002C710000}"/>
    <cellStyle name="Calc Percent (1) 16 4" xfId="10475" xr:uid="{00000000-0005-0000-0000-00002D710000}"/>
    <cellStyle name="Calc Percent (1) 16 5" xfId="10476" xr:uid="{00000000-0005-0000-0000-00002E710000}"/>
    <cellStyle name="Calc Percent (1) 16 6" xfId="10477" xr:uid="{00000000-0005-0000-0000-00002F710000}"/>
    <cellStyle name="Calc Percent (1) 16 7" xfId="10478" xr:uid="{00000000-0005-0000-0000-000030710000}"/>
    <cellStyle name="Calc Percent (1) 16 8" xfId="10479" xr:uid="{00000000-0005-0000-0000-000031710000}"/>
    <cellStyle name="Calc Percent (1) 16 9" xfId="10480" xr:uid="{00000000-0005-0000-0000-000032710000}"/>
    <cellStyle name="Calc Percent (1) 17" xfId="10481" xr:uid="{00000000-0005-0000-0000-000033710000}"/>
    <cellStyle name="Calc Percent (1) 17 2" xfId="10482" xr:uid="{00000000-0005-0000-0000-000034710000}"/>
    <cellStyle name="Calc Percent (1) 17 3" xfId="10483" xr:uid="{00000000-0005-0000-0000-000035710000}"/>
    <cellStyle name="Calc Percent (1) 17 4" xfId="10484" xr:uid="{00000000-0005-0000-0000-000036710000}"/>
    <cellStyle name="Calc Percent (1) 17 5" xfId="10485" xr:uid="{00000000-0005-0000-0000-000037710000}"/>
    <cellStyle name="Calc Percent (1) 17 6" xfId="10486" xr:uid="{00000000-0005-0000-0000-000038710000}"/>
    <cellStyle name="Calc Percent (1) 17 7" xfId="10487" xr:uid="{00000000-0005-0000-0000-000039710000}"/>
    <cellStyle name="Calc Percent (1) 17 8" xfId="10488" xr:uid="{00000000-0005-0000-0000-00003A710000}"/>
    <cellStyle name="Calc Percent (1) 17 9" xfId="10489" xr:uid="{00000000-0005-0000-0000-00003B710000}"/>
    <cellStyle name="Calc Percent (1) 18" xfId="10490" xr:uid="{00000000-0005-0000-0000-00003C710000}"/>
    <cellStyle name="Calc Percent (1) 18 2" xfId="10491" xr:uid="{00000000-0005-0000-0000-00003D710000}"/>
    <cellStyle name="Calc Percent (1) 18 3" xfId="10492" xr:uid="{00000000-0005-0000-0000-00003E710000}"/>
    <cellStyle name="Calc Percent (1) 18 4" xfId="10493" xr:uid="{00000000-0005-0000-0000-00003F710000}"/>
    <cellStyle name="Calc Percent (1) 18 5" xfId="10494" xr:uid="{00000000-0005-0000-0000-000040710000}"/>
    <cellStyle name="Calc Percent (1) 18 6" xfId="10495" xr:uid="{00000000-0005-0000-0000-000041710000}"/>
    <cellStyle name="Calc Percent (1) 18 7" xfId="10496" xr:uid="{00000000-0005-0000-0000-000042710000}"/>
    <cellStyle name="Calc Percent (1) 18 8" xfId="10497" xr:uid="{00000000-0005-0000-0000-000043710000}"/>
    <cellStyle name="Calc Percent (1) 18 9" xfId="10498" xr:uid="{00000000-0005-0000-0000-000044710000}"/>
    <cellStyle name="Calc Percent (1) 19" xfId="10499" xr:uid="{00000000-0005-0000-0000-000045710000}"/>
    <cellStyle name="Calc Percent (1) 19 2" xfId="10500" xr:uid="{00000000-0005-0000-0000-000046710000}"/>
    <cellStyle name="Calc Percent (1) 19 3" xfId="10501" xr:uid="{00000000-0005-0000-0000-000047710000}"/>
    <cellStyle name="Calc Percent (1) 19 4" xfId="10502" xr:uid="{00000000-0005-0000-0000-000048710000}"/>
    <cellStyle name="Calc Percent (1) 19 5" xfId="10503" xr:uid="{00000000-0005-0000-0000-000049710000}"/>
    <cellStyle name="Calc Percent (1) 19 6" xfId="10504" xr:uid="{00000000-0005-0000-0000-00004A710000}"/>
    <cellStyle name="Calc Percent (1) 19 7" xfId="10505" xr:uid="{00000000-0005-0000-0000-00004B710000}"/>
    <cellStyle name="Calc Percent (1) 19 8" xfId="10506" xr:uid="{00000000-0005-0000-0000-00004C710000}"/>
    <cellStyle name="Calc Percent (1) 19 9" xfId="10507" xr:uid="{00000000-0005-0000-0000-00004D710000}"/>
    <cellStyle name="Calc Percent (1) 2" xfId="10508" xr:uid="{00000000-0005-0000-0000-00004E710000}"/>
    <cellStyle name="Calc Percent (1) 2 10" xfId="10509" xr:uid="{00000000-0005-0000-0000-00004F710000}"/>
    <cellStyle name="Calc Percent (1) 2 10 2" xfId="10510" xr:uid="{00000000-0005-0000-0000-000050710000}"/>
    <cellStyle name="Calc Percent (1) 2 10 3" xfId="10511" xr:uid="{00000000-0005-0000-0000-000051710000}"/>
    <cellStyle name="Calc Percent (1) 2 11" xfId="10512" xr:uid="{00000000-0005-0000-0000-000052710000}"/>
    <cellStyle name="Calc Percent (1) 2 11 2" xfId="10513" xr:uid="{00000000-0005-0000-0000-000053710000}"/>
    <cellStyle name="Calc Percent (1) 2 11 2 2" xfId="10514" xr:uid="{00000000-0005-0000-0000-000054710000}"/>
    <cellStyle name="Calc Percent (1) 2 11 2 3" xfId="10515" xr:uid="{00000000-0005-0000-0000-000055710000}"/>
    <cellStyle name="Calc Percent (1) 2 11 3" xfId="10516" xr:uid="{00000000-0005-0000-0000-000056710000}"/>
    <cellStyle name="Calc Percent (1) 2 12" xfId="10517" xr:uid="{00000000-0005-0000-0000-000057710000}"/>
    <cellStyle name="Calc Percent (1) 2 13" xfId="10518" xr:uid="{00000000-0005-0000-0000-000058710000}"/>
    <cellStyle name="Calc Percent (1) 2 14" xfId="10519" xr:uid="{00000000-0005-0000-0000-000059710000}"/>
    <cellStyle name="Calc Percent (1) 2 2" xfId="10520" xr:uid="{00000000-0005-0000-0000-00005A710000}"/>
    <cellStyle name="Calc Percent (1) 2 2 10" xfId="10521" xr:uid="{00000000-0005-0000-0000-00005B710000}"/>
    <cellStyle name="Calc Percent (1) 2 2 11" xfId="10522" xr:uid="{00000000-0005-0000-0000-00005C710000}"/>
    <cellStyle name="Calc Percent (1) 2 2 12" xfId="10523" xr:uid="{00000000-0005-0000-0000-00005D710000}"/>
    <cellStyle name="Calc Percent (1) 2 2 13" xfId="10524" xr:uid="{00000000-0005-0000-0000-00005E710000}"/>
    <cellStyle name="Calc Percent (1) 2 2 14" xfId="10525" xr:uid="{00000000-0005-0000-0000-00005F710000}"/>
    <cellStyle name="Calc Percent (1) 2 2 15" xfId="10526" xr:uid="{00000000-0005-0000-0000-000060710000}"/>
    <cellStyle name="Calc Percent (1) 2 2 16" xfId="10527" xr:uid="{00000000-0005-0000-0000-000061710000}"/>
    <cellStyle name="Calc Percent (1) 2 2 17" xfId="10528" xr:uid="{00000000-0005-0000-0000-000062710000}"/>
    <cellStyle name="Calc Percent (1) 2 2 18" xfId="10529" xr:uid="{00000000-0005-0000-0000-000063710000}"/>
    <cellStyle name="Calc Percent (1) 2 2 2" xfId="10530" xr:uid="{00000000-0005-0000-0000-000064710000}"/>
    <cellStyle name="Calc Percent (1) 2 2 2 2" xfId="10531" xr:uid="{00000000-0005-0000-0000-000065710000}"/>
    <cellStyle name="Calc Percent (1) 2 2 2 2 2" xfId="10532" xr:uid="{00000000-0005-0000-0000-000066710000}"/>
    <cellStyle name="Calc Percent (1) 2 2 2 2 3" xfId="10533" xr:uid="{00000000-0005-0000-0000-000067710000}"/>
    <cellStyle name="Calc Percent (1) 2 2 2 2 4" xfId="10534" xr:uid="{00000000-0005-0000-0000-000068710000}"/>
    <cellStyle name="Calc Percent (1) 2 2 2 2 5" xfId="10535" xr:uid="{00000000-0005-0000-0000-000069710000}"/>
    <cellStyle name="Calc Percent (1) 2 2 2 2 6" xfId="10536" xr:uid="{00000000-0005-0000-0000-00006A710000}"/>
    <cellStyle name="Calc Percent (1) 2 2 2 2 7" xfId="10537" xr:uid="{00000000-0005-0000-0000-00006B710000}"/>
    <cellStyle name="Calc Percent (1) 2 2 2 2 8" xfId="10538" xr:uid="{00000000-0005-0000-0000-00006C710000}"/>
    <cellStyle name="Calc Percent (1) 2 2 2 3" xfId="10539" xr:uid="{00000000-0005-0000-0000-00006D710000}"/>
    <cellStyle name="Calc Percent (1) 2 2 2 4" xfId="10540" xr:uid="{00000000-0005-0000-0000-00006E710000}"/>
    <cellStyle name="Calc Percent (1) 2 2 2 5" xfId="10541" xr:uid="{00000000-0005-0000-0000-00006F710000}"/>
    <cellStyle name="Calc Percent (1) 2 2 2 6" xfId="10542" xr:uid="{00000000-0005-0000-0000-000070710000}"/>
    <cellStyle name="Calc Percent (1) 2 2 2 7" xfId="10543" xr:uid="{00000000-0005-0000-0000-000071710000}"/>
    <cellStyle name="Calc Percent (1) 2 2 2 8" xfId="10544" xr:uid="{00000000-0005-0000-0000-000072710000}"/>
    <cellStyle name="Calc Percent (1) 2 2 2 9" xfId="10545" xr:uid="{00000000-0005-0000-0000-000073710000}"/>
    <cellStyle name="Calc Percent (1) 2 2 3" xfId="10546" xr:uid="{00000000-0005-0000-0000-000074710000}"/>
    <cellStyle name="Calc Percent (1) 2 2 3 2" xfId="10547" xr:uid="{00000000-0005-0000-0000-000075710000}"/>
    <cellStyle name="Calc Percent (1) 2 2 3 3" xfId="10548" xr:uid="{00000000-0005-0000-0000-000076710000}"/>
    <cellStyle name="Calc Percent (1) 2 2 3 4" xfId="10549" xr:uid="{00000000-0005-0000-0000-000077710000}"/>
    <cellStyle name="Calc Percent (1) 2 2 3 5" xfId="10550" xr:uid="{00000000-0005-0000-0000-000078710000}"/>
    <cellStyle name="Calc Percent (1) 2 2 3 6" xfId="10551" xr:uid="{00000000-0005-0000-0000-000079710000}"/>
    <cellStyle name="Calc Percent (1) 2 2 3 7" xfId="10552" xr:uid="{00000000-0005-0000-0000-00007A710000}"/>
    <cellStyle name="Calc Percent (1) 2 2 3 8" xfId="10553" xr:uid="{00000000-0005-0000-0000-00007B710000}"/>
    <cellStyle name="Calc Percent (1) 2 2 3 9" xfId="10554" xr:uid="{00000000-0005-0000-0000-00007C710000}"/>
    <cellStyle name="Calc Percent (1) 2 2 4" xfId="10555" xr:uid="{00000000-0005-0000-0000-00007D710000}"/>
    <cellStyle name="Calc Percent (1) 2 2 5" xfId="10556" xr:uid="{00000000-0005-0000-0000-00007E710000}"/>
    <cellStyle name="Calc Percent (1) 2 2 6" xfId="10557" xr:uid="{00000000-0005-0000-0000-00007F710000}"/>
    <cellStyle name="Calc Percent (1) 2 2 7" xfId="10558" xr:uid="{00000000-0005-0000-0000-000080710000}"/>
    <cellStyle name="Calc Percent (1) 2 2 8" xfId="10559" xr:uid="{00000000-0005-0000-0000-000081710000}"/>
    <cellStyle name="Calc Percent (1) 2 2 9" xfId="10560" xr:uid="{00000000-0005-0000-0000-000082710000}"/>
    <cellStyle name="Calc Percent (1) 2 3" xfId="10561" xr:uid="{00000000-0005-0000-0000-000083710000}"/>
    <cellStyle name="Calc Percent (1) 2 3 10" xfId="10562" xr:uid="{00000000-0005-0000-0000-000084710000}"/>
    <cellStyle name="Calc Percent (1) 2 3 11" xfId="10563" xr:uid="{00000000-0005-0000-0000-000085710000}"/>
    <cellStyle name="Calc Percent (1) 2 3 12" xfId="10564" xr:uid="{00000000-0005-0000-0000-000086710000}"/>
    <cellStyle name="Calc Percent (1) 2 3 13" xfId="10565" xr:uid="{00000000-0005-0000-0000-000087710000}"/>
    <cellStyle name="Calc Percent (1) 2 3 14" xfId="10566" xr:uid="{00000000-0005-0000-0000-000088710000}"/>
    <cellStyle name="Calc Percent (1) 2 3 15" xfId="10567" xr:uid="{00000000-0005-0000-0000-000089710000}"/>
    <cellStyle name="Calc Percent (1) 2 3 16" xfId="10568" xr:uid="{00000000-0005-0000-0000-00008A710000}"/>
    <cellStyle name="Calc Percent (1) 2 3 2" xfId="10569" xr:uid="{00000000-0005-0000-0000-00008B710000}"/>
    <cellStyle name="Calc Percent (1) 2 3 2 2" xfId="10570" xr:uid="{00000000-0005-0000-0000-00008C710000}"/>
    <cellStyle name="Calc Percent (1) 2 3 2 2 2" xfId="10571" xr:uid="{00000000-0005-0000-0000-00008D710000}"/>
    <cellStyle name="Calc Percent (1) 2 3 2 2 2 2" xfId="10572" xr:uid="{00000000-0005-0000-0000-00008E710000}"/>
    <cellStyle name="Calc Percent (1) 2 3 2 2 2 2 2" xfId="10573" xr:uid="{00000000-0005-0000-0000-00008F710000}"/>
    <cellStyle name="Calc Percent (1) 2 3 2 2 2 2 3" xfId="10574" xr:uid="{00000000-0005-0000-0000-000090710000}"/>
    <cellStyle name="Calc Percent (1) 2 3 2 2 2 2 4" xfId="10575" xr:uid="{00000000-0005-0000-0000-000091710000}"/>
    <cellStyle name="Calc Percent (1) 2 3 2 2 2 2 5" xfId="10576" xr:uid="{00000000-0005-0000-0000-000092710000}"/>
    <cellStyle name="Calc Percent (1) 2 3 2 2 2 2 6" xfId="10577" xr:uid="{00000000-0005-0000-0000-000093710000}"/>
    <cellStyle name="Calc Percent (1) 2 3 2 2 2 2 7" xfId="10578" xr:uid="{00000000-0005-0000-0000-000094710000}"/>
    <cellStyle name="Calc Percent (1) 2 3 2 2 2 2 8" xfId="10579" xr:uid="{00000000-0005-0000-0000-000095710000}"/>
    <cellStyle name="Calc Percent (1) 2 3 2 2 2 3" xfId="10580" xr:uid="{00000000-0005-0000-0000-000096710000}"/>
    <cellStyle name="Calc Percent (1) 2 3 2 2 2 4" xfId="10581" xr:uid="{00000000-0005-0000-0000-000097710000}"/>
    <cellStyle name="Calc Percent (1) 2 3 2 2 2 5" xfId="10582" xr:uid="{00000000-0005-0000-0000-000098710000}"/>
    <cellStyle name="Calc Percent (1) 2 3 2 2 2 6" xfId="10583" xr:uid="{00000000-0005-0000-0000-000099710000}"/>
    <cellStyle name="Calc Percent (1) 2 3 2 2 2 7" xfId="10584" xr:uid="{00000000-0005-0000-0000-00009A710000}"/>
    <cellStyle name="Calc Percent (1) 2 3 2 2 2 8" xfId="10585" xr:uid="{00000000-0005-0000-0000-00009B710000}"/>
    <cellStyle name="Calc Percent (1) 2 3 2 2 2 9" xfId="10586" xr:uid="{00000000-0005-0000-0000-00009C710000}"/>
    <cellStyle name="Calc Percent (1) 2 3 2 2 3" xfId="10587" xr:uid="{00000000-0005-0000-0000-00009D710000}"/>
    <cellStyle name="Calc Percent (1) 2 3 2 2 4" xfId="10588" xr:uid="{00000000-0005-0000-0000-00009E710000}"/>
    <cellStyle name="Calc Percent (1) 2 3 2 2 5" xfId="10589" xr:uid="{00000000-0005-0000-0000-00009F710000}"/>
    <cellStyle name="Calc Percent (1) 2 3 2 2 6" xfId="10590" xr:uid="{00000000-0005-0000-0000-0000A0710000}"/>
    <cellStyle name="Calc Percent (1) 2 3 2 2 7" xfId="10591" xr:uid="{00000000-0005-0000-0000-0000A1710000}"/>
    <cellStyle name="Calc Percent (1) 2 3 2 2 8" xfId="10592" xr:uid="{00000000-0005-0000-0000-0000A2710000}"/>
    <cellStyle name="Calc Percent (1) 2 3 2 2 9" xfId="10593" xr:uid="{00000000-0005-0000-0000-0000A3710000}"/>
    <cellStyle name="Calc Percent (1) 2 3 2 3" xfId="10594" xr:uid="{00000000-0005-0000-0000-0000A4710000}"/>
    <cellStyle name="Calc Percent (1) 2 3 2 4" xfId="10595" xr:uid="{00000000-0005-0000-0000-0000A5710000}"/>
    <cellStyle name="Calc Percent (1) 2 3 2 5" xfId="10596" xr:uid="{00000000-0005-0000-0000-0000A6710000}"/>
    <cellStyle name="Calc Percent (1) 2 3 2 6" xfId="10597" xr:uid="{00000000-0005-0000-0000-0000A7710000}"/>
    <cellStyle name="Calc Percent (1) 2 3 2 7" xfId="10598" xr:uid="{00000000-0005-0000-0000-0000A8710000}"/>
    <cellStyle name="Calc Percent (1) 2 3 2 8" xfId="10599" xr:uid="{00000000-0005-0000-0000-0000A9710000}"/>
    <cellStyle name="Calc Percent (1) 2 3 2 9" xfId="10600" xr:uid="{00000000-0005-0000-0000-0000AA710000}"/>
    <cellStyle name="Calc Percent (1) 2 3 3" xfId="10601" xr:uid="{00000000-0005-0000-0000-0000AB710000}"/>
    <cellStyle name="Calc Percent (1) 2 3 3 2" xfId="10602" xr:uid="{00000000-0005-0000-0000-0000AC710000}"/>
    <cellStyle name="Calc Percent (1) 2 3 3 3" xfId="10603" xr:uid="{00000000-0005-0000-0000-0000AD710000}"/>
    <cellStyle name="Calc Percent (1) 2 3 3 4" xfId="10604" xr:uid="{00000000-0005-0000-0000-0000AE710000}"/>
    <cellStyle name="Calc Percent (1) 2 3 3 5" xfId="10605" xr:uid="{00000000-0005-0000-0000-0000AF710000}"/>
    <cellStyle name="Calc Percent (1) 2 3 3 6" xfId="10606" xr:uid="{00000000-0005-0000-0000-0000B0710000}"/>
    <cellStyle name="Calc Percent (1) 2 3 3 7" xfId="10607" xr:uid="{00000000-0005-0000-0000-0000B1710000}"/>
    <cellStyle name="Calc Percent (1) 2 3 3 8" xfId="10608" xr:uid="{00000000-0005-0000-0000-0000B2710000}"/>
    <cellStyle name="Calc Percent (1) 2 3 4" xfId="10609" xr:uid="{00000000-0005-0000-0000-0000B3710000}"/>
    <cellStyle name="Calc Percent (1) 2 3 4 2" xfId="10610" xr:uid="{00000000-0005-0000-0000-0000B4710000}"/>
    <cellStyle name="Calc Percent (1) 2 3 4 3" xfId="10611" xr:uid="{00000000-0005-0000-0000-0000B5710000}"/>
    <cellStyle name="Calc Percent (1) 2 3 4 4" xfId="10612" xr:uid="{00000000-0005-0000-0000-0000B6710000}"/>
    <cellStyle name="Calc Percent (1) 2 3 4 5" xfId="10613" xr:uid="{00000000-0005-0000-0000-0000B7710000}"/>
    <cellStyle name="Calc Percent (1) 2 3 4 6" xfId="10614" xr:uid="{00000000-0005-0000-0000-0000B8710000}"/>
    <cellStyle name="Calc Percent (1) 2 3 4 7" xfId="10615" xr:uid="{00000000-0005-0000-0000-0000B9710000}"/>
    <cellStyle name="Calc Percent (1) 2 3 4 8" xfId="10616" xr:uid="{00000000-0005-0000-0000-0000BA710000}"/>
    <cellStyle name="Calc Percent (1) 2 3 5" xfId="10617" xr:uid="{00000000-0005-0000-0000-0000BB710000}"/>
    <cellStyle name="Calc Percent (1) 2 3 5 2" xfId="10618" xr:uid="{00000000-0005-0000-0000-0000BC710000}"/>
    <cellStyle name="Calc Percent (1) 2 3 5 3" xfId="10619" xr:uid="{00000000-0005-0000-0000-0000BD710000}"/>
    <cellStyle name="Calc Percent (1) 2 3 5 4" xfId="10620" xr:uid="{00000000-0005-0000-0000-0000BE710000}"/>
    <cellStyle name="Calc Percent (1) 2 3 5 5" xfId="10621" xr:uid="{00000000-0005-0000-0000-0000BF710000}"/>
    <cellStyle name="Calc Percent (1) 2 3 5 6" xfId="10622" xr:uid="{00000000-0005-0000-0000-0000C0710000}"/>
    <cellStyle name="Calc Percent (1) 2 3 5 7" xfId="10623" xr:uid="{00000000-0005-0000-0000-0000C1710000}"/>
    <cellStyle name="Calc Percent (1) 2 3 5 8" xfId="10624" xr:uid="{00000000-0005-0000-0000-0000C2710000}"/>
    <cellStyle name="Calc Percent (1) 2 3 6" xfId="10625" xr:uid="{00000000-0005-0000-0000-0000C3710000}"/>
    <cellStyle name="Calc Percent (1) 2 3 6 2" xfId="10626" xr:uid="{00000000-0005-0000-0000-0000C4710000}"/>
    <cellStyle name="Calc Percent (1) 2 3 6 3" xfId="10627" xr:uid="{00000000-0005-0000-0000-0000C5710000}"/>
    <cellStyle name="Calc Percent (1) 2 3 6 4" xfId="10628" xr:uid="{00000000-0005-0000-0000-0000C6710000}"/>
    <cellStyle name="Calc Percent (1) 2 3 6 5" xfId="10629" xr:uid="{00000000-0005-0000-0000-0000C7710000}"/>
    <cellStyle name="Calc Percent (1) 2 3 6 6" xfId="10630" xr:uid="{00000000-0005-0000-0000-0000C8710000}"/>
    <cellStyle name="Calc Percent (1) 2 3 6 7" xfId="10631" xr:uid="{00000000-0005-0000-0000-0000C9710000}"/>
    <cellStyle name="Calc Percent (1) 2 3 6 8" xfId="10632" xr:uid="{00000000-0005-0000-0000-0000CA710000}"/>
    <cellStyle name="Calc Percent (1) 2 3 7" xfId="10633" xr:uid="{00000000-0005-0000-0000-0000CB710000}"/>
    <cellStyle name="Calc Percent (1) 2 3 8" xfId="10634" xr:uid="{00000000-0005-0000-0000-0000CC710000}"/>
    <cellStyle name="Calc Percent (1) 2 3 9" xfId="10635" xr:uid="{00000000-0005-0000-0000-0000CD710000}"/>
    <cellStyle name="Calc Percent (1) 2 4" xfId="10636" xr:uid="{00000000-0005-0000-0000-0000CE710000}"/>
    <cellStyle name="Calc Percent (1) 2 4 2" xfId="10637" xr:uid="{00000000-0005-0000-0000-0000CF710000}"/>
    <cellStyle name="Calc Percent (1) 2 4 3" xfId="10638" xr:uid="{00000000-0005-0000-0000-0000D0710000}"/>
    <cellStyle name="Calc Percent (1) 2 5" xfId="10639" xr:uid="{00000000-0005-0000-0000-0000D1710000}"/>
    <cellStyle name="Calc Percent (1) 2 5 2" xfId="10640" xr:uid="{00000000-0005-0000-0000-0000D2710000}"/>
    <cellStyle name="Calc Percent (1) 2 5 3" xfId="10641" xr:uid="{00000000-0005-0000-0000-0000D3710000}"/>
    <cellStyle name="Calc Percent (1) 2 6" xfId="10642" xr:uid="{00000000-0005-0000-0000-0000D4710000}"/>
    <cellStyle name="Calc Percent (1) 2 6 2" xfId="10643" xr:uid="{00000000-0005-0000-0000-0000D5710000}"/>
    <cellStyle name="Calc Percent (1) 2 6 3" xfId="10644" xr:uid="{00000000-0005-0000-0000-0000D6710000}"/>
    <cellStyle name="Calc Percent (1) 2 7" xfId="10645" xr:uid="{00000000-0005-0000-0000-0000D7710000}"/>
    <cellStyle name="Calc Percent (1) 2 7 2" xfId="10646" xr:uid="{00000000-0005-0000-0000-0000D8710000}"/>
    <cellStyle name="Calc Percent (1) 2 7 3" xfId="10647" xr:uid="{00000000-0005-0000-0000-0000D9710000}"/>
    <cellStyle name="Calc Percent (1) 2 8" xfId="10648" xr:uid="{00000000-0005-0000-0000-0000DA710000}"/>
    <cellStyle name="Calc Percent (1) 2 8 2" xfId="10649" xr:uid="{00000000-0005-0000-0000-0000DB710000}"/>
    <cellStyle name="Calc Percent (1) 2 8 3" xfId="10650" xr:uid="{00000000-0005-0000-0000-0000DC710000}"/>
    <cellStyle name="Calc Percent (1) 2 9" xfId="10651" xr:uid="{00000000-0005-0000-0000-0000DD710000}"/>
    <cellStyle name="Calc Percent (1) 2 9 2" xfId="10652" xr:uid="{00000000-0005-0000-0000-0000DE710000}"/>
    <cellStyle name="Calc Percent (1) 2 9 3" xfId="10653" xr:uid="{00000000-0005-0000-0000-0000DF710000}"/>
    <cellStyle name="Calc Percent (1) 2_You Plus DCF Workpapers" xfId="10654" xr:uid="{00000000-0005-0000-0000-0000E0710000}"/>
    <cellStyle name="Calc Percent (1) 20" xfId="10655" xr:uid="{00000000-0005-0000-0000-0000E1710000}"/>
    <cellStyle name="Calc Percent (1) 20 2" xfId="10656" xr:uid="{00000000-0005-0000-0000-0000E2710000}"/>
    <cellStyle name="Calc Percent (1) 20 3" xfId="10657" xr:uid="{00000000-0005-0000-0000-0000E3710000}"/>
    <cellStyle name="Calc Percent (1) 20 4" xfId="10658" xr:uid="{00000000-0005-0000-0000-0000E4710000}"/>
    <cellStyle name="Calc Percent (1) 20 5" xfId="10659" xr:uid="{00000000-0005-0000-0000-0000E5710000}"/>
    <cellStyle name="Calc Percent (1) 20 6" xfId="10660" xr:uid="{00000000-0005-0000-0000-0000E6710000}"/>
    <cellStyle name="Calc Percent (1) 20 7" xfId="10661" xr:uid="{00000000-0005-0000-0000-0000E7710000}"/>
    <cellStyle name="Calc Percent (1) 20 8" xfId="10662" xr:uid="{00000000-0005-0000-0000-0000E8710000}"/>
    <cellStyle name="Calc Percent (1) 20 9" xfId="10663" xr:uid="{00000000-0005-0000-0000-0000E9710000}"/>
    <cellStyle name="Calc Percent (1) 21" xfId="10664" xr:uid="{00000000-0005-0000-0000-0000EA710000}"/>
    <cellStyle name="Calc Percent (1) 21 2" xfId="10665" xr:uid="{00000000-0005-0000-0000-0000EB710000}"/>
    <cellStyle name="Calc Percent (1) 21 3" xfId="10666" xr:uid="{00000000-0005-0000-0000-0000EC710000}"/>
    <cellStyle name="Calc Percent (1) 21 4" xfId="10667" xr:uid="{00000000-0005-0000-0000-0000ED710000}"/>
    <cellStyle name="Calc Percent (1) 21 5" xfId="10668" xr:uid="{00000000-0005-0000-0000-0000EE710000}"/>
    <cellStyle name="Calc Percent (1) 21 6" xfId="10669" xr:uid="{00000000-0005-0000-0000-0000EF710000}"/>
    <cellStyle name="Calc Percent (1) 21 7" xfId="10670" xr:uid="{00000000-0005-0000-0000-0000F0710000}"/>
    <cellStyle name="Calc Percent (1) 21 8" xfId="10671" xr:uid="{00000000-0005-0000-0000-0000F1710000}"/>
    <cellStyle name="Calc Percent (1) 21 9" xfId="10672" xr:uid="{00000000-0005-0000-0000-0000F2710000}"/>
    <cellStyle name="Calc Percent (1) 22" xfId="10673" xr:uid="{00000000-0005-0000-0000-0000F3710000}"/>
    <cellStyle name="Calc Percent (1) 22 2" xfId="10674" xr:uid="{00000000-0005-0000-0000-0000F4710000}"/>
    <cellStyle name="Calc Percent (1) 22 3" xfId="10675" xr:uid="{00000000-0005-0000-0000-0000F5710000}"/>
    <cellStyle name="Calc Percent (1) 22 4" xfId="10676" xr:uid="{00000000-0005-0000-0000-0000F6710000}"/>
    <cellStyle name="Calc Percent (1) 22 5" xfId="10677" xr:uid="{00000000-0005-0000-0000-0000F7710000}"/>
    <cellStyle name="Calc Percent (1) 22 6" xfId="10678" xr:uid="{00000000-0005-0000-0000-0000F8710000}"/>
    <cellStyle name="Calc Percent (1) 22 7" xfId="10679" xr:uid="{00000000-0005-0000-0000-0000F9710000}"/>
    <cellStyle name="Calc Percent (1) 22 8" xfId="10680" xr:uid="{00000000-0005-0000-0000-0000FA710000}"/>
    <cellStyle name="Calc Percent (1) 22 9" xfId="10681" xr:uid="{00000000-0005-0000-0000-0000FB710000}"/>
    <cellStyle name="Calc Percent (1) 23" xfId="10682" xr:uid="{00000000-0005-0000-0000-0000FC710000}"/>
    <cellStyle name="Calc Percent (1) 24" xfId="10683" xr:uid="{00000000-0005-0000-0000-0000FD710000}"/>
    <cellStyle name="Calc Percent (1) 25" xfId="10684" xr:uid="{00000000-0005-0000-0000-0000FE710000}"/>
    <cellStyle name="Calc Percent (1) 26" xfId="10685" xr:uid="{00000000-0005-0000-0000-0000FF710000}"/>
    <cellStyle name="Calc Percent (1) 27" xfId="10686" xr:uid="{00000000-0005-0000-0000-000000720000}"/>
    <cellStyle name="Calc Percent (1) 28" xfId="10687" xr:uid="{00000000-0005-0000-0000-000001720000}"/>
    <cellStyle name="Calc Percent (1) 29" xfId="10688" xr:uid="{00000000-0005-0000-0000-000002720000}"/>
    <cellStyle name="Calc Percent (1) 3" xfId="10689" xr:uid="{00000000-0005-0000-0000-000003720000}"/>
    <cellStyle name="Calc Percent (1) 3 10" xfId="10690" xr:uid="{00000000-0005-0000-0000-000004720000}"/>
    <cellStyle name="Calc Percent (1) 3 11" xfId="10691" xr:uid="{00000000-0005-0000-0000-000005720000}"/>
    <cellStyle name="Calc Percent (1) 3 2" xfId="10692" xr:uid="{00000000-0005-0000-0000-000006720000}"/>
    <cellStyle name="Calc Percent (1) 3 2 10" xfId="10693" xr:uid="{00000000-0005-0000-0000-000007720000}"/>
    <cellStyle name="Calc Percent (1) 3 2 11" xfId="10694" xr:uid="{00000000-0005-0000-0000-000008720000}"/>
    <cellStyle name="Calc Percent (1) 3 2 12" xfId="10695" xr:uid="{00000000-0005-0000-0000-000009720000}"/>
    <cellStyle name="Calc Percent (1) 3 2 13" xfId="10696" xr:uid="{00000000-0005-0000-0000-00000A720000}"/>
    <cellStyle name="Calc Percent (1) 3 2 14" xfId="10697" xr:uid="{00000000-0005-0000-0000-00000B720000}"/>
    <cellStyle name="Calc Percent (1) 3 2 15" xfId="10698" xr:uid="{00000000-0005-0000-0000-00000C720000}"/>
    <cellStyle name="Calc Percent (1) 3 2 16" xfId="10699" xr:uid="{00000000-0005-0000-0000-00000D720000}"/>
    <cellStyle name="Calc Percent (1) 3 2 2" xfId="10700" xr:uid="{00000000-0005-0000-0000-00000E720000}"/>
    <cellStyle name="Calc Percent (1) 3 2 2 2" xfId="10701" xr:uid="{00000000-0005-0000-0000-00000F720000}"/>
    <cellStyle name="Calc Percent (1) 3 2 2 3" xfId="10702" xr:uid="{00000000-0005-0000-0000-000010720000}"/>
    <cellStyle name="Calc Percent (1) 3 2 3" xfId="10703" xr:uid="{00000000-0005-0000-0000-000011720000}"/>
    <cellStyle name="Calc Percent (1) 3 2 3 2" xfId="10704" xr:uid="{00000000-0005-0000-0000-000012720000}"/>
    <cellStyle name="Calc Percent (1) 3 2 3 3" xfId="10705" xr:uid="{00000000-0005-0000-0000-000013720000}"/>
    <cellStyle name="Calc Percent (1) 3 2 3 4" xfId="10706" xr:uid="{00000000-0005-0000-0000-000014720000}"/>
    <cellStyle name="Calc Percent (1) 3 2 3 5" xfId="10707" xr:uid="{00000000-0005-0000-0000-000015720000}"/>
    <cellStyle name="Calc Percent (1) 3 2 3 6" xfId="10708" xr:uid="{00000000-0005-0000-0000-000016720000}"/>
    <cellStyle name="Calc Percent (1) 3 2 3 7" xfId="10709" xr:uid="{00000000-0005-0000-0000-000017720000}"/>
    <cellStyle name="Calc Percent (1) 3 2 3 8" xfId="10710" xr:uid="{00000000-0005-0000-0000-000018720000}"/>
    <cellStyle name="Calc Percent (1) 3 2 4" xfId="10711" xr:uid="{00000000-0005-0000-0000-000019720000}"/>
    <cellStyle name="Calc Percent (1) 3 2 5" xfId="10712" xr:uid="{00000000-0005-0000-0000-00001A720000}"/>
    <cellStyle name="Calc Percent (1) 3 2 6" xfId="10713" xr:uid="{00000000-0005-0000-0000-00001B720000}"/>
    <cellStyle name="Calc Percent (1) 3 2 7" xfId="10714" xr:uid="{00000000-0005-0000-0000-00001C720000}"/>
    <cellStyle name="Calc Percent (1) 3 2 8" xfId="10715" xr:uid="{00000000-0005-0000-0000-00001D720000}"/>
    <cellStyle name="Calc Percent (1) 3 2 9" xfId="10716" xr:uid="{00000000-0005-0000-0000-00001E720000}"/>
    <cellStyle name="Calc Percent (1) 3 3" xfId="10717" xr:uid="{00000000-0005-0000-0000-00001F720000}"/>
    <cellStyle name="Calc Percent (1) 3 3 2" xfId="10718" xr:uid="{00000000-0005-0000-0000-000020720000}"/>
    <cellStyle name="Calc Percent (1) 3 3 2 2" xfId="10719" xr:uid="{00000000-0005-0000-0000-000021720000}"/>
    <cellStyle name="Calc Percent (1) 3 3 2 2 2" xfId="10720" xr:uid="{00000000-0005-0000-0000-000022720000}"/>
    <cellStyle name="Calc Percent (1) 3 3 2 2 2 2" xfId="10721" xr:uid="{00000000-0005-0000-0000-000023720000}"/>
    <cellStyle name="Calc Percent (1) 3 3 2 2 2 3" xfId="10722" xr:uid="{00000000-0005-0000-0000-000024720000}"/>
    <cellStyle name="Calc Percent (1) 3 3 2 2 2 4" xfId="10723" xr:uid="{00000000-0005-0000-0000-000025720000}"/>
    <cellStyle name="Calc Percent (1) 3 3 2 2 2 5" xfId="10724" xr:uid="{00000000-0005-0000-0000-000026720000}"/>
    <cellStyle name="Calc Percent (1) 3 3 2 2 2 6" xfId="10725" xr:uid="{00000000-0005-0000-0000-000027720000}"/>
    <cellStyle name="Calc Percent (1) 3 3 2 2 2 7" xfId="10726" xr:uid="{00000000-0005-0000-0000-000028720000}"/>
    <cellStyle name="Calc Percent (1) 3 3 2 2 2 8" xfId="10727" xr:uid="{00000000-0005-0000-0000-000029720000}"/>
    <cellStyle name="Calc Percent (1) 3 3 2 2 3" xfId="10728" xr:uid="{00000000-0005-0000-0000-00002A720000}"/>
    <cellStyle name="Calc Percent (1) 3 3 2 2 4" xfId="10729" xr:uid="{00000000-0005-0000-0000-00002B720000}"/>
    <cellStyle name="Calc Percent (1) 3 3 2 2 5" xfId="10730" xr:uid="{00000000-0005-0000-0000-00002C720000}"/>
    <cellStyle name="Calc Percent (1) 3 3 2 2 6" xfId="10731" xr:uid="{00000000-0005-0000-0000-00002D720000}"/>
    <cellStyle name="Calc Percent (1) 3 3 2 2 7" xfId="10732" xr:uid="{00000000-0005-0000-0000-00002E720000}"/>
    <cellStyle name="Calc Percent (1) 3 3 2 2 8" xfId="10733" xr:uid="{00000000-0005-0000-0000-00002F720000}"/>
    <cellStyle name="Calc Percent (1) 3 3 2 2 9" xfId="10734" xr:uid="{00000000-0005-0000-0000-000030720000}"/>
    <cellStyle name="Calc Percent (1) 3 3 2 3" xfId="10735" xr:uid="{00000000-0005-0000-0000-000031720000}"/>
    <cellStyle name="Calc Percent (1) 3 3 2 4" xfId="10736" xr:uid="{00000000-0005-0000-0000-000032720000}"/>
    <cellStyle name="Calc Percent (1) 3 3 2 5" xfId="10737" xr:uid="{00000000-0005-0000-0000-000033720000}"/>
    <cellStyle name="Calc Percent (1) 3 3 2 6" xfId="10738" xr:uid="{00000000-0005-0000-0000-000034720000}"/>
    <cellStyle name="Calc Percent (1) 3 3 2 7" xfId="10739" xr:uid="{00000000-0005-0000-0000-000035720000}"/>
    <cellStyle name="Calc Percent (1) 3 3 2 8" xfId="10740" xr:uid="{00000000-0005-0000-0000-000036720000}"/>
    <cellStyle name="Calc Percent (1) 3 3 2 9" xfId="10741" xr:uid="{00000000-0005-0000-0000-000037720000}"/>
    <cellStyle name="Calc Percent (1) 3 3 3" xfId="10742" xr:uid="{00000000-0005-0000-0000-000038720000}"/>
    <cellStyle name="Calc Percent (1) 3 3 3 2" xfId="10743" xr:uid="{00000000-0005-0000-0000-000039720000}"/>
    <cellStyle name="Calc Percent (1) 3 3 3 3" xfId="10744" xr:uid="{00000000-0005-0000-0000-00003A720000}"/>
    <cellStyle name="Calc Percent (1) 3 3 3 4" xfId="10745" xr:uid="{00000000-0005-0000-0000-00003B720000}"/>
    <cellStyle name="Calc Percent (1) 3 3 3 5" xfId="10746" xr:uid="{00000000-0005-0000-0000-00003C720000}"/>
    <cellStyle name="Calc Percent (1) 3 3 3 6" xfId="10747" xr:uid="{00000000-0005-0000-0000-00003D720000}"/>
    <cellStyle name="Calc Percent (1) 3 3 3 7" xfId="10748" xr:uid="{00000000-0005-0000-0000-00003E720000}"/>
    <cellStyle name="Calc Percent (1) 3 3 3 8" xfId="10749" xr:uid="{00000000-0005-0000-0000-00003F720000}"/>
    <cellStyle name="Calc Percent (1) 3 3 4" xfId="10750" xr:uid="{00000000-0005-0000-0000-000040720000}"/>
    <cellStyle name="Calc Percent (1) 3 3 5" xfId="10751" xr:uid="{00000000-0005-0000-0000-000041720000}"/>
    <cellStyle name="Calc Percent (1) 3 3 6" xfId="10752" xr:uid="{00000000-0005-0000-0000-000042720000}"/>
    <cellStyle name="Calc Percent (1) 3 3 7" xfId="10753" xr:uid="{00000000-0005-0000-0000-000043720000}"/>
    <cellStyle name="Calc Percent (1) 3 3 8" xfId="10754" xr:uid="{00000000-0005-0000-0000-000044720000}"/>
    <cellStyle name="Calc Percent (1) 3 3 9" xfId="10755" xr:uid="{00000000-0005-0000-0000-000045720000}"/>
    <cellStyle name="Calc Percent (1) 3 4" xfId="10756" xr:uid="{00000000-0005-0000-0000-000046720000}"/>
    <cellStyle name="Calc Percent (1) 3 4 2" xfId="10757" xr:uid="{00000000-0005-0000-0000-000047720000}"/>
    <cellStyle name="Calc Percent (1) 3 4 3" xfId="10758" xr:uid="{00000000-0005-0000-0000-000048720000}"/>
    <cellStyle name="Calc Percent (1) 3 4 4" xfId="10759" xr:uid="{00000000-0005-0000-0000-000049720000}"/>
    <cellStyle name="Calc Percent (1) 3 4 5" xfId="10760" xr:uid="{00000000-0005-0000-0000-00004A720000}"/>
    <cellStyle name="Calc Percent (1) 3 4 6" xfId="10761" xr:uid="{00000000-0005-0000-0000-00004B720000}"/>
    <cellStyle name="Calc Percent (1) 3 4 7" xfId="10762" xr:uid="{00000000-0005-0000-0000-00004C720000}"/>
    <cellStyle name="Calc Percent (1) 3 4 8" xfId="10763" xr:uid="{00000000-0005-0000-0000-00004D720000}"/>
    <cellStyle name="Calc Percent (1) 3 5" xfId="10764" xr:uid="{00000000-0005-0000-0000-00004E720000}"/>
    <cellStyle name="Calc Percent (1) 3 6" xfId="10765" xr:uid="{00000000-0005-0000-0000-00004F720000}"/>
    <cellStyle name="Calc Percent (1) 3 7" xfId="10766" xr:uid="{00000000-0005-0000-0000-000050720000}"/>
    <cellStyle name="Calc Percent (1) 3 8" xfId="10767" xr:uid="{00000000-0005-0000-0000-000051720000}"/>
    <cellStyle name="Calc Percent (1) 3 9" xfId="10768" xr:uid="{00000000-0005-0000-0000-000052720000}"/>
    <cellStyle name="Calc Percent (1) 30" xfId="10769" xr:uid="{00000000-0005-0000-0000-000053720000}"/>
    <cellStyle name="Calc Percent (1) 31" xfId="10770" xr:uid="{00000000-0005-0000-0000-000054720000}"/>
    <cellStyle name="Calc Percent (1) 32" xfId="10771" xr:uid="{00000000-0005-0000-0000-000055720000}"/>
    <cellStyle name="Calc Percent (1) 33" xfId="10772" xr:uid="{00000000-0005-0000-0000-000056720000}"/>
    <cellStyle name="Calc Percent (1) 34" xfId="10773" xr:uid="{00000000-0005-0000-0000-000057720000}"/>
    <cellStyle name="Calc Percent (1) 35" xfId="10774" xr:uid="{00000000-0005-0000-0000-000058720000}"/>
    <cellStyle name="Calc Percent (1) 36" xfId="10775" xr:uid="{00000000-0005-0000-0000-000059720000}"/>
    <cellStyle name="Calc Percent (1) 4" xfId="10776" xr:uid="{00000000-0005-0000-0000-00005A720000}"/>
    <cellStyle name="Calc Percent (1) 4 10" xfId="10777" xr:uid="{00000000-0005-0000-0000-00005B720000}"/>
    <cellStyle name="Calc Percent (1) 4 11" xfId="10778" xr:uid="{00000000-0005-0000-0000-00005C720000}"/>
    <cellStyle name="Calc Percent (1) 4 2" xfId="10779" xr:uid="{00000000-0005-0000-0000-00005D720000}"/>
    <cellStyle name="Calc Percent (1) 4 2 2" xfId="10780" xr:uid="{00000000-0005-0000-0000-00005E720000}"/>
    <cellStyle name="Calc Percent (1) 4 2 3" xfId="10781" xr:uid="{00000000-0005-0000-0000-00005F720000}"/>
    <cellStyle name="Calc Percent (1) 4 2 4" xfId="10782" xr:uid="{00000000-0005-0000-0000-000060720000}"/>
    <cellStyle name="Calc Percent (1) 4 2 5" xfId="10783" xr:uid="{00000000-0005-0000-0000-000061720000}"/>
    <cellStyle name="Calc Percent (1) 4 2 6" xfId="10784" xr:uid="{00000000-0005-0000-0000-000062720000}"/>
    <cellStyle name="Calc Percent (1) 4 2 7" xfId="10785" xr:uid="{00000000-0005-0000-0000-000063720000}"/>
    <cellStyle name="Calc Percent (1) 4 2 8" xfId="10786" xr:uid="{00000000-0005-0000-0000-000064720000}"/>
    <cellStyle name="Calc Percent (1) 4 2 9" xfId="10787" xr:uid="{00000000-0005-0000-0000-000065720000}"/>
    <cellStyle name="Calc Percent (1) 4 3" xfId="10788" xr:uid="{00000000-0005-0000-0000-000066720000}"/>
    <cellStyle name="Calc Percent (1) 4 3 2" xfId="10789" xr:uid="{00000000-0005-0000-0000-000067720000}"/>
    <cellStyle name="Calc Percent (1) 4 3 3" xfId="10790" xr:uid="{00000000-0005-0000-0000-000068720000}"/>
    <cellStyle name="Calc Percent (1) 4 3 4" xfId="10791" xr:uid="{00000000-0005-0000-0000-000069720000}"/>
    <cellStyle name="Calc Percent (1) 4 3 5" xfId="10792" xr:uid="{00000000-0005-0000-0000-00006A720000}"/>
    <cellStyle name="Calc Percent (1) 4 3 6" xfId="10793" xr:uid="{00000000-0005-0000-0000-00006B720000}"/>
    <cellStyle name="Calc Percent (1) 4 3 7" xfId="10794" xr:uid="{00000000-0005-0000-0000-00006C720000}"/>
    <cellStyle name="Calc Percent (1) 4 3 8" xfId="10795" xr:uid="{00000000-0005-0000-0000-00006D720000}"/>
    <cellStyle name="Calc Percent (1) 4 3 9" xfId="10796" xr:uid="{00000000-0005-0000-0000-00006E720000}"/>
    <cellStyle name="Calc Percent (1) 4 4" xfId="10797" xr:uid="{00000000-0005-0000-0000-00006F720000}"/>
    <cellStyle name="Calc Percent (1) 4 5" xfId="10798" xr:uid="{00000000-0005-0000-0000-000070720000}"/>
    <cellStyle name="Calc Percent (1) 4 6" xfId="10799" xr:uid="{00000000-0005-0000-0000-000071720000}"/>
    <cellStyle name="Calc Percent (1) 4 7" xfId="10800" xr:uid="{00000000-0005-0000-0000-000072720000}"/>
    <cellStyle name="Calc Percent (1) 4 8" xfId="10801" xr:uid="{00000000-0005-0000-0000-000073720000}"/>
    <cellStyle name="Calc Percent (1) 4 9" xfId="10802" xr:uid="{00000000-0005-0000-0000-000074720000}"/>
    <cellStyle name="Calc Percent (1) 5" xfId="10803" xr:uid="{00000000-0005-0000-0000-000075720000}"/>
    <cellStyle name="Calc Percent (1) 5 10" xfId="10804" xr:uid="{00000000-0005-0000-0000-000076720000}"/>
    <cellStyle name="Calc Percent (1) 5 11" xfId="10805" xr:uid="{00000000-0005-0000-0000-000077720000}"/>
    <cellStyle name="Calc Percent (1) 5 2" xfId="10806" xr:uid="{00000000-0005-0000-0000-000078720000}"/>
    <cellStyle name="Calc Percent (1) 5 2 10" xfId="10807" xr:uid="{00000000-0005-0000-0000-000079720000}"/>
    <cellStyle name="Calc Percent (1) 5 2 11" xfId="10808" xr:uid="{00000000-0005-0000-0000-00007A720000}"/>
    <cellStyle name="Calc Percent (1) 5 2 12" xfId="10809" xr:uid="{00000000-0005-0000-0000-00007B720000}"/>
    <cellStyle name="Calc Percent (1) 5 2 13" xfId="10810" xr:uid="{00000000-0005-0000-0000-00007C720000}"/>
    <cellStyle name="Calc Percent (1) 5 2 14" xfId="10811" xr:uid="{00000000-0005-0000-0000-00007D720000}"/>
    <cellStyle name="Calc Percent (1) 5 2 15" xfId="10812" xr:uid="{00000000-0005-0000-0000-00007E720000}"/>
    <cellStyle name="Calc Percent (1) 5 2 16" xfId="10813" xr:uid="{00000000-0005-0000-0000-00007F720000}"/>
    <cellStyle name="Calc Percent (1) 5 2 2" xfId="10814" xr:uid="{00000000-0005-0000-0000-000080720000}"/>
    <cellStyle name="Calc Percent (1) 5 2 2 2" xfId="10815" xr:uid="{00000000-0005-0000-0000-000081720000}"/>
    <cellStyle name="Calc Percent (1) 5 2 2 2 2" xfId="10816" xr:uid="{00000000-0005-0000-0000-000082720000}"/>
    <cellStyle name="Calc Percent (1) 5 2 2 2 3" xfId="10817" xr:uid="{00000000-0005-0000-0000-000083720000}"/>
    <cellStyle name="Calc Percent (1) 5 2 2 3" xfId="10818" xr:uid="{00000000-0005-0000-0000-000084720000}"/>
    <cellStyle name="Calc Percent (1) 5 2 3" xfId="10819" xr:uid="{00000000-0005-0000-0000-000085720000}"/>
    <cellStyle name="Calc Percent (1) 5 2 4" xfId="10820" xr:uid="{00000000-0005-0000-0000-000086720000}"/>
    <cellStyle name="Calc Percent (1) 5 2 5" xfId="10821" xr:uid="{00000000-0005-0000-0000-000087720000}"/>
    <cellStyle name="Calc Percent (1) 5 2 6" xfId="10822" xr:uid="{00000000-0005-0000-0000-000088720000}"/>
    <cellStyle name="Calc Percent (1) 5 2 7" xfId="10823" xr:uid="{00000000-0005-0000-0000-000089720000}"/>
    <cellStyle name="Calc Percent (1) 5 2 8" xfId="10824" xr:uid="{00000000-0005-0000-0000-00008A720000}"/>
    <cellStyle name="Calc Percent (1) 5 2 9" xfId="10825" xr:uid="{00000000-0005-0000-0000-00008B720000}"/>
    <cellStyle name="Calc Percent (1) 5 3" xfId="10826" xr:uid="{00000000-0005-0000-0000-00008C720000}"/>
    <cellStyle name="Calc Percent (1) 5 3 2" xfId="10827" xr:uid="{00000000-0005-0000-0000-00008D720000}"/>
    <cellStyle name="Calc Percent (1) 5 3 3" xfId="10828" xr:uid="{00000000-0005-0000-0000-00008E720000}"/>
    <cellStyle name="Calc Percent (1) 5 3 4" xfId="10829" xr:uid="{00000000-0005-0000-0000-00008F720000}"/>
    <cellStyle name="Calc Percent (1) 5 3 5" xfId="10830" xr:uid="{00000000-0005-0000-0000-000090720000}"/>
    <cellStyle name="Calc Percent (1) 5 3 6" xfId="10831" xr:uid="{00000000-0005-0000-0000-000091720000}"/>
    <cellStyle name="Calc Percent (1) 5 3 7" xfId="10832" xr:uid="{00000000-0005-0000-0000-000092720000}"/>
    <cellStyle name="Calc Percent (1) 5 3 8" xfId="10833" xr:uid="{00000000-0005-0000-0000-000093720000}"/>
    <cellStyle name="Calc Percent (1) 5 3 9" xfId="10834" xr:uid="{00000000-0005-0000-0000-000094720000}"/>
    <cellStyle name="Calc Percent (1) 5 4" xfId="10835" xr:uid="{00000000-0005-0000-0000-000095720000}"/>
    <cellStyle name="Calc Percent (1) 5 5" xfId="10836" xr:uid="{00000000-0005-0000-0000-000096720000}"/>
    <cellStyle name="Calc Percent (1) 5 6" xfId="10837" xr:uid="{00000000-0005-0000-0000-000097720000}"/>
    <cellStyle name="Calc Percent (1) 5 6 2" xfId="10838" xr:uid="{00000000-0005-0000-0000-000098720000}"/>
    <cellStyle name="Calc Percent (1) 5 6 3" xfId="10839" xr:uid="{00000000-0005-0000-0000-000099720000}"/>
    <cellStyle name="Calc Percent (1) 5 6 4" xfId="10840" xr:uid="{00000000-0005-0000-0000-00009A720000}"/>
    <cellStyle name="Calc Percent (1) 5 6 5" xfId="10841" xr:uid="{00000000-0005-0000-0000-00009B720000}"/>
    <cellStyle name="Calc Percent (1) 5 6 6" xfId="10842" xr:uid="{00000000-0005-0000-0000-00009C720000}"/>
    <cellStyle name="Calc Percent (1) 5 6 7" xfId="10843" xr:uid="{00000000-0005-0000-0000-00009D720000}"/>
    <cellStyle name="Calc Percent (1) 5 6 8" xfId="10844" xr:uid="{00000000-0005-0000-0000-00009E720000}"/>
    <cellStyle name="Calc Percent (1) 5 7" xfId="10845" xr:uid="{00000000-0005-0000-0000-00009F720000}"/>
    <cellStyle name="Calc Percent (1) 5 8" xfId="10846" xr:uid="{00000000-0005-0000-0000-0000A0720000}"/>
    <cellStyle name="Calc Percent (1) 5 9" xfId="10847" xr:uid="{00000000-0005-0000-0000-0000A1720000}"/>
    <cellStyle name="Calc Percent (1) 6" xfId="10848" xr:uid="{00000000-0005-0000-0000-0000A2720000}"/>
    <cellStyle name="Calc Percent (1) 6 10" xfId="10849" xr:uid="{00000000-0005-0000-0000-0000A3720000}"/>
    <cellStyle name="Calc Percent (1) 6 11" xfId="10850" xr:uid="{00000000-0005-0000-0000-0000A4720000}"/>
    <cellStyle name="Calc Percent (1) 6 2" xfId="10851" xr:uid="{00000000-0005-0000-0000-0000A5720000}"/>
    <cellStyle name="Calc Percent (1) 6 2 2" xfId="10852" xr:uid="{00000000-0005-0000-0000-0000A6720000}"/>
    <cellStyle name="Calc Percent (1) 6 2 3" xfId="10853" xr:uid="{00000000-0005-0000-0000-0000A7720000}"/>
    <cellStyle name="Calc Percent (1) 6 2 4" xfId="10854" xr:uid="{00000000-0005-0000-0000-0000A8720000}"/>
    <cellStyle name="Calc Percent (1) 6 2 5" xfId="10855" xr:uid="{00000000-0005-0000-0000-0000A9720000}"/>
    <cellStyle name="Calc Percent (1) 6 2 6" xfId="10856" xr:uid="{00000000-0005-0000-0000-0000AA720000}"/>
    <cellStyle name="Calc Percent (1) 6 2 7" xfId="10857" xr:uid="{00000000-0005-0000-0000-0000AB720000}"/>
    <cellStyle name="Calc Percent (1) 6 2 8" xfId="10858" xr:uid="{00000000-0005-0000-0000-0000AC720000}"/>
    <cellStyle name="Calc Percent (1) 6 2 9" xfId="10859" xr:uid="{00000000-0005-0000-0000-0000AD720000}"/>
    <cellStyle name="Calc Percent (1) 6 3" xfId="10860" xr:uid="{00000000-0005-0000-0000-0000AE720000}"/>
    <cellStyle name="Calc Percent (1) 6 3 2" xfId="10861" xr:uid="{00000000-0005-0000-0000-0000AF720000}"/>
    <cellStyle name="Calc Percent (1) 6 3 3" xfId="10862" xr:uid="{00000000-0005-0000-0000-0000B0720000}"/>
    <cellStyle name="Calc Percent (1) 6 3 4" xfId="10863" xr:uid="{00000000-0005-0000-0000-0000B1720000}"/>
    <cellStyle name="Calc Percent (1) 6 3 5" xfId="10864" xr:uid="{00000000-0005-0000-0000-0000B2720000}"/>
    <cellStyle name="Calc Percent (1) 6 3 6" xfId="10865" xr:uid="{00000000-0005-0000-0000-0000B3720000}"/>
    <cellStyle name="Calc Percent (1) 6 3 7" xfId="10866" xr:uid="{00000000-0005-0000-0000-0000B4720000}"/>
    <cellStyle name="Calc Percent (1) 6 3 8" xfId="10867" xr:uid="{00000000-0005-0000-0000-0000B5720000}"/>
    <cellStyle name="Calc Percent (1) 6 3 9" xfId="10868" xr:uid="{00000000-0005-0000-0000-0000B6720000}"/>
    <cellStyle name="Calc Percent (1) 6 4" xfId="10869" xr:uid="{00000000-0005-0000-0000-0000B7720000}"/>
    <cellStyle name="Calc Percent (1) 6 5" xfId="10870" xr:uid="{00000000-0005-0000-0000-0000B8720000}"/>
    <cellStyle name="Calc Percent (1) 6 6" xfId="10871" xr:uid="{00000000-0005-0000-0000-0000B9720000}"/>
    <cellStyle name="Calc Percent (1) 6 7" xfId="10872" xr:uid="{00000000-0005-0000-0000-0000BA720000}"/>
    <cellStyle name="Calc Percent (1) 6 8" xfId="10873" xr:uid="{00000000-0005-0000-0000-0000BB720000}"/>
    <cellStyle name="Calc Percent (1) 6 9" xfId="10874" xr:uid="{00000000-0005-0000-0000-0000BC720000}"/>
    <cellStyle name="Calc Percent (1) 7" xfId="10875" xr:uid="{00000000-0005-0000-0000-0000BD720000}"/>
    <cellStyle name="Calc Percent (1) 7 10" xfId="10876" xr:uid="{00000000-0005-0000-0000-0000BE720000}"/>
    <cellStyle name="Calc Percent (1) 7 11" xfId="10877" xr:uid="{00000000-0005-0000-0000-0000BF720000}"/>
    <cellStyle name="Calc Percent (1) 7 2" xfId="10878" xr:uid="{00000000-0005-0000-0000-0000C0720000}"/>
    <cellStyle name="Calc Percent (1) 7 2 2" xfId="10879" xr:uid="{00000000-0005-0000-0000-0000C1720000}"/>
    <cellStyle name="Calc Percent (1) 7 2 3" xfId="10880" xr:uid="{00000000-0005-0000-0000-0000C2720000}"/>
    <cellStyle name="Calc Percent (1) 7 2 4" xfId="10881" xr:uid="{00000000-0005-0000-0000-0000C3720000}"/>
    <cellStyle name="Calc Percent (1) 7 2 5" xfId="10882" xr:uid="{00000000-0005-0000-0000-0000C4720000}"/>
    <cellStyle name="Calc Percent (1) 7 2 6" xfId="10883" xr:uid="{00000000-0005-0000-0000-0000C5720000}"/>
    <cellStyle name="Calc Percent (1) 7 2 7" xfId="10884" xr:uid="{00000000-0005-0000-0000-0000C6720000}"/>
    <cellStyle name="Calc Percent (1) 7 2 8" xfId="10885" xr:uid="{00000000-0005-0000-0000-0000C7720000}"/>
    <cellStyle name="Calc Percent (1) 7 2 9" xfId="10886" xr:uid="{00000000-0005-0000-0000-0000C8720000}"/>
    <cellStyle name="Calc Percent (1) 7 3" xfId="10887" xr:uid="{00000000-0005-0000-0000-0000C9720000}"/>
    <cellStyle name="Calc Percent (1) 7 3 2" xfId="10888" xr:uid="{00000000-0005-0000-0000-0000CA720000}"/>
    <cellStyle name="Calc Percent (1) 7 3 3" xfId="10889" xr:uid="{00000000-0005-0000-0000-0000CB720000}"/>
    <cellStyle name="Calc Percent (1) 7 3 4" xfId="10890" xr:uid="{00000000-0005-0000-0000-0000CC720000}"/>
    <cellStyle name="Calc Percent (1) 7 3 5" xfId="10891" xr:uid="{00000000-0005-0000-0000-0000CD720000}"/>
    <cellStyle name="Calc Percent (1) 7 3 6" xfId="10892" xr:uid="{00000000-0005-0000-0000-0000CE720000}"/>
    <cellStyle name="Calc Percent (1) 7 3 7" xfId="10893" xr:uid="{00000000-0005-0000-0000-0000CF720000}"/>
    <cellStyle name="Calc Percent (1) 7 3 8" xfId="10894" xr:uid="{00000000-0005-0000-0000-0000D0720000}"/>
    <cellStyle name="Calc Percent (1) 7 3 9" xfId="10895" xr:uid="{00000000-0005-0000-0000-0000D1720000}"/>
    <cellStyle name="Calc Percent (1) 7 4" xfId="10896" xr:uid="{00000000-0005-0000-0000-0000D2720000}"/>
    <cellStyle name="Calc Percent (1) 7 5" xfId="10897" xr:uid="{00000000-0005-0000-0000-0000D3720000}"/>
    <cellStyle name="Calc Percent (1) 7 6" xfId="10898" xr:uid="{00000000-0005-0000-0000-0000D4720000}"/>
    <cellStyle name="Calc Percent (1) 7 7" xfId="10899" xr:uid="{00000000-0005-0000-0000-0000D5720000}"/>
    <cellStyle name="Calc Percent (1) 7 8" xfId="10900" xr:uid="{00000000-0005-0000-0000-0000D6720000}"/>
    <cellStyle name="Calc Percent (1) 7 9" xfId="10901" xr:uid="{00000000-0005-0000-0000-0000D7720000}"/>
    <cellStyle name="Calc Percent (1) 8" xfId="10902" xr:uid="{00000000-0005-0000-0000-0000D8720000}"/>
    <cellStyle name="Calc Percent (1) 8 10" xfId="10903" xr:uid="{00000000-0005-0000-0000-0000D9720000}"/>
    <cellStyle name="Calc Percent (1) 8 11" xfId="10904" xr:uid="{00000000-0005-0000-0000-0000DA720000}"/>
    <cellStyle name="Calc Percent (1) 8 2" xfId="10905" xr:uid="{00000000-0005-0000-0000-0000DB720000}"/>
    <cellStyle name="Calc Percent (1) 8 2 2" xfId="10906" xr:uid="{00000000-0005-0000-0000-0000DC720000}"/>
    <cellStyle name="Calc Percent (1) 8 2 3" xfId="10907" xr:uid="{00000000-0005-0000-0000-0000DD720000}"/>
    <cellStyle name="Calc Percent (1) 8 2 4" xfId="10908" xr:uid="{00000000-0005-0000-0000-0000DE720000}"/>
    <cellStyle name="Calc Percent (1) 8 2 5" xfId="10909" xr:uid="{00000000-0005-0000-0000-0000DF720000}"/>
    <cellStyle name="Calc Percent (1) 8 2 6" xfId="10910" xr:uid="{00000000-0005-0000-0000-0000E0720000}"/>
    <cellStyle name="Calc Percent (1) 8 2 7" xfId="10911" xr:uid="{00000000-0005-0000-0000-0000E1720000}"/>
    <cellStyle name="Calc Percent (1) 8 2 8" xfId="10912" xr:uid="{00000000-0005-0000-0000-0000E2720000}"/>
    <cellStyle name="Calc Percent (1) 8 2 9" xfId="10913" xr:uid="{00000000-0005-0000-0000-0000E3720000}"/>
    <cellStyle name="Calc Percent (1) 8 3" xfId="10914" xr:uid="{00000000-0005-0000-0000-0000E4720000}"/>
    <cellStyle name="Calc Percent (1) 8 3 2" xfId="10915" xr:uid="{00000000-0005-0000-0000-0000E5720000}"/>
    <cellStyle name="Calc Percent (1) 8 3 3" xfId="10916" xr:uid="{00000000-0005-0000-0000-0000E6720000}"/>
    <cellStyle name="Calc Percent (1) 8 3 4" xfId="10917" xr:uid="{00000000-0005-0000-0000-0000E7720000}"/>
    <cellStyle name="Calc Percent (1) 8 3 5" xfId="10918" xr:uid="{00000000-0005-0000-0000-0000E8720000}"/>
    <cellStyle name="Calc Percent (1) 8 3 6" xfId="10919" xr:uid="{00000000-0005-0000-0000-0000E9720000}"/>
    <cellStyle name="Calc Percent (1) 8 3 7" xfId="10920" xr:uid="{00000000-0005-0000-0000-0000EA720000}"/>
    <cellStyle name="Calc Percent (1) 8 3 8" xfId="10921" xr:uid="{00000000-0005-0000-0000-0000EB720000}"/>
    <cellStyle name="Calc Percent (1) 8 3 9" xfId="10922" xr:uid="{00000000-0005-0000-0000-0000EC720000}"/>
    <cellStyle name="Calc Percent (1) 8 4" xfId="10923" xr:uid="{00000000-0005-0000-0000-0000ED720000}"/>
    <cellStyle name="Calc Percent (1) 8 5" xfId="10924" xr:uid="{00000000-0005-0000-0000-0000EE720000}"/>
    <cellStyle name="Calc Percent (1) 8 6" xfId="10925" xr:uid="{00000000-0005-0000-0000-0000EF720000}"/>
    <cellStyle name="Calc Percent (1) 8 7" xfId="10926" xr:uid="{00000000-0005-0000-0000-0000F0720000}"/>
    <cellStyle name="Calc Percent (1) 8 8" xfId="10927" xr:uid="{00000000-0005-0000-0000-0000F1720000}"/>
    <cellStyle name="Calc Percent (1) 8 9" xfId="10928" xr:uid="{00000000-0005-0000-0000-0000F2720000}"/>
    <cellStyle name="Calc Percent (1) 9" xfId="10929" xr:uid="{00000000-0005-0000-0000-0000F3720000}"/>
    <cellStyle name="Calc Percent (1) 9 10" xfId="10930" xr:uid="{00000000-0005-0000-0000-0000F4720000}"/>
    <cellStyle name="Calc Percent (1) 9 11" xfId="10931" xr:uid="{00000000-0005-0000-0000-0000F5720000}"/>
    <cellStyle name="Calc Percent (1) 9 2" xfId="10932" xr:uid="{00000000-0005-0000-0000-0000F6720000}"/>
    <cellStyle name="Calc Percent (1) 9 2 10" xfId="10933" xr:uid="{00000000-0005-0000-0000-0000F7720000}"/>
    <cellStyle name="Calc Percent (1) 9 2 11" xfId="10934" xr:uid="{00000000-0005-0000-0000-0000F8720000}"/>
    <cellStyle name="Calc Percent (1) 9 2 12" xfId="10935" xr:uid="{00000000-0005-0000-0000-0000F9720000}"/>
    <cellStyle name="Calc Percent (1) 9 2 13" xfId="10936" xr:uid="{00000000-0005-0000-0000-0000FA720000}"/>
    <cellStyle name="Calc Percent (1) 9 2 14" xfId="10937" xr:uid="{00000000-0005-0000-0000-0000FB720000}"/>
    <cellStyle name="Calc Percent (1) 9 2 15" xfId="10938" xr:uid="{00000000-0005-0000-0000-0000FC720000}"/>
    <cellStyle name="Calc Percent (1) 9 2 16" xfId="10939" xr:uid="{00000000-0005-0000-0000-0000FD720000}"/>
    <cellStyle name="Calc Percent (1) 9 2 2" xfId="10940" xr:uid="{00000000-0005-0000-0000-0000FE720000}"/>
    <cellStyle name="Calc Percent (1) 9 2 3" xfId="10941" xr:uid="{00000000-0005-0000-0000-0000FF720000}"/>
    <cellStyle name="Calc Percent (1) 9 2 4" xfId="10942" xr:uid="{00000000-0005-0000-0000-000000730000}"/>
    <cellStyle name="Calc Percent (1) 9 2 5" xfId="10943" xr:uid="{00000000-0005-0000-0000-000001730000}"/>
    <cellStyle name="Calc Percent (1) 9 2 6" xfId="10944" xr:uid="{00000000-0005-0000-0000-000002730000}"/>
    <cellStyle name="Calc Percent (1) 9 2 7" xfId="10945" xr:uid="{00000000-0005-0000-0000-000003730000}"/>
    <cellStyle name="Calc Percent (1) 9 2 8" xfId="10946" xr:uid="{00000000-0005-0000-0000-000004730000}"/>
    <cellStyle name="Calc Percent (1) 9 2 9" xfId="10947" xr:uid="{00000000-0005-0000-0000-000005730000}"/>
    <cellStyle name="Calc Percent (1) 9 3" xfId="10948" xr:uid="{00000000-0005-0000-0000-000006730000}"/>
    <cellStyle name="Calc Percent (1) 9 3 2" xfId="10949" xr:uid="{00000000-0005-0000-0000-000007730000}"/>
    <cellStyle name="Calc Percent (1) 9 3 3" xfId="10950" xr:uid="{00000000-0005-0000-0000-000008730000}"/>
    <cellStyle name="Calc Percent (1) 9 3 4" xfId="10951" xr:uid="{00000000-0005-0000-0000-000009730000}"/>
    <cellStyle name="Calc Percent (1) 9 3 5" xfId="10952" xr:uid="{00000000-0005-0000-0000-00000A730000}"/>
    <cellStyle name="Calc Percent (1) 9 3 6" xfId="10953" xr:uid="{00000000-0005-0000-0000-00000B730000}"/>
    <cellStyle name="Calc Percent (1) 9 3 7" xfId="10954" xr:uid="{00000000-0005-0000-0000-00000C730000}"/>
    <cellStyle name="Calc Percent (1) 9 3 8" xfId="10955" xr:uid="{00000000-0005-0000-0000-00000D730000}"/>
    <cellStyle name="Calc Percent (1) 9 3 9" xfId="10956" xr:uid="{00000000-0005-0000-0000-00000E730000}"/>
    <cellStyle name="Calc Percent (1) 9 4" xfId="10957" xr:uid="{00000000-0005-0000-0000-00000F730000}"/>
    <cellStyle name="Calc Percent (1) 9 4 2" xfId="10958" xr:uid="{00000000-0005-0000-0000-000010730000}"/>
    <cellStyle name="Calc Percent (1) 9 4 3" xfId="10959" xr:uid="{00000000-0005-0000-0000-000011730000}"/>
    <cellStyle name="Calc Percent (1) 9 4 4" xfId="10960" xr:uid="{00000000-0005-0000-0000-000012730000}"/>
    <cellStyle name="Calc Percent (1) 9 4 5" xfId="10961" xr:uid="{00000000-0005-0000-0000-000013730000}"/>
    <cellStyle name="Calc Percent (1) 9 4 6" xfId="10962" xr:uid="{00000000-0005-0000-0000-000014730000}"/>
    <cellStyle name="Calc Percent (1) 9 4 7" xfId="10963" xr:uid="{00000000-0005-0000-0000-000015730000}"/>
    <cellStyle name="Calc Percent (1) 9 4 8" xfId="10964" xr:uid="{00000000-0005-0000-0000-000016730000}"/>
    <cellStyle name="Calc Percent (1) 9 5" xfId="10965" xr:uid="{00000000-0005-0000-0000-000017730000}"/>
    <cellStyle name="Calc Percent (1) 9 6" xfId="10966" xr:uid="{00000000-0005-0000-0000-000018730000}"/>
    <cellStyle name="Calc Percent (1) 9 7" xfId="10967" xr:uid="{00000000-0005-0000-0000-000019730000}"/>
    <cellStyle name="Calc Percent (1) 9 8" xfId="10968" xr:uid="{00000000-0005-0000-0000-00001A730000}"/>
    <cellStyle name="Calc Percent (1) 9 9" xfId="10969" xr:uid="{00000000-0005-0000-0000-00001B730000}"/>
    <cellStyle name="Calc Percent (2)" xfId="10970" xr:uid="{00000000-0005-0000-0000-00001C730000}"/>
    <cellStyle name="Calc Units (0)" xfId="10971" xr:uid="{00000000-0005-0000-0000-00001D730000}"/>
    <cellStyle name="Calc Units (1)" xfId="10972" xr:uid="{00000000-0005-0000-0000-00001E730000}"/>
    <cellStyle name="Calc Units (2)" xfId="10973" xr:uid="{00000000-0005-0000-0000-00001F730000}"/>
    <cellStyle name="Calc x [1]" xfId="10974" xr:uid="{00000000-0005-0000-0000-000020730000}"/>
    <cellStyle name="Calc$" xfId="10975" xr:uid="{00000000-0005-0000-0000-000021730000}"/>
    <cellStyle name="Calc$ 2" xfId="10976" xr:uid="{00000000-0005-0000-0000-000022730000}"/>
    <cellStyle name="Calc%" xfId="10977" xr:uid="{00000000-0005-0000-0000-000023730000}"/>
    <cellStyle name="Calc% 2" xfId="10978" xr:uid="{00000000-0005-0000-0000-000024730000}"/>
    <cellStyle name="Calculation 10" xfId="10979" xr:uid="{00000000-0005-0000-0000-000025730000}"/>
    <cellStyle name="Calculation 11" xfId="10980" xr:uid="{00000000-0005-0000-0000-000026730000}"/>
    <cellStyle name="Calculation 12" xfId="10981" xr:uid="{00000000-0005-0000-0000-000027730000}"/>
    <cellStyle name="Calculation 13" xfId="10982" xr:uid="{00000000-0005-0000-0000-000028730000}"/>
    <cellStyle name="Calculation 14" xfId="10983" xr:uid="{00000000-0005-0000-0000-000029730000}"/>
    <cellStyle name="Calculation 2" xfId="10984" xr:uid="{00000000-0005-0000-0000-00002A730000}"/>
    <cellStyle name="Calculation 2 2" xfId="10985" xr:uid="{00000000-0005-0000-0000-00002B730000}"/>
    <cellStyle name="Calculation 2 2 2" xfId="10986" xr:uid="{00000000-0005-0000-0000-00002C730000}"/>
    <cellStyle name="Calculation 2 2 2 2" xfId="20066" xr:uid="{00000000-0005-0000-0000-00002D730000}"/>
    <cellStyle name="Calculation 2 2 2 2 2" xfId="31758" xr:uid="{00000000-0005-0000-0000-00002E730000}"/>
    <cellStyle name="Calculation 2 2 2 3" xfId="24112" xr:uid="{00000000-0005-0000-0000-00002F730000}"/>
    <cellStyle name="Calculation 2 2 3" xfId="20065" xr:uid="{00000000-0005-0000-0000-000030730000}"/>
    <cellStyle name="Calculation 2 2 3 2" xfId="31757" xr:uid="{00000000-0005-0000-0000-000031730000}"/>
    <cellStyle name="Calculation 2 2 4" xfId="24111" xr:uid="{00000000-0005-0000-0000-000032730000}"/>
    <cellStyle name="Calculation 3" xfId="10987" xr:uid="{00000000-0005-0000-0000-000033730000}"/>
    <cellStyle name="Calculation 3 2" xfId="10988" xr:uid="{00000000-0005-0000-0000-000034730000}"/>
    <cellStyle name="Calculation 3 2 2" xfId="10989" xr:uid="{00000000-0005-0000-0000-000035730000}"/>
    <cellStyle name="Calculation 3 2 2 2" xfId="20068" xr:uid="{00000000-0005-0000-0000-000036730000}"/>
    <cellStyle name="Calculation 3 2 2 2 2" xfId="31760" xr:uid="{00000000-0005-0000-0000-000037730000}"/>
    <cellStyle name="Calculation 3 2 2 3" xfId="24114" xr:uid="{00000000-0005-0000-0000-000038730000}"/>
    <cellStyle name="Calculation 3 2 3" xfId="20067" xr:uid="{00000000-0005-0000-0000-000039730000}"/>
    <cellStyle name="Calculation 3 2 3 2" xfId="31759" xr:uid="{00000000-0005-0000-0000-00003A730000}"/>
    <cellStyle name="Calculation 3 2 4" xfId="24113" xr:uid="{00000000-0005-0000-0000-00003B730000}"/>
    <cellStyle name="Calculation 4" xfId="10990" xr:uid="{00000000-0005-0000-0000-00003C730000}"/>
    <cellStyle name="Calculation 5" xfId="10991" xr:uid="{00000000-0005-0000-0000-00003D730000}"/>
    <cellStyle name="Calculation 6" xfId="10992" xr:uid="{00000000-0005-0000-0000-00003E730000}"/>
    <cellStyle name="Calculation 7" xfId="10993" xr:uid="{00000000-0005-0000-0000-00003F730000}"/>
    <cellStyle name="Calculation 8" xfId="10994" xr:uid="{00000000-0005-0000-0000-000040730000}"/>
    <cellStyle name="Calculation 9" xfId="10995" xr:uid="{00000000-0005-0000-0000-000041730000}"/>
    <cellStyle name="Cálculo" xfId="10996" xr:uid="{00000000-0005-0000-0000-000042730000}"/>
    <cellStyle name="Cancel" xfId="10997" xr:uid="{00000000-0005-0000-0000-000043730000}"/>
    <cellStyle name="Caption" xfId="10998" xr:uid="{00000000-0005-0000-0000-000044730000}"/>
    <cellStyle name="Case" xfId="10999" xr:uid="{00000000-0005-0000-0000-000045730000}"/>
    <cellStyle name="Case %" xfId="11000" xr:uid="{00000000-0005-0000-0000-000046730000}"/>
    <cellStyle name="Case 2" xfId="11001" xr:uid="{00000000-0005-0000-0000-000047730000}"/>
    <cellStyle name="Cash Flow Statement" xfId="11002" xr:uid="{00000000-0005-0000-0000-000048730000}"/>
    <cellStyle name="Cash Flow Statement 2" xfId="11003" xr:uid="{00000000-0005-0000-0000-000049730000}"/>
    <cellStyle name="Cash Flow Statement 2 2" xfId="11004" xr:uid="{00000000-0005-0000-0000-00004A730000}"/>
    <cellStyle name="Cash Flow Statement 3" xfId="11005" xr:uid="{00000000-0005-0000-0000-00004B730000}"/>
    <cellStyle name="Cash Flow Statement 4" xfId="11006" xr:uid="{00000000-0005-0000-0000-00004C730000}"/>
    <cellStyle name="Cash Flow Statement 5" xfId="11007" xr:uid="{00000000-0005-0000-0000-00004D730000}"/>
    <cellStyle name="category" xfId="11008" xr:uid="{00000000-0005-0000-0000-00004E730000}"/>
    <cellStyle name="Category Name" xfId="11009" xr:uid="{00000000-0005-0000-0000-00004F730000}"/>
    <cellStyle name="Category Name 2" xfId="11010" xr:uid="{00000000-0005-0000-0000-000050730000}"/>
    <cellStyle name="Category Name 2 2" xfId="11011" xr:uid="{00000000-0005-0000-0000-000051730000}"/>
    <cellStyle name="Category Name 2 2 2" xfId="11012" xr:uid="{00000000-0005-0000-0000-000052730000}"/>
    <cellStyle name="Category Name 2 2 2 2" xfId="11013" xr:uid="{00000000-0005-0000-0000-000053730000}"/>
    <cellStyle name="Category Name 2 2 2 2 2" xfId="16074" xr:uid="{00000000-0005-0000-0000-000054730000}"/>
    <cellStyle name="Category Name 2 2 2 2 2 2" xfId="27931" xr:uid="{00000000-0005-0000-0000-000055730000}"/>
    <cellStyle name="Category Name 2 2 2 2 3" xfId="20073" xr:uid="{00000000-0005-0000-0000-000056730000}"/>
    <cellStyle name="Category Name 2 2 2 2 3 2" xfId="31765" xr:uid="{00000000-0005-0000-0000-000057730000}"/>
    <cellStyle name="Category Name 2 2 2 2 4" xfId="24119" xr:uid="{00000000-0005-0000-0000-000058730000}"/>
    <cellStyle name="Category Name 2 2 2 3" xfId="16073" xr:uid="{00000000-0005-0000-0000-000059730000}"/>
    <cellStyle name="Category Name 2 2 2 3 2" xfId="27930" xr:uid="{00000000-0005-0000-0000-00005A730000}"/>
    <cellStyle name="Category Name 2 2 2 4" xfId="20072" xr:uid="{00000000-0005-0000-0000-00005B730000}"/>
    <cellStyle name="Category Name 2 2 2 4 2" xfId="31764" xr:uid="{00000000-0005-0000-0000-00005C730000}"/>
    <cellStyle name="Category Name 2 2 2 5" xfId="24118" xr:uid="{00000000-0005-0000-0000-00005D730000}"/>
    <cellStyle name="Category Name 2 2 3" xfId="11014" xr:uid="{00000000-0005-0000-0000-00005E730000}"/>
    <cellStyle name="Category Name 2 2 3 2" xfId="16075" xr:uid="{00000000-0005-0000-0000-00005F730000}"/>
    <cellStyle name="Category Name 2 2 3 2 2" xfId="27932" xr:uid="{00000000-0005-0000-0000-000060730000}"/>
    <cellStyle name="Category Name 2 2 3 3" xfId="20074" xr:uid="{00000000-0005-0000-0000-000061730000}"/>
    <cellStyle name="Category Name 2 2 3 3 2" xfId="31766" xr:uid="{00000000-0005-0000-0000-000062730000}"/>
    <cellStyle name="Category Name 2 2 3 4" xfId="24120" xr:uid="{00000000-0005-0000-0000-000063730000}"/>
    <cellStyle name="Category Name 2 2 4" xfId="16072" xr:uid="{00000000-0005-0000-0000-000064730000}"/>
    <cellStyle name="Category Name 2 2 4 2" xfId="27929" xr:uid="{00000000-0005-0000-0000-000065730000}"/>
    <cellStyle name="Category Name 2 2 5" xfId="20071" xr:uid="{00000000-0005-0000-0000-000066730000}"/>
    <cellStyle name="Category Name 2 2 5 2" xfId="31763" xr:uid="{00000000-0005-0000-0000-000067730000}"/>
    <cellStyle name="Category Name 2 2 6" xfId="24117" xr:uid="{00000000-0005-0000-0000-000068730000}"/>
    <cellStyle name="Category Name 2 3" xfId="11015" xr:uid="{00000000-0005-0000-0000-000069730000}"/>
    <cellStyle name="Category Name 2 3 2" xfId="11016" xr:uid="{00000000-0005-0000-0000-00006A730000}"/>
    <cellStyle name="Category Name 2 3 2 2" xfId="11017" xr:uid="{00000000-0005-0000-0000-00006B730000}"/>
    <cellStyle name="Category Name 2 3 2 2 2" xfId="16078" xr:uid="{00000000-0005-0000-0000-00006C730000}"/>
    <cellStyle name="Category Name 2 3 2 2 2 2" xfId="27935" xr:uid="{00000000-0005-0000-0000-00006D730000}"/>
    <cellStyle name="Category Name 2 3 2 2 3" xfId="20077" xr:uid="{00000000-0005-0000-0000-00006E730000}"/>
    <cellStyle name="Category Name 2 3 2 2 3 2" xfId="31769" xr:uid="{00000000-0005-0000-0000-00006F730000}"/>
    <cellStyle name="Category Name 2 3 2 2 4" xfId="24123" xr:uid="{00000000-0005-0000-0000-000070730000}"/>
    <cellStyle name="Category Name 2 3 2 3" xfId="16077" xr:uid="{00000000-0005-0000-0000-000071730000}"/>
    <cellStyle name="Category Name 2 3 2 3 2" xfId="27934" xr:uid="{00000000-0005-0000-0000-000072730000}"/>
    <cellStyle name="Category Name 2 3 2 4" xfId="20076" xr:uid="{00000000-0005-0000-0000-000073730000}"/>
    <cellStyle name="Category Name 2 3 2 4 2" xfId="31768" xr:uid="{00000000-0005-0000-0000-000074730000}"/>
    <cellStyle name="Category Name 2 3 2 5" xfId="24122" xr:uid="{00000000-0005-0000-0000-000075730000}"/>
    <cellStyle name="Category Name 2 3 3" xfId="11018" xr:uid="{00000000-0005-0000-0000-000076730000}"/>
    <cellStyle name="Category Name 2 3 3 2" xfId="16079" xr:uid="{00000000-0005-0000-0000-000077730000}"/>
    <cellStyle name="Category Name 2 3 3 2 2" xfId="27936" xr:uid="{00000000-0005-0000-0000-000078730000}"/>
    <cellStyle name="Category Name 2 3 3 3" xfId="20078" xr:uid="{00000000-0005-0000-0000-000079730000}"/>
    <cellStyle name="Category Name 2 3 3 3 2" xfId="31770" xr:uid="{00000000-0005-0000-0000-00007A730000}"/>
    <cellStyle name="Category Name 2 3 3 4" xfId="24124" xr:uid="{00000000-0005-0000-0000-00007B730000}"/>
    <cellStyle name="Category Name 2 3 4" xfId="16076" xr:uid="{00000000-0005-0000-0000-00007C730000}"/>
    <cellStyle name="Category Name 2 3 4 2" xfId="27933" xr:uid="{00000000-0005-0000-0000-00007D730000}"/>
    <cellStyle name="Category Name 2 3 5" xfId="20075" xr:uid="{00000000-0005-0000-0000-00007E730000}"/>
    <cellStyle name="Category Name 2 3 5 2" xfId="31767" xr:uid="{00000000-0005-0000-0000-00007F730000}"/>
    <cellStyle name="Category Name 2 3 6" xfId="24121" xr:uid="{00000000-0005-0000-0000-000080730000}"/>
    <cellStyle name="Category Name 2 4" xfId="11019" xr:uid="{00000000-0005-0000-0000-000081730000}"/>
    <cellStyle name="Category Name 2 4 2" xfId="11020" xr:uid="{00000000-0005-0000-0000-000082730000}"/>
    <cellStyle name="Category Name 2 4 2 2" xfId="11021" xr:uid="{00000000-0005-0000-0000-000083730000}"/>
    <cellStyle name="Category Name 2 4 2 2 2" xfId="16082" xr:uid="{00000000-0005-0000-0000-000084730000}"/>
    <cellStyle name="Category Name 2 4 2 2 2 2" xfId="27939" xr:uid="{00000000-0005-0000-0000-000085730000}"/>
    <cellStyle name="Category Name 2 4 2 2 3" xfId="20081" xr:uid="{00000000-0005-0000-0000-000086730000}"/>
    <cellStyle name="Category Name 2 4 2 2 3 2" xfId="31773" xr:uid="{00000000-0005-0000-0000-000087730000}"/>
    <cellStyle name="Category Name 2 4 2 2 4" xfId="24127" xr:uid="{00000000-0005-0000-0000-000088730000}"/>
    <cellStyle name="Category Name 2 4 2 3" xfId="16081" xr:uid="{00000000-0005-0000-0000-000089730000}"/>
    <cellStyle name="Category Name 2 4 2 3 2" xfId="27938" xr:uid="{00000000-0005-0000-0000-00008A730000}"/>
    <cellStyle name="Category Name 2 4 2 4" xfId="20080" xr:uid="{00000000-0005-0000-0000-00008B730000}"/>
    <cellStyle name="Category Name 2 4 2 4 2" xfId="31772" xr:uid="{00000000-0005-0000-0000-00008C730000}"/>
    <cellStyle name="Category Name 2 4 2 5" xfId="24126" xr:uid="{00000000-0005-0000-0000-00008D730000}"/>
    <cellStyle name="Category Name 2 4 3" xfId="11022" xr:uid="{00000000-0005-0000-0000-00008E730000}"/>
    <cellStyle name="Category Name 2 4 3 2" xfId="16083" xr:uid="{00000000-0005-0000-0000-00008F730000}"/>
    <cellStyle name="Category Name 2 4 3 2 2" xfId="27940" xr:uid="{00000000-0005-0000-0000-000090730000}"/>
    <cellStyle name="Category Name 2 4 3 3" xfId="20082" xr:uid="{00000000-0005-0000-0000-000091730000}"/>
    <cellStyle name="Category Name 2 4 3 3 2" xfId="31774" xr:uid="{00000000-0005-0000-0000-000092730000}"/>
    <cellStyle name="Category Name 2 4 3 4" xfId="24128" xr:uid="{00000000-0005-0000-0000-000093730000}"/>
    <cellStyle name="Category Name 2 4 4" xfId="16080" xr:uid="{00000000-0005-0000-0000-000094730000}"/>
    <cellStyle name="Category Name 2 4 4 2" xfId="27937" xr:uid="{00000000-0005-0000-0000-000095730000}"/>
    <cellStyle name="Category Name 2 4 5" xfId="20079" xr:uid="{00000000-0005-0000-0000-000096730000}"/>
    <cellStyle name="Category Name 2 4 5 2" xfId="31771" xr:uid="{00000000-0005-0000-0000-000097730000}"/>
    <cellStyle name="Category Name 2 4 6" xfId="24125" xr:uid="{00000000-0005-0000-0000-000098730000}"/>
    <cellStyle name="Category Name 2 5" xfId="11023" xr:uid="{00000000-0005-0000-0000-000099730000}"/>
    <cellStyle name="Category Name 2 5 2" xfId="16084" xr:uid="{00000000-0005-0000-0000-00009A730000}"/>
    <cellStyle name="Category Name 2 5 2 2" xfId="27941" xr:uid="{00000000-0005-0000-0000-00009B730000}"/>
    <cellStyle name="Category Name 2 5 3" xfId="20083" xr:uid="{00000000-0005-0000-0000-00009C730000}"/>
    <cellStyle name="Category Name 2 5 3 2" xfId="31775" xr:uid="{00000000-0005-0000-0000-00009D730000}"/>
    <cellStyle name="Category Name 2 5 4" xfId="24129" xr:uid="{00000000-0005-0000-0000-00009E730000}"/>
    <cellStyle name="Category Name 2 6" xfId="16071" xr:uid="{00000000-0005-0000-0000-00009F730000}"/>
    <cellStyle name="Category Name 2 6 2" xfId="27928" xr:uid="{00000000-0005-0000-0000-0000A0730000}"/>
    <cellStyle name="Category Name 2 7" xfId="20070" xr:uid="{00000000-0005-0000-0000-0000A1730000}"/>
    <cellStyle name="Category Name 2 7 2" xfId="31762" xr:uid="{00000000-0005-0000-0000-0000A2730000}"/>
    <cellStyle name="Category Name 2 8" xfId="24116" xr:uid="{00000000-0005-0000-0000-0000A3730000}"/>
    <cellStyle name="Category Name 3" xfId="11024" xr:uid="{00000000-0005-0000-0000-0000A4730000}"/>
    <cellStyle name="Category Name 3 2" xfId="11025" xr:uid="{00000000-0005-0000-0000-0000A5730000}"/>
    <cellStyle name="Category Name 3 2 2" xfId="11026" xr:uid="{00000000-0005-0000-0000-0000A6730000}"/>
    <cellStyle name="Category Name 3 2 2 2" xfId="16087" xr:uid="{00000000-0005-0000-0000-0000A7730000}"/>
    <cellStyle name="Category Name 3 2 2 2 2" xfId="27944" xr:uid="{00000000-0005-0000-0000-0000A8730000}"/>
    <cellStyle name="Category Name 3 2 2 3" xfId="20086" xr:uid="{00000000-0005-0000-0000-0000A9730000}"/>
    <cellStyle name="Category Name 3 2 2 3 2" xfId="31778" xr:uid="{00000000-0005-0000-0000-0000AA730000}"/>
    <cellStyle name="Category Name 3 2 2 4" xfId="24132" xr:uid="{00000000-0005-0000-0000-0000AB730000}"/>
    <cellStyle name="Category Name 3 2 3" xfId="16086" xr:uid="{00000000-0005-0000-0000-0000AC730000}"/>
    <cellStyle name="Category Name 3 2 3 2" xfId="27943" xr:uid="{00000000-0005-0000-0000-0000AD730000}"/>
    <cellStyle name="Category Name 3 2 4" xfId="20085" xr:uid="{00000000-0005-0000-0000-0000AE730000}"/>
    <cellStyle name="Category Name 3 2 4 2" xfId="31777" xr:uid="{00000000-0005-0000-0000-0000AF730000}"/>
    <cellStyle name="Category Name 3 2 5" xfId="24131" xr:uid="{00000000-0005-0000-0000-0000B0730000}"/>
    <cellStyle name="Category Name 3 3" xfId="11027" xr:uid="{00000000-0005-0000-0000-0000B1730000}"/>
    <cellStyle name="Category Name 3 3 2" xfId="11028" xr:uid="{00000000-0005-0000-0000-0000B2730000}"/>
    <cellStyle name="Category Name 3 3 2 2" xfId="16089" xr:uid="{00000000-0005-0000-0000-0000B3730000}"/>
    <cellStyle name="Category Name 3 3 2 2 2" xfId="27946" xr:uid="{00000000-0005-0000-0000-0000B4730000}"/>
    <cellStyle name="Category Name 3 3 2 3" xfId="20088" xr:uid="{00000000-0005-0000-0000-0000B5730000}"/>
    <cellStyle name="Category Name 3 3 2 3 2" xfId="31780" xr:uid="{00000000-0005-0000-0000-0000B6730000}"/>
    <cellStyle name="Category Name 3 3 2 4" xfId="24134" xr:uid="{00000000-0005-0000-0000-0000B7730000}"/>
    <cellStyle name="Category Name 3 3 3" xfId="16088" xr:uid="{00000000-0005-0000-0000-0000B8730000}"/>
    <cellStyle name="Category Name 3 3 3 2" xfId="27945" xr:uid="{00000000-0005-0000-0000-0000B9730000}"/>
    <cellStyle name="Category Name 3 3 4" xfId="20087" xr:uid="{00000000-0005-0000-0000-0000BA730000}"/>
    <cellStyle name="Category Name 3 3 4 2" xfId="31779" xr:uid="{00000000-0005-0000-0000-0000BB730000}"/>
    <cellStyle name="Category Name 3 3 5" xfId="24133" xr:uid="{00000000-0005-0000-0000-0000BC730000}"/>
    <cellStyle name="Category Name 3 4" xfId="11029" xr:uid="{00000000-0005-0000-0000-0000BD730000}"/>
    <cellStyle name="Category Name 3 4 2" xfId="16090" xr:uid="{00000000-0005-0000-0000-0000BE730000}"/>
    <cellStyle name="Category Name 3 4 2 2" xfId="27947" xr:uid="{00000000-0005-0000-0000-0000BF730000}"/>
    <cellStyle name="Category Name 3 4 3" xfId="20089" xr:uid="{00000000-0005-0000-0000-0000C0730000}"/>
    <cellStyle name="Category Name 3 4 3 2" xfId="31781" xr:uid="{00000000-0005-0000-0000-0000C1730000}"/>
    <cellStyle name="Category Name 3 4 4" xfId="24135" xr:uid="{00000000-0005-0000-0000-0000C2730000}"/>
    <cellStyle name="Category Name 3 5" xfId="16085" xr:uid="{00000000-0005-0000-0000-0000C3730000}"/>
    <cellStyle name="Category Name 3 5 2" xfId="27942" xr:uid="{00000000-0005-0000-0000-0000C4730000}"/>
    <cellStyle name="Category Name 3 6" xfId="20084" xr:uid="{00000000-0005-0000-0000-0000C5730000}"/>
    <cellStyle name="Category Name 3 6 2" xfId="31776" xr:uid="{00000000-0005-0000-0000-0000C6730000}"/>
    <cellStyle name="Category Name 3 7" xfId="24130" xr:uid="{00000000-0005-0000-0000-0000C7730000}"/>
    <cellStyle name="Category Name 4" xfId="11030" xr:uid="{00000000-0005-0000-0000-0000C8730000}"/>
    <cellStyle name="Category Name 4 2" xfId="11031" xr:uid="{00000000-0005-0000-0000-0000C9730000}"/>
    <cellStyle name="Category Name 4 2 2" xfId="11032" xr:uid="{00000000-0005-0000-0000-0000CA730000}"/>
    <cellStyle name="Category Name 4 2 2 2" xfId="16093" xr:uid="{00000000-0005-0000-0000-0000CB730000}"/>
    <cellStyle name="Category Name 4 2 2 2 2" xfId="27950" xr:uid="{00000000-0005-0000-0000-0000CC730000}"/>
    <cellStyle name="Category Name 4 2 2 3" xfId="20092" xr:uid="{00000000-0005-0000-0000-0000CD730000}"/>
    <cellStyle name="Category Name 4 2 2 3 2" xfId="31784" xr:uid="{00000000-0005-0000-0000-0000CE730000}"/>
    <cellStyle name="Category Name 4 2 2 4" xfId="24138" xr:uid="{00000000-0005-0000-0000-0000CF730000}"/>
    <cellStyle name="Category Name 4 2 3" xfId="16092" xr:uid="{00000000-0005-0000-0000-0000D0730000}"/>
    <cellStyle name="Category Name 4 2 3 2" xfId="27949" xr:uid="{00000000-0005-0000-0000-0000D1730000}"/>
    <cellStyle name="Category Name 4 2 4" xfId="20091" xr:uid="{00000000-0005-0000-0000-0000D2730000}"/>
    <cellStyle name="Category Name 4 2 4 2" xfId="31783" xr:uid="{00000000-0005-0000-0000-0000D3730000}"/>
    <cellStyle name="Category Name 4 2 5" xfId="24137" xr:uid="{00000000-0005-0000-0000-0000D4730000}"/>
    <cellStyle name="Category Name 4 3" xfId="11033" xr:uid="{00000000-0005-0000-0000-0000D5730000}"/>
    <cellStyle name="Category Name 4 3 2" xfId="16094" xr:uid="{00000000-0005-0000-0000-0000D6730000}"/>
    <cellStyle name="Category Name 4 3 2 2" xfId="27951" xr:uid="{00000000-0005-0000-0000-0000D7730000}"/>
    <cellStyle name="Category Name 4 3 3" xfId="20093" xr:uid="{00000000-0005-0000-0000-0000D8730000}"/>
    <cellStyle name="Category Name 4 3 3 2" xfId="31785" xr:uid="{00000000-0005-0000-0000-0000D9730000}"/>
    <cellStyle name="Category Name 4 3 4" xfId="24139" xr:uid="{00000000-0005-0000-0000-0000DA730000}"/>
    <cellStyle name="Category Name 4 4" xfId="16091" xr:uid="{00000000-0005-0000-0000-0000DB730000}"/>
    <cellStyle name="Category Name 4 4 2" xfId="27948" xr:uid="{00000000-0005-0000-0000-0000DC730000}"/>
    <cellStyle name="Category Name 4 5" xfId="20090" xr:uid="{00000000-0005-0000-0000-0000DD730000}"/>
    <cellStyle name="Category Name 4 5 2" xfId="31782" xr:uid="{00000000-0005-0000-0000-0000DE730000}"/>
    <cellStyle name="Category Name 4 6" xfId="24136" xr:uid="{00000000-0005-0000-0000-0000DF730000}"/>
    <cellStyle name="Category Name 5" xfId="11034" xr:uid="{00000000-0005-0000-0000-0000E0730000}"/>
    <cellStyle name="Category Name 5 2" xfId="11035" xr:uid="{00000000-0005-0000-0000-0000E1730000}"/>
    <cellStyle name="Category Name 5 2 2" xfId="11036" xr:uid="{00000000-0005-0000-0000-0000E2730000}"/>
    <cellStyle name="Category Name 5 2 2 2" xfId="16097" xr:uid="{00000000-0005-0000-0000-0000E3730000}"/>
    <cellStyle name="Category Name 5 2 2 2 2" xfId="27954" xr:uid="{00000000-0005-0000-0000-0000E4730000}"/>
    <cellStyle name="Category Name 5 2 2 3" xfId="20096" xr:uid="{00000000-0005-0000-0000-0000E5730000}"/>
    <cellStyle name="Category Name 5 2 2 3 2" xfId="31788" xr:uid="{00000000-0005-0000-0000-0000E6730000}"/>
    <cellStyle name="Category Name 5 2 2 4" xfId="24142" xr:uid="{00000000-0005-0000-0000-0000E7730000}"/>
    <cellStyle name="Category Name 5 2 3" xfId="16096" xr:uid="{00000000-0005-0000-0000-0000E8730000}"/>
    <cellStyle name="Category Name 5 2 3 2" xfId="27953" xr:uid="{00000000-0005-0000-0000-0000E9730000}"/>
    <cellStyle name="Category Name 5 2 4" xfId="20095" xr:uid="{00000000-0005-0000-0000-0000EA730000}"/>
    <cellStyle name="Category Name 5 2 4 2" xfId="31787" xr:uid="{00000000-0005-0000-0000-0000EB730000}"/>
    <cellStyle name="Category Name 5 2 5" xfId="24141" xr:uid="{00000000-0005-0000-0000-0000EC730000}"/>
    <cellStyle name="Category Name 5 3" xfId="11037" xr:uid="{00000000-0005-0000-0000-0000ED730000}"/>
    <cellStyle name="Category Name 5 3 2" xfId="16098" xr:uid="{00000000-0005-0000-0000-0000EE730000}"/>
    <cellStyle name="Category Name 5 3 2 2" xfId="27955" xr:uid="{00000000-0005-0000-0000-0000EF730000}"/>
    <cellStyle name="Category Name 5 3 3" xfId="20097" xr:uid="{00000000-0005-0000-0000-0000F0730000}"/>
    <cellStyle name="Category Name 5 3 3 2" xfId="31789" xr:uid="{00000000-0005-0000-0000-0000F1730000}"/>
    <cellStyle name="Category Name 5 3 4" xfId="24143" xr:uid="{00000000-0005-0000-0000-0000F2730000}"/>
    <cellStyle name="Category Name 5 4" xfId="16095" xr:uid="{00000000-0005-0000-0000-0000F3730000}"/>
    <cellStyle name="Category Name 5 4 2" xfId="27952" xr:uid="{00000000-0005-0000-0000-0000F4730000}"/>
    <cellStyle name="Category Name 5 5" xfId="20094" xr:uid="{00000000-0005-0000-0000-0000F5730000}"/>
    <cellStyle name="Category Name 5 5 2" xfId="31786" xr:uid="{00000000-0005-0000-0000-0000F6730000}"/>
    <cellStyle name="Category Name 5 6" xfId="24140" xr:uid="{00000000-0005-0000-0000-0000F7730000}"/>
    <cellStyle name="Category Name 6" xfId="11038" xr:uid="{00000000-0005-0000-0000-0000F8730000}"/>
    <cellStyle name="Category Name 6 2" xfId="16099" xr:uid="{00000000-0005-0000-0000-0000F9730000}"/>
    <cellStyle name="Category Name 6 2 2" xfId="27956" xr:uid="{00000000-0005-0000-0000-0000FA730000}"/>
    <cellStyle name="Category Name 6 3" xfId="20098" xr:uid="{00000000-0005-0000-0000-0000FB730000}"/>
    <cellStyle name="Category Name 6 3 2" xfId="31790" xr:uid="{00000000-0005-0000-0000-0000FC730000}"/>
    <cellStyle name="Category Name 6 4" xfId="24144" xr:uid="{00000000-0005-0000-0000-0000FD730000}"/>
    <cellStyle name="Category Name 7" xfId="16070" xr:uid="{00000000-0005-0000-0000-0000FE730000}"/>
    <cellStyle name="Category Name 7 2" xfId="27927" xr:uid="{00000000-0005-0000-0000-0000FF730000}"/>
    <cellStyle name="Category Name 8" xfId="20069" xr:uid="{00000000-0005-0000-0000-000000740000}"/>
    <cellStyle name="Category Name 8 2" xfId="31761" xr:uid="{00000000-0005-0000-0000-000001740000}"/>
    <cellStyle name="Category Name 9" xfId="24115" xr:uid="{00000000-0005-0000-0000-000002740000}"/>
    <cellStyle name="Celda de comprobación" xfId="11039" xr:uid="{00000000-0005-0000-0000-000003740000}"/>
    <cellStyle name="Celda vinculada" xfId="11040" xr:uid="{00000000-0005-0000-0000-000004740000}"/>
    <cellStyle name="Célula de Verificação" xfId="11041" xr:uid="{00000000-0005-0000-0000-000005740000}"/>
    <cellStyle name="Célula Vinculada" xfId="11042" xr:uid="{00000000-0005-0000-0000-000006740000}"/>
    <cellStyle name="Center" xfId="11043" xr:uid="{00000000-0005-0000-0000-000007740000}"/>
    <cellStyle name="Center 2" xfId="11044" xr:uid="{00000000-0005-0000-0000-000008740000}"/>
    <cellStyle name="Center 2 2" xfId="20263" xr:uid="{00000000-0005-0000-0000-000009740000}"/>
    <cellStyle name="Center 3" xfId="11045" xr:uid="{00000000-0005-0000-0000-00000A740000}"/>
    <cellStyle name="Center 3 2" xfId="20264" xr:uid="{00000000-0005-0000-0000-00000B740000}"/>
    <cellStyle name="Center 4" xfId="20265" xr:uid="{00000000-0005-0000-0000-00000C740000}"/>
    <cellStyle name="CenterBold" xfId="11046" xr:uid="{00000000-0005-0000-0000-00000D740000}"/>
    <cellStyle name="Centered Heading" xfId="11047" xr:uid="{00000000-0005-0000-0000-00000E740000}"/>
    <cellStyle name="Centered Heading 2" xfId="11048" xr:uid="{00000000-0005-0000-0000-00000F740000}"/>
    <cellStyle name="CenterItalic" xfId="11049" xr:uid="{00000000-0005-0000-0000-000010740000}"/>
    <cellStyle name="Cents" xfId="11050" xr:uid="{00000000-0005-0000-0000-000011740000}"/>
    <cellStyle name="Cents 2" xfId="11051" xr:uid="{00000000-0005-0000-0000-000012740000}"/>
    <cellStyle name="Changeable" xfId="11052" xr:uid="{00000000-0005-0000-0000-000013740000}"/>
    <cellStyle name="ChartingText" xfId="11053" xr:uid="{00000000-0005-0000-0000-000014740000}"/>
    <cellStyle name="ChartingText 2" xfId="11054" xr:uid="{00000000-0005-0000-0000-000015740000}"/>
    <cellStyle name="ChartingText 3" xfId="11055" xr:uid="{00000000-0005-0000-0000-000016740000}"/>
    <cellStyle name="ChartingText 4" xfId="11056" xr:uid="{00000000-0005-0000-0000-000017740000}"/>
    <cellStyle name="Check Cell 10" xfId="11057" xr:uid="{00000000-0005-0000-0000-000018740000}"/>
    <cellStyle name="Check Cell 11" xfId="11058" xr:uid="{00000000-0005-0000-0000-000019740000}"/>
    <cellStyle name="Check Cell 12" xfId="11059" xr:uid="{00000000-0005-0000-0000-00001A740000}"/>
    <cellStyle name="Check Cell 13" xfId="11060" xr:uid="{00000000-0005-0000-0000-00001B740000}"/>
    <cellStyle name="Check Cell 2" xfId="11061" xr:uid="{00000000-0005-0000-0000-00001C740000}"/>
    <cellStyle name="Check Cell 3" xfId="11062" xr:uid="{00000000-0005-0000-0000-00001D740000}"/>
    <cellStyle name="Check Cell 4" xfId="11063" xr:uid="{00000000-0005-0000-0000-00001E740000}"/>
    <cellStyle name="Check Cell 5" xfId="11064" xr:uid="{00000000-0005-0000-0000-00001F740000}"/>
    <cellStyle name="Check Cell 6" xfId="11065" xr:uid="{00000000-0005-0000-0000-000020740000}"/>
    <cellStyle name="Check Cell 7" xfId="11066" xr:uid="{00000000-0005-0000-0000-000021740000}"/>
    <cellStyle name="Check Cell 8" xfId="11067" xr:uid="{00000000-0005-0000-0000-000022740000}"/>
    <cellStyle name="Check Cell 9" xfId="11068" xr:uid="{00000000-0005-0000-0000-000023740000}"/>
    <cellStyle name="CHPTop" xfId="11069" xr:uid="{00000000-0005-0000-0000-000024740000}"/>
    <cellStyle name="Co. Names" xfId="11070" xr:uid="{00000000-0005-0000-0000-000025740000}"/>
    <cellStyle name="Code" xfId="11071" xr:uid="{00000000-0005-0000-0000-000026740000}"/>
    <cellStyle name="Code 2" xfId="11072" xr:uid="{00000000-0005-0000-0000-000027740000}"/>
    <cellStyle name="Colhead_left" xfId="11073" xr:uid="{00000000-0005-0000-0000-000028740000}"/>
    <cellStyle name="ColHeading" xfId="11074" xr:uid="{00000000-0005-0000-0000-000029740000}"/>
    <cellStyle name="colheadleft" xfId="11075" xr:uid="{00000000-0005-0000-0000-00002A740000}"/>
    <cellStyle name="colheadright" xfId="11076" xr:uid="{00000000-0005-0000-0000-00002B740000}"/>
    <cellStyle name="Color" xfId="11077" xr:uid="{00000000-0005-0000-0000-00002C740000}"/>
    <cellStyle name="Color 2" xfId="11078" xr:uid="{00000000-0005-0000-0000-00002D740000}"/>
    <cellStyle name="Column Header" xfId="11079" xr:uid="{00000000-0005-0000-0000-00002E740000}"/>
    <cellStyle name="Column Header 2" xfId="11080" xr:uid="{00000000-0005-0000-0000-00002F740000}"/>
    <cellStyle name="Column Headings" xfId="11081" xr:uid="{00000000-0005-0000-0000-000030740000}"/>
    <cellStyle name="Column_Title" xfId="11082" xr:uid="{00000000-0005-0000-0000-000031740000}"/>
    <cellStyle name="column1" xfId="11083" xr:uid="{00000000-0005-0000-0000-000032740000}"/>
    <cellStyle name="column1 2" xfId="11084" xr:uid="{00000000-0005-0000-0000-000033740000}"/>
    <cellStyle name="column1BigNoWrap" xfId="11085" xr:uid="{00000000-0005-0000-0000-000034740000}"/>
    <cellStyle name="column1BigNoWrap 2" xfId="11086" xr:uid="{00000000-0005-0000-0000-000035740000}"/>
    <cellStyle name="column1Date" xfId="11087" xr:uid="{00000000-0005-0000-0000-000036740000}"/>
    <cellStyle name="column1Date 2" xfId="11088" xr:uid="{00000000-0005-0000-0000-000037740000}"/>
    <cellStyle name="column1Date 2 2" xfId="11089" xr:uid="{00000000-0005-0000-0000-000038740000}"/>
    <cellStyle name="column1Date 3" xfId="11090" xr:uid="{00000000-0005-0000-0000-000039740000}"/>
    <cellStyle name="column1Date 4" xfId="11091" xr:uid="{00000000-0005-0000-0000-00003A740000}"/>
    <cellStyle name="column1Date 5" xfId="11092" xr:uid="{00000000-0005-0000-0000-00003B740000}"/>
    <cellStyle name="column2Date" xfId="11093" xr:uid="{00000000-0005-0000-0000-00003C740000}"/>
    <cellStyle name="column2Date 2" xfId="11094" xr:uid="{00000000-0005-0000-0000-00003D740000}"/>
    <cellStyle name="column2Date 3" xfId="11095" xr:uid="{00000000-0005-0000-0000-00003E740000}"/>
    <cellStyle name="column2Date 3 2" xfId="20266" xr:uid="{00000000-0005-0000-0000-00003F740000}"/>
    <cellStyle name="column3Date" xfId="11096" xr:uid="{00000000-0005-0000-0000-000040740000}"/>
    <cellStyle name="column3Date 2" xfId="11097" xr:uid="{00000000-0005-0000-0000-000041740000}"/>
    <cellStyle name="column3Date 3" xfId="11098" xr:uid="{00000000-0005-0000-0000-000042740000}"/>
    <cellStyle name="column3Date 3 2" xfId="20267" xr:uid="{00000000-0005-0000-0000-000043740000}"/>
    <cellStyle name="ColumnHeaderNormal" xfId="11099" xr:uid="{00000000-0005-0000-0000-000044740000}"/>
    <cellStyle name="ColumnHeaderNormal 2" xfId="11100" xr:uid="{00000000-0005-0000-0000-000045740000}"/>
    <cellStyle name="ColumnHeaderNormal 3" xfId="11101" xr:uid="{00000000-0005-0000-0000-000046740000}"/>
    <cellStyle name="ColumnHeaderNormal 4" xfId="11102" xr:uid="{00000000-0005-0000-0000-000047740000}"/>
    <cellStyle name="Comma" xfId="12427" builtinId="3"/>
    <cellStyle name="Comma  - Style1" xfId="11103" xr:uid="{00000000-0005-0000-0000-000049740000}"/>
    <cellStyle name="Comma  - Style2" xfId="11104" xr:uid="{00000000-0005-0000-0000-00004A740000}"/>
    <cellStyle name="Comma  - Style3" xfId="11105" xr:uid="{00000000-0005-0000-0000-00004B740000}"/>
    <cellStyle name="Comma  - Style4" xfId="11106" xr:uid="{00000000-0005-0000-0000-00004C740000}"/>
    <cellStyle name="Comma  - Style5" xfId="11107" xr:uid="{00000000-0005-0000-0000-00004D740000}"/>
    <cellStyle name="Comma  - Style6" xfId="11108" xr:uid="{00000000-0005-0000-0000-00004E740000}"/>
    <cellStyle name="Comma  - Style7" xfId="11109" xr:uid="{00000000-0005-0000-0000-00004F740000}"/>
    <cellStyle name="Comma  - Style8" xfId="11110" xr:uid="{00000000-0005-0000-0000-000050740000}"/>
    <cellStyle name="Comma %" xfId="11111" xr:uid="{00000000-0005-0000-0000-000051740000}"/>
    <cellStyle name="Comma (1)" xfId="11112" xr:uid="{00000000-0005-0000-0000-000052740000}"/>
    <cellStyle name="Comma (1) 2" xfId="11113" xr:uid="{00000000-0005-0000-0000-000053740000}"/>
    <cellStyle name="Comma (1) 2 2" xfId="11114" xr:uid="{00000000-0005-0000-0000-000054740000}"/>
    <cellStyle name="Comma (1) 3" xfId="11115" xr:uid="{00000000-0005-0000-0000-000055740000}"/>
    <cellStyle name="Comma (1) 4" xfId="11116" xr:uid="{00000000-0005-0000-0000-000056740000}"/>
    <cellStyle name="Comma (1) 5" xfId="11117" xr:uid="{00000000-0005-0000-0000-000057740000}"/>
    <cellStyle name="Comma ," xfId="11118" xr:uid="{00000000-0005-0000-0000-000058740000}"/>
    <cellStyle name="Comma [0] 2" xfId="11119" xr:uid="{00000000-0005-0000-0000-000059740000}"/>
    <cellStyle name="Comma [0] 2 2" xfId="11120" xr:uid="{00000000-0005-0000-0000-00005A740000}"/>
    <cellStyle name="Comma [0] 3" xfId="11121" xr:uid="{00000000-0005-0000-0000-00005B740000}"/>
    <cellStyle name="Comma [0] 3 2" xfId="11122" xr:uid="{00000000-0005-0000-0000-00005C740000}"/>
    <cellStyle name="Comma [0] 4" xfId="11123" xr:uid="{00000000-0005-0000-0000-00005D740000}"/>
    <cellStyle name="Comma [0] 5" xfId="11124" xr:uid="{00000000-0005-0000-0000-00005E740000}"/>
    <cellStyle name="Comma [00]" xfId="11125" xr:uid="{00000000-0005-0000-0000-00005F740000}"/>
    <cellStyle name="Comma [1]" xfId="11126" xr:uid="{00000000-0005-0000-0000-000060740000}"/>
    <cellStyle name="Comma [1] 2" xfId="11127" xr:uid="{00000000-0005-0000-0000-000061740000}"/>
    <cellStyle name="Comma [2]" xfId="11128" xr:uid="{00000000-0005-0000-0000-000062740000}"/>
    <cellStyle name="Comma [2] 2" xfId="11129" xr:uid="{00000000-0005-0000-0000-000063740000}"/>
    <cellStyle name="Comma [3]" xfId="11130" xr:uid="{00000000-0005-0000-0000-000064740000}"/>
    <cellStyle name="Comma [3] 2" xfId="11131" xr:uid="{00000000-0005-0000-0000-000065740000}"/>
    <cellStyle name="Comma [4]" xfId="11132" xr:uid="{00000000-0005-0000-0000-000066740000}"/>
    <cellStyle name="Comma 0" xfId="11133" xr:uid="{00000000-0005-0000-0000-000067740000}"/>
    <cellStyle name="Comma 0*" xfId="11134" xr:uid="{00000000-0005-0000-0000-000068740000}"/>
    <cellStyle name="Comma 0* 2" xfId="11135" xr:uid="{00000000-0005-0000-0000-000069740000}"/>
    <cellStyle name="Comma 0.0" xfId="11136" xr:uid="{00000000-0005-0000-0000-00006A740000}"/>
    <cellStyle name="Comma 0.0 2" xfId="11137" xr:uid="{00000000-0005-0000-0000-00006B740000}"/>
    <cellStyle name="Comma 0.0%" xfId="11138" xr:uid="{00000000-0005-0000-0000-00006C740000}"/>
    <cellStyle name="Comma 0.0% 2" xfId="11139" xr:uid="{00000000-0005-0000-0000-00006D740000}"/>
    <cellStyle name="Comma 0.00" xfId="11140" xr:uid="{00000000-0005-0000-0000-00006E740000}"/>
    <cellStyle name="Comma 0.00 2" xfId="11141" xr:uid="{00000000-0005-0000-0000-00006F740000}"/>
    <cellStyle name="Comma 0.00%" xfId="11142" xr:uid="{00000000-0005-0000-0000-000070740000}"/>
    <cellStyle name="Comma 0.00% 2" xfId="11143" xr:uid="{00000000-0005-0000-0000-000071740000}"/>
    <cellStyle name="Comma 0.00_Aprio - Public Comps1" xfId="11144" xr:uid="{00000000-0005-0000-0000-000072740000}"/>
    <cellStyle name="Comma 0.000" xfId="11145" xr:uid="{00000000-0005-0000-0000-000073740000}"/>
    <cellStyle name="Comma 0.000 2" xfId="11146" xr:uid="{00000000-0005-0000-0000-000074740000}"/>
    <cellStyle name="Comma 0.000%" xfId="11147" xr:uid="{00000000-0005-0000-0000-000075740000}"/>
    <cellStyle name="Comma 0.000% 2" xfId="11148" xr:uid="{00000000-0005-0000-0000-000076740000}"/>
    <cellStyle name="Comma 0.000_Aprio - Public Comps1" xfId="11149" xr:uid="{00000000-0005-0000-0000-000077740000}"/>
    <cellStyle name="Comma 0_comps" xfId="11150" xr:uid="{00000000-0005-0000-0000-000078740000}"/>
    <cellStyle name="Comma 10" xfId="11151" xr:uid="{00000000-0005-0000-0000-000079740000}"/>
    <cellStyle name="Comma 10 2" xfId="20395" xr:uid="{00000000-0005-0000-0000-00007A740000}"/>
    <cellStyle name="Comma 11" xfId="11152" xr:uid="{00000000-0005-0000-0000-00007B740000}"/>
    <cellStyle name="Comma 12" xfId="11153" xr:uid="{00000000-0005-0000-0000-00007C740000}"/>
    <cellStyle name="Comma 13" xfId="1" xr:uid="{00000000-0005-0000-0000-00007D740000}"/>
    <cellStyle name="Comma 13 2" xfId="12428" xr:uid="{00000000-0005-0000-0000-00007E740000}"/>
    <cellStyle name="Comma 13 2 2" xfId="24285" xr:uid="{00000000-0005-0000-0000-00007F740000}"/>
    <cellStyle name="Comma 13 3" xfId="16384" xr:uid="{00000000-0005-0000-0000-000080740000}"/>
    <cellStyle name="Comma 13 3 2" xfId="28076" xr:uid="{00000000-0005-0000-0000-000081740000}"/>
    <cellStyle name="Comma 13 4" xfId="20421" xr:uid="{00000000-0005-0000-0000-000082740000}"/>
    <cellStyle name="Comma 14" xfId="11154" xr:uid="{00000000-0005-0000-0000-000083740000}"/>
    <cellStyle name="Comma 15" xfId="16217" xr:uid="{00000000-0005-0000-0000-000084740000}"/>
    <cellStyle name="Comma 15 2" xfId="20394" xr:uid="{00000000-0005-0000-0000-000085740000}"/>
    <cellStyle name="Comma 16" xfId="20268" xr:uid="{00000000-0005-0000-0000-000086740000}"/>
    <cellStyle name="Comma 16 2 3 2" xfId="20387" xr:uid="{00000000-0005-0000-0000-000087740000}"/>
    <cellStyle name="Comma 16 2 3 2 2" xfId="20398" xr:uid="{00000000-0005-0000-0000-000088740000}"/>
    <cellStyle name="Comma 16 2 3 2 2 2" xfId="20405" xr:uid="{00000000-0005-0000-0000-000089740000}"/>
    <cellStyle name="Comma 16 2 3 2 2 2 2" xfId="31960" xr:uid="{00000000-0005-0000-0000-00008A740000}"/>
    <cellStyle name="Comma 16 2 3 2 2 3" xfId="20419" xr:uid="{00000000-0005-0000-0000-00008B740000}"/>
    <cellStyle name="Comma 16 2 3 2 2 3 2" xfId="31974" xr:uid="{00000000-0005-0000-0000-00008C740000}"/>
    <cellStyle name="Comma 16 2 3 2 2 4" xfId="31954" xr:uid="{00000000-0005-0000-0000-00008D740000}"/>
    <cellStyle name="Comma 16 2 3 2 3" xfId="31947" xr:uid="{00000000-0005-0000-0000-00008E740000}"/>
    <cellStyle name="Comma 16 3" xfId="20400" xr:uid="{00000000-0005-0000-0000-00008F740000}"/>
    <cellStyle name="Comma 16 3 2" xfId="31956" xr:uid="{00000000-0005-0000-0000-000090740000}"/>
    <cellStyle name="Comma 17" xfId="31978" xr:uid="{00000000-0005-0000-0000-000091740000}"/>
    <cellStyle name="Comma 18" xfId="20412" xr:uid="{00000000-0005-0000-0000-000092740000}"/>
    <cellStyle name="Comma 18 2" xfId="31967" xr:uid="{00000000-0005-0000-0000-000093740000}"/>
    <cellStyle name="Comma 19" xfId="20415" xr:uid="{00000000-0005-0000-0000-000094740000}"/>
    <cellStyle name="Comma 19 2" xfId="31970" xr:uid="{00000000-0005-0000-0000-000095740000}"/>
    <cellStyle name="Comma 2" xfId="11155" xr:uid="{00000000-0005-0000-0000-000096740000}"/>
    <cellStyle name="Comma 2 2" xfId="11156" xr:uid="{00000000-0005-0000-0000-000097740000}"/>
    <cellStyle name="Comma 2 2 2" xfId="11157" xr:uid="{00000000-0005-0000-0000-000098740000}"/>
    <cellStyle name="Comma 2 3" xfId="11158" xr:uid="{00000000-0005-0000-0000-000099740000}"/>
    <cellStyle name="Comma 2 3 2" xfId="11159" xr:uid="{00000000-0005-0000-0000-00009A740000}"/>
    <cellStyle name="Comma 2 3 3" xfId="11160" xr:uid="{00000000-0005-0000-0000-00009B740000}"/>
    <cellStyle name="Comma 2 3 3 2" xfId="16100" xr:uid="{00000000-0005-0000-0000-00009C740000}"/>
    <cellStyle name="Comma 2 3 3 2 2" xfId="27957" xr:uid="{00000000-0005-0000-0000-00009D740000}"/>
    <cellStyle name="Comma 2 3 3 3" xfId="20099" xr:uid="{00000000-0005-0000-0000-00009E740000}"/>
    <cellStyle name="Comma 2 3 3 3 2" xfId="31791" xr:uid="{00000000-0005-0000-0000-00009F740000}"/>
    <cellStyle name="Comma 2 3 3 4" xfId="24145" xr:uid="{00000000-0005-0000-0000-0000A0740000}"/>
    <cellStyle name="Comma 2 4" xfId="11161" xr:uid="{00000000-0005-0000-0000-0000A1740000}"/>
    <cellStyle name="Comma 2 4 2" xfId="11162" xr:uid="{00000000-0005-0000-0000-0000A2740000}"/>
    <cellStyle name="Comma 2 5" xfId="11163" xr:uid="{00000000-0005-0000-0000-0000A3740000}"/>
    <cellStyle name="Comma 2 5 2" xfId="11164" xr:uid="{00000000-0005-0000-0000-0000A4740000}"/>
    <cellStyle name="Comma 2 6" xfId="11165" xr:uid="{00000000-0005-0000-0000-0000A5740000}"/>
    <cellStyle name="Comma 2*" xfId="11166" xr:uid="{00000000-0005-0000-0000-0000A6740000}"/>
    <cellStyle name="Comma 2* 2" xfId="11167" xr:uid="{00000000-0005-0000-0000-0000A7740000}"/>
    <cellStyle name="Comma 2_2008 SVB Financial Information v.2" xfId="11168" xr:uid="{00000000-0005-0000-0000-0000A8740000}"/>
    <cellStyle name="Comma 20" xfId="20409" xr:uid="{00000000-0005-0000-0000-0000A9740000}"/>
    <cellStyle name="Comma 20 2" xfId="31964" xr:uid="{00000000-0005-0000-0000-0000AA740000}"/>
    <cellStyle name="Comma 24 2" xfId="20269" xr:uid="{00000000-0005-0000-0000-0000AB740000}"/>
    <cellStyle name="Comma 24 2 2" xfId="20270" xr:uid="{00000000-0005-0000-0000-0000AC740000}"/>
    <cellStyle name="Comma 24 2 2 2" xfId="31932" xr:uid="{00000000-0005-0000-0000-0000AD740000}"/>
    <cellStyle name="Comma 24 2 3" xfId="31931" xr:uid="{00000000-0005-0000-0000-0000AE740000}"/>
    <cellStyle name="Comma 3" xfId="11169" xr:uid="{00000000-0005-0000-0000-0000AF740000}"/>
    <cellStyle name="Comma 3 2" xfId="11170" xr:uid="{00000000-0005-0000-0000-0000B0740000}"/>
    <cellStyle name="Comma 3 2 2" xfId="11171" xr:uid="{00000000-0005-0000-0000-0000B1740000}"/>
    <cellStyle name="Comma 3 2 3" xfId="20271" xr:uid="{00000000-0005-0000-0000-0000B2740000}"/>
    <cellStyle name="Comma 3 3" xfId="11172" xr:uid="{00000000-0005-0000-0000-0000B3740000}"/>
    <cellStyle name="Comma 3 3 2" xfId="11173" xr:uid="{00000000-0005-0000-0000-0000B4740000}"/>
    <cellStyle name="Comma 3 4" xfId="11174" xr:uid="{00000000-0005-0000-0000-0000B5740000}"/>
    <cellStyle name="Comma 3 5" xfId="11175" xr:uid="{00000000-0005-0000-0000-0000B6740000}"/>
    <cellStyle name="Comma 3 6" xfId="16101" xr:uid="{00000000-0005-0000-0000-0000B7740000}"/>
    <cellStyle name="Comma 3 6 2" xfId="27958" xr:uid="{00000000-0005-0000-0000-0000B8740000}"/>
    <cellStyle name="Comma 3 7" xfId="20100" xr:uid="{00000000-0005-0000-0000-0000B9740000}"/>
    <cellStyle name="Comma 3 7 2" xfId="31792" xr:uid="{00000000-0005-0000-0000-0000BA740000}"/>
    <cellStyle name="Comma 3 8" xfId="24146" xr:uid="{00000000-0005-0000-0000-0000BB740000}"/>
    <cellStyle name="Comma 3*" xfId="11176" xr:uid="{00000000-0005-0000-0000-0000BC740000}"/>
    <cellStyle name="Comma 39" xfId="12426" xr:uid="{00000000-0005-0000-0000-0000BD740000}"/>
    <cellStyle name="Comma 4" xfId="11177" xr:uid="{00000000-0005-0000-0000-0000BE740000}"/>
    <cellStyle name="Comma 4 2" xfId="11178" xr:uid="{00000000-0005-0000-0000-0000BF740000}"/>
    <cellStyle name="Comma 4 5" xfId="12425" xr:uid="{00000000-0005-0000-0000-0000C0740000}"/>
    <cellStyle name="Comma 5" xfId="11179" xr:uid="{00000000-0005-0000-0000-0000C1740000}"/>
    <cellStyle name="Comma 5 2" xfId="11180" xr:uid="{00000000-0005-0000-0000-0000C2740000}"/>
    <cellStyle name="Comma 6" xfId="11181" xr:uid="{00000000-0005-0000-0000-0000C3740000}"/>
    <cellStyle name="Comma 6 2" xfId="11182" xr:uid="{00000000-0005-0000-0000-0000C4740000}"/>
    <cellStyle name="Comma 6 2 2" xfId="16102" xr:uid="{00000000-0005-0000-0000-0000C5740000}"/>
    <cellStyle name="Comma 6 2 2 2" xfId="27959" xr:uid="{00000000-0005-0000-0000-0000C6740000}"/>
    <cellStyle name="Comma 6 2 3" xfId="20101" xr:uid="{00000000-0005-0000-0000-0000C7740000}"/>
    <cellStyle name="Comma 6 2 3 2" xfId="31793" xr:uid="{00000000-0005-0000-0000-0000C8740000}"/>
    <cellStyle name="Comma 6 2 4" xfId="24147" xr:uid="{00000000-0005-0000-0000-0000C9740000}"/>
    <cellStyle name="Comma 6 3" xfId="11183" xr:uid="{00000000-0005-0000-0000-0000CA740000}"/>
    <cellStyle name="Comma 7" xfId="11184" xr:uid="{00000000-0005-0000-0000-0000CB740000}"/>
    <cellStyle name="Comma 7 2" xfId="11185" xr:uid="{00000000-0005-0000-0000-0000CC740000}"/>
    <cellStyle name="Comma 7 2 2" xfId="16103" xr:uid="{00000000-0005-0000-0000-0000CD740000}"/>
    <cellStyle name="Comma 7 2 2 2" xfId="27960" xr:uid="{00000000-0005-0000-0000-0000CE740000}"/>
    <cellStyle name="Comma 7 2 3" xfId="20102" xr:uid="{00000000-0005-0000-0000-0000CF740000}"/>
    <cellStyle name="Comma 7 2 3 2" xfId="31794" xr:uid="{00000000-0005-0000-0000-0000D0740000}"/>
    <cellStyle name="Comma 7 2 4" xfId="24148" xr:uid="{00000000-0005-0000-0000-0000D1740000}"/>
    <cellStyle name="Comma 7 3" xfId="11186" xr:uid="{00000000-0005-0000-0000-0000D2740000}"/>
    <cellStyle name="Comma 7 3 2" xfId="16104" xr:uid="{00000000-0005-0000-0000-0000D3740000}"/>
    <cellStyle name="Comma 7 3 2 2" xfId="27961" xr:uid="{00000000-0005-0000-0000-0000D4740000}"/>
    <cellStyle name="Comma 7 3 3" xfId="20103" xr:uid="{00000000-0005-0000-0000-0000D5740000}"/>
    <cellStyle name="Comma 7 3 3 2" xfId="31795" xr:uid="{00000000-0005-0000-0000-0000D6740000}"/>
    <cellStyle name="Comma 7 3 4" xfId="24149" xr:uid="{00000000-0005-0000-0000-0000D7740000}"/>
    <cellStyle name="Comma 8" xfId="11187" xr:uid="{00000000-0005-0000-0000-0000D8740000}"/>
    <cellStyle name="Comma 9" xfId="11188" xr:uid="{00000000-0005-0000-0000-0000D9740000}"/>
    <cellStyle name="Comma Input" xfId="11189" xr:uid="{00000000-0005-0000-0000-0000DA740000}"/>
    <cellStyle name="Comma Input 2" xfId="11190" xr:uid="{00000000-0005-0000-0000-0000DB740000}"/>
    <cellStyle name="Comma Input 2 2" xfId="11191" xr:uid="{00000000-0005-0000-0000-0000DC740000}"/>
    <cellStyle name="Comma Input 3" xfId="11192" xr:uid="{00000000-0005-0000-0000-0000DD740000}"/>
    <cellStyle name="Comma Input 4" xfId="11193" xr:uid="{00000000-0005-0000-0000-0000DE740000}"/>
    <cellStyle name="Comma Input 5" xfId="11194" xr:uid="{00000000-0005-0000-0000-0000DF740000}"/>
    <cellStyle name="comma zerodec" xfId="11195" xr:uid="{00000000-0005-0000-0000-0000E0740000}"/>
    <cellStyle name="Comma*" xfId="11196" xr:uid="{00000000-0005-0000-0000-0000E1740000}"/>
    <cellStyle name="Comma0" xfId="11197" xr:uid="{00000000-0005-0000-0000-0000E2740000}"/>
    <cellStyle name="Comma0 - Modelo1" xfId="11198" xr:uid="{00000000-0005-0000-0000-0000E3740000}"/>
    <cellStyle name="Comma0 - Modelo1 2" xfId="11199" xr:uid="{00000000-0005-0000-0000-0000E4740000}"/>
    <cellStyle name="Comma0 - Style1" xfId="11200" xr:uid="{00000000-0005-0000-0000-0000E5740000}"/>
    <cellStyle name="Comma0 - Style1 2" xfId="11201" xr:uid="{00000000-0005-0000-0000-0000E6740000}"/>
    <cellStyle name="Comma0 - Style2" xfId="11202" xr:uid="{00000000-0005-0000-0000-0000E7740000}"/>
    <cellStyle name="Comma0 - Style3" xfId="11203" xr:uid="{00000000-0005-0000-0000-0000E8740000}"/>
    <cellStyle name="Comma0 - Style4" xfId="11204" xr:uid="{00000000-0005-0000-0000-0000E9740000}"/>
    <cellStyle name="Comma0 2" xfId="11205" xr:uid="{00000000-0005-0000-0000-0000EA740000}"/>
    <cellStyle name="Comma0_~8944579" xfId="11206" xr:uid="{00000000-0005-0000-0000-0000EB740000}"/>
    <cellStyle name="Comma1" xfId="11207" xr:uid="{00000000-0005-0000-0000-0000EC740000}"/>
    <cellStyle name="Comma1 - Modelo2" xfId="11208" xr:uid="{00000000-0005-0000-0000-0000ED740000}"/>
    <cellStyle name="Comma1 - Modelo2 2" xfId="11209" xr:uid="{00000000-0005-0000-0000-0000EE740000}"/>
    <cellStyle name="Comma1 - Style2" xfId="11210" xr:uid="{00000000-0005-0000-0000-0000EF740000}"/>
    <cellStyle name="Comma1 - Style2 2" xfId="11211" xr:uid="{00000000-0005-0000-0000-0000F0740000}"/>
    <cellStyle name="Comma1 2" xfId="11212" xr:uid="{00000000-0005-0000-0000-0000F1740000}"/>
    <cellStyle name="Comma2" xfId="11213" xr:uid="{00000000-0005-0000-0000-0000F2740000}"/>
    <cellStyle name="Comma2 2" xfId="11214" xr:uid="{00000000-0005-0000-0000-0000F3740000}"/>
    <cellStyle name="Comments" xfId="11215" xr:uid="{00000000-0005-0000-0000-0000F4740000}"/>
    <cellStyle name="Company" xfId="11216" xr:uid="{00000000-0005-0000-0000-0000F5740000}"/>
    <cellStyle name="Company 2" xfId="11217" xr:uid="{00000000-0005-0000-0000-0000F6740000}"/>
    <cellStyle name="Company Name" xfId="11218" xr:uid="{00000000-0005-0000-0000-0000F7740000}"/>
    <cellStyle name="Company Name 2" xfId="11219" xr:uid="{00000000-0005-0000-0000-0000F8740000}"/>
    <cellStyle name="Company_Boston Power VD 01 31 2008 Model 02 26 2008" xfId="11220" xr:uid="{00000000-0005-0000-0000-0000F9740000}"/>
    <cellStyle name="CompanyName" xfId="11221" xr:uid="{00000000-0005-0000-0000-0000FA740000}"/>
    <cellStyle name="CompanyName 2" xfId="11222" xr:uid="{00000000-0005-0000-0000-0000FB740000}"/>
    <cellStyle name="Compressed" xfId="11223" xr:uid="{00000000-0005-0000-0000-0000FC740000}"/>
    <cellStyle name="Copied" xfId="11224" xr:uid="{00000000-0005-0000-0000-0000FD740000}"/>
    <cellStyle name="Copied 2" xfId="11225" xr:uid="{00000000-0005-0000-0000-0000FE740000}"/>
    <cellStyle name="COST1" xfId="11226" xr:uid="{00000000-0005-0000-0000-0000FF740000}"/>
    <cellStyle name="Coverage" xfId="11227" xr:uid="{00000000-0005-0000-0000-000000750000}"/>
    <cellStyle name="CR Comma" xfId="11228" xr:uid="{00000000-0005-0000-0000-000001750000}"/>
    <cellStyle name="CR Comma 2" xfId="11229" xr:uid="{00000000-0005-0000-0000-000002750000}"/>
    <cellStyle name="CR Currency" xfId="11230" xr:uid="{00000000-0005-0000-0000-000003750000}"/>
    <cellStyle name="CR Currency 2" xfId="11231" xr:uid="{00000000-0005-0000-0000-000004750000}"/>
    <cellStyle name="Curr $ [0]" xfId="11232" xr:uid="{00000000-0005-0000-0000-000005750000}"/>
    <cellStyle name="Curr $ [0] 2" xfId="11233" xr:uid="{00000000-0005-0000-0000-000006750000}"/>
    <cellStyle name="Curr $ [0] 3" xfId="11234" xr:uid="{00000000-0005-0000-0000-000007750000}"/>
    <cellStyle name="Curr $ [2]" xfId="11235" xr:uid="{00000000-0005-0000-0000-000008750000}"/>
    <cellStyle name="Curr $ [2] 2" xfId="11236" xr:uid="{00000000-0005-0000-0000-000009750000}"/>
    <cellStyle name="Curr $ [2] 3" xfId="11237" xr:uid="{00000000-0005-0000-0000-00000A750000}"/>
    <cellStyle name="Curr $k [0]" xfId="11238" xr:uid="{00000000-0005-0000-0000-00000B750000}"/>
    <cellStyle name="Curr $k [0] 2" xfId="11239" xr:uid="{00000000-0005-0000-0000-00000C750000}"/>
    <cellStyle name="Curr $k [0] 3" xfId="11240" xr:uid="{00000000-0005-0000-0000-00000D750000}"/>
    <cellStyle name="Curr £ [0]" xfId="11241" xr:uid="{00000000-0005-0000-0000-00000E750000}"/>
    <cellStyle name="Curr £ [0] 2" xfId="11242" xr:uid="{00000000-0005-0000-0000-00000F750000}"/>
    <cellStyle name="Curr £ [0] 3" xfId="11243" xr:uid="{00000000-0005-0000-0000-000010750000}"/>
    <cellStyle name="Curr £ [2]" xfId="11244" xr:uid="{00000000-0005-0000-0000-000011750000}"/>
    <cellStyle name="Curr £ [2] 2" xfId="11245" xr:uid="{00000000-0005-0000-0000-000012750000}"/>
    <cellStyle name="Curr £ [2] 3" xfId="11246" xr:uid="{00000000-0005-0000-0000-000013750000}"/>
    <cellStyle name="CurRatio" xfId="11247" xr:uid="{00000000-0005-0000-0000-000014750000}"/>
    <cellStyle name="Curren - Style2" xfId="11248" xr:uid="{00000000-0005-0000-0000-000015750000}"/>
    <cellStyle name="Curren - Style2 2" xfId="11249" xr:uid="{00000000-0005-0000-0000-000016750000}"/>
    <cellStyle name="Curren - Style4" xfId="11250" xr:uid="{00000000-0005-0000-0000-000017750000}"/>
    <cellStyle name="Currency" xfId="20305" builtinId="4"/>
    <cellStyle name="Currency %" xfId="11251" xr:uid="{00000000-0005-0000-0000-000019750000}"/>
    <cellStyle name="Currency % 2" xfId="11252" xr:uid="{00000000-0005-0000-0000-00001A750000}"/>
    <cellStyle name="Currency ($)" xfId="11253" xr:uid="{00000000-0005-0000-0000-00001B750000}"/>
    <cellStyle name="Currency (£)" xfId="11254" xr:uid="{00000000-0005-0000-0000-00001C750000}"/>
    <cellStyle name="Currency (0.00)" xfId="11255" xr:uid="{00000000-0005-0000-0000-00001D750000}"/>
    <cellStyle name="Currency (0.00) 2" xfId="11256" xr:uid="{00000000-0005-0000-0000-00001E750000}"/>
    <cellStyle name="Currency (0.00) 2 2" xfId="11257" xr:uid="{00000000-0005-0000-0000-00001F750000}"/>
    <cellStyle name="Currency (0.00) 2 2 2" xfId="11258" xr:uid="{00000000-0005-0000-0000-000020750000}"/>
    <cellStyle name="Currency (0.00) 2 2 2 2" xfId="11259" xr:uid="{00000000-0005-0000-0000-000021750000}"/>
    <cellStyle name="Currency (0.00) 2 2 2 2 2" xfId="16109" xr:uid="{00000000-0005-0000-0000-000022750000}"/>
    <cellStyle name="Currency (0.00) 2 2 2 2 2 2" xfId="27966" xr:uid="{00000000-0005-0000-0000-000023750000}"/>
    <cellStyle name="Currency (0.00) 2 2 2 2 3" xfId="20108" xr:uid="{00000000-0005-0000-0000-000024750000}"/>
    <cellStyle name="Currency (0.00) 2 2 2 2 3 2" xfId="31800" xr:uid="{00000000-0005-0000-0000-000025750000}"/>
    <cellStyle name="Currency (0.00) 2 2 2 2 4" xfId="24154" xr:uid="{00000000-0005-0000-0000-000026750000}"/>
    <cellStyle name="Currency (0.00) 2 2 2 3" xfId="16108" xr:uid="{00000000-0005-0000-0000-000027750000}"/>
    <cellStyle name="Currency (0.00) 2 2 2 3 2" xfId="27965" xr:uid="{00000000-0005-0000-0000-000028750000}"/>
    <cellStyle name="Currency (0.00) 2 2 2 4" xfId="20107" xr:uid="{00000000-0005-0000-0000-000029750000}"/>
    <cellStyle name="Currency (0.00) 2 2 2 4 2" xfId="31799" xr:uid="{00000000-0005-0000-0000-00002A750000}"/>
    <cellStyle name="Currency (0.00) 2 2 2 5" xfId="24153" xr:uid="{00000000-0005-0000-0000-00002B750000}"/>
    <cellStyle name="Currency (0.00) 2 2 3" xfId="11260" xr:uid="{00000000-0005-0000-0000-00002C750000}"/>
    <cellStyle name="Currency (0.00) 2 2 3 2" xfId="16110" xr:uid="{00000000-0005-0000-0000-00002D750000}"/>
    <cellStyle name="Currency (0.00) 2 2 3 2 2" xfId="27967" xr:uid="{00000000-0005-0000-0000-00002E750000}"/>
    <cellStyle name="Currency (0.00) 2 2 3 3" xfId="20109" xr:uid="{00000000-0005-0000-0000-00002F750000}"/>
    <cellStyle name="Currency (0.00) 2 2 3 3 2" xfId="31801" xr:uid="{00000000-0005-0000-0000-000030750000}"/>
    <cellStyle name="Currency (0.00) 2 2 3 4" xfId="24155" xr:uid="{00000000-0005-0000-0000-000031750000}"/>
    <cellStyle name="Currency (0.00) 2 2 4" xfId="16107" xr:uid="{00000000-0005-0000-0000-000032750000}"/>
    <cellStyle name="Currency (0.00) 2 2 4 2" xfId="27964" xr:uid="{00000000-0005-0000-0000-000033750000}"/>
    <cellStyle name="Currency (0.00) 2 2 5" xfId="20106" xr:uid="{00000000-0005-0000-0000-000034750000}"/>
    <cellStyle name="Currency (0.00) 2 2 5 2" xfId="31798" xr:uid="{00000000-0005-0000-0000-000035750000}"/>
    <cellStyle name="Currency (0.00) 2 2 6" xfId="24152" xr:uid="{00000000-0005-0000-0000-000036750000}"/>
    <cellStyle name="Currency (0.00) 2 3" xfId="11261" xr:uid="{00000000-0005-0000-0000-000037750000}"/>
    <cellStyle name="Currency (0.00) 2 3 2" xfId="11262" xr:uid="{00000000-0005-0000-0000-000038750000}"/>
    <cellStyle name="Currency (0.00) 2 3 2 2" xfId="11263" xr:uid="{00000000-0005-0000-0000-000039750000}"/>
    <cellStyle name="Currency (0.00) 2 3 2 2 2" xfId="16113" xr:uid="{00000000-0005-0000-0000-00003A750000}"/>
    <cellStyle name="Currency (0.00) 2 3 2 2 2 2" xfId="27970" xr:uid="{00000000-0005-0000-0000-00003B750000}"/>
    <cellStyle name="Currency (0.00) 2 3 2 2 3" xfId="20112" xr:uid="{00000000-0005-0000-0000-00003C750000}"/>
    <cellStyle name="Currency (0.00) 2 3 2 2 3 2" xfId="31804" xr:uid="{00000000-0005-0000-0000-00003D750000}"/>
    <cellStyle name="Currency (0.00) 2 3 2 2 4" xfId="24158" xr:uid="{00000000-0005-0000-0000-00003E750000}"/>
    <cellStyle name="Currency (0.00) 2 3 2 3" xfId="16112" xr:uid="{00000000-0005-0000-0000-00003F750000}"/>
    <cellStyle name="Currency (0.00) 2 3 2 3 2" xfId="27969" xr:uid="{00000000-0005-0000-0000-000040750000}"/>
    <cellStyle name="Currency (0.00) 2 3 2 4" xfId="20111" xr:uid="{00000000-0005-0000-0000-000041750000}"/>
    <cellStyle name="Currency (0.00) 2 3 2 4 2" xfId="31803" xr:uid="{00000000-0005-0000-0000-000042750000}"/>
    <cellStyle name="Currency (0.00) 2 3 2 5" xfId="24157" xr:uid="{00000000-0005-0000-0000-000043750000}"/>
    <cellStyle name="Currency (0.00) 2 3 3" xfId="11264" xr:uid="{00000000-0005-0000-0000-000044750000}"/>
    <cellStyle name="Currency (0.00) 2 3 3 2" xfId="16114" xr:uid="{00000000-0005-0000-0000-000045750000}"/>
    <cellStyle name="Currency (0.00) 2 3 3 2 2" xfId="27971" xr:uid="{00000000-0005-0000-0000-000046750000}"/>
    <cellStyle name="Currency (0.00) 2 3 3 3" xfId="20113" xr:uid="{00000000-0005-0000-0000-000047750000}"/>
    <cellStyle name="Currency (0.00) 2 3 3 3 2" xfId="31805" xr:uid="{00000000-0005-0000-0000-000048750000}"/>
    <cellStyle name="Currency (0.00) 2 3 3 4" xfId="24159" xr:uid="{00000000-0005-0000-0000-000049750000}"/>
    <cellStyle name="Currency (0.00) 2 3 4" xfId="16111" xr:uid="{00000000-0005-0000-0000-00004A750000}"/>
    <cellStyle name="Currency (0.00) 2 3 4 2" xfId="27968" xr:uid="{00000000-0005-0000-0000-00004B750000}"/>
    <cellStyle name="Currency (0.00) 2 3 5" xfId="20110" xr:uid="{00000000-0005-0000-0000-00004C750000}"/>
    <cellStyle name="Currency (0.00) 2 3 5 2" xfId="31802" xr:uid="{00000000-0005-0000-0000-00004D750000}"/>
    <cellStyle name="Currency (0.00) 2 3 6" xfId="24156" xr:uid="{00000000-0005-0000-0000-00004E750000}"/>
    <cellStyle name="Currency (0.00) 2 4" xfId="11265" xr:uid="{00000000-0005-0000-0000-00004F750000}"/>
    <cellStyle name="Currency (0.00) 2 4 2" xfId="11266" xr:uid="{00000000-0005-0000-0000-000050750000}"/>
    <cellStyle name="Currency (0.00) 2 4 2 2" xfId="11267" xr:uid="{00000000-0005-0000-0000-000051750000}"/>
    <cellStyle name="Currency (0.00) 2 4 2 2 2" xfId="16117" xr:uid="{00000000-0005-0000-0000-000052750000}"/>
    <cellStyle name="Currency (0.00) 2 4 2 2 2 2" xfId="27974" xr:uid="{00000000-0005-0000-0000-000053750000}"/>
    <cellStyle name="Currency (0.00) 2 4 2 2 3" xfId="20116" xr:uid="{00000000-0005-0000-0000-000054750000}"/>
    <cellStyle name="Currency (0.00) 2 4 2 2 3 2" xfId="31808" xr:uid="{00000000-0005-0000-0000-000055750000}"/>
    <cellStyle name="Currency (0.00) 2 4 2 2 4" xfId="24162" xr:uid="{00000000-0005-0000-0000-000056750000}"/>
    <cellStyle name="Currency (0.00) 2 4 2 3" xfId="16116" xr:uid="{00000000-0005-0000-0000-000057750000}"/>
    <cellStyle name="Currency (0.00) 2 4 2 3 2" xfId="27973" xr:uid="{00000000-0005-0000-0000-000058750000}"/>
    <cellStyle name="Currency (0.00) 2 4 2 4" xfId="20115" xr:uid="{00000000-0005-0000-0000-000059750000}"/>
    <cellStyle name="Currency (0.00) 2 4 2 4 2" xfId="31807" xr:uid="{00000000-0005-0000-0000-00005A750000}"/>
    <cellStyle name="Currency (0.00) 2 4 2 5" xfId="24161" xr:uid="{00000000-0005-0000-0000-00005B750000}"/>
    <cellStyle name="Currency (0.00) 2 4 3" xfId="11268" xr:uid="{00000000-0005-0000-0000-00005C750000}"/>
    <cellStyle name="Currency (0.00) 2 4 3 2" xfId="16118" xr:uid="{00000000-0005-0000-0000-00005D750000}"/>
    <cellStyle name="Currency (0.00) 2 4 3 2 2" xfId="27975" xr:uid="{00000000-0005-0000-0000-00005E750000}"/>
    <cellStyle name="Currency (0.00) 2 4 3 3" xfId="20117" xr:uid="{00000000-0005-0000-0000-00005F750000}"/>
    <cellStyle name="Currency (0.00) 2 4 3 3 2" xfId="31809" xr:uid="{00000000-0005-0000-0000-000060750000}"/>
    <cellStyle name="Currency (0.00) 2 4 3 4" xfId="24163" xr:uid="{00000000-0005-0000-0000-000061750000}"/>
    <cellStyle name="Currency (0.00) 2 4 4" xfId="16115" xr:uid="{00000000-0005-0000-0000-000062750000}"/>
    <cellStyle name="Currency (0.00) 2 4 4 2" xfId="27972" xr:uid="{00000000-0005-0000-0000-000063750000}"/>
    <cellStyle name="Currency (0.00) 2 4 5" xfId="20114" xr:uid="{00000000-0005-0000-0000-000064750000}"/>
    <cellStyle name="Currency (0.00) 2 4 5 2" xfId="31806" xr:uid="{00000000-0005-0000-0000-000065750000}"/>
    <cellStyle name="Currency (0.00) 2 4 6" xfId="24160" xr:uid="{00000000-0005-0000-0000-000066750000}"/>
    <cellStyle name="Currency (0.00) 2 5" xfId="11269" xr:uid="{00000000-0005-0000-0000-000067750000}"/>
    <cellStyle name="Currency (0.00) 2 5 2" xfId="16119" xr:uid="{00000000-0005-0000-0000-000068750000}"/>
    <cellStyle name="Currency (0.00) 2 5 2 2" xfId="27976" xr:uid="{00000000-0005-0000-0000-000069750000}"/>
    <cellStyle name="Currency (0.00) 2 5 3" xfId="20118" xr:uid="{00000000-0005-0000-0000-00006A750000}"/>
    <cellStyle name="Currency (0.00) 2 5 3 2" xfId="31810" xr:uid="{00000000-0005-0000-0000-00006B750000}"/>
    <cellStyle name="Currency (0.00) 2 5 4" xfId="24164" xr:uid="{00000000-0005-0000-0000-00006C750000}"/>
    <cellStyle name="Currency (0.00) 2 6" xfId="16106" xr:uid="{00000000-0005-0000-0000-00006D750000}"/>
    <cellStyle name="Currency (0.00) 2 6 2" xfId="27963" xr:uid="{00000000-0005-0000-0000-00006E750000}"/>
    <cellStyle name="Currency (0.00) 2 7" xfId="20105" xr:uid="{00000000-0005-0000-0000-00006F750000}"/>
    <cellStyle name="Currency (0.00) 2 7 2" xfId="31797" xr:uid="{00000000-0005-0000-0000-000070750000}"/>
    <cellStyle name="Currency (0.00) 2 8" xfId="24151" xr:uid="{00000000-0005-0000-0000-000071750000}"/>
    <cellStyle name="Currency (0.00) 3" xfId="11270" xr:uid="{00000000-0005-0000-0000-000072750000}"/>
    <cellStyle name="Currency (0.00) 3 2" xfId="11271" xr:uid="{00000000-0005-0000-0000-000073750000}"/>
    <cellStyle name="Currency (0.00) 3 2 2" xfId="11272" xr:uid="{00000000-0005-0000-0000-000074750000}"/>
    <cellStyle name="Currency (0.00) 3 2 2 2" xfId="16122" xr:uid="{00000000-0005-0000-0000-000075750000}"/>
    <cellStyle name="Currency (0.00) 3 2 2 2 2" xfId="27979" xr:uid="{00000000-0005-0000-0000-000076750000}"/>
    <cellStyle name="Currency (0.00) 3 2 2 3" xfId="20121" xr:uid="{00000000-0005-0000-0000-000077750000}"/>
    <cellStyle name="Currency (0.00) 3 2 2 3 2" xfId="31813" xr:uid="{00000000-0005-0000-0000-000078750000}"/>
    <cellStyle name="Currency (0.00) 3 2 2 4" xfId="24167" xr:uid="{00000000-0005-0000-0000-000079750000}"/>
    <cellStyle name="Currency (0.00) 3 2 3" xfId="16121" xr:uid="{00000000-0005-0000-0000-00007A750000}"/>
    <cellStyle name="Currency (0.00) 3 2 3 2" xfId="27978" xr:uid="{00000000-0005-0000-0000-00007B750000}"/>
    <cellStyle name="Currency (0.00) 3 2 4" xfId="20120" xr:uid="{00000000-0005-0000-0000-00007C750000}"/>
    <cellStyle name="Currency (0.00) 3 2 4 2" xfId="31812" xr:uid="{00000000-0005-0000-0000-00007D750000}"/>
    <cellStyle name="Currency (0.00) 3 2 5" xfId="24166" xr:uid="{00000000-0005-0000-0000-00007E750000}"/>
    <cellStyle name="Currency (0.00) 3 3" xfId="11273" xr:uid="{00000000-0005-0000-0000-00007F750000}"/>
    <cellStyle name="Currency (0.00) 3 3 2" xfId="11274" xr:uid="{00000000-0005-0000-0000-000080750000}"/>
    <cellStyle name="Currency (0.00) 3 3 2 2" xfId="16124" xr:uid="{00000000-0005-0000-0000-000081750000}"/>
    <cellStyle name="Currency (0.00) 3 3 2 2 2" xfId="27981" xr:uid="{00000000-0005-0000-0000-000082750000}"/>
    <cellStyle name="Currency (0.00) 3 3 2 3" xfId="20123" xr:uid="{00000000-0005-0000-0000-000083750000}"/>
    <cellStyle name="Currency (0.00) 3 3 2 3 2" xfId="31815" xr:uid="{00000000-0005-0000-0000-000084750000}"/>
    <cellStyle name="Currency (0.00) 3 3 2 4" xfId="24169" xr:uid="{00000000-0005-0000-0000-000085750000}"/>
    <cellStyle name="Currency (0.00) 3 3 3" xfId="16123" xr:uid="{00000000-0005-0000-0000-000086750000}"/>
    <cellStyle name="Currency (0.00) 3 3 3 2" xfId="27980" xr:uid="{00000000-0005-0000-0000-000087750000}"/>
    <cellStyle name="Currency (0.00) 3 3 4" xfId="20122" xr:uid="{00000000-0005-0000-0000-000088750000}"/>
    <cellStyle name="Currency (0.00) 3 3 4 2" xfId="31814" xr:uid="{00000000-0005-0000-0000-000089750000}"/>
    <cellStyle name="Currency (0.00) 3 3 5" xfId="24168" xr:uid="{00000000-0005-0000-0000-00008A750000}"/>
    <cellStyle name="Currency (0.00) 3 4" xfId="11275" xr:uid="{00000000-0005-0000-0000-00008B750000}"/>
    <cellStyle name="Currency (0.00) 3 4 2" xfId="16125" xr:uid="{00000000-0005-0000-0000-00008C750000}"/>
    <cellStyle name="Currency (0.00) 3 4 2 2" xfId="27982" xr:uid="{00000000-0005-0000-0000-00008D750000}"/>
    <cellStyle name="Currency (0.00) 3 4 3" xfId="20124" xr:uid="{00000000-0005-0000-0000-00008E750000}"/>
    <cellStyle name="Currency (0.00) 3 4 3 2" xfId="31816" xr:uid="{00000000-0005-0000-0000-00008F750000}"/>
    <cellStyle name="Currency (0.00) 3 4 4" xfId="24170" xr:uid="{00000000-0005-0000-0000-000090750000}"/>
    <cellStyle name="Currency (0.00) 3 5" xfId="16120" xr:uid="{00000000-0005-0000-0000-000091750000}"/>
    <cellStyle name="Currency (0.00) 3 5 2" xfId="27977" xr:uid="{00000000-0005-0000-0000-000092750000}"/>
    <cellStyle name="Currency (0.00) 3 6" xfId="20119" xr:uid="{00000000-0005-0000-0000-000093750000}"/>
    <cellStyle name="Currency (0.00) 3 6 2" xfId="31811" xr:uid="{00000000-0005-0000-0000-000094750000}"/>
    <cellStyle name="Currency (0.00) 3 7" xfId="24165" xr:uid="{00000000-0005-0000-0000-000095750000}"/>
    <cellStyle name="Currency (0.00) 4" xfId="11276" xr:uid="{00000000-0005-0000-0000-000096750000}"/>
    <cellStyle name="Currency (0.00) 4 2" xfId="11277" xr:uid="{00000000-0005-0000-0000-000097750000}"/>
    <cellStyle name="Currency (0.00) 4 2 2" xfId="11278" xr:uid="{00000000-0005-0000-0000-000098750000}"/>
    <cellStyle name="Currency (0.00) 4 2 2 2" xfId="16128" xr:uid="{00000000-0005-0000-0000-000099750000}"/>
    <cellStyle name="Currency (0.00) 4 2 2 2 2" xfId="27985" xr:uid="{00000000-0005-0000-0000-00009A750000}"/>
    <cellStyle name="Currency (0.00) 4 2 2 3" xfId="20127" xr:uid="{00000000-0005-0000-0000-00009B750000}"/>
    <cellStyle name="Currency (0.00) 4 2 2 3 2" xfId="31819" xr:uid="{00000000-0005-0000-0000-00009C750000}"/>
    <cellStyle name="Currency (0.00) 4 2 2 4" xfId="24173" xr:uid="{00000000-0005-0000-0000-00009D750000}"/>
    <cellStyle name="Currency (0.00) 4 2 3" xfId="16127" xr:uid="{00000000-0005-0000-0000-00009E750000}"/>
    <cellStyle name="Currency (0.00) 4 2 3 2" xfId="27984" xr:uid="{00000000-0005-0000-0000-00009F750000}"/>
    <cellStyle name="Currency (0.00) 4 2 4" xfId="20126" xr:uid="{00000000-0005-0000-0000-0000A0750000}"/>
    <cellStyle name="Currency (0.00) 4 2 4 2" xfId="31818" xr:uid="{00000000-0005-0000-0000-0000A1750000}"/>
    <cellStyle name="Currency (0.00) 4 2 5" xfId="24172" xr:uid="{00000000-0005-0000-0000-0000A2750000}"/>
    <cellStyle name="Currency (0.00) 4 3" xfId="11279" xr:uid="{00000000-0005-0000-0000-0000A3750000}"/>
    <cellStyle name="Currency (0.00) 4 3 2" xfId="16129" xr:uid="{00000000-0005-0000-0000-0000A4750000}"/>
    <cellStyle name="Currency (0.00) 4 3 2 2" xfId="27986" xr:uid="{00000000-0005-0000-0000-0000A5750000}"/>
    <cellStyle name="Currency (0.00) 4 3 3" xfId="20128" xr:uid="{00000000-0005-0000-0000-0000A6750000}"/>
    <cellStyle name="Currency (0.00) 4 3 3 2" xfId="31820" xr:uid="{00000000-0005-0000-0000-0000A7750000}"/>
    <cellStyle name="Currency (0.00) 4 3 4" xfId="24174" xr:uid="{00000000-0005-0000-0000-0000A8750000}"/>
    <cellStyle name="Currency (0.00) 4 4" xfId="16126" xr:uid="{00000000-0005-0000-0000-0000A9750000}"/>
    <cellStyle name="Currency (0.00) 4 4 2" xfId="27983" xr:uid="{00000000-0005-0000-0000-0000AA750000}"/>
    <cellStyle name="Currency (0.00) 4 5" xfId="20125" xr:uid="{00000000-0005-0000-0000-0000AB750000}"/>
    <cellStyle name="Currency (0.00) 4 5 2" xfId="31817" xr:uid="{00000000-0005-0000-0000-0000AC750000}"/>
    <cellStyle name="Currency (0.00) 4 6" xfId="24171" xr:uid="{00000000-0005-0000-0000-0000AD750000}"/>
    <cellStyle name="Currency (0.00) 5" xfId="11280" xr:uid="{00000000-0005-0000-0000-0000AE750000}"/>
    <cellStyle name="Currency (0.00) 5 2" xfId="11281" xr:uid="{00000000-0005-0000-0000-0000AF750000}"/>
    <cellStyle name="Currency (0.00) 5 2 2" xfId="11282" xr:uid="{00000000-0005-0000-0000-0000B0750000}"/>
    <cellStyle name="Currency (0.00) 5 2 2 2" xfId="16132" xr:uid="{00000000-0005-0000-0000-0000B1750000}"/>
    <cellStyle name="Currency (0.00) 5 2 2 2 2" xfId="27989" xr:uid="{00000000-0005-0000-0000-0000B2750000}"/>
    <cellStyle name="Currency (0.00) 5 2 2 3" xfId="20131" xr:uid="{00000000-0005-0000-0000-0000B3750000}"/>
    <cellStyle name="Currency (0.00) 5 2 2 3 2" xfId="31823" xr:uid="{00000000-0005-0000-0000-0000B4750000}"/>
    <cellStyle name="Currency (0.00) 5 2 2 4" xfId="24177" xr:uid="{00000000-0005-0000-0000-0000B5750000}"/>
    <cellStyle name="Currency (0.00) 5 2 3" xfId="16131" xr:uid="{00000000-0005-0000-0000-0000B6750000}"/>
    <cellStyle name="Currency (0.00) 5 2 3 2" xfId="27988" xr:uid="{00000000-0005-0000-0000-0000B7750000}"/>
    <cellStyle name="Currency (0.00) 5 2 4" xfId="20130" xr:uid="{00000000-0005-0000-0000-0000B8750000}"/>
    <cellStyle name="Currency (0.00) 5 2 4 2" xfId="31822" xr:uid="{00000000-0005-0000-0000-0000B9750000}"/>
    <cellStyle name="Currency (0.00) 5 2 5" xfId="24176" xr:uid="{00000000-0005-0000-0000-0000BA750000}"/>
    <cellStyle name="Currency (0.00) 5 3" xfId="11283" xr:uid="{00000000-0005-0000-0000-0000BB750000}"/>
    <cellStyle name="Currency (0.00) 5 3 2" xfId="16133" xr:uid="{00000000-0005-0000-0000-0000BC750000}"/>
    <cellStyle name="Currency (0.00) 5 3 2 2" xfId="27990" xr:uid="{00000000-0005-0000-0000-0000BD750000}"/>
    <cellStyle name="Currency (0.00) 5 3 3" xfId="20132" xr:uid="{00000000-0005-0000-0000-0000BE750000}"/>
    <cellStyle name="Currency (0.00) 5 3 3 2" xfId="31824" xr:uid="{00000000-0005-0000-0000-0000BF750000}"/>
    <cellStyle name="Currency (0.00) 5 3 4" xfId="24178" xr:uid="{00000000-0005-0000-0000-0000C0750000}"/>
    <cellStyle name="Currency (0.00) 5 4" xfId="16130" xr:uid="{00000000-0005-0000-0000-0000C1750000}"/>
    <cellStyle name="Currency (0.00) 5 4 2" xfId="27987" xr:uid="{00000000-0005-0000-0000-0000C2750000}"/>
    <cellStyle name="Currency (0.00) 5 5" xfId="20129" xr:uid="{00000000-0005-0000-0000-0000C3750000}"/>
    <cellStyle name="Currency (0.00) 5 5 2" xfId="31821" xr:uid="{00000000-0005-0000-0000-0000C4750000}"/>
    <cellStyle name="Currency (0.00) 5 6" xfId="24175" xr:uid="{00000000-0005-0000-0000-0000C5750000}"/>
    <cellStyle name="Currency (0.00) 6" xfId="11284" xr:uid="{00000000-0005-0000-0000-0000C6750000}"/>
    <cellStyle name="Currency (0.00) 6 2" xfId="16134" xr:uid="{00000000-0005-0000-0000-0000C7750000}"/>
    <cellStyle name="Currency (0.00) 6 2 2" xfId="27991" xr:uid="{00000000-0005-0000-0000-0000C8750000}"/>
    <cellStyle name="Currency (0.00) 6 3" xfId="20133" xr:uid="{00000000-0005-0000-0000-0000C9750000}"/>
    <cellStyle name="Currency (0.00) 6 3 2" xfId="31825" xr:uid="{00000000-0005-0000-0000-0000CA750000}"/>
    <cellStyle name="Currency (0.00) 6 4" xfId="24179" xr:uid="{00000000-0005-0000-0000-0000CB750000}"/>
    <cellStyle name="Currency (0.00) 7" xfId="16105" xr:uid="{00000000-0005-0000-0000-0000CC750000}"/>
    <cellStyle name="Currency (0.00) 7 2" xfId="27962" xr:uid="{00000000-0005-0000-0000-0000CD750000}"/>
    <cellStyle name="Currency (0.00) 8" xfId="20104" xr:uid="{00000000-0005-0000-0000-0000CE750000}"/>
    <cellStyle name="Currency (0.00) 8 2" xfId="31796" xr:uid="{00000000-0005-0000-0000-0000CF750000}"/>
    <cellStyle name="Currency (0.00) 9" xfId="24150" xr:uid="{00000000-0005-0000-0000-0000D0750000}"/>
    <cellStyle name="Currency [0] 2" xfId="11285" xr:uid="{00000000-0005-0000-0000-0000D1750000}"/>
    <cellStyle name="Currency [0] 2 2" xfId="11286" xr:uid="{00000000-0005-0000-0000-0000D2750000}"/>
    <cellStyle name="Currency [00]" xfId="11287" xr:uid="{00000000-0005-0000-0000-0000D3750000}"/>
    <cellStyle name="Currency [1]" xfId="11288" xr:uid="{00000000-0005-0000-0000-0000D4750000}"/>
    <cellStyle name="Currency [1] 2" xfId="11289" xr:uid="{00000000-0005-0000-0000-0000D5750000}"/>
    <cellStyle name="Currency [1] 2 2" xfId="11290" xr:uid="{00000000-0005-0000-0000-0000D6750000}"/>
    <cellStyle name="Currency [1] 3" xfId="11291" xr:uid="{00000000-0005-0000-0000-0000D7750000}"/>
    <cellStyle name="Currency [1] 4" xfId="11292" xr:uid="{00000000-0005-0000-0000-0000D8750000}"/>
    <cellStyle name="Currency [1] 5" xfId="11293" xr:uid="{00000000-0005-0000-0000-0000D9750000}"/>
    <cellStyle name="Currency [2]" xfId="11294" xr:uid="{00000000-0005-0000-0000-0000DA750000}"/>
    <cellStyle name="Currency [3]" xfId="11295" xr:uid="{00000000-0005-0000-0000-0000DB750000}"/>
    <cellStyle name="Currency [3] 2" xfId="11296" xr:uid="{00000000-0005-0000-0000-0000DC750000}"/>
    <cellStyle name="Currency [4]" xfId="11297" xr:uid="{00000000-0005-0000-0000-0000DD750000}"/>
    <cellStyle name="Currency 0" xfId="11298" xr:uid="{00000000-0005-0000-0000-0000DE750000}"/>
    <cellStyle name="Currency 0 2" xfId="11299" xr:uid="{00000000-0005-0000-0000-0000DF750000}"/>
    <cellStyle name="Currency 0.0" xfId="11300" xr:uid="{00000000-0005-0000-0000-0000E0750000}"/>
    <cellStyle name="Currency 0.0%" xfId="11301" xr:uid="{00000000-0005-0000-0000-0000E1750000}"/>
    <cellStyle name="Currency 0.0% 2" xfId="11302" xr:uid="{00000000-0005-0000-0000-0000E2750000}"/>
    <cellStyle name="Currency 0.00" xfId="11303" xr:uid="{00000000-0005-0000-0000-0000E3750000}"/>
    <cellStyle name="Currency 0.00%" xfId="11304" xr:uid="{00000000-0005-0000-0000-0000E4750000}"/>
    <cellStyle name="Currency 0.00% 2" xfId="11305" xr:uid="{00000000-0005-0000-0000-0000E5750000}"/>
    <cellStyle name="Currency 0.000" xfId="11306" xr:uid="{00000000-0005-0000-0000-0000E6750000}"/>
    <cellStyle name="Currency 0.000%" xfId="11307" xr:uid="{00000000-0005-0000-0000-0000E7750000}"/>
    <cellStyle name="Currency 0.000% 2" xfId="11308" xr:uid="{00000000-0005-0000-0000-0000E8750000}"/>
    <cellStyle name="Currency 14" xfId="20311" xr:uid="{00000000-0005-0000-0000-0000E9750000}"/>
    <cellStyle name="Currency 14 2" xfId="31942" xr:uid="{00000000-0005-0000-0000-0000EA750000}"/>
    <cellStyle name="Currency 2" xfId="3" xr:uid="{00000000-0005-0000-0000-0000EB750000}"/>
    <cellStyle name="Currency 2 2" xfId="11309" xr:uid="{00000000-0005-0000-0000-0000EC750000}"/>
    <cellStyle name="Currency 2 2 2" xfId="11310" xr:uid="{00000000-0005-0000-0000-0000ED750000}"/>
    <cellStyle name="Currency 2 2 2 2" xfId="11311" xr:uid="{00000000-0005-0000-0000-0000EE750000}"/>
    <cellStyle name="Currency 2 2 2 2 2" xfId="16135" xr:uid="{00000000-0005-0000-0000-0000EF750000}"/>
    <cellStyle name="Currency 2 2 2 2 2 2" xfId="27992" xr:uid="{00000000-0005-0000-0000-0000F0750000}"/>
    <cellStyle name="Currency 2 2 2 2 3" xfId="20134" xr:uid="{00000000-0005-0000-0000-0000F1750000}"/>
    <cellStyle name="Currency 2 2 2 2 3 2" xfId="31826" xr:uid="{00000000-0005-0000-0000-0000F2750000}"/>
    <cellStyle name="Currency 2 2 2 2 4" xfId="24180" xr:uid="{00000000-0005-0000-0000-0000F3750000}"/>
    <cellStyle name="Currency 2 2 3" xfId="11312" xr:uid="{00000000-0005-0000-0000-0000F4750000}"/>
    <cellStyle name="Currency 2 2 3 2" xfId="16136" xr:uid="{00000000-0005-0000-0000-0000F5750000}"/>
    <cellStyle name="Currency 2 2 3 2 2" xfId="27993" xr:uid="{00000000-0005-0000-0000-0000F6750000}"/>
    <cellStyle name="Currency 2 2 3 3" xfId="20135" xr:uid="{00000000-0005-0000-0000-0000F7750000}"/>
    <cellStyle name="Currency 2 2 3 3 2" xfId="31827" xr:uid="{00000000-0005-0000-0000-0000F8750000}"/>
    <cellStyle name="Currency 2 2 3 4" xfId="24181" xr:uid="{00000000-0005-0000-0000-0000F9750000}"/>
    <cellStyle name="Currency 2 3" xfId="11313" xr:uid="{00000000-0005-0000-0000-0000FA750000}"/>
    <cellStyle name="Currency 2 3 2" xfId="11314" xr:uid="{00000000-0005-0000-0000-0000FB750000}"/>
    <cellStyle name="Currency 2 4" xfId="11315" xr:uid="{00000000-0005-0000-0000-0000FC750000}"/>
    <cellStyle name="Currency 2 4 2" xfId="11316" xr:uid="{00000000-0005-0000-0000-0000FD750000}"/>
    <cellStyle name="Currency 2 5" xfId="11317" xr:uid="{00000000-0005-0000-0000-0000FE750000}"/>
    <cellStyle name="Currency 2 5 2" xfId="11318" xr:uid="{00000000-0005-0000-0000-0000FF750000}"/>
    <cellStyle name="Currency 2 6" xfId="11319" xr:uid="{00000000-0005-0000-0000-000000760000}"/>
    <cellStyle name="Currency 2 7" xfId="12430" xr:uid="{00000000-0005-0000-0000-000001760000}"/>
    <cellStyle name="Currency 2 7 2" xfId="24287" xr:uid="{00000000-0005-0000-0000-000002760000}"/>
    <cellStyle name="Currency 2 8" xfId="16386" xr:uid="{00000000-0005-0000-0000-000003760000}"/>
    <cellStyle name="Currency 2 8 2" xfId="28078" xr:uid="{00000000-0005-0000-0000-000004760000}"/>
    <cellStyle name="Currency 2 9" xfId="20423" xr:uid="{00000000-0005-0000-0000-000005760000}"/>
    <cellStyle name="Currency 2*" xfId="11320" xr:uid="{00000000-0005-0000-0000-000006760000}"/>
    <cellStyle name="Currency 2_ Budgeted Income Statement for Y2008 (071508)" xfId="11321" xr:uid="{00000000-0005-0000-0000-000007760000}"/>
    <cellStyle name="Currency 3" xfId="11322" xr:uid="{00000000-0005-0000-0000-000008760000}"/>
    <cellStyle name="Currency 3 2" xfId="11323" xr:uid="{00000000-0005-0000-0000-000009760000}"/>
    <cellStyle name="Currency 3*" xfId="11324" xr:uid="{00000000-0005-0000-0000-00000A760000}"/>
    <cellStyle name="Currency 3_ Budgeted Income Statement for Y2009 (071508)" xfId="11325" xr:uid="{00000000-0005-0000-0000-00000B760000}"/>
    <cellStyle name="Currency 39" xfId="20396" xr:uid="{00000000-0005-0000-0000-00000C760000}"/>
    <cellStyle name="Currency 39 2" xfId="31952" xr:uid="{00000000-0005-0000-0000-00000D760000}"/>
    <cellStyle name="Currency 4" xfId="11326" xr:uid="{00000000-0005-0000-0000-00000E760000}"/>
    <cellStyle name="Currency 4 2" xfId="11327" xr:uid="{00000000-0005-0000-0000-00000F760000}"/>
    <cellStyle name="Currency 4 2 2" xfId="11328" xr:uid="{00000000-0005-0000-0000-000010760000}"/>
    <cellStyle name="Currency 4 2 2 2" xfId="16137" xr:uid="{00000000-0005-0000-0000-000011760000}"/>
    <cellStyle name="Currency 4 2 2 2 2" xfId="27994" xr:uid="{00000000-0005-0000-0000-000012760000}"/>
    <cellStyle name="Currency 4 2 2 3" xfId="20136" xr:uid="{00000000-0005-0000-0000-000013760000}"/>
    <cellStyle name="Currency 4 2 2 3 2" xfId="31828" xr:uid="{00000000-0005-0000-0000-000014760000}"/>
    <cellStyle name="Currency 4 2 2 4" xfId="24182" xr:uid="{00000000-0005-0000-0000-000015760000}"/>
    <cellStyle name="Currency 4 3" xfId="11329" xr:uid="{00000000-0005-0000-0000-000016760000}"/>
    <cellStyle name="Currency 4 3 2" xfId="16138" xr:uid="{00000000-0005-0000-0000-000017760000}"/>
    <cellStyle name="Currency 4 3 2 2" xfId="27995" xr:uid="{00000000-0005-0000-0000-000018760000}"/>
    <cellStyle name="Currency 4 3 3" xfId="20137" xr:uid="{00000000-0005-0000-0000-000019760000}"/>
    <cellStyle name="Currency 4 3 3 2" xfId="31829" xr:uid="{00000000-0005-0000-0000-00001A760000}"/>
    <cellStyle name="Currency 4 3 4" xfId="24183" xr:uid="{00000000-0005-0000-0000-00001B760000}"/>
    <cellStyle name="Currency 5" xfId="11330" xr:uid="{00000000-0005-0000-0000-00001C760000}"/>
    <cellStyle name="Currency 5 4" xfId="12423" xr:uid="{00000000-0005-0000-0000-00001D760000}"/>
    <cellStyle name="Currency 6" xfId="11331" xr:uid="{00000000-0005-0000-0000-00001E760000}"/>
    <cellStyle name="Currency 6 2" xfId="16139" xr:uid="{00000000-0005-0000-0000-00001F760000}"/>
    <cellStyle name="Currency 6 2 2" xfId="27996" xr:uid="{00000000-0005-0000-0000-000020760000}"/>
    <cellStyle name="Currency 6 3" xfId="20138" xr:uid="{00000000-0005-0000-0000-000021760000}"/>
    <cellStyle name="Currency 6 3 2" xfId="31830" xr:uid="{00000000-0005-0000-0000-000022760000}"/>
    <cellStyle name="Currency 6 4" xfId="24184" xr:uid="{00000000-0005-0000-0000-000023760000}"/>
    <cellStyle name="Currency 7" xfId="16218" xr:uid="{00000000-0005-0000-0000-000024760000}"/>
    <cellStyle name="Currency 7 2" xfId="20401" xr:uid="{00000000-0005-0000-0000-000025760000}"/>
    <cellStyle name="Currency 7 2 2" xfId="20272" xr:uid="{00000000-0005-0000-0000-000026760000}"/>
    <cellStyle name="Currency 7 2 2 2" xfId="31933" xr:uid="{00000000-0005-0000-0000-000027760000}"/>
    <cellStyle name="Currency 7 2 3" xfId="20420" xr:uid="{00000000-0005-0000-0000-000028760000}"/>
    <cellStyle name="Currency 7 2 3 2" xfId="31975" xr:uid="{00000000-0005-0000-0000-000029760000}"/>
    <cellStyle name="Currency 7 2 4" xfId="31957" xr:uid="{00000000-0005-0000-0000-00002A760000}"/>
    <cellStyle name="Currency 9" xfId="20408" xr:uid="{00000000-0005-0000-0000-00002B760000}"/>
    <cellStyle name="Currency 9 2" xfId="31963" xr:uid="{00000000-0005-0000-0000-00002C760000}"/>
    <cellStyle name="Currency 9 3" xfId="20273" xr:uid="{00000000-0005-0000-0000-00002D760000}"/>
    <cellStyle name="Currency 9 3 2" xfId="20274" xr:uid="{00000000-0005-0000-0000-00002E760000}"/>
    <cellStyle name="Currency 9 3 2 2" xfId="31935" xr:uid="{00000000-0005-0000-0000-00002F760000}"/>
    <cellStyle name="Currency 9 3 3" xfId="31934" xr:uid="{00000000-0005-0000-0000-000030760000}"/>
    <cellStyle name="Currency Input" xfId="11332" xr:uid="{00000000-0005-0000-0000-000031760000}"/>
    <cellStyle name="Currency Input 2" xfId="11333" xr:uid="{00000000-0005-0000-0000-000032760000}"/>
    <cellStyle name="Currency*" xfId="11334" xr:uid="{00000000-0005-0000-0000-000033760000}"/>
    <cellStyle name="Currency0" xfId="11335" xr:uid="{00000000-0005-0000-0000-000034760000}"/>
    <cellStyle name="Currency0 2" xfId="11336" xr:uid="{00000000-0005-0000-0000-000035760000}"/>
    <cellStyle name="Currency1" xfId="11337" xr:uid="{00000000-0005-0000-0000-000036760000}"/>
    <cellStyle name="Currency2" xfId="11338" xr:uid="{00000000-0005-0000-0000-000037760000}"/>
    <cellStyle name="Currsmall" xfId="11339" xr:uid="{00000000-0005-0000-0000-000038760000}"/>
    <cellStyle name="custom" xfId="11340" xr:uid="{00000000-0005-0000-0000-000039760000}"/>
    <cellStyle name="d" xfId="11341" xr:uid="{00000000-0005-0000-0000-00003A760000}"/>
    <cellStyle name="d/m/yr" xfId="11342" xr:uid="{00000000-0005-0000-0000-00003B760000}"/>
    <cellStyle name="DARK" xfId="11343" xr:uid="{00000000-0005-0000-0000-00003C760000}"/>
    <cellStyle name="darren" xfId="11344" xr:uid="{00000000-0005-0000-0000-00003D760000}"/>
    <cellStyle name="Dash" xfId="11345" xr:uid="{00000000-0005-0000-0000-00003E760000}"/>
    <cellStyle name="Data entry" xfId="11346" xr:uid="{00000000-0005-0000-0000-00003F760000}"/>
    <cellStyle name="Data Link" xfId="11347" xr:uid="{00000000-0005-0000-0000-000040760000}"/>
    <cellStyle name="DataBases" xfId="11348" xr:uid="{00000000-0005-0000-0000-000041760000}"/>
    <cellStyle name="DATASTYLE" xfId="11349" xr:uid="{00000000-0005-0000-0000-000042760000}"/>
    <cellStyle name="DataToHide" xfId="11350" xr:uid="{00000000-0005-0000-0000-000043760000}"/>
    <cellStyle name="Date" xfId="11351" xr:uid="{00000000-0005-0000-0000-000044760000}"/>
    <cellStyle name="Date - Style1" xfId="11352" xr:uid="{00000000-0005-0000-0000-000045760000}"/>
    <cellStyle name="Date - Style3" xfId="11353" xr:uid="{00000000-0005-0000-0000-000046760000}"/>
    <cellStyle name="Date [d-mmm-yy]" xfId="11354" xr:uid="{00000000-0005-0000-0000-000047760000}"/>
    <cellStyle name="Date [d-mmm-yy] 2" xfId="20312" xr:uid="{00000000-0005-0000-0000-000048760000}"/>
    <cellStyle name="Date [mm-d-yy]" xfId="11355" xr:uid="{00000000-0005-0000-0000-000049760000}"/>
    <cellStyle name="Date [mm-d-yy] 2" xfId="20313" xr:uid="{00000000-0005-0000-0000-00004A760000}"/>
    <cellStyle name="Date [mm-d-yyyy]" xfId="11356" xr:uid="{00000000-0005-0000-0000-00004B760000}"/>
    <cellStyle name="Date [mm-d-yyyy] 2" xfId="11357" xr:uid="{00000000-0005-0000-0000-00004C760000}"/>
    <cellStyle name="Date [mmm-d-yyyy]" xfId="11358" xr:uid="{00000000-0005-0000-0000-00004D760000}"/>
    <cellStyle name="Date [mmm-yy]" xfId="11359" xr:uid="{00000000-0005-0000-0000-00004E760000}"/>
    <cellStyle name="Date [mmm-yy] 2" xfId="20314" xr:uid="{00000000-0005-0000-0000-00004F760000}"/>
    <cellStyle name="Date 2" xfId="11360" xr:uid="{00000000-0005-0000-0000-000050760000}"/>
    <cellStyle name="Date Aligned" xfId="11361" xr:uid="{00000000-0005-0000-0000-000051760000}"/>
    <cellStyle name="Date Aligned*" xfId="11362" xr:uid="{00000000-0005-0000-0000-000052760000}"/>
    <cellStyle name="Date Aligned_comps" xfId="11363" xr:uid="{00000000-0005-0000-0000-000053760000}"/>
    <cellStyle name="Date Short" xfId="11364" xr:uid="{00000000-0005-0000-0000-000054760000}"/>
    <cellStyle name="Date Short 2" xfId="20315" xr:uid="{00000000-0005-0000-0000-000055760000}"/>
    <cellStyle name="Date Year" xfId="11365" xr:uid="{00000000-0005-0000-0000-000056760000}"/>
    <cellStyle name="Date_ACC_DIL Template" xfId="11366" xr:uid="{00000000-0005-0000-0000-000057760000}"/>
    <cellStyle name="Date1" xfId="11367" xr:uid="{00000000-0005-0000-0000-000058760000}"/>
    <cellStyle name="DateL" xfId="11368" xr:uid="{00000000-0005-0000-0000-000059760000}"/>
    <cellStyle name="DateLong" xfId="11369" xr:uid="{00000000-0005-0000-0000-00005A760000}"/>
    <cellStyle name="DateLong 2" xfId="11370" xr:uid="{00000000-0005-0000-0000-00005B760000}"/>
    <cellStyle name="DateLong 3" xfId="11371" xr:uid="{00000000-0005-0000-0000-00005C760000}"/>
    <cellStyle name="DATES" xfId="11372" xr:uid="{00000000-0005-0000-0000-00005D760000}"/>
    <cellStyle name="DATES 2" xfId="20316" xr:uid="{00000000-0005-0000-0000-00005E760000}"/>
    <cellStyle name="DateShort" xfId="11373" xr:uid="{00000000-0005-0000-0000-00005F760000}"/>
    <cellStyle name="DateShort 2" xfId="11374" xr:uid="{00000000-0005-0000-0000-000060760000}"/>
    <cellStyle name="DateShort 3" xfId="11375" xr:uid="{00000000-0005-0000-0000-000061760000}"/>
    <cellStyle name="DateYear" xfId="11376" xr:uid="{00000000-0005-0000-0000-000062760000}"/>
    <cellStyle name="DateYearEstimate" xfId="11377" xr:uid="{00000000-0005-0000-0000-000063760000}"/>
    <cellStyle name="DateYearEstimate 2" xfId="11378" xr:uid="{00000000-0005-0000-0000-000064760000}"/>
    <cellStyle name="DateYearEstimate 2 2" xfId="11379" xr:uid="{00000000-0005-0000-0000-000065760000}"/>
    <cellStyle name="DateYearEstimate 2 2 2" xfId="16142" xr:uid="{00000000-0005-0000-0000-000066760000}"/>
    <cellStyle name="DateYearEstimate 2 2 2 2" xfId="27999" xr:uid="{00000000-0005-0000-0000-000067760000}"/>
    <cellStyle name="DateYearEstimate 2 2 3" xfId="20141" xr:uid="{00000000-0005-0000-0000-000068760000}"/>
    <cellStyle name="DateYearEstimate 2 2 3 2" xfId="31833" xr:uid="{00000000-0005-0000-0000-000069760000}"/>
    <cellStyle name="DateYearEstimate 2 2 4" xfId="24187" xr:uid="{00000000-0005-0000-0000-00006A760000}"/>
    <cellStyle name="DateYearEstimate 2 3" xfId="16141" xr:uid="{00000000-0005-0000-0000-00006B760000}"/>
    <cellStyle name="DateYearEstimate 2 3 2" xfId="27998" xr:uid="{00000000-0005-0000-0000-00006C760000}"/>
    <cellStyle name="DateYearEstimate 2 4" xfId="20140" xr:uid="{00000000-0005-0000-0000-00006D760000}"/>
    <cellStyle name="DateYearEstimate 2 4 2" xfId="31832" xr:uid="{00000000-0005-0000-0000-00006E760000}"/>
    <cellStyle name="DateYearEstimate 2 5" xfId="24186" xr:uid="{00000000-0005-0000-0000-00006F760000}"/>
    <cellStyle name="DateYearEstimate 3" xfId="11380" xr:uid="{00000000-0005-0000-0000-000070760000}"/>
    <cellStyle name="DateYearEstimate 3 2" xfId="11381" xr:uid="{00000000-0005-0000-0000-000071760000}"/>
    <cellStyle name="DateYearEstimate 3 2 2" xfId="16144" xr:uid="{00000000-0005-0000-0000-000072760000}"/>
    <cellStyle name="DateYearEstimate 3 2 2 2" xfId="28001" xr:uid="{00000000-0005-0000-0000-000073760000}"/>
    <cellStyle name="DateYearEstimate 3 2 3" xfId="20143" xr:uid="{00000000-0005-0000-0000-000074760000}"/>
    <cellStyle name="DateYearEstimate 3 2 3 2" xfId="31835" xr:uid="{00000000-0005-0000-0000-000075760000}"/>
    <cellStyle name="DateYearEstimate 3 2 4" xfId="24189" xr:uid="{00000000-0005-0000-0000-000076760000}"/>
    <cellStyle name="DateYearEstimate 3 3" xfId="16143" xr:uid="{00000000-0005-0000-0000-000077760000}"/>
    <cellStyle name="DateYearEstimate 3 3 2" xfId="28000" xr:uid="{00000000-0005-0000-0000-000078760000}"/>
    <cellStyle name="DateYearEstimate 3 4" xfId="20142" xr:uid="{00000000-0005-0000-0000-000079760000}"/>
    <cellStyle name="DateYearEstimate 3 4 2" xfId="31834" xr:uid="{00000000-0005-0000-0000-00007A760000}"/>
    <cellStyle name="DateYearEstimate 3 5" xfId="24188" xr:uid="{00000000-0005-0000-0000-00007B760000}"/>
    <cellStyle name="DateYearEstimate 4" xfId="11382" xr:uid="{00000000-0005-0000-0000-00007C760000}"/>
    <cellStyle name="DateYearEstimate 4 2" xfId="16145" xr:uid="{00000000-0005-0000-0000-00007D760000}"/>
    <cellStyle name="DateYearEstimate 4 2 2" xfId="28002" xr:uid="{00000000-0005-0000-0000-00007E760000}"/>
    <cellStyle name="DateYearEstimate 4 3" xfId="20144" xr:uid="{00000000-0005-0000-0000-00007F760000}"/>
    <cellStyle name="DateYearEstimate 4 3 2" xfId="31836" xr:uid="{00000000-0005-0000-0000-000080760000}"/>
    <cellStyle name="DateYearEstimate 4 4" xfId="24190" xr:uid="{00000000-0005-0000-0000-000081760000}"/>
    <cellStyle name="DateYearEstimate 5" xfId="16140" xr:uid="{00000000-0005-0000-0000-000082760000}"/>
    <cellStyle name="DateYearEstimate 5 2" xfId="27997" xr:uid="{00000000-0005-0000-0000-000083760000}"/>
    <cellStyle name="DateYearEstimate 6" xfId="20139" xr:uid="{00000000-0005-0000-0000-000084760000}"/>
    <cellStyle name="DateYearEstimate 6 2" xfId="31831" xr:uid="{00000000-0005-0000-0000-000085760000}"/>
    <cellStyle name="DateYearEstimate 7" xfId="24185" xr:uid="{00000000-0005-0000-0000-000086760000}"/>
    <cellStyle name="DateYearWholeEstimate" xfId="11383" xr:uid="{00000000-0005-0000-0000-000087760000}"/>
    <cellStyle name="DateYearWholeEstimate 2" xfId="11384" xr:uid="{00000000-0005-0000-0000-000088760000}"/>
    <cellStyle name="DateYearWholeEstimate 2 2" xfId="11385" xr:uid="{00000000-0005-0000-0000-000089760000}"/>
    <cellStyle name="DateYearWholeEstimate 2 2 2" xfId="16148" xr:uid="{00000000-0005-0000-0000-00008A760000}"/>
    <cellStyle name="DateYearWholeEstimate 2 2 2 2" xfId="28005" xr:uid="{00000000-0005-0000-0000-00008B760000}"/>
    <cellStyle name="DateYearWholeEstimate 2 2 3" xfId="20147" xr:uid="{00000000-0005-0000-0000-00008C760000}"/>
    <cellStyle name="DateYearWholeEstimate 2 2 3 2" xfId="31839" xr:uid="{00000000-0005-0000-0000-00008D760000}"/>
    <cellStyle name="DateYearWholeEstimate 2 2 4" xfId="24193" xr:uid="{00000000-0005-0000-0000-00008E760000}"/>
    <cellStyle name="DateYearWholeEstimate 2 3" xfId="16147" xr:uid="{00000000-0005-0000-0000-00008F760000}"/>
    <cellStyle name="DateYearWholeEstimate 2 3 2" xfId="28004" xr:uid="{00000000-0005-0000-0000-000090760000}"/>
    <cellStyle name="DateYearWholeEstimate 2 4" xfId="20146" xr:uid="{00000000-0005-0000-0000-000091760000}"/>
    <cellStyle name="DateYearWholeEstimate 2 4 2" xfId="31838" xr:uid="{00000000-0005-0000-0000-000092760000}"/>
    <cellStyle name="DateYearWholeEstimate 2 5" xfId="24192" xr:uid="{00000000-0005-0000-0000-000093760000}"/>
    <cellStyle name="DateYearWholeEstimate 3" xfId="11386" xr:uid="{00000000-0005-0000-0000-000094760000}"/>
    <cellStyle name="DateYearWholeEstimate 3 2" xfId="11387" xr:uid="{00000000-0005-0000-0000-000095760000}"/>
    <cellStyle name="DateYearWholeEstimate 3 2 2" xfId="16150" xr:uid="{00000000-0005-0000-0000-000096760000}"/>
    <cellStyle name="DateYearWholeEstimate 3 2 2 2" xfId="28007" xr:uid="{00000000-0005-0000-0000-000097760000}"/>
    <cellStyle name="DateYearWholeEstimate 3 2 3" xfId="20149" xr:uid="{00000000-0005-0000-0000-000098760000}"/>
    <cellStyle name="DateYearWholeEstimate 3 2 3 2" xfId="31841" xr:uid="{00000000-0005-0000-0000-000099760000}"/>
    <cellStyle name="DateYearWholeEstimate 3 2 4" xfId="24195" xr:uid="{00000000-0005-0000-0000-00009A760000}"/>
    <cellStyle name="DateYearWholeEstimate 3 3" xfId="16149" xr:uid="{00000000-0005-0000-0000-00009B760000}"/>
    <cellStyle name="DateYearWholeEstimate 3 3 2" xfId="28006" xr:uid="{00000000-0005-0000-0000-00009C760000}"/>
    <cellStyle name="DateYearWholeEstimate 3 4" xfId="20148" xr:uid="{00000000-0005-0000-0000-00009D760000}"/>
    <cellStyle name="DateYearWholeEstimate 3 4 2" xfId="31840" xr:uid="{00000000-0005-0000-0000-00009E760000}"/>
    <cellStyle name="DateYearWholeEstimate 3 5" xfId="24194" xr:uid="{00000000-0005-0000-0000-00009F760000}"/>
    <cellStyle name="DateYearWholeEstimate 4" xfId="11388" xr:uid="{00000000-0005-0000-0000-0000A0760000}"/>
    <cellStyle name="DateYearWholeEstimate 4 2" xfId="16151" xr:uid="{00000000-0005-0000-0000-0000A1760000}"/>
    <cellStyle name="DateYearWholeEstimate 4 2 2" xfId="28008" xr:uid="{00000000-0005-0000-0000-0000A2760000}"/>
    <cellStyle name="DateYearWholeEstimate 4 3" xfId="20150" xr:uid="{00000000-0005-0000-0000-0000A3760000}"/>
    <cellStyle name="DateYearWholeEstimate 4 3 2" xfId="31842" xr:uid="{00000000-0005-0000-0000-0000A4760000}"/>
    <cellStyle name="DateYearWholeEstimate 4 4" xfId="24196" xr:uid="{00000000-0005-0000-0000-0000A5760000}"/>
    <cellStyle name="DateYearWholeEstimate 5" xfId="16146" xr:uid="{00000000-0005-0000-0000-0000A6760000}"/>
    <cellStyle name="DateYearWholeEstimate 5 2" xfId="28003" xr:uid="{00000000-0005-0000-0000-0000A7760000}"/>
    <cellStyle name="DateYearWholeEstimate 6" xfId="20145" xr:uid="{00000000-0005-0000-0000-0000A8760000}"/>
    <cellStyle name="DateYearWholeEstimate 6 2" xfId="31837" xr:uid="{00000000-0005-0000-0000-0000A9760000}"/>
    <cellStyle name="DateYearWholeEstimate 7" xfId="24191" xr:uid="{00000000-0005-0000-0000-0000AA760000}"/>
    <cellStyle name="Daydate" xfId="11389" xr:uid="{00000000-0005-0000-0000-0000AB760000}"/>
    <cellStyle name="Day-Mon-Yr" xfId="11390" xr:uid="{00000000-0005-0000-0000-0000AC760000}"/>
    <cellStyle name="Decimal" xfId="11391" xr:uid="{00000000-0005-0000-0000-0000AD760000}"/>
    <cellStyle name="Decimal Number" xfId="11392" xr:uid="{00000000-0005-0000-0000-0000AE760000}"/>
    <cellStyle name="default" xfId="11393" xr:uid="{00000000-0005-0000-0000-0000AF760000}"/>
    <cellStyle name="Default SS" xfId="11394" xr:uid="{00000000-0005-0000-0000-0000B0760000}"/>
    <cellStyle name="Default TB" xfId="11395" xr:uid="{00000000-0005-0000-0000-0000B1760000}"/>
    <cellStyle name="Default_affinityfin12-11-06" xfId="11396" xr:uid="{00000000-0005-0000-0000-0000B2760000}"/>
    <cellStyle name="DELTA" xfId="11397" xr:uid="{00000000-0005-0000-0000-0000B3760000}"/>
    <cellStyle name="Dezimal [0]_!!!GO" xfId="11398" xr:uid="{00000000-0005-0000-0000-0000B4760000}"/>
    <cellStyle name="Dezimal_!!!GO" xfId="11399" xr:uid="{00000000-0005-0000-0000-0000B5760000}"/>
    <cellStyle name="Dollar" xfId="11400" xr:uid="{00000000-0005-0000-0000-0000B6760000}"/>
    <cellStyle name="Dollar (zero dec)" xfId="11401" xr:uid="{00000000-0005-0000-0000-0000B7760000}"/>
    <cellStyle name="Dollar 2" xfId="20317" xr:uid="{00000000-0005-0000-0000-0000B8760000}"/>
    <cellStyle name="Dollar1" xfId="11402" xr:uid="{00000000-0005-0000-0000-0000B9760000}"/>
    <cellStyle name="Dollar1Blue" xfId="11403" xr:uid="{00000000-0005-0000-0000-0000BA760000}"/>
    <cellStyle name="Dollar2" xfId="11404" xr:uid="{00000000-0005-0000-0000-0000BB760000}"/>
    <cellStyle name="DOLLARLIN" xfId="11405" xr:uid="{00000000-0005-0000-0000-0000BC760000}"/>
    <cellStyle name="dollars" xfId="11406" xr:uid="{00000000-0005-0000-0000-0000BD760000}"/>
    <cellStyle name="Dollars []" xfId="11407" xr:uid="{00000000-0005-0000-0000-0000BE760000}"/>
    <cellStyle name="dollars 2" xfId="20318" xr:uid="{00000000-0005-0000-0000-0000BF760000}"/>
    <cellStyle name="dollars 3" xfId="20319" xr:uid="{00000000-0005-0000-0000-0000C0760000}"/>
    <cellStyle name="dollars_Book2" xfId="11408" xr:uid="{00000000-0005-0000-0000-0000C1760000}"/>
    <cellStyle name="DOLLARSIN" xfId="11409" xr:uid="{00000000-0005-0000-0000-0000C2760000}"/>
    <cellStyle name="DollarWhole" xfId="11410" xr:uid="{00000000-0005-0000-0000-0000C3760000}"/>
    <cellStyle name="DollarWhole 2" xfId="20320" xr:uid="{00000000-0005-0000-0000-0000C4760000}"/>
    <cellStyle name="Dotted Line" xfId="11411" xr:uid="{00000000-0005-0000-0000-0000C5760000}"/>
    <cellStyle name="Double Accounting" xfId="11412" xr:uid="{00000000-0005-0000-0000-0000C6760000}"/>
    <cellStyle name="Double Underline" xfId="11413" xr:uid="{00000000-0005-0000-0000-0000C7760000}"/>
    <cellStyle name="Download" xfId="11414" xr:uid="{00000000-0005-0000-0000-0000C8760000}"/>
    <cellStyle name="Download 2" xfId="20321" xr:uid="{00000000-0005-0000-0000-0000C9760000}"/>
    <cellStyle name="Enter Currency (0)" xfId="11415" xr:uid="{00000000-0005-0000-0000-0000CA760000}"/>
    <cellStyle name="Enter Currency (2)" xfId="11416" xr:uid="{00000000-0005-0000-0000-0000CB760000}"/>
    <cellStyle name="Enter Units (0)" xfId="11417" xr:uid="{00000000-0005-0000-0000-0000CC760000}"/>
    <cellStyle name="Enter Units (1)" xfId="11418" xr:uid="{00000000-0005-0000-0000-0000CD760000}"/>
    <cellStyle name="Enter Units (2)" xfId="11419" xr:uid="{00000000-0005-0000-0000-0000CE760000}"/>
    <cellStyle name="ENTER_DATA" xfId="11420" xr:uid="{00000000-0005-0000-0000-0000CF760000}"/>
    <cellStyle name="Entered" xfId="11421" xr:uid="{00000000-0005-0000-0000-0000D0760000}"/>
    <cellStyle name="Entities" xfId="11422" xr:uid="{00000000-0005-0000-0000-0000D1760000}"/>
    <cellStyle name="Euro" xfId="11423" xr:uid="{00000000-0005-0000-0000-0000D2760000}"/>
    <cellStyle name="Euro 10" xfId="11424" xr:uid="{00000000-0005-0000-0000-0000D3760000}"/>
    <cellStyle name="Euro 11" xfId="11425" xr:uid="{00000000-0005-0000-0000-0000D4760000}"/>
    <cellStyle name="Euro 2" xfId="11426" xr:uid="{00000000-0005-0000-0000-0000D5760000}"/>
    <cellStyle name="Euro 3" xfId="11427" xr:uid="{00000000-0005-0000-0000-0000D6760000}"/>
    <cellStyle name="Euro 4" xfId="11428" xr:uid="{00000000-0005-0000-0000-0000D7760000}"/>
    <cellStyle name="Euro 5" xfId="11429" xr:uid="{00000000-0005-0000-0000-0000D8760000}"/>
    <cellStyle name="Euro 6" xfId="11430" xr:uid="{00000000-0005-0000-0000-0000D9760000}"/>
    <cellStyle name="Euro 7" xfId="11431" xr:uid="{00000000-0005-0000-0000-0000DA760000}"/>
    <cellStyle name="Euro 8" xfId="11432" xr:uid="{00000000-0005-0000-0000-0000DB760000}"/>
    <cellStyle name="Euro 8 2" xfId="11433" xr:uid="{00000000-0005-0000-0000-0000DC760000}"/>
    <cellStyle name="Euro 9" xfId="11434" xr:uid="{00000000-0005-0000-0000-0000DD760000}"/>
    <cellStyle name="Euro 9 2" xfId="11435" xr:uid="{00000000-0005-0000-0000-0000DE760000}"/>
    <cellStyle name="Excel Built-in Comma" xfId="11436" xr:uid="{00000000-0005-0000-0000-0000DF760000}"/>
    <cellStyle name="Excel Built-in Normal" xfId="11437" xr:uid="{00000000-0005-0000-0000-0000E0760000}"/>
    <cellStyle name="Explanatory Text 10" xfId="11438" xr:uid="{00000000-0005-0000-0000-0000E1760000}"/>
    <cellStyle name="Explanatory Text 11" xfId="11439" xr:uid="{00000000-0005-0000-0000-0000E2760000}"/>
    <cellStyle name="Explanatory Text 12" xfId="11440" xr:uid="{00000000-0005-0000-0000-0000E3760000}"/>
    <cellStyle name="Explanatory Text 13" xfId="11441" xr:uid="{00000000-0005-0000-0000-0000E4760000}"/>
    <cellStyle name="Explanatory Text 2" xfId="11442" xr:uid="{00000000-0005-0000-0000-0000E5760000}"/>
    <cellStyle name="Explanatory Text 3" xfId="11443" xr:uid="{00000000-0005-0000-0000-0000E6760000}"/>
    <cellStyle name="Explanatory Text 4" xfId="11444" xr:uid="{00000000-0005-0000-0000-0000E7760000}"/>
    <cellStyle name="Explanatory Text 5" xfId="11445" xr:uid="{00000000-0005-0000-0000-0000E8760000}"/>
    <cellStyle name="Explanatory Text 6" xfId="11446" xr:uid="{00000000-0005-0000-0000-0000E9760000}"/>
    <cellStyle name="Explanatory Text 7" xfId="11447" xr:uid="{00000000-0005-0000-0000-0000EA760000}"/>
    <cellStyle name="Explanatory Text 8" xfId="11448" xr:uid="{00000000-0005-0000-0000-0000EB760000}"/>
    <cellStyle name="Explanatory Text 9" xfId="11449" xr:uid="{00000000-0005-0000-0000-0000EC760000}"/>
    <cellStyle name="F2" xfId="11450" xr:uid="{00000000-0005-0000-0000-0000ED760000}"/>
    <cellStyle name="F3" xfId="11451" xr:uid="{00000000-0005-0000-0000-0000EE760000}"/>
    <cellStyle name="F4" xfId="11452" xr:uid="{00000000-0005-0000-0000-0000EF760000}"/>
    <cellStyle name="F5" xfId="11453" xr:uid="{00000000-0005-0000-0000-0000F0760000}"/>
    <cellStyle name="F6" xfId="11454" xr:uid="{00000000-0005-0000-0000-0000F1760000}"/>
    <cellStyle name="F7" xfId="11455" xr:uid="{00000000-0005-0000-0000-0000F2760000}"/>
    <cellStyle name="F8" xfId="11456" xr:uid="{00000000-0005-0000-0000-0000F3760000}"/>
    <cellStyle name="factsheet" xfId="11457" xr:uid="{00000000-0005-0000-0000-0000F4760000}"/>
    <cellStyle name="Final_Data" xfId="11458" xr:uid="{00000000-0005-0000-0000-0000F5760000}"/>
    <cellStyle name="First_nums" xfId="11459" xr:uid="{00000000-0005-0000-0000-0000F6760000}"/>
    <cellStyle name="Fixed" xfId="11460" xr:uid="{00000000-0005-0000-0000-0000F7760000}"/>
    <cellStyle name="Fixed [0]" xfId="11461" xr:uid="{00000000-0005-0000-0000-0000F8760000}"/>
    <cellStyle name="Fixed_Burdick DCF Model -10" xfId="11462" xr:uid="{00000000-0005-0000-0000-0000F9760000}"/>
    <cellStyle name="Fixed0" xfId="11463" xr:uid="{00000000-0005-0000-0000-0000FA760000}"/>
    <cellStyle name="Fixed2 - Style2" xfId="11464" xr:uid="{00000000-0005-0000-0000-0000FB760000}"/>
    <cellStyle name="Fixlong" xfId="11465" xr:uid="{00000000-0005-0000-0000-0000FC760000}"/>
    <cellStyle name="Följd hyperlänk_Analysis of building cost to 300904.xls" xfId="11466" xr:uid="{00000000-0005-0000-0000-0000FD760000}"/>
    <cellStyle name="Följde hyperlänken_2001 EPS SUMMARY" xfId="11467" xr:uid="{00000000-0005-0000-0000-0000FE760000}"/>
    <cellStyle name="Footer" xfId="11468" xr:uid="{00000000-0005-0000-0000-0000FF760000}"/>
    <cellStyle name="Footnote" xfId="11469" xr:uid="{00000000-0005-0000-0000-000000770000}"/>
    <cellStyle name="Footnote 2" xfId="20322" xr:uid="{00000000-0005-0000-0000-000001770000}"/>
    <cellStyle name="ForecastInput" xfId="11470" xr:uid="{00000000-0005-0000-0000-000002770000}"/>
    <cellStyle name="Format Number Column" xfId="11471" xr:uid="{00000000-0005-0000-0000-000003770000}"/>
    <cellStyle name="Formula" xfId="11472" xr:uid="{00000000-0005-0000-0000-000004770000}"/>
    <cellStyle name="FRxAmtStyle" xfId="11473" xr:uid="{00000000-0005-0000-0000-000005770000}"/>
    <cellStyle name="FRxAmtStyle 2" xfId="11474" xr:uid="{00000000-0005-0000-0000-000006770000}"/>
    <cellStyle name="FRxCurrStyle" xfId="11475" xr:uid="{00000000-0005-0000-0000-000007770000}"/>
    <cellStyle name="FRxPcntStyle" xfId="11476" xr:uid="{00000000-0005-0000-0000-000008770000}"/>
    <cellStyle name="Global" xfId="11477" xr:uid="{00000000-0005-0000-0000-000009770000}"/>
    <cellStyle name="Global 2" xfId="11478" xr:uid="{00000000-0005-0000-0000-00000A770000}"/>
    <cellStyle name="Global 2 2" xfId="11479" xr:uid="{00000000-0005-0000-0000-00000B770000}"/>
    <cellStyle name="Global 2 2 2" xfId="16154" xr:uid="{00000000-0005-0000-0000-00000C770000}"/>
    <cellStyle name="Global 2 2 2 2" xfId="28011" xr:uid="{00000000-0005-0000-0000-00000D770000}"/>
    <cellStyle name="Global 2 2 3" xfId="20153" xr:uid="{00000000-0005-0000-0000-00000E770000}"/>
    <cellStyle name="Global 2 2 3 2" xfId="31845" xr:uid="{00000000-0005-0000-0000-00000F770000}"/>
    <cellStyle name="Global 2 2 4" xfId="24199" xr:uid="{00000000-0005-0000-0000-000010770000}"/>
    <cellStyle name="Global 2 3" xfId="16153" xr:uid="{00000000-0005-0000-0000-000011770000}"/>
    <cellStyle name="Global 2 3 2" xfId="28010" xr:uid="{00000000-0005-0000-0000-000012770000}"/>
    <cellStyle name="Global 2 4" xfId="20152" xr:uid="{00000000-0005-0000-0000-000013770000}"/>
    <cellStyle name="Global 2 4 2" xfId="31844" xr:uid="{00000000-0005-0000-0000-000014770000}"/>
    <cellStyle name="Global 2 5" xfId="24198" xr:uid="{00000000-0005-0000-0000-000015770000}"/>
    <cellStyle name="Global 3" xfId="11480" xr:uid="{00000000-0005-0000-0000-000016770000}"/>
    <cellStyle name="Global 3 2" xfId="11481" xr:uid="{00000000-0005-0000-0000-000017770000}"/>
    <cellStyle name="Global 3 2 2" xfId="16156" xr:uid="{00000000-0005-0000-0000-000018770000}"/>
    <cellStyle name="Global 3 2 2 2" xfId="28013" xr:uid="{00000000-0005-0000-0000-000019770000}"/>
    <cellStyle name="Global 3 2 3" xfId="20155" xr:uid="{00000000-0005-0000-0000-00001A770000}"/>
    <cellStyle name="Global 3 2 3 2" xfId="31847" xr:uid="{00000000-0005-0000-0000-00001B770000}"/>
    <cellStyle name="Global 3 2 4" xfId="24201" xr:uid="{00000000-0005-0000-0000-00001C770000}"/>
    <cellStyle name="Global 3 3" xfId="16155" xr:uid="{00000000-0005-0000-0000-00001D770000}"/>
    <cellStyle name="Global 3 3 2" xfId="28012" xr:uid="{00000000-0005-0000-0000-00001E770000}"/>
    <cellStyle name="Global 3 4" xfId="20154" xr:uid="{00000000-0005-0000-0000-00001F770000}"/>
    <cellStyle name="Global 3 4 2" xfId="31846" xr:uid="{00000000-0005-0000-0000-000020770000}"/>
    <cellStyle name="Global 3 5" xfId="24200" xr:uid="{00000000-0005-0000-0000-000021770000}"/>
    <cellStyle name="Global 4" xfId="11482" xr:uid="{00000000-0005-0000-0000-000022770000}"/>
    <cellStyle name="Global 4 2" xfId="16157" xr:uid="{00000000-0005-0000-0000-000023770000}"/>
    <cellStyle name="Global 4 2 2" xfId="28014" xr:uid="{00000000-0005-0000-0000-000024770000}"/>
    <cellStyle name="Global 4 3" xfId="20156" xr:uid="{00000000-0005-0000-0000-000025770000}"/>
    <cellStyle name="Global 4 3 2" xfId="31848" xr:uid="{00000000-0005-0000-0000-000026770000}"/>
    <cellStyle name="Global 4 4" xfId="24202" xr:uid="{00000000-0005-0000-0000-000027770000}"/>
    <cellStyle name="Global 5" xfId="16152" xr:uid="{00000000-0005-0000-0000-000028770000}"/>
    <cellStyle name="Global 5 2" xfId="28009" xr:uid="{00000000-0005-0000-0000-000029770000}"/>
    <cellStyle name="Global 6" xfId="20151" xr:uid="{00000000-0005-0000-0000-00002A770000}"/>
    <cellStyle name="Global 6 2" xfId="31843" xr:uid="{00000000-0005-0000-0000-00002B770000}"/>
    <cellStyle name="Global 7" xfId="24197" xr:uid="{00000000-0005-0000-0000-00002C770000}"/>
    <cellStyle name="Good 10" xfId="11483" xr:uid="{00000000-0005-0000-0000-00002D770000}"/>
    <cellStyle name="Good 11" xfId="11484" xr:uid="{00000000-0005-0000-0000-00002E770000}"/>
    <cellStyle name="Good 12" xfId="11485" xr:uid="{00000000-0005-0000-0000-00002F770000}"/>
    <cellStyle name="Good 13" xfId="11486" xr:uid="{00000000-0005-0000-0000-000030770000}"/>
    <cellStyle name="Good 2" xfId="11487" xr:uid="{00000000-0005-0000-0000-000031770000}"/>
    <cellStyle name="Good 3" xfId="11488" xr:uid="{00000000-0005-0000-0000-000032770000}"/>
    <cellStyle name="Good 4" xfId="11489" xr:uid="{00000000-0005-0000-0000-000033770000}"/>
    <cellStyle name="Good 5" xfId="11490" xr:uid="{00000000-0005-0000-0000-000034770000}"/>
    <cellStyle name="Good 6" xfId="11491" xr:uid="{00000000-0005-0000-0000-000035770000}"/>
    <cellStyle name="Good 7" xfId="11492" xr:uid="{00000000-0005-0000-0000-000036770000}"/>
    <cellStyle name="Good 8" xfId="11493" xr:uid="{00000000-0005-0000-0000-000037770000}"/>
    <cellStyle name="Good 9" xfId="11494" xr:uid="{00000000-0005-0000-0000-000038770000}"/>
    <cellStyle name="grayText2" xfId="11495" xr:uid="{00000000-0005-0000-0000-000039770000}"/>
    <cellStyle name="grayText2Big" xfId="11496" xr:uid="{00000000-0005-0000-0000-00003A770000}"/>
    <cellStyle name="grayText2Big 2" xfId="20323" xr:uid="{00000000-0005-0000-0000-00003B770000}"/>
    <cellStyle name="Grey" xfId="11497" xr:uid="{00000000-0005-0000-0000-00003C770000}"/>
    <cellStyle name="Grey 2" xfId="11498" xr:uid="{00000000-0005-0000-0000-00003D770000}"/>
    <cellStyle name="Grey 3" xfId="11499" xr:uid="{00000000-0005-0000-0000-00003E770000}"/>
    <cellStyle name="Grey 4" xfId="11500" xr:uid="{00000000-0005-0000-0000-00003F770000}"/>
    <cellStyle name="Growth" xfId="11501" xr:uid="{00000000-0005-0000-0000-000040770000}"/>
    <cellStyle name="Growth 2" xfId="20324" xr:uid="{00000000-0005-0000-0000-000041770000}"/>
    <cellStyle name="GrowthRate" xfId="11502" xr:uid="{00000000-0005-0000-0000-000042770000}"/>
    <cellStyle name="GrowthRate 2" xfId="20325" xr:uid="{00000000-0005-0000-0000-000043770000}"/>
    <cellStyle name="H 2" xfId="11503" xr:uid="{00000000-0005-0000-0000-000044770000}"/>
    <cellStyle name="hard no" xfId="11504" xr:uid="{00000000-0005-0000-0000-000045770000}"/>
    <cellStyle name="Hard Percent" xfId="11505" xr:uid="{00000000-0005-0000-0000-000046770000}"/>
    <cellStyle name="hardno" xfId="11506" xr:uid="{00000000-0005-0000-0000-000047770000}"/>
    <cellStyle name="Head" xfId="11507" xr:uid="{00000000-0005-0000-0000-000048770000}"/>
    <cellStyle name="header" xfId="11508" xr:uid="{00000000-0005-0000-0000-000049770000}"/>
    <cellStyle name="header 2" xfId="20326" xr:uid="{00000000-0005-0000-0000-00004A770000}"/>
    <cellStyle name="Header Total" xfId="11509" xr:uid="{00000000-0005-0000-0000-00004B770000}"/>
    <cellStyle name="Header_affinityfin12-11-06" xfId="11510" xr:uid="{00000000-0005-0000-0000-00004C770000}"/>
    <cellStyle name="Header1" xfId="11511" xr:uid="{00000000-0005-0000-0000-00004D770000}"/>
    <cellStyle name="Header1 2" xfId="20327" xr:uid="{00000000-0005-0000-0000-00004E770000}"/>
    <cellStyle name="Header2" xfId="11512" xr:uid="{00000000-0005-0000-0000-00004F770000}"/>
    <cellStyle name="Header2 2" xfId="11513" xr:uid="{00000000-0005-0000-0000-000050770000}"/>
    <cellStyle name="Header2 2 2" xfId="11514" xr:uid="{00000000-0005-0000-0000-000051770000}"/>
    <cellStyle name="Header2 2 2 2" xfId="16159" xr:uid="{00000000-0005-0000-0000-000052770000}"/>
    <cellStyle name="Header2 2 2 2 2" xfId="28016" xr:uid="{00000000-0005-0000-0000-000053770000}"/>
    <cellStyle name="Header2 2 2 3" xfId="20158" xr:uid="{00000000-0005-0000-0000-000054770000}"/>
    <cellStyle name="Header2 2 2 3 2" xfId="31850" xr:uid="{00000000-0005-0000-0000-000055770000}"/>
    <cellStyle name="Header2 2 2 4" xfId="24204" xr:uid="{00000000-0005-0000-0000-000056770000}"/>
    <cellStyle name="Header2 2 3" xfId="16158" xr:uid="{00000000-0005-0000-0000-000057770000}"/>
    <cellStyle name="Header2 2 3 2" xfId="28015" xr:uid="{00000000-0005-0000-0000-000058770000}"/>
    <cellStyle name="Header2 2 4" xfId="20157" xr:uid="{00000000-0005-0000-0000-000059770000}"/>
    <cellStyle name="Header2 2 4 2" xfId="31849" xr:uid="{00000000-0005-0000-0000-00005A770000}"/>
    <cellStyle name="Header2 2 5" xfId="24203" xr:uid="{00000000-0005-0000-0000-00005B770000}"/>
    <cellStyle name="Header2 3" xfId="11515" xr:uid="{00000000-0005-0000-0000-00005C770000}"/>
    <cellStyle name="Header2 3 2" xfId="11516" xr:uid="{00000000-0005-0000-0000-00005D770000}"/>
    <cellStyle name="Header2 3 2 2" xfId="16161" xr:uid="{00000000-0005-0000-0000-00005E770000}"/>
    <cellStyle name="Header2 3 2 2 2" xfId="28018" xr:uid="{00000000-0005-0000-0000-00005F770000}"/>
    <cellStyle name="Header2 3 2 3" xfId="20160" xr:uid="{00000000-0005-0000-0000-000060770000}"/>
    <cellStyle name="Header2 3 2 3 2" xfId="31852" xr:uid="{00000000-0005-0000-0000-000061770000}"/>
    <cellStyle name="Header2 3 2 4" xfId="24206" xr:uid="{00000000-0005-0000-0000-000062770000}"/>
    <cellStyle name="Header2 3 3" xfId="16160" xr:uid="{00000000-0005-0000-0000-000063770000}"/>
    <cellStyle name="Header2 3 3 2" xfId="28017" xr:uid="{00000000-0005-0000-0000-000064770000}"/>
    <cellStyle name="Header2 3 4" xfId="20159" xr:uid="{00000000-0005-0000-0000-000065770000}"/>
    <cellStyle name="Header2 3 4 2" xfId="31851" xr:uid="{00000000-0005-0000-0000-000066770000}"/>
    <cellStyle name="Header2 3 5" xfId="24205" xr:uid="{00000000-0005-0000-0000-000067770000}"/>
    <cellStyle name="Header3" xfId="11517" xr:uid="{00000000-0005-0000-0000-000068770000}"/>
    <cellStyle name="Header4" xfId="11518" xr:uid="{00000000-0005-0000-0000-000069770000}"/>
    <cellStyle name="Heading" xfId="11519" xr:uid="{00000000-0005-0000-0000-00006A770000}"/>
    <cellStyle name="Heading 1 10" xfId="11520" xr:uid="{00000000-0005-0000-0000-00006B770000}"/>
    <cellStyle name="Heading 1 11" xfId="11521" xr:uid="{00000000-0005-0000-0000-00006C770000}"/>
    <cellStyle name="Heading 1 12" xfId="11522" xr:uid="{00000000-0005-0000-0000-00006D770000}"/>
    <cellStyle name="Heading 1 13" xfId="11523" xr:uid="{00000000-0005-0000-0000-00006E770000}"/>
    <cellStyle name="Heading 1 2" xfId="11524" xr:uid="{00000000-0005-0000-0000-00006F770000}"/>
    <cellStyle name="Heading 1 3" xfId="11525" xr:uid="{00000000-0005-0000-0000-000070770000}"/>
    <cellStyle name="Heading 1 4" xfId="11526" xr:uid="{00000000-0005-0000-0000-000071770000}"/>
    <cellStyle name="Heading 1 5" xfId="11527" xr:uid="{00000000-0005-0000-0000-000072770000}"/>
    <cellStyle name="Heading 1 6" xfId="11528" xr:uid="{00000000-0005-0000-0000-000073770000}"/>
    <cellStyle name="Heading 1 7" xfId="11529" xr:uid="{00000000-0005-0000-0000-000074770000}"/>
    <cellStyle name="Heading 1 8" xfId="11530" xr:uid="{00000000-0005-0000-0000-000075770000}"/>
    <cellStyle name="Heading 1 9" xfId="11531" xr:uid="{00000000-0005-0000-0000-000076770000}"/>
    <cellStyle name="Heading 2 10" xfId="11532" xr:uid="{00000000-0005-0000-0000-000077770000}"/>
    <cellStyle name="Heading 2 11" xfId="11533" xr:uid="{00000000-0005-0000-0000-000078770000}"/>
    <cellStyle name="Heading 2 12" xfId="11534" xr:uid="{00000000-0005-0000-0000-000079770000}"/>
    <cellStyle name="Heading 2 13" xfId="11535" xr:uid="{00000000-0005-0000-0000-00007A770000}"/>
    <cellStyle name="Heading 2 2" xfId="11536" xr:uid="{00000000-0005-0000-0000-00007B770000}"/>
    <cellStyle name="Heading 2 3" xfId="11537" xr:uid="{00000000-0005-0000-0000-00007C770000}"/>
    <cellStyle name="Heading 2 4" xfId="11538" xr:uid="{00000000-0005-0000-0000-00007D770000}"/>
    <cellStyle name="Heading 2 5" xfId="11539" xr:uid="{00000000-0005-0000-0000-00007E770000}"/>
    <cellStyle name="Heading 2 6" xfId="11540" xr:uid="{00000000-0005-0000-0000-00007F770000}"/>
    <cellStyle name="Heading 2 7" xfId="11541" xr:uid="{00000000-0005-0000-0000-000080770000}"/>
    <cellStyle name="Heading 2 8" xfId="11542" xr:uid="{00000000-0005-0000-0000-000081770000}"/>
    <cellStyle name="Heading 2 9" xfId="11543" xr:uid="{00000000-0005-0000-0000-000082770000}"/>
    <cellStyle name="Heading 3 10" xfId="11544" xr:uid="{00000000-0005-0000-0000-000083770000}"/>
    <cellStyle name="Heading 3 11" xfId="11545" xr:uid="{00000000-0005-0000-0000-000084770000}"/>
    <cellStyle name="Heading 3 12" xfId="11546" xr:uid="{00000000-0005-0000-0000-000085770000}"/>
    <cellStyle name="Heading 3 13" xfId="11547" xr:uid="{00000000-0005-0000-0000-000086770000}"/>
    <cellStyle name="Heading 3 2" xfId="11548" xr:uid="{00000000-0005-0000-0000-000087770000}"/>
    <cellStyle name="Heading 3 3" xfId="11549" xr:uid="{00000000-0005-0000-0000-000088770000}"/>
    <cellStyle name="Heading 3 4" xfId="11550" xr:uid="{00000000-0005-0000-0000-000089770000}"/>
    <cellStyle name="Heading 3 5" xfId="11551" xr:uid="{00000000-0005-0000-0000-00008A770000}"/>
    <cellStyle name="Heading 3 6" xfId="11552" xr:uid="{00000000-0005-0000-0000-00008B770000}"/>
    <cellStyle name="Heading 3 7" xfId="11553" xr:uid="{00000000-0005-0000-0000-00008C770000}"/>
    <cellStyle name="Heading 3 8" xfId="11554" xr:uid="{00000000-0005-0000-0000-00008D770000}"/>
    <cellStyle name="Heading 3 9" xfId="11555" xr:uid="{00000000-0005-0000-0000-00008E770000}"/>
    <cellStyle name="Heading 4 10" xfId="11556" xr:uid="{00000000-0005-0000-0000-00008F770000}"/>
    <cellStyle name="Heading 4 11" xfId="11557" xr:uid="{00000000-0005-0000-0000-000090770000}"/>
    <cellStyle name="Heading 4 12" xfId="11558" xr:uid="{00000000-0005-0000-0000-000091770000}"/>
    <cellStyle name="Heading 4 13" xfId="11559" xr:uid="{00000000-0005-0000-0000-000092770000}"/>
    <cellStyle name="Heading 4 2" xfId="11560" xr:uid="{00000000-0005-0000-0000-000093770000}"/>
    <cellStyle name="Heading 4 3" xfId="11561" xr:uid="{00000000-0005-0000-0000-000094770000}"/>
    <cellStyle name="Heading 4 4" xfId="11562" xr:uid="{00000000-0005-0000-0000-000095770000}"/>
    <cellStyle name="Heading 4 5" xfId="11563" xr:uid="{00000000-0005-0000-0000-000096770000}"/>
    <cellStyle name="Heading 4 6" xfId="11564" xr:uid="{00000000-0005-0000-0000-000097770000}"/>
    <cellStyle name="Heading 4 7" xfId="11565" xr:uid="{00000000-0005-0000-0000-000098770000}"/>
    <cellStyle name="Heading 4 8" xfId="11566" xr:uid="{00000000-0005-0000-0000-000099770000}"/>
    <cellStyle name="Heading 4 9" xfId="11567" xr:uid="{00000000-0005-0000-0000-00009A770000}"/>
    <cellStyle name="Heading 5" xfId="11568" xr:uid="{00000000-0005-0000-0000-00009B770000}"/>
    <cellStyle name="Heading No Underline" xfId="11569" xr:uid="{00000000-0005-0000-0000-00009C770000}"/>
    <cellStyle name="Heading With Underline" xfId="11570" xr:uid="{00000000-0005-0000-0000-00009D770000}"/>
    <cellStyle name="Heading With Underline 2" xfId="11571" xr:uid="{00000000-0005-0000-0000-00009E770000}"/>
    <cellStyle name="Heading With Underline 2 2" xfId="20275" xr:uid="{00000000-0005-0000-0000-00009F770000}"/>
    <cellStyle name="Heading With Underline 3" xfId="11572" xr:uid="{00000000-0005-0000-0000-0000A0770000}"/>
    <cellStyle name="Heading With Underline 3 2" xfId="20276" xr:uid="{00000000-0005-0000-0000-0000A1770000}"/>
    <cellStyle name="Heading With Underline 4" xfId="20277" xr:uid="{00000000-0005-0000-0000-0000A2770000}"/>
    <cellStyle name="Heading1" xfId="11573" xr:uid="{00000000-0005-0000-0000-0000A3770000}"/>
    <cellStyle name="Heading2" xfId="11574" xr:uid="{00000000-0005-0000-0000-0000A4770000}"/>
    <cellStyle name="Heading3" xfId="11575" xr:uid="{00000000-0005-0000-0000-0000A5770000}"/>
    <cellStyle name="HEADINGS" xfId="11576" xr:uid="{00000000-0005-0000-0000-0000A6770000}"/>
    <cellStyle name="Headings2" xfId="11577" xr:uid="{00000000-0005-0000-0000-0000A7770000}"/>
    <cellStyle name="Headings2 2" xfId="11578" xr:uid="{00000000-0005-0000-0000-0000A8770000}"/>
    <cellStyle name="Headings2 2 2" xfId="11579" xr:uid="{00000000-0005-0000-0000-0000A9770000}"/>
    <cellStyle name="Headings2 2 2 2" xfId="20163" xr:uid="{00000000-0005-0000-0000-0000AA770000}"/>
    <cellStyle name="Headings2 2 2 2 2" xfId="31855" xr:uid="{00000000-0005-0000-0000-0000AB770000}"/>
    <cellStyle name="Headings2 2 2 3" xfId="24209" xr:uid="{00000000-0005-0000-0000-0000AC770000}"/>
    <cellStyle name="Headings2 2 3" xfId="20162" xr:uid="{00000000-0005-0000-0000-0000AD770000}"/>
    <cellStyle name="Headings2 2 3 2" xfId="31854" xr:uid="{00000000-0005-0000-0000-0000AE770000}"/>
    <cellStyle name="Headings2 2 4" xfId="24208" xr:uid="{00000000-0005-0000-0000-0000AF770000}"/>
    <cellStyle name="Headings2 3" xfId="11580" xr:uid="{00000000-0005-0000-0000-0000B0770000}"/>
    <cellStyle name="Headings2 3 2" xfId="11581" xr:uid="{00000000-0005-0000-0000-0000B1770000}"/>
    <cellStyle name="Headings2 3 2 2" xfId="20165" xr:uid="{00000000-0005-0000-0000-0000B2770000}"/>
    <cellStyle name="Headings2 3 2 2 2" xfId="31857" xr:uid="{00000000-0005-0000-0000-0000B3770000}"/>
    <cellStyle name="Headings2 3 2 3" xfId="24211" xr:uid="{00000000-0005-0000-0000-0000B4770000}"/>
    <cellStyle name="Headings2 3 3" xfId="20164" xr:uid="{00000000-0005-0000-0000-0000B5770000}"/>
    <cellStyle name="Headings2 3 3 2" xfId="31856" xr:uid="{00000000-0005-0000-0000-0000B6770000}"/>
    <cellStyle name="Headings2 3 4" xfId="24210" xr:uid="{00000000-0005-0000-0000-0000B7770000}"/>
    <cellStyle name="Headings2 4" xfId="11582" xr:uid="{00000000-0005-0000-0000-0000B8770000}"/>
    <cellStyle name="Headings2 4 2" xfId="20166" xr:uid="{00000000-0005-0000-0000-0000B9770000}"/>
    <cellStyle name="Headings2 4 2 2" xfId="31858" xr:uid="{00000000-0005-0000-0000-0000BA770000}"/>
    <cellStyle name="Headings2 4 3" xfId="24212" xr:uid="{00000000-0005-0000-0000-0000BB770000}"/>
    <cellStyle name="Headings2 5" xfId="20161" xr:uid="{00000000-0005-0000-0000-0000BC770000}"/>
    <cellStyle name="Headings2 5 2" xfId="31853" xr:uid="{00000000-0005-0000-0000-0000BD770000}"/>
    <cellStyle name="Headings2 6" xfId="24207" xr:uid="{00000000-0005-0000-0000-0000BE770000}"/>
    <cellStyle name="Headings2b" xfId="11583" xr:uid="{00000000-0005-0000-0000-0000BF770000}"/>
    <cellStyle name="Headings2b 2" xfId="11584" xr:uid="{00000000-0005-0000-0000-0000C0770000}"/>
    <cellStyle name="Headings2b 2 2" xfId="11585" xr:uid="{00000000-0005-0000-0000-0000C1770000}"/>
    <cellStyle name="Headings2b 2 2 2" xfId="20169" xr:uid="{00000000-0005-0000-0000-0000C2770000}"/>
    <cellStyle name="Headings2b 2 2 2 2" xfId="31861" xr:uid="{00000000-0005-0000-0000-0000C3770000}"/>
    <cellStyle name="Headings2b 2 2 3" xfId="24215" xr:uid="{00000000-0005-0000-0000-0000C4770000}"/>
    <cellStyle name="Headings2b 2 3" xfId="20168" xr:uid="{00000000-0005-0000-0000-0000C5770000}"/>
    <cellStyle name="Headings2b 2 3 2" xfId="31860" xr:uid="{00000000-0005-0000-0000-0000C6770000}"/>
    <cellStyle name="Headings2b 2 4" xfId="24214" xr:uid="{00000000-0005-0000-0000-0000C7770000}"/>
    <cellStyle name="Headings2b 3" xfId="11586" xr:uid="{00000000-0005-0000-0000-0000C8770000}"/>
    <cellStyle name="Headings2b 3 2" xfId="11587" xr:uid="{00000000-0005-0000-0000-0000C9770000}"/>
    <cellStyle name="Headings2b 3 2 2" xfId="20171" xr:uid="{00000000-0005-0000-0000-0000CA770000}"/>
    <cellStyle name="Headings2b 3 2 2 2" xfId="31863" xr:uid="{00000000-0005-0000-0000-0000CB770000}"/>
    <cellStyle name="Headings2b 3 2 3" xfId="24217" xr:uid="{00000000-0005-0000-0000-0000CC770000}"/>
    <cellStyle name="Headings2b 3 3" xfId="20170" xr:uid="{00000000-0005-0000-0000-0000CD770000}"/>
    <cellStyle name="Headings2b 3 3 2" xfId="31862" xr:uid="{00000000-0005-0000-0000-0000CE770000}"/>
    <cellStyle name="Headings2b 3 4" xfId="24216" xr:uid="{00000000-0005-0000-0000-0000CF770000}"/>
    <cellStyle name="Headings2b 4" xfId="11588" xr:uid="{00000000-0005-0000-0000-0000D0770000}"/>
    <cellStyle name="Headings2b 4 2" xfId="20172" xr:uid="{00000000-0005-0000-0000-0000D1770000}"/>
    <cellStyle name="Headings2b 4 2 2" xfId="31864" xr:uid="{00000000-0005-0000-0000-0000D2770000}"/>
    <cellStyle name="Headings2b 4 3" xfId="24218" xr:uid="{00000000-0005-0000-0000-0000D3770000}"/>
    <cellStyle name="Headings2b 5" xfId="20167" xr:uid="{00000000-0005-0000-0000-0000D4770000}"/>
    <cellStyle name="Headings2b 5 2" xfId="31859" xr:uid="{00000000-0005-0000-0000-0000D5770000}"/>
    <cellStyle name="Headings2b 6" xfId="24213" xr:uid="{00000000-0005-0000-0000-0000D6770000}"/>
    <cellStyle name="HEADINGSTOP" xfId="11589" xr:uid="{00000000-0005-0000-0000-0000D7770000}"/>
    <cellStyle name="Hidden" xfId="11590" xr:uid="{00000000-0005-0000-0000-0000D8770000}"/>
    <cellStyle name="HIDDEN 2" xfId="20328" xr:uid="{00000000-0005-0000-0000-0000D9770000}"/>
    <cellStyle name="HIGHLIGHT" xfId="11591" xr:uid="{00000000-0005-0000-0000-0000DA770000}"/>
    <cellStyle name="Hyperlänk_2000 DVD COSTS.xls" xfId="11592" xr:uid="{00000000-0005-0000-0000-0000DB770000}"/>
    <cellStyle name="Hyperlink" xfId="20385" builtinId="8"/>
    <cellStyle name="Hyperlink 2" xfId="11593" xr:uid="{00000000-0005-0000-0000-0000DD770000}"/>
    <cellStyle name="Hyperlink 3" xfId="11594" xr:uid="{00000000-0005-0000-0000-0000DE770000}"/>
    <cellStyle name="IDEO" xfId="11595" xr:uid="{00000000-0005-0000-0000-0000DF770000}"/>
    <cellStyle name="iemens" xfId="11596" xr:uid="{00000000-0005-0000-0000-0000E0770000}"/>
    <cellStyle name="IncomeStatement" xfId="11597" xr:uid="{00000000-0005-0000-0000-0000E1770000}"/>
    <cellStyle name="IncomeStatement 2" xfId="20329" xr:uid="{00000000-0005-0000-0000-0000E2770000}"/>
    <cellStyle name="Input [yellow]" xfId="11598" xr:uid="{00000000-0005-0000-0000-0000E3770000}"/>
    <cellStyle name="Input [yellow] 2" xfId="11599" xr:uid="{00000000-0005-0000-0000-0000E4770000}"/>
    <cellStyle name="Input [yellow] 3" xfId="11600" xr:uid="{00000000-0005-0000-0000-0000E5770000}"/>
    <cellStyle name="Input [yellow] 4" xfId="11601" xr:uid="{00000000-0005-0000-0000-0000E6770000}"/>
    <cellStyle name="Input 10" xfId="11602" xr:uid="{00000000-0005-0000-0000-0000E7770000}"/>
    <cellStyle name="Input 11" xfId="11603" xr:uid="{00000000-0005-0000-0000-0000E8770000}"/>
    <cellStyle name="Input 12" xfId="11604" xr:uid="{00000000-0005-0000-0000-0000E9770000}"/>
    <cellStyle name="Input 13" xfId="11605" xr:uid="{00000000-0005-0000-0000-0000EA770000}"/>
    <cellStyle name="Input 14" xfId="11606" xr:uid="{00000000-0005-0000-0000-0000EB770000}"/>
    <cellStyle name="Input 15" xfId="11607" xr:uid="{00000000-0005-0000-0000-0000EC770000}"/>
    <cellStyle name="Input 16" xfId="11608" xr:uid="{00000000-0005-0000-0000-0000ED770000}"/>
    <cellStyle name="Input 2" xfId="11609" xr:uid="{00000000-0005-0000-0000-0000EE770000}"/>
    <cellStyle name="Input 3" xfId="11610" xr:uid="{00000000-0005-0000-0000-0000EF770000}"/>
    <cellStyle name="Input 4" xfId="11611" xr:uid="{00000000-0005-0000-0000-0000F0770000}"/>
    <cellStyle name="Input 5" xfId="11612" xr:uid="{00000000-0005-0000-0000-0000F1770000}"/>
    <cellStyle name="Input 6" xfId="11613" xr:uid="{00000000-0005-0000-0000-0000F2770000}"/>
    <cellStyle name="Input 7" xfId="11614" xr:uid="{00000000-0005-0000-0000-0000F3770000}"/>
    <cellStyle name="Input 8" xfId="11615" xr:uid="{00000000-0005-0000-0000-0000F4770000}"/>
    <cellStyle name="Input 9" xfId="11616" xr:uid="{00000000-0005-0000-0000-0000F5770000}"/>
    <cellStyle name="input cell" xfId="11617" xr:uid="{00000000-0005-0000-0000-0000F6770000}"/>
    <cellStyle name="Input Cells" xfId="11618" xr:uid="{00000000-0005-0000-0000-0000F7770000}"/>
    <cellStyle name="Input Currency" xfId="11619" xr:uid="{00000000-0005-0000-0000-0000F8770000}"/>
    <cellStyle name="Input Currency 2" xfId="20330" xr:uid="{00000000-0005-0000-0000-0000F9770000}"/>
    <cellStyle name="Input Date" xfId="11620" xr:uid="{00000000-0005-0000-0000-0000FA770000}"/>
    <cellStyle name="Input Date 2" xfId="20331" xr:uid="{00000000-0005-0000-0000-0000FB770000}"/>
    <cellStyle name="Input Fixed [0]" xfId="11621" xr:uid="{00000000-0005-0000-0000-0000FC770000}"/>
    <cellStyle name="Input Fixed [0] 2" xfId="20332" xr:uid="{00000000-0005-0000-0000-0000FD770000}"/>
    <cellStyle name="Input Normal" xfId="11622" xr:uid="{00000000-0005-0000-0000-0000FE770000}"/>
    <cellStyle name="Input Normal 2" xfId="20333" xr:uid="{00000000-0005-0000-0000-0000FF770000}"/>
    <cellStyle name="Input Percent" xfId="11623" xr:uid="{00000000-0005-0000-0000-000000780000}"/>
    <cellStyle name="Input Percent [2]" xfId="11624" xr:uid="{00000000-0005-0000-0000-000001780000}"/>
    <cellStyle name="Input Percent [2] 2" xfId="20334" xr:uid="{00000000-0005-0000-0000-000002780000}"/>
    <cellStyle name="Input Percent 2" xfId="20335" xr:uid="{00000000-0005-0000-0000-000003780000}"/>
    <cellStyle name="Input Percent 3" xfId="20336" xr:uid="{00000000-0005-0000-0000-000004780000}"/>
    <cellStyle name="Input Titles" xfId="11625" xr:uid="{00000000-0005-0000-0000-000005780000}"/>
    <cellStyle name="Input$" xfId="11626" xr:uid="{00000000-0005-0000-0000-000006780000}"/>
    <cellStyle name="Input$ 2" xfId="11627" xr:uid="{00000000-0005-0000-0000-000007780000}"/>
    <cellStyle name="Input$ 3" xfId="11628" xr:uid="{00000000-0005-0000-0000-000008780000}"/>
    <cellStyle name="Input%" xfId="11629" xr:uid="{00000000-0005-0000-0000-000009780000}"/>
    <cellStyle name="Input% 2" xfId="11630" xr:uid="{00000000-0005-0000-0000-00000A780000}"/>
    <cellStyle name="Input% 3" xfId="11631" xr:uid="{00000000-0005-0000-0000-00000B780000}"/>
    <cellStyle name="Input1" xfId="11632" xr:uid="{00000000-0005-0000-0000-00000C780000}"/>
    <cellStyle name="Input2" xfId="11633" xr:uid="{00000000-0005-0000-0000-00000D780000}"/>
    <cellStyle name="InputBlueFont" xfId="11634" xr:uid="{00000000-0005-0000-0000-00000E780000}"/>
    <cellStyle name="InputCell" xfId="11635" xr:uid="{00000000-0005-0000-0000-00000F780000}"/>
    <cellStyle name="InputCell 2" xfId="11636" xr:uid="{00000000-0005-0000-0000-000010780000}"/>
    <cellStyle name="InputCell 2 2" xfId="11637" xr:uid="{00000000-0005-0000-0000-000011780000}"/>
    <cellStyle name="InputCell 2 2 2" xfId="20175" xr:uid="{00000000-0005-0000-0000-000012780000}"/>
    <cellStyle name="InputCell 2 2 2 2" xfId="31867" xr:uid="{00000000-0005-0000-0000-000013780000}"/>
    <cellStyle name="InputCell 2 2 3" xfId="24221" xr:uid="{00000000-0005-0000-0000-000014780000}"/>
    <cellStyle name="InputCell 2 3" xfId="20174" xr:uid="{00000000-0005-0000-0000-000015780000}"/>
    <cellStyle name="InputCell 2 3 2" xfId="31866" xr:uid="{00000000-0005-0000-0000-000016780000}"/>
    <cellStyle name="InputCell 2 4" xfId="24220" xr:uid="{00000000-0005-0000-0000-000017780000}"/>
    <cellStyle name="InputCell 3" xfId="11638" xr:uid="{00000000-0005-0000-0000-000018780000}"/>
    <cellStyle name="InputCell 3 2" xfId="11639" xr:uid="{00000000-0005-0000-0000-000019780000}"/>
    <cellStyle name="InputCell 3 2 2" xfId="20177" xr:uid="{00000000-0005-0000-0000-00001A780000}"/>
    <cellStyle name="InputCell 3 2 2 2" xfId="31869" xr:uid="{00000000-0005-0000-0000-00001B780000}"/>
    <cellStyle name="InputCell 3 2 3" xfId="24223" xr:uid="{00000000-0005-0000-0000-00001C780000}"/>
    <cellStyle name="InputCell 3 3" xfId="20176" xr:uid="{00000000-0005-0000-0000-00001D780000}"/>
    <cellStyle name="InputCell 3 3 2" xfId="31868" xr:uid="{00000000-0005-0000-0000-00001E780000}"/>
    <cellStyle name="InputCell 3 4" xfId="24222" xr:uid="{00000000-0005-0000-0000-00001F780000}"/>
    <cellStyle name="InputCell 4" xfId="11640" xr:uid="{00000000-0005-0000-0000-000020780000}"/>
    <cellStyle name="InputCell 4 2" xfId="20178" xr:uid="{00000000-0005-0000-0000-000021780000}"/>
    <cellStyle name="InputCell 4 2 2" xfId="31870" xr:uid="{00000000-0005-0000-0000-000022780000}"/>
    <cellStyle name="InputCell 4 3" xfId="24224" xr:uid="{00000000-0005-0000-0000-000023780000}"/>
    <cellStyle name="InputCell 5" xfId="20173" xr:uid="{00000000-0005-0000-0000-000024780000}"/>
    <cellStyle name="InputCell 5 2" xfId="31865" xr:uid="{00000000-0005-0000-0000-000025780000}"/>
    <cellStyle name="InputCell 6" xfId="24219" xr:uid="{00000000-0005-0000-0000-000026780000}"/>
    <cellStyle name="InputPop" xfId="11641" xr:uid="{00000000-0005-0000-0000-000027780000}"/>
    <cellStyle name="InputPop 2" xfId="20337" xr:uid="{00000000-0005-0000-0000-000028780000}"/>
    <cellStyle name="Inputs" xfId="11642" xr:uid="{00000000-0005-0000-0000-000029780000}"/>
    <cellStyle name="Input-Text Only" xfId="11643" xr:uid="{00000000-0005-0000-0000-00002A780000}"/>
    <cellStyle name="Integer" xfId="11644" xr:uid="{00000000-0005-0000-0000-00002B780000}"/>
    <cellStyle name="Invisible" xfId="11645" xr:uid="{00000000-0005-0000-0000-00002C780000}"/>
    <cellStyle name="Invisible 2" xfId="11646" xr:uid="{00000000-0005-0000-0000-00002D780000}"/>
    <cellStyle name="Invisible 3" xfId="11647" xr:uid="{00000000-0005-0000-0000-00002E780000}"/>
    <cellStyle name="Item" xfId="11648" xr:uid="{00000000-0005-0000-0000-00002F780000}"/>
    <cellStyle name="ItemTypeClass" xfId="11649" xr:uid="{00000000-0005-0000-0000-000030780000}"/>
    <cellStyle name="ItemTypeClass 2" xfId="11650" xr:uid="{00000000-0005-0000-0000-000031780000}"/>
    <cellStyle name="ItemTypeClass 2 2" xfId="11651" xr:uid="{00000000-0005-0000-0000-000032780000}"/>
    <cellStyle name="ItemTypeClass 2 2 2" xfId="20181" xr:uid="{00000000-0005-0000-0000-000033780000}"/>
    <cellStyle name="ItemTypeClass 2 2 2 2" xfId="31873" xr:uid="{00000000-0005-0000-0000-000034780000}"/>
    <cellStyle name="ItemTypeClass 2 2 3" xfId="24227" xr:uid="{00000000-0005-0000-0000-000035780000}"/>
    <cellStyle name="ItemTypeClass 2 3" xfId="20180" xr:uid="{00000000-0005-0000-0000-000036780000}"/>
    <cellStyle name="ItemTypeClass 2 3 2" xfId="31872" xr:uid="{00000000-0005-0000-0000-000037780000}"/>
    <cellStyle name="ItemTypeClass 2 4" xfId="24226" xr:uid="{00000000-0005-0000-0000-000038780000}"/>
    <cellStyle name="ItemTypeClass 3" xfId="11652" xr:uid="{00000000-0005-0000-0000-000039780000}"/>
    <cellStyle name="ItemTypeClass 3 2" xfId="11653" xr:uid="{00000000-0005-0000-0000-00003A780000}"/>
    <cellStyle name="ItemTypeClass 3 2 2" xfId="20183" xr:uid="{00000000-0005-0000-0000-00003B780000}"/>
    <cellStyle name="ItemTypeClass 3 2 2 2" xfId="31875" xr:uid="{00000000-0005-0000-0000-00003C780000}"/>
    <cellStyle name="ItemTypeClass 3 2 3" xfId="24229" xr:uid="{00000000-0005-0000-0000-00003D780000}"/>
    <cellStyle name="ItemTypeClass 3 3" xfId="20182" xr:uid="{00000000-0005-0000-0000-00003E780000}"/>
    <cellStyle name="ItemTypeClass 3 3 2" xfId="31874" xr:uid="{00000000-0005-0000-0000-00003F780000}"/>
    <cellStyle name="ItemTypeClass 3 4" xfId="24228" xr:uid="{00000000-0005-0000-0000-000040780000}"/>
    <cellStyle name="ItemTypeClass 4" xfId="11654" xr:uid="{00000000-0005-0000-0000-000041780000}"/>
    <cellStyle name="ItemTypeClass 4 2" xfId="20184" xr:uid="{00000000-0005-0000-0000-000042780000}"/>
    <cellStyle name="ItemTypeClass 4 2 2" xfId="31876" xr:uid="{00000000-0005-0000-0000-000043780000}"/>
    <cellStyle name="ItemTypeClass 4 3" xfId="24230" xr:uid="{00000000-0005-0000-0000-000044780000}"/>
    <cellStyle name="ItemTypeClass 5" xfId="20179" xr:uid="{00000000-0005-0000-0000-000045780000}"/>
    <cellStyle name="ItemTypeClass 5 2" xfId="31871" xr:uid="{00000000-0005-0000-0000-000046780000}"/>
    <cellStyle name="ItemTypeClass 6" xfId="24225" xr:uid="{00000000-0005-0000-0000-000047780000}"/>
    <cellStyle name="Ivan" xfId="11655" xr:uid="{00000000-0005-0000-0000-000048780000}"/>
    <cellStyle name="îÿî_x0002_" xfId="11656" xr:uid="{00000000-0005-0000-0000-000049780000}"/>
    <cellStyle name="îÿî_x0002__x0010_" xfId="11657" xr:uid="{00000000-0005-0000-0000-00004A780000}"/>
    <cellStyle name="îÿî_x0002__CardioSolutions 05 31 2007 Final Model 09 27 2007" xfId="11658" xr:uid="{00000000-0005-0000-0000-00004B780000}"/>
    <cellStyle name="Jason" xfId="11659" xr:uid="{00000000-0005-0000-0000-00004C780000}"/>
    <cellStyle name="JustOneDec" xfId="11660" xr:uid="{00000000-0005-0000-0000-00004D780000}"/>
    <cellStyle name="JustOneDec 2" xfId="20338" xr:uid="{00000000-0005-0000-0000-00004E780000}"/>
    <cellStyle name="Komma [0]_laroux" xfId="11661" xr:uid="{00000000-0005-0000-0000-00004F780000}"/>
    <cellStyle name="Komma_laroux" xfId="11662" xr:uid="{00000000-0005-0000-0000-000050780000}"/>
    <cellStyle name="Kommatecken [0]_2000 DVD COSTS.xls" xfId="11663" xr:uid="{00000000-0005-0000-0000-000051780000}"/>
    <cellStyle name="KPMG Heading 1" xfId="11664" xr:uid="{00000000-0005-0000-0000-000052780000}"/>
    <cellStyle name="KPMG Heading 2" xfId="11665" xr:uid="{00000000-0005-0000-0000-000053780000}"/>
    <cellStyle name="KPMG Heading 3" xfId="11666" xr:uid="{00000000-0005-0000-0000-000054780000}"/>
    <cellStyle name="KPMG Heading 4" xfId="11667" xr:uid="{00000000-0005-0000-0000-000055780000}"/>
    <cellStyle name="KPMG Normal" xfId="11668" xr:uid="{00000000-0005-0000-0000-000056780000}"/>
    <cellStyle name="KPMG Normal Text" xfId="11669" xr:uid="{00000000-0005-0000-0000-000057780000}"/>
    <cellStyle name="KPMG Normal_2006 Model (3-2-06) v1 3" xfId="11670" xr:uid="{00000000-0005-0000-0000-000058780000}"/>
    <cellStyle name="LABEL_NUMBER" xfId="11671" xr:uid="{00000000-0005-0000-0000-000059780000}"/>
    <cellStyle name="Lable8Left" xfId="11672" xr:uid="{00000000-0005-0000-0000-00005A780000}"/>
    <cellStyle name="Large Page Heading" xfId="11673" xr:uid="{00000000-0005-0000-0000-00005B780000}"/>
    <cellStyle name="Last_nums" xfId="11674" xr:uid="{00000000-0005-0000-0000-00005C780000}"/>
    <cellStyle name="left" xfId="11675" xr:uid="{00000000-0005-0000-0000-00005D780000}"/>
    <cellStyle name="left 2" xfId="20339" xr:uid="{00000000-0005-0000-0000-00005E780000}"/>
    <cellStyle name="Left Heading 1" xfId="11676" xr:uid="{00000000-0005-0000-0000-00005F780000}"/>
    <cellStyle name="Left Heading 2" xfId="11677" xr:uid="{00000000-0005-0000-0000-000060780000}"/>
    <cellStyle name="leftStyle" xfId="11678" xr:uid="{00000000-0005-0000-0000-000061780000}"/>
    <cellStyle name="leftStyle2" xfId="11679" xr:uid="{00000000-0005-0000-0000-000062780000}"/>
    <cellStyle name="Lien hypertexte_NEGS" xfId="11680" xr:uid="{00000000-0005-0000-0000-000063780000}"/>
    <cellStyle name="LineBottom" xfId="11681" xr:uid="{00000000-0005-0000-0000-000064780000}"/>
    <cellStyle name="LineBottom 2" xfId="11682" xr:uid="{00000000-0005-0000-0000-000065780000}"/>
    <cellStyle name="LineBottom 2 2" xfId="20278" xr:uid="{00000000-0005-0000-0000-000066780000}"/>
    <cellStyle name="LineBottom 3" xfId="11683" xr:uid="{00000000-0005-0000-0000-000067780000}"/>
    <cellStyle name="LineBottom 3 2" xfId="20279" xr:uid="{00000000-0005-0000-0000-000068780000}"/>
    <cellStyle name="LineBottom 4" xfId="20280" xr:uid="{00000000-0005-0000-0000-000069780000}"/>
    <cellStyle name="LineItem" xfId="11684" xr:uid="{00000000-0005-0000-0000-00006A780000}"/>
    <cellStyle name="LineItems" xfId="11685" xr:uid="{00000000-0005-0000-0000-00006B780000}"/>
    <cellStyle name="LineItems 2" xfId="20340" xr:uid="{00000000-0005-0000-0000-00006C780000}"/>
    <cellStyle name="LineTop" xfId="11686" xr:uid="{00000000-0005-0000-0000-00006D780000}"/>
    <cellStyle name="LineTop 2" xfId="11687" xr:uid="{00000000-0005-0000-0000-00006E780000}"/>
    <cellStyle name="LineTop 2 2" xfId="11688" xr:uid="{00000000-0005-0000-0000-00006F780000}"/>
    <cellStyle name="LineTop 2 2 2" xfId="16164" xr:uid="{00000000-0005-0000-0000-000070780000}"/>
    <cellStyle name="LineTop 2 2 2 2" xfId="28021" xr:uid="{00000000-0005-0000-0000-000071780000}"/>
    <cellStyle name="LineTop 2 2 3" xfId="20187" xr:uid="{00000000-0005-0000-0000-000072780000}"/>
    <cellStyle name="LineTop 2 2 3 2" xfId="31879" xr:uid="{00000000-0005-0000-0000-000073780000}"/>
    <cellStyle name="LineTop 2 2 4" xfId="24233" xr:uid="{00000000-0005-0000-0000-000074780000}"/>
    <cellStyle name="LineTop 2 3" xfId="16163" xr:uid="{00000000-0005-0000-0000-000075780000}"/>
    <cellStyle name="LineTop 2 3 2" xfId="28020" xr:uid="{00000000-0005-0000-0000-000076780000}"/>
    <cellStyle name="LineTop 2 4" xfId="20186" xr:uid="{00000000-0005-0000-0000-000077780000}"/>
    <cellStyle name="LineTop 2 4 2" xfId="31878" xr:uid="{00000000-0005-0000-0000-000078780000}"/>
    <cellStyle name="LineTop 2 5" xfId="24232" xr:uid="{00000000-0005-0000-0000-000079780000}"/>
    <cellStyle name="LineTop 3" xfId="11689" xr:uid="{00000000-0005-0000-0000-00007A780000}"/>
    <cellStyle name="LineTop 3 2" xfId="11690" xr:uid="{00000000-0005-0000-0000-00007B780000}"/>
    <cellStyle name="LineTop 3 2 2" xfId="16166" xr:uid="{00000000-0005-0000-0000-00007C780000}"/>
    <cellStyle name="LineTop 3 2 2 2" xfId="28023" xr:uid="{00000000-0005-0000-0000-00007D780000}"/>
    <cellStyle name="LineTop 3 2 3" xfId="20189" xr:uid="{00000000-0005-0000-0000-00007E780000}"/>
    <cellStyle name="LineTop 3 2 3 2" xfId="31881" xr:uid="{00000000-0005-0000-0000-00007F780000}"/>
    <cellStyle name="LineTop 3 2 4" xfId="24235" xr:uid="{00000000-0005-0000-0000-000080780000}"/>
    <cellStyle name="LineTop 3 3" xfId="16165" xr:uid="{00000000-0005-0000-0000-000081780000}"/>
    <cellStyle name="LineTop 3 3 2" xfId="28022" xr:uid="{00000000-0005-0000-0000-000082780000}"/>
    <cellStyle name="LineTop 3 4" xfId="20188" xr:uid="{00000000-0005-0000-0000-000083780000}"/>
    <cellStyle name="LineTop 3 4 2" xfId="31880" xr:uid="{00000000-0005-0000-0000-000084780000}"/>
    <cellStyle name="LineTop 3 5" xfId="24234" xr:uid="{00000000-0005-0000-0000-000085780000}"/>
    <cellStyle name="LineTop 4" xfId="11691" xr:uid="{00000000-0005-0000-0000-000086780000}"/>
    <cellStyle name="LineTop 4 2" xfId="16167" xr:uid="{00000000-0005-0000-0000-000087780000}"/>
    <cellStyle name="LineTop 4 2 2" xfId="28024" xr:uid="{00000000-0005-0000-0000-000088780000}"/>
    <cellStyle name="LineTop 4 3" xfId="20190" xr:uid="{00000000-0005-0000-0000-000089780000}"/>
    <cellStyle name="LineTop 4 3 2" xfId="31882" xr:uid="{00000000-0005-0000-0000-00008A780000}"/>
    <cellStyle name="LineTop 4 4" xfId="24236" xr:uid="{00000000-0005-0000-0000-00008B780000}"/>
    <cellStyle name="LineTop 5" xfId="16162" xr:uid="{00000000-0005-0000-0000-00008C780000}"/>
    <cellStyle name="LineTop 5 2" xfId="28019" xr:uid="{00000000-0005-0000-0000-00008D780000}"/>
    <cellStyle name="LineTop 6" xfId="20185" xr:uid="{00000000-0005-0000-0000-00008E780000}"/>
    <cellStyle name="LineTop 6 2" xfId="31877" xr:uid="{00000000-0005-0000-0000-00008F780000}"/>
    <cellStyle name="LineTop 7" xfId="24231" xr:uid="{00000000-0005-0000-0000-000090780000}"/>
    <cellStyle name="Link Currency (0)" xfId="11692" xr:uid="{00000000-0005-0000-0000-000091780000}"/>
    <cellStyle name="Link Currency (2)" xfId="11693" xr:uid="{00000000-0005-0000-0000-000092780000}"/>
    <cellStyle name="Link Units (0)" xfId="11694" xr:uid="{00000000-0005-0000-0000-000093780000}"/>
    <cellStyle name="Link Units (1)" xfId="11695" xr:uid="{00000000-0005-0000-0000-000094780000}"/>
    <cellStyle name="Link Units (2)" xfId="11696" xr:uid="{00000000-0005-0000-0000-000095780000}"/>
    <cellStyle name="Linked Cell 10" xfId="11697" xr:uid="{00000000-0005-0000-0000-000096780000}"/>
    <cellStyle name="Linked Cell 11" xfId="11698" xr:uid="{00000000-0005-0000-0000-000097780000}"/>
    <cellStyle name="Linked Cell 12" xfId="11699" xr:uid="{00000000-0005-0000-0000-000098780000}"/>
    <cellStyle name="Linked Cell 13" xfId="11700" xr:uid="{00000000-0005-0000-0000-000099780000}"/>
    <cellStyle name="Linked Cell 2" xfId="11701" xr:uid="{00000000-0005-0000-0000-00009A780000}"/>
    <cellStyle name="Linked Cell 3" xfId="11702" xr:uid="{00000000-0005-0000-0000-00009B780000}"/>
    <cellStyle name="Linked Cell 4" xfId="11703" xr:uid="{00000000-0005-0000-0000-00009C780000}"/>
    <cellStyle name="Linked Cell 5" xfId="11704" xr:uid="{00000000-0005-0000-0000-00009D780000}"/>
    <cellStyle name="Linked Cell 6" xfId="11705" xr:uid="{00000000-0005-0000-0000-00009E780000}"/>
    <cellStyle name="Linked Cell 7" xfId="11706" xr:uid="{00000000-0005-0000-0000-00009F780000}"/>
    <cellStyle name="Linked Cell 8" xfId="11707" xr:uid="{00000000-0005-0000-0000-0000A0780000}"/>
    <cellStyle name="Linked Cell 9" xfId="11708" xr:uid="{00000000-0005-0000-0000-0000A1780000}"/>
    <cellStyle name="Linked Cells" xfId="11709" xr:uid="{00000000-0005-0000-0000-0000A2780000}"/>
    <cellStyle name="locked" xfId="11710" xr:uid="{00000000-0005-0000-0000-0000A3780000}"/>
    <cellStyle name="LookUpText" xfId="11711" xr:uid="{00000000-0005-0000-0000-0000A4780000}"/>
    <cellStyle name="lou" xfId="11712" xr:uid="{00000000-0005-0000-0000-0000A5780000}"/>
    <cellStyle name="m&amp;a" xfId="11713" xr:uid="{00000000-0005-0000-0000-0000A6780000}"/>
    <cellStyle name="ManualInput" xfId="11714" xr:uid="{00000000-0005-0000-0000-0000A7780000}"/>
    <cellStyle name="ManualInput 2" xfId="20341" xr:uid="{00000000-0005-0000-0000-0000A8780000}"/>
    <cellStyle name="Map Labels" xfId="11715" xr:uid="{00000000-0005-0000-0000-0000A9780000}"/>
    <cellStyle name="Map Legend" xfId="11716" xr:uid="{00000000-0005-0000-0000-0000AA780000}"/>
    <cellStyle name="Map Title" xfId="11717" xr:uid="{00000000-0005-0000-0000-0000AB780000}"/>
    <cellStyle name="Margins" xfId="11718" xr:uid="{00000000-0005-0000-0000-0000AC780000}"/>
    <cellStyle name="Margins 2" xfId="20342" xr:uid="{00000000-0005-0000-0000-0000AD780000}"/>
    <cellStyle name="Migliaia (0)_ACTUAL 31-12-95" xfId="11719" xr:uid="{00000000-0005-0000-0000-0000AE780000}"/>
    <cellStyle name="Migliaia_ACTUAL 30-06-95.XLS" xfId="11720" xr:uid="{00000000-0005-0000-0000-0000AF780000}"/>
    <cellStyle name="mil" xfId="11721" xr:uid="{00000000-0005-0000-0000-0000B0780000}"/>
    <cellStyle name="Miles" xfId="11722" xr:uid="{00000000-0005-0000-0000-0000B1780000}"/>
    <cellStyle name="Millares [0]_laroux" xfId="11723" xr:uid="{00000000-0005-0000-0000-0000B2780000}"/>
    <cellStyle name="Millares_laroux" xfId="11724" xr:uid="{00000000-0005-0000-0000-0000B3780000}"/>
    <cellStyle name="Milliers [0]_!!!GO" xfId="11725" xr:uid="{00000000-0005-0000-0000-0000B4780000}"/>
    <cellStyle name="Milliers 2" xfId="11726" xr:uid="{00000000-0005-0000-0000-0000B5780000}"/>
    <cellStyle name="Milliers_!!!GO" xfId="11727" xr:uid="{00000000-0005-0000-0000-0000B6780000}"/>
    <cellStyle name="Mills" xfId="11728" xr:uid="{00000000-0005-0000-0000-0000B7780000}"/>
    <cellStyle name="Mills 2" xfId="11729" xr:uid="{00000000-0005-0000-0000-0000B8780000}"/>
    <cellStyle name="Mills 2 2" xfId="20281" xr:uid="{00000000-0005-0000-0000-0000B9780000}"/>
    <cellStyle name="Mills 3" xfId="11730" xr:uid="{00000000-0005-0000-0000-0000BA780000}"/>
    <cellStyle name="Mills 3 2" xfId="20282" xr:uid="{00000000-0005-0000-0000-0000BB780000}"/>
    <cellStyle name="Mills 4" xfId="20283" xr:uid="{00000000-0005-0000-0000-0000BC780000}"/>
    <cellStyle name="mm/d/yy" xfId="11731" xr:uid="{00000000-0005-0000-0000-0000BD780000}"/>
    <cellStyle name="mm/dd/yy" xfId="11732" xr:uid="{00000000-0005-0000-0000-0000BE780000}"/>
    <cellStyle name="MMM-YY" xfId="11733" xr:uid="{00000000-0005-0000-0000-0000BF780000}"/>
    <cellStyle name="MMs1Place" xfId="11734" xr:uid="{00000000-0005-0000-0000-0000C0780000}"/>
    <cellStyle name="MMs2Places" xfId="11735" xr:uid="{00000000-0005-0000-0000-0000C1780000}"/>
    <cellStyle name="mo" xfId="11736" xr:uid="{00000000-0005-0000-0000-0000C2780000}"/>
    <cellStyle name="mo end" xfId="11737" xr:uid="{00000000-0005-0000-0000-0000C3780000}"/>
    <cellStyle name="mo_~8080122" xfId="11738" xr:uid="{00000000-0005-0000-0000-0000C4780000}"/>
    <cellStyle name="Model" xfId="11739" xr:uid="{00000000-0005-0000-0000-0000C5780000}"/>
    <cellStyle name="Moneda [0]_laroux" xfId="11740" xr:uid="{00000000-0005-0000-0000-0000C6780000}"/>
    <cellStyle name="Moneda_laroux" xfId="11741" xr:uid="{00000000-0005-0000-0000-0000C7780000}"/>
    <cellStyle name="Monétaire [0]_!!!GO" xfId="11742" xr:uid="{00000000-0005-0000-0000-0000C8780000}"/>
    <cellStyle name="Monétaire 2" xfId="11743" xr:uid="{00000000-0005-0000-0000-0000C9780000}"/>
    <cellStyle name="Monétaire 2 10" xfId="11744" xr:uid="{00000000-0005-0000-0000-0000CA780000}"/>
    <cellStyle name="Monétaire 2 2" xfId="11745" xr:uid="{00000000-0005-0000-0000-0000CB780000}"/>
    <cellStyle name="Monétaire 2 2 2" xfId="11746" xr:uid="{00000000-0005-0000-0000-0000CC780000}"/>
    <cellStyle name="Monétaire 2 2 2 2" xfId="11747" xr:uid="{00000000-0005-0000-0000-0000CD780000}"/>
    <cellStyle name="Monétaire 2 2 2 3" xfId="11748" xr:uid="{00000000-0005-0000-0000-0000CE780000}"/>
    <cellStyle name="Monétaire 2 2 2 4" xfId="11749" xr:uid="{00000000-0005-0000-0000-0000CF780000}"/>
    <cellStyle name="Monétaire 2 2 2 5" xfId="11750" xr:uid="{00000000-0005-0000-0000-0000D0780000}"/>
    <cellStyle name="Monétaire 2 2 3" xfId="11751" xr:uid="{00000000-0005-0000-0000-0000D1780000}"/>
    <cellStyle name="Monétaire 2 2 4" xfId="11752" xr:uid="{00000000-0005-0000-0000-0000D2780000}"/>
    <cellStyle name="Monétaire 2 2 5" xfId="11753" xr:uid="{00000000-0005-0000-0000-0000D3780000}"/>
    <cellStyle name="Monétaire 2 3" xfId="11754" xr:uid="{00000000-0005-0000-0000-0000D4780000}"/>
    <cellStyle name="Monétaire 2 4" xfId="11755" xr:uid="{00000000-0005-0000-0000-0000D5780000}"/>
    <cellStyle name="Monétaire 2 5" xfId="11756" xr:uid="{00000000-0005-0000-0000-0000D6780000}"/>
    <cellStyle name="Monétaire 2 6" xfId="11757" xr:uid="{00000000-0005-0000-0000-0000D7780000}"/>
    <cellStyle name="Monétaire 2 7" xfId="11758" xr:uid="{00000000-0005-0000-0000-0000D8780000}"/>
    <cellStyle name="Monétaire 2 8" xfId="11759" xr:uid="{00000000-0005-0000-0000-0000D9780000}"/>
    <cellStyle name="Monétaire 2 9" xfId="11760" xr:uid="{00000000-0005-0000-0000-0000DA780000}"/>
    <cellStyle name="Monétaire_!!!GO" xfId="11761" xr:uid="{00000000-0005-0000-0000-0000DB780000}"/>
    <cellStyle name="MonthYear" xfId="11762" xr:uid="{00000000-0005-0000-0000-0000DC780000}"/>
    <cellStyle name="Mon-Yr" xfId="11763" xr:uid="{00000000-0005-0000-0000-0000DD780000}"/>
    <cellStyle name="Mult No x" xfId="11764" xr:uid="{00000000-0005-0000-0000-0000DE780000}"/>
    <cellStyle name="Mult No x 2" xfId="11765" xr:uid="{00000000-0005-0000-0000-0000DF780000}"/>
    <cellStyle name="Mult No x 2 2" xfId="20284" xr:uid="{00000000-0005-0000-0000-0000E0780000}"/>
    <cellStyle name="Mult No x 3" xfId="11766" xr:uid="{00000000-0005-0000-0000-0000E1780000}"/>
    <cellStyle name="Mult No x 3 2" xfId="20285" xr:uid="{00000000-0005-0000-0000-0000E2780000}"/>
    <cellStyle name="Mult No x 4" xfId="20286" xr:uid="{00000000-0005-0000-0000-0000E3780000}"/>
    <cellStyle name="Mult With x" xfId="11767" xr:uid="{00000000-0005-0000-0000-0000E4780000}"/>
    <cellStyle name="Mult With x 2" xfId="11768" xr:uid="{00000000-0005-0000-0000-0000E5780000}"/>
    <cellStyle name="Mult With x 2 2" xfId="20287" xr:uid="{00000000-0005-0000-0000-0000E6780000}"/>
    <cellStyle name="Mult With x 3" xfId="11769" xr:uid="{00000000-0005-0000-0000-0000E7780000}"/>
    <cellStyle name="Mult With x 3 2" xfId="20288" xr:uid="{00000000-0005-0000-0000-0000E8780000}"/>
    <cellStyle name="Mult With x 4" xfId="20289" xr:uid="{00000000-0005-0000-0000-0000E9780000}"/>
    <cellStyle name="Multiple" xfId="11770" xr:uid="{00000000-0005-0000-0000-0000EA780000}"/>
    <cellStyle name="Multiple (no x)" xfId="11771" xr:uid="{00000000-0005-0000-0000-0000EB780000}"/>
    <cellStyle name="Multiple (x)" xfId="11772" xr:uid="{00000000-0005-0000-0000-0000EC780000}"/>
    <cellStyle name="Multiple []" xfId="11773" xr:uid="{00000000-0005-0000-0000-0000ED780000}"/>
    <cellStyle name="Multiple [0]" xfId="11774" xr:uid="{00000000-0005-0000-0000-0000EE780000}"/>
    <cellStyle name="Multiple [0] []" xfId="11775" xr:uid="{00000000-0005-0000-0000-0000EF780000}"/>
    <cellStyle name="Multiple [1]" xfId="11776" xr:uid="{00000000-0005-0000-0000-0000F0780000}"/>
    <cellStyle name="Multiple [1] []" xfId="11777" xr:uid="{00000000-0005-0000-0000-0000F1780000}"/>
    <cellStyle name="Multiple[,]" xfId="11778" xr:uid="{00000000-0005-0000-0000-0000F2780000}"/>
    <cellStyle name="Multiple[1]" xfId="11779" xr:uid="{00000000-0005-0000-0000-0000F3780000}"/>
    <cellStyle name="Multiple[2]" xfId="11780" xr:uid="{00000000-0005-0000-0000-0000F4780000}"/>
    <cellStyle name="Multiple_Abacus1" xfId="11781" xr:uid="{00000000-0005-0000-0000-0000F5780000}"/>
    <cellStyle name="MultipleBelow" xfId="11782" xr:uid="{00000000-0005-0000-0000-0000F6780000}"/>
    <cellStyle name="NA is zero" xfId="11783" xr:uid="{00000000-0005-0000-0000-0000F7780000}"/>
    <cellStyle name="NA is zero 2" xfId="20343" xr:uid="{00000000-0005-0000-0000-0000F8780000}"/>
    <cellStyle name="Neutral 10" xfId="11784" xr:uid="{00000000-0005-0000-0000-0000F9780000}"/>
    <cellStyle name="Neutral 11" xfId="11785" xr:uid="{00000000-0005-0000-0000-0000FA780000}"/>
    <cellStyle name="Neutral 12" xfId="11786" xr:uid="{00000000-0005-0000-0000-0000FB780000}"/>
    <cellStyle name="Neutral 13" xfId="11787" xr:uid="{00000000-0005-0000-0000-0000FC780000}"/>
    <cellStyle name="Neutral 2" xfId="11788" xr:uid="{00000000-0005-0000-0000-0000FD780000}"/>
    <cellStyle name="Neutral 3" xfId="11789" xr:uid="{00000000-0005-0000-0000-0000FE780000}"/>
    <cellStyle name="Neutral 4" xfId="11790" xr:uid="{00000000-0005-0000-0000-0000FF780000}"/>
    <cellStyle name="Neutral 5" xfId="11791" xr:uid="{00000000-0005-0000-0000-000000790000}"/>
    <cellStyle name="Neutral 6" xfId="11792" xr:uid="{00000000-0005-0000-0000-000001790000}"/>
    <cellStyle name="Neutral 7" xfId="11793" xr:uid="{00000000-0005-0000-0000-000002790000}"/>
    <cellStyle name="Neutral 8" xfId="11794" xr:uid="{00000000-0005-0000-0000-000003790000}"/>
    <cellStyle name="Neutral 9" xfId="11795" xr:uid="{00000000-0005-0000-0000-000004790000}"/>
    <cellStyle name="new" xfId="11796" xr:uid="{00000000-0005-0000-0000-000005790000}"/>
    <cellStyle name="NewColumnHeaderNormal" xfId="11797" xr:uid="{00000000-0005-0000-0000-000006790000}"/>
    <cellStyle name="NewPeso" xfId="11798" xr:uid="{00000000-0005-0000-0000-000007790000}"/>
    <cellStyle name="NewPeso 2" xfId="20344" xr:uid="{00000000-0005-0000-0000-000008790000}"/>
    <cellStyle name="NewSectionHeaderNormal" xfId="11799" xr:uid="{00000000-0005-0000-0000-000009790000}"/>
    <cellStyle name="NewSectionHeaderNormal 2" xfId="20345" xr:uid="{00000000-0005-0000-0000-00000A790000}"/>
    <cellStyle name="NewTitleNormal" xfId="11800" xr:uid="{00000000-0005-0000-0000-00000B790000}"/>
    <cellStyle name="No Border" xfId="11801" xr:uid="{00000000-0005-0000-0000-00000C790000}"/>
    <cellStyle name="No Border 2" xfId="20346" xr:uid="{00000000-0005-0000-0000-00000D790000}"/>
    <cellStyle name="no dec" xfId="11802" xr:uid="{00000000-0005-0000-0000-00000E790000}"/>
    <cellStyle name="nobuild" xfId="11803" xr:uid="{00000000-0005-0000-0000-00000F790000}"/>
    <cellStyle name="nonmultiple" xfId="11804" xr:uid="{00000000-0005-0000-0000-000010790000}"/>
    <cellStyle name="NonPrint_Heading" xfId="11805" xr:uid="{00000000-0005-0000-0000-000011790000}"/>
    <cellStyle name="Norm੎੎" xfId="11806" xr:uid="{00000000-0005-0000-0000-000012790000}"/>
    <cellStyle name="Norm੎੎ 2" xfId="20347" xr:uid="{00000000-0005-0000-0000-000013790000}"/>
    <cellStyle name="Normal" xfId="0" builtinId="0"/>
    <cellStyle name="Normal - Style1" xfId="11807" xr:uid="{00000000-0005-0000-0000-000015790000}"/>
    <cellStyle name="Normal - Style2" xfId="11808" xr:uid="{00000000-0005-0000-0000-000016790000}"/>
    <cellStyle name="Normal - Style2 2" xfId="11809" xr:uid="{00000000-0005-0000-0000-000017790000}"/>
    <cellStyle name="Normal - Style3" xfId="11810" xr:uid="{00000000-0005-0000-0000-000018790000}"/>
    <cellStyle name="Normal - Style4" xfId="11811" xr:uid="{00000000-0005-0000-0000-000019790000}"/>
    <cellStyle name="Normal - Style5" xfId="11812" xr:uid="{00000000-0005-0000-0000-00001A790000}"/>
    <cellStyle name="Normal - Style6" xfId="11813" xr:uid="{00000000-0005-0000-0000-00001B790000}"/>
    <cellStyle name="Normal - Style7" xfId="11814" xr:uid="{00000000-0005-0000-0000-00001C790000}"/>
    <cellStyle name="Normal - Style8" xfId="11815" xr:uid="{00000000-0005-0000-0000-00001D790000}"/>
    <cellStyle name="Normal - Style8 2" xfId="11816" xr:uid="{00000000-0005-0000-0000-00001E790000}"/>
    <cellStyle name="Normal [0]" xfId="11817" xr:uid="{00000000-0005-0000-0000-00001F790000}"/>
    <cellStyle name="Normal [0] 2" xfId="20348" xr:uid="{00000000-0005-0000-0000-000020790000}"/>
    <cellStyle name="Normal [1]" xfId="11818" xr:uid="{00000000-0005-0000-0000-000021790000}"/>
    <cellStyle name="Normal [2]" xfId="11819" xr:uid="{00000000-0005-0000-0000-000022790000}"/>
    <cellStyle name="Normal [2] 2" xfId="20349" xr:uid="{00000000-0005-0000-0000-000023790000}"/>
    <cellStyle name="Normal [3]" xfId="11820" xr:uid="{00000000-0005-0000-0000-000024790000}"/>
    <cellStyle name="Normal [3] 2" xfId="20350" xr:uid="{00000000-0005-0000-0000-000025790000}"/>
    <cellStyle name="Normal 10" xfId="11821" xr:uid="{00000000-0005-0000-0000-000026790000}"/>
    <cellStyle name="Normal 10 11 2" xfId="11822" xr:uid="{00000000-0005-0000-0000-000027790000}"/>
    <cellStyle name="Normal 10 11 2 2" xfId="16168" xr:uid="{00000000-0005-0000-0000-000028790000}"/>
    <cellStyle name="Normal 10 11 2 2 2" xfId="20310" xr:uid="{00000000-0005-0000-0000-000029790000}"/>
    <cellStyle name="Normal 10 11 2 2 2 2" xfId="31941" xr:uid="{00000000-0005-0000-0000-00002A790000}"/>
    <cellStyle name="Normal 10 11 2 2 3" xfId="20381" xr:uid="{00000000-0005-0000-0000-00002B790000}"/>
    <cellStyle name="Normal 10 11 2 2 3 2" xfId="31945" xr:uid="{00000000-0005-0000-0000-00002C790000}"/>
    <cellStyle name="Normal 10 11 2 2 4" xfId="28025" xr:uid="{00000000-0005-0000-0000-00002D790000}"/>
    <cellStyle name="Normal 10 11 2 3" xfId="20191" xr:uid="{00000000-0005-0000-0000-00002E790000}"/>
    <cellStyle name="Normal 10 11 2 3 2" xfId="31883" xr:uid="{00000000-0005-0000-0000-00002F790000}"/>
    <cellStyle name="Normal 10 11 2 4" xfId="24237" xr:uid="{00000000-0005-0000-0000-000030790000}"/>
    <cellStyle name="Normal 10 2" xfId="11823" xr:uid="{00000000-0005-0000-0000-000031790000}"/>
    <cellStyle name="Normal 10 2 2" xfId="20351" xr:uid="{00000000-0005-0000-0000-000032790000}"/>
    <cellStyle name="Normal 10 3" xfId="11824" xr:uid="{00000000-0005-0000-0000-000033790000}"/>
    <cellStyle name="Normal 10 4" xfId="11825" xr:uid="{00000000-0005-0000-0000-000034790000}"/>
    <cellStyle name="Normal 11" xfId="11826" xr:uid="{00000000-0005-0000-0000-000035790000}"/>
    <cellStyle name="Normal 11 2" xfId="11827" xr:uid="{00000000-0005-0000-0000-000036790000}"/>
    <cellStyle name="Normal 11 3" xfId="20307" xr:uid="{00000000-0005-0000-0000-000037790000}"/>
    <cellStyle name="Normal 11 3 2" xfId="31940" xr:uid="{00000000-0005-0000-0000-000038790000}"/>
    <cellStyle name="Normal 11 4" xfId="20380" xr:uid="{00000000-0005-0000-0000-000039790000}"/>
    <cellStyle name="Normal 11 4 2" xfId="31944" xr:uid="{00000000-0005-0000-0000-00003A790000}"/>
    <cellStyle name="Normal 12" xfId="11828" xr:uid="{00000000-0005-0000-0000-00003B790000}"/>
    <cellStyle name="Normal 12 2" xfId="11829" xr:uid="{00000000-0005-0000-0000-00003C790000}"/>
    <cellStyle name="Normal 12 2 2" xfId="16169" xr:uid="{00000000-0005-0000-0000-00003D790000}"/>
    <cellStyle name="Normal 12 2 2 2" xfId="28026" xr:uid="{00000000-0005-0000-0000-00003E790000}"/>
    <cellStyle name="Normal 12 2 3" xfId="20192" xr:uid="{00000000-0005-0000-0000-00003F790000}"/>
    <cellStyle name="Normal 12 2 3 2" xfId="31884" xr:uid="{00000000-0005-0000-0000-000040790000}"/>
    <cellStyle name="Normal 12 2 4" xfId="24238" xr:uid="{00000000-0005-0000-0000-000041790000}"/>
    <cellStyle name="Normal 13" xfId="11830" xr:uid="{00000000-0005-0000-0000-000042790000}"/>
    <cellStyle name="Normal 13 2" xfId="11831" xr:uid="{00000000-0005-0000-0000-000043790000}"/>
    <cellStyle name="Normal 14" xfId="11832" xr:uid="{00000000-0005-0000-0000-000044790000}"/>
    <cellStyle name="Normal 14 2" xfId="11833" xr:uid="{00000000-0005-0000-0000-000045790000}"/>
    <cellStyle name="Normal 14 2 2" xfId="16170" xr:uid="{00000000-0005-0000-0000-000046790000}"/>
    <cellStyle name="Normal 14 2 2 2" xfId="28027" xr:uid="{00000000-0005-0000-0000-000047790000}"/>
    <cellStyle name="Normal 14 2 3" xfId="20193" xr:uid="{00000000-0005-0000-0000-000048790000}"/>
    <cellStyle name="Normal 14 2 3 2" xfId="31885" xr:uid="{00000000-0005-0000-0000-000049790000}"/>
    <cellStyle name="Normal 14 2 4" xfId="24239" xr:uid="{00000000-0005-0000-0000-00004A790000}"/>
    <cellStyle name="Normal 15" xfId="11834" xr:uid="{00000000-0005-0000-0000-00004B790000}"/>
    <cellStyle name="Normal 15 2" xfId="11835" xr:uid="{00000000-0005-0000-0000-00004C790000}"/>
    <cellStyle name="Normal 15 2 2" xfId="16171" xr:uid="{00000000-0005-0000-0000-00004D790000}"/>
    <cellStyle name="Normal 15 2 2 2" xfId="28028" xr:uid="{00000000-0005-0000-0000-00004E790000}"/>
    <cellStyle name="Normal 15 2 3" xfId="20194" xr:uid="{00000000-0005-0000-0000-00004F790000}"/>
    <cellStyle name="Normal 15 2 3 2" xfId="31886" xr:uid="{00000000-0005-0000-0000-000050790000}"/>
    <cellStyle name="Normal 15 2 4" xfId="24240" xr:uid="{00000000-0005-0000-0000-000051790000}"/>
    <cellStyle name="Normal 16" xfId="11836" xr:uid="{00000000-0005-0000-0000-000052790000}"/>
    <cellStyle name="Normal 16 2" xfId="11837" xr:uid="{00000000-0005-0000-0000-000053790000}"/>
    <cellStyle name="Normal 16 2 2" xfId="16172" xr:uid="{00000000-0005-0000-0000-000054790000}"/>
    <cellStyle name="Normal 16 2 2 2" xfId="28029" xr:uid="{00000000-0005-0000-0000-000055790000}"/>
    <cellStyle name="Normal 16 2 3" xfId="20195" xr:uid="{00000000-0005-0000-0000-000056790000}"/>
    <cellStyle name="Normal 16 2 3 2" xfId="31887" xr:uid="{00000000-0005-0000-0000-000057790000}"/>
    <cellStyle name="Normal 16 2 4" xfId="24241" xr:uid="{00000000-0005-0000-0000-000058790000}"/>
    <cellStyle name="Normal 17" xfId="11838" xr:uid="{00000000-0005-0000-0000-000059790000}"/>
    <cellStyle name="Normal 17 2" xfId="11839" xr:uid="{00000000-0005-0000-0000-00005A790000}"/>
    <cellStyle name="Normal 17 2 2" xfId="16173" xr:uid="{00000000-0005-0000-0000-00005B790000}"/>
    <cellStyle name="Normal 17 2 2 2" xfId="28030" xr:uid="{00000000-0005-0000-0000-00005C790000}"/>
    <cellStyle name="Normal 17 2 3" xfId="20196" xr:uid="{00000000-0005-0000-0000-00005D790000}"/>
    <cellStyle name="Normal 17 2 3 2" xfId="31888" xr:uid="{00000000-0005-0000-0000-00005E790000}"/>
    <cellStyle name="Normal 17 2 4" xfId="24242" xr:uid="{00000000-0005-0000-0000-00005F790000}"/>
    <cellStyle name="Normal 17 3" xfId="11840" xr:uid="{00000000-0005-0000-0000-000060790000}"/>
    <cellStyle name="Normal 18" xfId="11841" xr:uid="{00000000-0005-0000-0000-000061790000}"/>
    <cellStyle name="Normal 18 2" xfId="11842" xr:uid="{00000000-0005-0000-0000-000062790000}"/>
    <cellStyle name="Normal 18 2 2" xfId="16174" xr:uid="{00000000-0005-0000-0000-000063790000}"/>
    <cellStyle name="Normal 18 2 2 2" xfId="28031" xr:uid="{00000000-0005-0000-0000-000064790000}"/>
    <cellStyle name="Normal 18 2 3" xfId="20197" xr:uid="{00000000-0005-0000-0000-000065790000}"/>
    <cellStyle name="Normal 18 2 3 2" xfId="31889" xr:uid="{00000000-0005-0000-0000-000066790000}"/>
    <cellStyle name="Normal 18 2 4" xfId="24243" xr:uid="{00000000-0005-0000-0000-000067790000}"/>
    <cellStyle name="Normal 19" xfId="11843" xr:uid="{00000000-0005-0000-0000-000068790000}"/>
    <cellStyle name="Normal 19 2" xfId="11844" xr:uid="{00000000-0005-0000-0000-000069790000}"/>
    <cellStyle name="Normal 19 2 2" xfId="16175" xr:uid="{00000000-0005-0000-0000-00006A790000}"/>
    <cellStyle name="Normal 19 2 2 2" xfId="28032" xr:uid="{00000000-0005-0000-0000-00006B790000}"/>
    <cellStyle name="Normal 19 2 3" xfId="20198" xr:uid="{00000000-0005-0000-0000-00006C790000}"/>
    <cellStyle name="Normal 19 2 3 2" xfId="31890" xr:uid="{00000000-0005-0000-0000-00006D790000}"/>
    <cellStyle name="Normal 19 2 4" xfId="24244" xr:uid="{00000000-0005-0000-0000-00006E790000}"/>
    <cellStyle name="Normal 2" xfId="11845" xr:uid="{00000000-0005-0000-0000-00006F790000}"/>
    <cellStyle name="Normal 2 10" xfId="11846" xr:uid="{00000000-0005-0000-0000-000070790000}"/>
    <cellStyle name="Normal 2 11" xfId="11847" xr:uid="{00000000-0005-0000-0000-000071790000}"/>
    <cellStyle name="Normal 2 12" xfId="11848" xr:uid="{00000000-0005-0000-0000-000072790000}"/>
    <cellStyle name="Normal 2 13" xfId="11849" xr:uid="{00000000-0005-0000-0000-000073790000}"/>
    <cellStyle name="Normal 2 14" xfId="11850" xr:uid="{00000000-0005-0000-0000-000074790000}"/>
    <cellStyle name="Normal 2 15" xfId="11851" xr:uid="{00000000-0005-0000-0000-000075790000}"/>
    <cellStyle name="Normal 2 16" xfId="16176" xr:uid="{00000000-0005-0000-0000-000076790000}"/>
    <cellStyle name="Normal 2 16 2" xfId="28033" xr:uid="{00000000-0005-0000-0000-000077790000}"/>
    <cellStyle name="Normal 2 17" xfId="20199" xr:uid="{00000000-0005-0000-0000-000078790000}"/>
    <cellStyle name="Normal 2 17 2" xfId="31891" xr:uid="{00000000-0005-0000-0000-000079790000}"/>
    <cellStyle name="Normal 2 18" xfId="20382" xr:uid="{00000000-0005-0000-0000-00007A790000}"/>
    <cellStyle name="Normal 2 19" xfId="24245" xr:uid="{00000000-0005-0000-0000-00007B790000}"/>
    <cellStyle name="Normal 2 2" xfId="11852" xr:uid="{00000000-0005-0000-0000-00007C790000}"/>
    <cellStyle name="Normal 2 2 2" xfId="11853" xr:uid="{00000000-0005-0000-0000-00007D790000}"/>
    <cellStyle name="Normal 2 2 3" xfId="11854" xr:uid="{00000000-0005-0000-0000-00007E790000}"/>
    <cellStyle name="Normal 2 2 4" xfId="11855" xr:uid="{00000000-0005-0000-0000-00007F790000}"/>
    <cellStyle name="Normal 2 2 5" xfId="20290" xr:uid="{00000000-0005-0000-0000-000080790000}"/>
    <cellStyle name="Normal 2 3" xfId="11856" xr:uid="{00000000-0005-0000-0000-000081790000}"/>
    <cellStyle name="Normal 2 3 2" xfId="11857" xr:uid="{00000000-0005-0000-0000-000082790000}"/>
    <cellStyle name="Normal 2 4" xfId="11858" xr:uid="{00000000-0005-0000-0000-000083790000}"/>
    <cellStyle name="Normal 2 5" xfId="11859" xr:uid="{00000000-0005-0000-0000-000084790000}"/>
    <cellStyle name="Normal 2 6" xfId="11860" xr:uid="{00000000-0005-0000-0000-000085790000}"/>
    <cellStyle name="Normal 2 7" xfId="11861" xr:uid="{00000000-0005-0000-0000-000086790000}"/>
    <cellStyle name="Normal 2 8" xfId="11862" xr:uid="{00000000-0005-0000-0000-000087790000}"/>
    <cellStyle name="Normal 2 9" xfId="11863" xr:uid="{00000000-0005-0000-0000-000088790000}"/>
    <cellStyle name="Normal 20" xfId="11864" xr:uid="{00000000-0005-0000-0000-000089790000}"/>
    <cellStyle name="Normal 20 2" xfId="11865" xr:uid="{00000000-0005-0000-0000-00008A790000}"/>
    <cellStyle name="Normal 20 2 2" xfId="16177" xr:uid="{00000000-0005-0000-0000-00008B790000}"/>
    <cellStyle name="Normal 20 2 2 2" xfId="28034" xr:uid="{00000000-0005-0000-0000-00008C790000}"/>
    <cellStyle name="Normal 20 2 3" xfId="20200" xr:uid="{00000000-0005-0000-0000-00008D790000}"/>
    <cellStyle name="Normal 20 2 3 2" xfId="31892" xr:uid="{00000000-0005-0000-0000-00008E790000}"/>
    <cellStyle name="Normal 20 2 4" xfId="24246" xr:uid="{00000000-0005-0000-0000-00008F790000}"/>
    <cellStyle name="Normal 21" xfId="11866" xr:uid="{00000000-0005-0000-0000-000090790000}"/>
    <cellStyle name="Normal 21 2" xfId="20291" xr:uid="{00000000-0005-0000-0000-000091790000}"/>
    <cellStyle name="Normal 21 2 2" xfId="31936" xr:uid="{00000000-0005-0000-0000-000092790000}"/>
    <cellStyle name="Normal 21 2 2 2" xfId="20388" xr:uid="{00000000-0005-0000-0000-000093790000}"/>
    <cellStyle name="Normal 21 2 2 2 2" xfId="20399" xr:uid="{00000000-0005-0000-0000-000094790000}"/>
    <cellStyle name="Normal 21 2 2 2 2 2" xfId="20404" xr:uid="{00000000-0005-0000-0000-000095790000}"/>
    <cellStyle name="Normal 21 2 2 2 2 2 2" xfId="20418" xr:uid="{00000000-0005-0000-0000-000096790000}"/>
    <cellStyle name="Normal 21 2 2 2 2 2 2 2" xfId="31973" xr:uid="{00000000-0005-0000-0000-000097790000}"/>
    <cellStyle name="Normal 21 2 2 2 2 2 3" xfId="31959" xr:uid="{00000000-0005-0000-0000-000098790000}"/>
    <cellStyle name="Normal 21 2 2 2 2 3" xfId="20417" xr:uid="{00000000-0005-0000-0000-000099790000}"/>
    <cellStyle name="Normal 21 2 2 2 2 3 2" xfId="31972" xr:uid="{00000000-0005-0000-0000-00009A790000}"/>
    <cellStyle name="Normal 21 2 2 2 2 4" xfId="31955" xr:uid="{00000000-0005-0000-0000-00009B790000}"/>
    <cellStyle name="Normal 21 2 2 2 3" xfId="31948" xr:uid="{00000000-0005-0000-0000-00009C790000}"/>
    <cellStyle name="Normal 22" xfId="11867" xr:uid="{00000000-0005-0000-0000-00009D790000}"/>
    <cellStyle name="Normal 23" xfId="11868" xr:uid="{00000000-0005-0000-0000-00009E790000}"/>
    <cellStyle name="Normal 24" xfId="11869" xr:uid="{00000000-0005-0000-0000-00009F790000}"/>
    <cellStyle name="Normal 25" xfId="11870" xr:uid="{00000000-0005-0000-0000-0000A0790000}"/>
    <cellStyle name="Normal 26" xfId="11871" xr:uid="{00000000-0005-0000-0000-0000A1790000}"/>
    <cellStyle name="Normal 27" xfId="11872" xr:uid="{00000000-0005-0000-0000-0000A2790000}"/>
    <cellStyle name="Normal 28" xfId="11873" xr:uid="{00000000-0005-0000-0000-0000A3790000}"/>
    <cellStyle name="Normal 28 2" xfId="16178" xr:uid="{00000000-0005-0000-0000-0000A4790000}"/>
    <cellStyle name="Normal 28 2 2" xfId="28035" xr:uid="{00000000-0005-0000-0000-0000A5790000}"/>
    <cellStyle name="Normal 28 3" xfId="20201" xr:uid="{00000000-0005-0000-0000-0000A6790000}"/>
    <cellStyle name="Normal 28 3 2" xfId="31893" xr:uid="{00000000-0005-0000-0000-0000A7790000}"/>
    <cellStyle name="Normal 28 4" xfId="24247" xr:uid="{00000000-0005-0000-0000-0000A8790000}"/>
    <cellStyle name="Normal 29" xfId="11874" xr:uid="{00000000-0005-0000-0000-0000A9790000}"/>
    <cellStyle name="Normal 3" xfId="11875" xr:uid="{00000000-0005-0000-0000-0000AA790000}"/>
    <cellStyle name="Normal 3 10" xfId="11876" xr:uid="{00000000-0005-0000-0000-0000AB790000}"/>
    <cellStyle name="Normal 3 2" xfId="11877" xr:uid="{00000000-0005-0000-0000-0000AC790000}"/>
    <cellStyle name="Normal 3 2 2" xfId="11878" xr:uid="{00000000-0005-0000-0000-0000AD790000}"/>
    <cellStyle name="Normal 3 2 3" xfId="11879" xr:uid="{00000000-0005-0000-0000-0000AE790000}"/>
    <cellStyle name="Normal 3 2 4" xfId="11880" xr:uid="{00000000-0005-0000-0000-0000AF790000}"/>
    <cellStyle name="Normal 3 2 5" xfId="11881" xr:uid="{00000000-0005-0000-0000-0000B0790000}"/>
    <cellStyle name="Normal 3 3" xfId="11882" xr:uid="{00000000-0005-0000-0000-0000B1790000}"/>
    <cellStyle name="Normal 3 3 2" xfId="11883" xr:uid="{00000000-0005-0000-0000-0000B2790000}"/>
    <cellStyle name="Normal 3 3 3" xfId="11884" xr:uid="{00000000-0005-0000-0000-0000B3790000}"/>
    <cellStyle name="Normal 3 3 4" xfId="20292" xr:uid="{00000000-0005-0000-0000-0000B4790000}"/>
    <cellStyle name="Normal 3 3 4 2" xfId="31937" xr:uid="{00000000-0005-0000-0000-0000B5790000}"/>
    <cellStyle name="Normal 3 4" xfId="11885" xr:uid="{00000000-0005-0000-0000-0000B6790000}"/>
    <cellStyle name="Normal 3 4 2" xfId="11886" xr:uid="{00000000-0005-0000-0000-0000B7790000}"/>
    <cellStyle name="Normal 3 5" xfId="11887" xr:uid="{00000000-0005-0000-0000-0000B8790000}"/>
    <cellStyle name="Normal 3 6" xfId="11888" xr:uid="{00000000-0005-0000-0000-0000B9790000}"/>
    <cellStyle name="Normal 3 7" xfId="11889" xr:uid="{00000000-0005-0000-0000-0000BA790000}"/>
    <cellStyle name="Normal 30" xfId="11890" xr:uid="{00000000-0005-0000-0000-0000BB790000}"/>
    <cellStyle name="Normal 30 2" xfId="11891" xr:uid="{00000000-0005-0000-0000-0000BC790000}"/>
    <cellStyle name="Normal 31" xfId="11892" xr:uid="{00000000-0005-0000-0000-0000BD790000}"/>
    <cellStyle name="Normal 32" xfId="11893" xr:uid="{00000000-0005-0000-0000-0000BE790000}"/>
    <cellStyle name="Normal 33" xfId="11894" xr:uid="{00000000-0005-0000-0000-0000BF790000}"/>
    <cellStyle name="Normal 33 2" xfId="11895" xr:uid="{00000000-0005-0000-0000-0000C0790000}"/>
    <cellStyle name="Normal 33 3" xfId="16179" xr:uid="{00000000-0005-0000-0000-0000C1790000}"/>
    <cellStyle name="Normal 33 3 2" xfId="28036" xr:uid="{00000000-0005-0000-0000-0000C2790000}"/>
    <cellStyle name="Normal 33 4" xfId="20202" xr:uid="{00000000-0005-0000-0000-0000C3790000}"/>
    <cellStyle name="Normal 33 4 2" xfId="31894" xr:uid="{00000000-0005-0000-0000-0000C4790000}"/>
    <cellStyle name="Normal 33 5" xfId="24248" xr:uid="{00000000-0005-0000-0000-0000C5790000}"/>
    <cellStyle name="Normal 34" xfId="11896" xr:uid="{00000000-0005-0000-0000-0000C6790000}"/>
    <cellStyle name="Normal 35" xfId="11897" xr:uid="{00000000-0005-0000-0000-0000C7790000}"/>
    <cellStyle name="Normal 36" xfId="16216" xr:uid="{00000000-0005-0000-0000-0000C8790000}"/>
    <cellStyle name="Normal 36 2" xfId="20293" xr:uid="{00000000-0005-0000-0000-0000C9790000}"/>
    <cellStyle name="Normal 37" xfId="16219" xr:uid="{00000000-0005-0000-0000-0000CA790000}"/>
    <cellStyle name="Normal 37 2" xfId="28073" xr:uid="{00000000-0005-0000-0000-0000CB790000}"/>
    <cellStyle name="Normal 38" xfId="16382" xr:uid="{00000000-0005-0000-0000-0000CC790000}"/>
    <cellStyle name="Normal 38 2" xfId="28075" xr:uid="{00000000-0005-0000-0000-0000CD790000}"/>
    <cellStyle name="Normal 39" xfId="16383" xr:uid="{00000000-0005-0000-0000-0000CE790000}"/>
    <cellStyle name="Normal 39 2 2" xfId="20386" xr:uid="{00000000-0005-0000-0000-0000CF790000}"/>
    <cellStyle name="Normal 39 2 2 2" xfId="20397" xr:uid="{00000000-0005-0000-0000-0000D0790000}"/>
    <cellStyle name="Normal 39 2 2 2 2" xfId="20403" xr:uid="{00000000-0005-0000-0000-0000D1790000}"/>
    <cellStyle name="Normal 39 2 2 2 2 2" xfId="31958" xr:uid="{00000000-0005-0000-0000-0000D2790000}"/>
    <cellStyle name="Normal 39 2 2 2 3" xfId="20416" xr:uid="{00000000-0005-0000-0000-0000D3790000}"/>
    <cellStyle name="Normal 39 2 2 2 3 2" xfId="31971" xr:uid="{00000000-0005-0000-0000-0000D4790000}"/>
    <cellStyle name="Normal 39 2 2 2 4" xfId="31953" xr:uid="{00000000-0005-0000-0000-0000D5790000}"/>
    <cellStyle name="Normal 39 2 2 3" xfId="31946" xr:uid="{00000000-0005-0000-0000-0000D6790000}"/>
    <cellStyle name="Normal 4" xfId="11898" xr:uid="{00000000-0005-0000-0000-0000D7790000}"/>
    <cellStyle name="Normal 4 2" xfId="11899" xr:uid="{00000000-0005-0000-0000-0000D8790000}"/>
    <cellStyle name="Normal 4 2 2" xfId="11900" xr:uid="{00000000-0005-0000-0000-0000D9790000}"/>
    <cellStyle name="Normal 4 2 3" xfId="20294" xr:uid="{00000000-0005-0000-0000-0000DA790000}"/>
    <cellStyle name="Normal 4 2 3 2" xfId="31938" xr:uid="{00000000-0005-0000-0000-0000DB790000}"/>
    <cellStyle name="Normal 4 3" xfId="11901" xr:uid="{00000000-0005-0000-0000-0000DC790000}"/>
    <cellStyle name="Normal 4 3 2" xfId="11902" xr:uid="{00000000-0005-0000-0000-0000DD790000}"/>
    <cellStyle name="Normal 4 3 3" xfId="20295" xr:uid="{00000000-0005-0000-0000-0000DE790000}"/>
    <cellStyle name="Normal 4 3 3 2" xfId="31939" xr:uid="{00000000-0005-0000-0000-0000DF790000}"/>
    <cellStyle name="Normal 4 4" xfId="11903" xr:uid="{00000000-0005-0000-0000-0000E0790000}"/>
    <cellStyle name="Normal 4 5" xfId="11904" xr:uid="{00000000-0005-0000-0000-0000E1790000}"/>
    <cellStyle name="Normal 4 6" xfId="11905" xr:uid="{00000000-0005-0000-0000-0000E2790000}"/>
    <cellStyle name="Normal 40" xfId="20306" xr:uid="{00000000-0005-0000-0000-0000E3790000}"/>
    <cellStyle name="Normal 41" xfId="20392" xr:uid="{00000000-0005-0000-0000-0000E4790000}"/>
    <cellStyle name="Normal 41 2" xfId="31951" xr:uid="{00000000-0005-0000-0000-0000E5790000}"/>
    <cellStyle name="Normal 42" xfId="20406" xr:uid="{00000000-0005-0000-0000-0000E6790000}"/>
    <cellStyle name="Normal 42 2" xfId="20390" xr:uid="{00000000-0005-0000-0000-0000E7790000}"/>
    <cellStyle name="Normal 42 2 2" xfId="31950" xr:uid="{00000000-0005-0000-0000-0000E8790000}"/>
    <cellStyle name="Normal 42 3" xfId="31961" xr:uid="{00000000-0005-0000-0000-0000E9790000}"/>
    <cellStyle name="Normal 43" xfId="20411" xr:uid="{00000000-0005-0000-0000-0000EA790000}"/>
    <cellStyle name="Normal 43 2" xfId="20389" xr:uid="{00000000-0005-0000-0000-0000EB790000}"/>
    <cellStyle name="Normal 43 2 2" xfId="31949" xr:uid="{00000000-0005-0000-0000-0000EC790000}"/>
    <cellStyle name="Normal 43 3" xfId="31966" xr:uid="{00000000-0005-0000-0000-0000ED790000}"/>
    <cellStyle name="Normal 44" xfId="20413" xr:uid="{00000000-0005-0000-0000-0000EE790000}"/>
    <cellStyle name="Normal 44 2" xfId="31968" xr:uid="{00000000-0005-0000-0000-0000EF790000}"/>
    <cellStyle name="Normal 45" xfId="20407" xr:uid="{00000000-0005-0000-0000-0000F0790000}"/>
    <cellStyle name="Normal 45 2" xfId="31962" xr:uid="{00000000-0005-0000-0000-0000F1790000}"/>
    <cellStyle name="Normal 46" xfId="31976" xr:uid="{00000000-0005-0000-0000-0000F2790000}"/>
    <cellStyle name="Normal 5" xfId="11906" xr:uid="{00000000-0005-0000-0000-0000F3790000}"/>
    <cellStyle name="Normal 5 2" xfId="11907" xr:uid="{00000000-0005-0000-0000-0000F4790000}"/>
    <cellStyle name="Normal 5 2 2" xfId="11908" xr:uid="{00000000-0005-0000-0000-0000F5790000}"/>
    <cellStyle name="Normal 5 3" xfId="11909" xr:uid="{00000000-0005-0000-0000-0000F6790000}"/>
    <cellStyle name="Normal 5 4" xfId="11910" xr:uid="{00000000-0005-0000-0000-0000F7790000}"/>
    <cellStyle name="Normal 6" xfId="11911" xr:uid="{00000000-0005-0000-0000-0000F8790000}"/>
    <cellStyle name="Normal 6 2" xfId="11912" xr:uid="{00000000-0005-0000-0000-0000F9790000}"/>
    <cellStyle name="Normal 6 2 2" xfId="11913" xr:uid="{00000000-0005-0000-0000-0000FA790000}"/>
    <cellStyle name="Normal 6 3" xfId="11914" xr:uid="{00000000-0005-0000-0000-0000FB790000}"/>
    <cellStyle name="Normal 60" xfId="12421" xr:uid="{00000000-0005-0000-0000-0000FC790000}"/>
    <cellStyle name="Normal 66" xfId="11915" xr:uid="{00000000-0005-0000-0000-0000FD790000}"/>
    <cellStyle name="Normal 7" xfId="11916" xr:uid="{00000000-0005-0000-0000-0000FE790000}"/>
    <cellStyle name="Normal 7 2" xfId="11917" xr:uid="{00000000-0005-0000-0000-0000FF790000}"/>
    <cellStyle name="Normal 7 3" xfId="11918" xr:uid="{00000000-0005-0000-0000-0000007A0000}"/>
    <cellStyle name="Normal 8" xfId="11919" xr:uid="{00000000-0005-0000-0000-0000017A0000}"/>
    <cellStyle name="Normal 8 2" xfId="11920" xr:uid="{00000000-0005-0000-0000-0000027A0000}"/>
    <cellStyle name="Normal 8 2 2" xfId="16180" xr:uid="{00000000-0005-0000-0000-0000037A0000}"/>
    <cellStyle name="Normal 8 2 2 2" xfId="28037" xr:uid="{00000000-0005-0000-0000-0000047A0000}"/>
    <cellStyle name="Normal 8 2 3" xfId="20203" xr:uid="{00000000-0005-0000-0000-0000057A0000}"/>
    <cellStyle name="Normal 8 2 3 2" xfId="31895" xr:uid="{00000000-0005-0000-0000-0000067A0000}"/>
    <cellStyle name="Normal 8 2 4" xfId="24249" xr:uid="{00000000-0005-0000-0000-0000077A0000}"/>
    <cellStyle name="Normal 88" xfId="20402" xr:uid="{00000000-0005-0000-0000-0000087A0000}"/>
    <cellStyle name="Normal 9" xfId="11921" xr:uid="{00000000-0005-0000-0000-0000097A0000}"/>
    <cellStyle name="Normal 9 2" xfId="11922" xr:uid="{00000000-0005-0000-0000-00000A7A0000}"/>
    <cellStyle name="Normal 9 2 2" xfId="16181" xr:uid="{00000000-0005-0000-0000-00000B7A0000}"/>
    <cellStyle name="Normal 9 2 2 2" xfId="28038" xr:uid="{00000000-0005-0000-0000-00000C7A0000}"/>
    <cellStyle name="Normal 9 2 3" xfId="20204" xr:uid="{00000000-0005-0000-0000-00000D7A0000}"/>
    <cellStyle name="Normal 9 2 3 2" xfId="31896" xr:uid="{00000000-0005-0000-0000-00000E7A0000}"/>
    <cellStyle name="Normal 9 2 4" xfId="24250" xr:uid="{00000000-0005-0000-0000-00000F7A0000}"/>
    <cellStyle name="Normal Bold" xfId="11923" xr:uid="{00000000-0005-0000-0000-0000107A0000}"/>
    <cellStyle name="Normal Bold 2" xfId="20352" xr:uid="{00000000-0005-0000-0000-0000117A0000}"/>
    <cellStyle name="Normal Currency" xfId="11924" xr:uid="{00000000-0005-0000-0000-0000127A0000}"/>
    <cellStyle name="Normal Dollar" xfId="11925" xr:uid="{00000000-0005-0000-0000-0000137A0000}"/>
    <cellStyle name="Normal- Enter (1)" xfId="11926" xr:uid="{00000000-0005-0000-0000-0000147A0000}"/>
    <cellStyle name="Normal Number" xfId="11927" xr:uid="{00000000-0005-0000-0000-0000157A0000}"/>
    <cellStyle name="Normal Pct" xfId="11928" xr:uid="{00000000-0005-0000-0000-0000167A0000}"/>
    <cellStyle name="Normal Pct 2" xfId="20353" xr:uid="{00000000-0005-0000-0000-0000177A0000}"/>
    <cellStyle name="Normal/DBL" xfId="11929" xr:uid="{00000000-0005-0000-0000-0000187A0000}"/>
    <cellStyle name="Normal_Input Sheet" xfId="20308" xr:uid="{00000000-0005-0000-0000-0000197A0000}"/>
    <cellStyle name="Normal_LG RECON PPA 7.03.08" xfId="20391" xr:uid="{00000000-0005-0000-0000-00001A7A0000}"/>
    <cellStyle name="Normal_NEW-WACC" xfId="20379" xr:uid="{00000000-0005-0000-0000-00001B7A0000}"/>
    <cellStyle name="Normal_WACC calc" xfId="20393" xr:uid="{00000000-0005-0000-0000-00001C7A0000}"/>
    <cellStyle name="Normal1" xfId="11930" xr:uid="{00000000-0005-0000-0000-00001D7A0000}"/>
    <cellStyle name="Normal1 2" xfId="20354" xr:uid="{00000000-0005-0000-0000-00001E7A0000}"/>
    <cellStyle name="Normal1Places" xfId="11931" xr:uid="{00000000-0005-0000-0000-00001F7A0000}"/>
    <cellStyle name="Normal1Places 2" xfId="20355" xr:uid="{00000000-0005-0000-0000-0000207A0000}"/>
    <cellStyle name="Normal2" xfId="11932" xr:uid="{00000000-0005-0000-0000-0000217A0000}"/>
    <cellStyle name="Normal2Places" xfId="11933" xr:uid="{00000000-0005-0000-0000-0000227A0000}"/>
    <cellStyle name="Normal2Places 2" xfId="20356" xr:uid="{00000000-0005-0000-0000-0000237A0000}"/>
    <cellStyle name="Normal3Places" xfId="11934" xr:uid="{00000000-0005-0000-0000-0000247A0000}"/>
    <cellStyle name="Normal8" xfId="11935" xr:uid="{00000000-0005-0000-0000-0000257A0000}"/>
    <cellStyle name="NormalBlue" xfId="11936" xr:uid="{00000000-0005-0000-0000-0000267A0000}"/>
    <cellStyle name="NormalBold" xfId="11937" xr:uid="{00000000-0005-0000-0000-0000277A0000}"/>
    <cellStyle name="NormalBold 2" xfId="20357" xr:uid="{00000000-0005-0000-0000-0000287A0000}"/>
    <cellStyle name="Normale_ACTUAL 30-06-95.XLS" xfId="11938" xr:uid="{00000000-0005-0000-0000-0000297A0000}"/>
    <cellStyle name="Normal-Entry" xfId="11939" xr:uid="{00000000-0005-0000-0000-00002A7A0000}"/>
    <cellStyle name="NormalEPS" xfId="11940" xr:uid="{00000000-0005-0000-0000-00002B7A0000}"/>
    <cellStyle name="NormalGB" xfId="11941" xr:uid="{00000000-0005-0000-0000-00002C7A0000}"/>
    <cellStyle name="NormalGB 2" xfId="20358" xr:uid="{00000000-0005-0000-0000-00002D7A0000}"/>
    <cellStyle name="NormalHelv" xfId="11942" xr:uid="{00000000-0005-0000-0000-00002E7A0000}"/>
    <cellStyle name="Normal-Input(1)" xfId="11943" xr:uid="{00000000-0005-0000-0000-00002F7A0000}"/>
    <cellStyle name="NormalJEM" xfId="11944" xr:uid="{00000000-0005-0000-0000-0000307A0000}"/>
    <cellStyle name="normální_M Schedules 2008 v02 - pracovní" xfId="11945" xr:uid="{00000000-0005-0000-0000-0000317A0000}"/>
    <cellStyle name="NormalPop" xfId="11946" xr:uid="{00000000-0005-0000-0000-0000327A0000}"/>
    <cellStyle name="NormalPop 2" xfId="20359" xr:uid="{00000000-0005-0000-0000-0000337A0000}"/>
    <cellStyle name="Note 10" xfId="11947" xr:uid="{00000000-0005-0000-0000-0000347A0000}"/>
    <cellStyle name="Note 10 2" xfId="11948" xr:uid="{00000000-0005-0000-0000-0000357A0000}"/>
    <cellStyle name="Note 10 2 2" xfId="16182" xr:uid="{00000000-0005-0000-0000-0000367A0000}"/>
    <cellStyle name="Note 10 2 2 2" xfId="28039" xr:uid="{00000000-0005-0000-0000-0000377A0000}"/>
    <cellStyle name="Note 10 2 3" xfId="20205" xr:uid="{00000000-0005-0000-0000-0000387A0000}"/>
    <cellStyle name="Note 10 2 3 2" xfId="31897" xr:uid="{00000000-0005-0000-0000-0000397A0000}"/>
    <cellStyle name="Note 10 2 4" xfId="24251" xr:uid="{00000000-0005-0000-0000-00003A7A0000}"/>
    <cellStyle name="Note 11" xfId="11949" xr:uid="{00000000-0005-0000-0000-00003B7A0000}"/>
    <cellStyle name="Note 11 2" xfId="11950" xr:uid="{00000000-0005-0000-0000-00003C7A0000}"/>
    <cellStyle name="Note 11 2 2" xfId="16183" xr:uid="{00000000-0005-0000-0000-00003D7A0000}"/>
    <cellStyle name="Note 11 2 2 2" xfId="28040" xr:uid="{00000000-0005-0000-0000-00003E7A0000}"/>
    <cellStyle name="Note 11 2 3" xfId="20206" xr:uid="{00000000-0005-0000-0000-00003F7A0000}"/>
    <cellStyle name="Note 11 2 3 2" xfId="31898" xr:uid="{00000000-0005-0000-0000-0000407A0000}"/>
    <cellStyle name="Note 11 2 4" xfId="24252" xr:uid="{00000000-0005-0000-0000-0000417A0000}"/>
    <cellStyle name="Note 12" xfId="11951" xr:uid="{00000000-0005-0000-0000-0000427A0000}"/>
    <cellStyle name="Note 12 2" xfId="11952" xr:uid="{00000000-0005-0000-0000-0000437A0000}"/>
    <cellStyle name="Note 12 2 2" xfId="16184" xr:uid="{00000000-0005-0000-0000-0000447A0000}"/>
    <cellStyle name="Note 12 2 2 2" xfId="28041" xr:uid="{00000000-0005-0000-0000-0000457A0000}"/>
    <cellStyle name="Note 12 2 3" xfId="20207" xr:uid="{00000000-0005-0000-0000-0000467A0000}"/>
    <cellStyle name="Note 12 2 3 2" xfId="31899" xr:uid="{00000000-0005-0000-0000-0000477A0000}"/>
    <cellStyle name="Note 12 2 4" xfId="24253" xr:uid="{00000000-0005-0000-0000-0000487A0000}"/>
    <cellStyle name="Note 13" xfId="11953" xr:uid="{00000000-0005-0000-0000-0000497A0000}"/>
    <cellStyle name="Note 13 2" xfId="11954" xr:uid="{00000000-0005-0000-0000-00004A7A0000}"/>
    <cellStyle name="Note 13 2 2" xfId="16185" xr:uid="{00000000-0005-0000-0000-00004B7A0000}"/>
    <cellStyle name="Note 13 2 2 2" xfId="28042" xr:uid="{00000000-0005-0000-0000-00004C7A0000}"/>
    <cellStyle name="Note 13 2 3" xfId="20208" xr:uid="{00000000-0005-0000-0000-00004D7A0000}"/>
    <cellStyle name="Note 13 2 3 2" xfId="31900" xr:uid="{00000000-0005-0000-0000-00004E7A0000}"/>
    <cellStyle name="Note 13 2 4" xfId="24254" xr:uid="{00000000-0005-0000-0000-00004F7A0000}"/>
    <cellStyle name="Note 14" xfId="11955" xr:uid="{00000000-0005-0000-0000-0000507A0000}"/>
    <cellStyle name="Note 15" xfId="11956" xr:uid="{00000000-0005-0000-0000-0000517A0000}"/>
    <cellStyle name="Note 2" xfId="11957" xr:uid="{00000000-0005-0000-0000-0000527A0000}"/>
    <cellStyle name="Note 2 2" xfId="11958" xr:uid="{00000000-0005-0000-0000-0000537A0000}"/>
    <cellStyle name="Note 2 2 2" xfId="16186" xr:uid="{00000000-0005-0000-0000-0000547A0000}"/>
    <cellStyle name="Note 2 2 2 2" xfId="28043" xr:uid="{00000000-0005-0000-0000-0000557A0000}"/>
    <cellStyle name="Note 2 2 3" xfId="20209" xr:uid="{00000000-0005-0000-0000-0000567A0000}"/>
    <cellStyle name="Note 2 2 3 2" xfId="31901" xr:uid="{00000000-0005-0000-0000-0000577A0000}"/>
    <cellStyle name="Note 2 2 4" xfId="24255" xr:uid="{00000000-0005-0000-0000-0000587A0000}"/>
    <cellStyle name="Note 3" xfId="11959" xr:uid="{00000000-0005-0000-0000-0000597A0000}"/>
    <cellStyle name="Note 3 2" xfId="11960" xr:uid="{00000000-0005-0000-0000-00005A7A0000}"/>
    <cellStyle name="Note 3 2 2" xfId="16187" xr:uid="{00000000-0005-0000-0000-00005B7A0000}"/>
    <cellStyle name="Note 3 2 2 2" xfId="28044" xr:uid="{00000000-0005-0000-0000-00005C7A0000}"/>
    <cellStyle name="Note 3 2 3" xfId="20210" xr:uid="{00000000-0005-0000-0000-00005D7A0000}"/>
    <cellStyle name="Note 3 2 3 2" xfId="31902" xr:uid="{00000000-0005-0000-0000-00005E7A0000}"/>
    <cellStyle name="Note 3 2 4" xfId="24256" xr:uid="{00000000-0005-0000-0000-00005F7A0000}"/>
    <cellStyle name="Note 4" xfId="11961" xr:uid="{00000000-0005-0000-0000-0000607A0000}"/>
    <cellStyle name="Note 4 2" xfId="11962" xr:uid="{00000000-0005-0000-0000-0000617A0000}"/>
    <cellStyle name="Note 4 2 2" xfId="16188" xr:uid="{00000000-0005-0000-0000-0000627A0000}"/>
    <cellStyle name="Note 4 2 2 2" xfId="28045" xr:uid="{00000000-0005-0000-0000-0000637A0000}"/>
    <cellStyle name="Note 4 2 3" xfId="20211" xr:uid="{00000000-0005-0000-0000-0000647A0000}"/>
    <cellStyle name="Note 4 2 3 2" xfId="31903" xr:uid="{00000000-0005-0000-0000-0000657A0000}"/>
    <cellStyle name="Note 4 2 4" xfId="24257" xr:uid="{00000000-0005-0000-0000-0000667A0000}"/>
    <cellStyle name="Note 5" xfId="11963" xr:uid="{00000000-0005-0000-0000-0000677A0000}"/>
    <cellStyle name="Note 5 2" xfId="11964" xr:uid="{00000000-0005-0000-0000-0000687A0000}"/>
    <cellStyle name="Note 5 2 2" xfId="16189" xr:uid="{00000000-0005-0000-0000-0000697A0000}"/>
    <cellStyle name="Note 5 2 2 2" xfId="28046" xr:uid="{00000000-0005-0000-0000-00006A7A0000}"/>
    <cellStyle name="Note 5 2 3" xfId="20212" xr:uid="{00000000-0005-0000-0000-00006B7A0000}"/>
    <cellStyle name="Note 5 2 3 2" xfId="31904" xr:uid="{00000000-0005-0000-0000-00006C7A0000}"/>
    <cellStyle name="Note 5 2 4" xfId="24258" xr:uid="{00000000-0005-0000-0000-00006D7A0000}"/>
    <cellStyle name="Note 6" xfId="11965" xr:uid="{00000000-0005-0000-0000-00006E7A0000}"/>
    <cellStyle name="Note 6 2" xfId="11966" xr:uid="{00000000-0005-0000-0000-00006F7A0000}"/>
    <cellStyle name="Note 6 2 2" xfId="16190" xr:uid="{00000000-0005-0000-0000-0000707A0000}"/>
    <cellStyle name="Note 6 2 2 2" xfId="28047" xr:uid="{00000000-0005-0000-0000-0000717A0000}"/>
    <cellStyle name="Note 6 2 3" xfId="20213" xr:uid="{00000000-0005-0000-0000-0000727A0000}"/>
    <cellStyle name="Note 6 2 3 2" xfId="31905" xr:uid="{00000000-0005-0000-0000-0000737A0000}"/>
    <cellStyle name="Note 6 2 4" xfId="24259" xr:uid="{00000000-0005-0000-0000-0000747A0000}"/>
    <cellStyle name="Note 7" xfId="11967" xr:uid="{00000000-0005-0000-0000-0000757A0000}"/>
    <cellStyle name="Note 7 2" xfId="11968" xr:uid="{00000000-0005-0000-0000-0000767A0000}"/>
    <cellStyle name="Note 7 2 2" xfId="16191" xr:uid="{00000000-0005-0000-0000-0000777A0000}"/>
    <cellStyle name="Note 7 2 2 2" xfId="28048" xr:uid="{00000000-0005-0000-0000-0000787A0000}"/>
    <cellStyle name="Note 7 2 3" xfId="20214" xr:uid="{00000000-0005-0000-0000-0000797A0000}"/>
    <cellStyle name="Note 7 2 3 2" xfId="31906" xr:uid="{00000000-0005-0000-0000-00007A7A0000}"/>
    <cellStyle name="Note 7 2 4" xfId="24260" xr:uid="{00000000-0005-0000-0000-00007B7A0000}"/>
    <cellStyle name="Note 8" xfId="11969" xr:uid="{00000000-0005-0000-0000-00007C7A0000}"/>
    <cellStyle name="Note 8 2" xfId="11970" xr:uid="{00000000-0005-0000-0000-00007D7A0000}"/>
    <cellStyle name="Note 8 2 2" xfId="16192" xr:uid="{00000000-0005-0000-0000-00007E7A0000}"/>
    <cellStyle name="Note 8 2 2 2" xfId="28049" xr:uid="{00000000-0005-0000-0000-00007F7A0000}"/>
    <cellStyle name="Note 8 2 3" xfId="20215" xr:uid="{00000000-0005-0000-0000-0000807A0000}"/>
    <cellStyle name="Note 8 2 3 2" xfId="31907" xr:uid="{00000000-0005-0000-0000-0000817A0000}"/>
    <cellStyle name="Note 8 2 4" xfId="24261" xr:uid="{00000000-0005-0000-0000-0000827A0000}"/>
    <cellStyle name="Note 9" xfId="11971" xr:uid="{00000000-0005-0000-0000-0000837A0000}"/>
    <cellStyle name="Note 9 2" xfId="11972" xr:uid="{00000000-0005-0000-0000-0000847A0000}"/>
    <cellStyle name="Note 9 2 2" xfId="16193" xr:uid="{00000000-0005-0000-0000-0000857A0000}"/>
    <cellStyle name="Note 9 2 2 2" xfId="28050" xr:uid="{00000000-0005-0000-0000-0000867A0000}"/>
    <cellStyle name="Note 9 2 3" xfId="20216" xr:uid="{00000000-0005-0000-0000-0000877A0000}"/>
    <cellStyle name="Note 9 2 3 2" xfId="31908" xr:uid="{00000000-0005-0000-0000-0000887A0000}"/>
    <cellStyle name="Note 9 2 4" xfId="24262" xr:uid="{00000000-0005-0000-0000-0000897A0000}"/>
    <cellStyle name="NPPESalesPct" xfId="11973" xr:uid="{00000000-0005-0000-0000-00008A7A0000}"/>
    <cellStyle name="NPPESalesPct 2" xfId="20360" xr:uid="{00000000-0005-0000-0000-00008B7A0000}"/>
    <cellStyle name="Num1" xfId="11974" xr:uid="{00000000-0005-0000-0000-00008C7A0000}"/>
    <cellStyle name="Num1Blue" xfId="11975" xr:uid="{00000000-0005-0000-0000-00008D7A0000}"/>
    <cellStyle name="num1Style" xfId="11976" xr:uid="{00000000-0005-0000-0000-00008E7A0000}"/>
    <cellStyle name="num1Styleb" xfId="11977" xr:uid="{00000000-0005-0000-0000-00008F7A0000}"/>
    <cellStyle name="Num2" xfId="11978" xr:uid="{00000000-0005-0000-0000-0000907A0000}"/>
    <cellStyle name="num4Style" xfId="11979" xr:uid="{00000000-0005-0000-0000-0000917A0000}"/>
    <cellStyle name="num4Styleb" xfId="11980" xr:uid="{00000000-0005-0000-0000-0000927A0000}"/>
    <cellStyle name="Number" xfId="11981" xr:uid="{00000000-0005-0000-0000-0000937A0000}"/>
    <cellStyle name="Number 2" xfId="20361" xr:uid="{00000000-0005-0000-0000-0000947A0000}"/>
    <cellStyle name="numbers" xfId="11982" xr:uid="{00000000-0005-0000-0000-0000957A0000}"/>
    <cellStyle name="numbers 2" xfId="20362" xr:uid="{00000000-0005-0000-0000-0000967A0000}"/>
    <cellStyle name="numPStyle" xfId="11983" xr:uid="{00000000-0005-0000-0000-0000977A0000}"/>
    <cellStyle name="numPStyleb" xfId="11984" xr:uid="{00000000-0005-0000-0000-0000987A0000}"/>
    <cellStyle name="numXStyle" xfId="11985" xr:uid="{00000000-0005-0000-0000-0000997A0000}"/>
    <cellStyle name="numXStyleb" xfId="11986" xr:uid="{00000000-0005-0000-0000-00009A7A0000}"/>
    <cellStyle name="Œ…‹æ_Ø‚è [0.00]_Affiliate Fcst Inputs" xfId="11987" xr:uid="{00000000-0005-0000-0000-00009B7A0000}"/>
    <cellStyle name="Œ…‹æØ‚è [0.00]_!!!GO" xfId="11988" xr:uid="{00000000-0005-0000-0000-00009C7A0000}"/>
    <cellStyle name="Œ…‹æØ‚è_!!!GO" xfId="11989" xr:uid="{00000000-0005-0000-0000-00009D7A0000}"/>
    <cellStyle name="OScommands" xfId="11990" xr:uid="{00000000-0005-0000-0000-00009E7A0000}"/>
    <cellStyle name="OSW_ColumnLabels" xfId="11991" xr:uid="{00000000-0005-0000-0000-00009F7A0000}"/>
    <cellStyle name="Output 10" xfId="11992" xr:uid="{00000000-0005-0000-0000-0000A07A0000}"/>
    <cellStyle name="Output 11" xfId="11993" xr:uid="{00000000-0005-0000-0000-0000A17A0000}"/>
    <cellStyle name="Output 12" xfId="11994" xr:uid="{00000000-0005-0000-0000-0000A27A0000}"/>
    <cellStyle name="Output 13" xfId="11995" xr:uid="{00000000-0005-0000-0000-0000A37A0000}"/>
    <cellStyle name="Output 2" xfId="11996" xr:uid="{00000000-0005-0000-0000-0000A47A0000}"/>
    <cellStyle name="Output 3" xfId="11997" xr:uid="{00000000-0005-0000-0000-0000A57A0000}"/>
    <cellStyle name="Output 4" xfId="11998" xr:uid="{00000000-0005-0000-0000-0000A67A0000}"/>
    <cellStyle name="Output 5" xfId="11999" xr:uid="{00000000-0005-0000-0000-0000A77A0000}"/>
    <cellStyle name="Output 6" xfId="12000" xr:uid="{00000000-0005-0000-0000-0000A87A0000}"/>
    <cellStyle name="Output 7" xfId="12001" xr:uid="{00000000-0005-0000-0000-0000A97A0000}"/>
    <cellStyle name="Output 8" xfId="12002" xr:uid="{00000000-0005-0000-0000-0000AA7A0000}"/>
    <cellStyle name="Output 9" xfId="12003" xr:uid="{00000000-0005-0000-0000-0000AB7A0000}"/>
    <cellStyle name="Output Amounts" xfId="12004" xr:uid="{00000000-0005-0000-0000-0000AC7A0000}"/>
    <cellStyle name="Output Column Headings" xfId="12005" xr:uid="{00000000-0005-0000-0000-0000AD7A0000}"/>
    <cellStyle name="Output Line Items" xfId="12006" xr:uid="{00000000-0005-0000-0000-0000AE7A0000}"/>
    <cellStyle name="Output Report Heading" xfId="12007" xr:uid="{00000000-0005-0000-0000-0000AF7A0000}"/>
    <cellStyle name="Output Report Title" xfId="12008" xr:uid="{00000000-0005-0000-0000-0000B07A0000}"/>
    <cellStyle name="Outputs" xfId="12009" xr:uid="{00000000-0005-0000-0000-0000B17A0000}"/>
    <cellStyle name="Outputs 2" xfId="12010" xr:uid="{00000000-0005-0000-0000-0000B27A0000}"/>
    <cellStyle name="Outputs 2 2" xfId="20296" xr:uid="{00000000-0005-0000-0000-0000B37A0000}"/>
    <cellStyle name="Outputs 3" xfId="12011" xr:uid="{00000000-0005-0000-0000-0000B47A0000}"/>
    <cellStyle name="Outputs 3 2" xfId="20297" xr:uid="{00000000-0005-0000-0000-0000B57A0000}"/>
    <cellStyle name="Outputs 4" xfId="20298" xr:uid="{00000000-0005-0000-0000-0000B67A0000}"/>
    <cellStyle name="OVER" xfId="12012" xr:uid="{00000000-0005-0000-0000-0000B77A0000}"/>
    <cellStyle name="p" xfId="12013" xr:uid="{00000000-0005-0000-0000-0000B87A0000}"/>
    <cellStyle name="P&amp;L Numbers" xfId="12014" xr:uid="{00000000-0005-0000-0000-0000B97A0000}"/>
    <cellStyle name="p_DCF" xfId="12015" xr:uid="{00000000-0005-0000-0000-0000BA7A0000}"/>
    <cellStyle name="Page Heading" xfId="12016" xr:uid="{00000000-0005-0000-0000-0000BB7A0000}"/>
    <cellStyle name="Page Heading Large" xfId="12017" xr:uid="{00000000-0005-0000-0000-0000BC7A0000}"/>
    <cellStyle name="Page Heading Small" xfId="12018" xr:uid="{00000000-0005-0000-0000-0000BD7A0000}"/>
    <cellStyle name="Page Number" xfId="12019" xr:uid="{00000000-0005-0000-0000-0000BE7A0000}"/>
    <cellStyle name="paint" xfId="12020" xr:uid="{00000000-0005-0000-0000-0000BF7A0000}"/>
    <cellStyle name="Palatino" xfId="12021" xr:uid="{00000000-0005-0000-0000-0000C07A0000}"/>
    <cellStyle name="pc1" xfId="12022" xr:uid="{00000000-0005-0000-0000-0000C17A0000}"/>
    <cellStyle name="pc1 2" xfId="20363" xr:uid="{00000000-0005-0000-0000-0000C27A0000}"/>
    <cellStyle name="pct_sub" xfId="12023" xr:uid="{00000000-0005-0000-0000-0000C37A0000}"/>
    <cellStyle name="per.style" xfId="12024" xr:uid="{00000000-0005-0000-0000-0000C47A0000}"/>
    <cellStyle name="per.style 2" xfId="20364" xr:uid="{00000000-0005-0000-0000-0000C57A0000}"/>
    <cellStyle name="Percen" xfId="12025" xr:uid="{00000000-0005-0000-0000-0000C67A0000}"/>
    <cellStyle name="Percen - Style1" xfId="12026" xr:uid="{00000000-0005-0000-0000-0000C77A0000}"/>
    <cellStyle name="Percen - Style5" xfId="12027" xr:uid="{00000000-0005-0000-0000-0000C87A0000}"/>
    <cellStyle name="Percent" xfId="12422" builtinId="5"/>
    <cellStyle name="Percent %" xfId="12028" xr:uid="{00000000-0005-0000-0000-0000CA7A0000}"/>
    <cellStyle name="Percent % Long Underline" xfId="12029" xr:uid="{00000000-0005-0000-0000-0000CB7A0000}"/>
    <cellStyle name="Percent (0)" xfId="12030" xr:uid="{00000000-0005-0000-0000-0000CC7A0000}"/>
    <cellStyle name="Percent (1)" xfId="12031" xr:uid="{00000000-0005-0000-0000-0000CD7A0000}"/>
    <cellStyle name="Percent (2)" xfId="12032" xr:uid="{00000000-0005-0000-0000-0000CE7A0000}"/>
    <cellStyle name="Percent [0]" xfId="12033" xr:uid="{00000000-0005-0000-0000-0000CF7A0000}"/>
    <cellStyle name="Percent [00]" xfId="12034" xr:uid="{00000000-0005-0000-0000-0000D07A0000}"/>
    <cellStyle name="Percent [1]" xfId="12035" xr:uid="{00000000-0005-0000-0000-0000D17A0000}"/>
    <cellStyle name="Percent [1] 2" xfId="20365" xr:uid="{00000000-0005-0000-0000-0000D27A0000}"/>
    <cellStyle name="Percent [1][]" xfId="12036" xr:uid="{00000000-0005-0000-0000-0000D37A0000}"/>
    <cellStyle name="Percent [1]_Aprio - Public Comps1" xfId="12037" xr:uid="{00000000-0005-0000-0000-0000D47A0000}"/>
    <cellStyle name="Percent [2]" xfId="12038" xr:uid="{00000000-0005-0000-0000-0000D57A0000}"/>
    <cellStyle name="Percent [2] 2" xfId="12039" xr:uid="{00000000-0005-0000-0000-0000D67A0000}"/>
    <cellStyle name="Percent [2] 3" xfId="12040" xr:uid="{00000000-0005-0000-0000-0000D77A0000}"/>
    <cellStyle name="Percent 0.0%" xfId="12041" xr:uid="{00000000-0005-0000-0000-0000D87A0000}"/>
    <cellStyle name="Percent 0.0% Long Underline" xfId="12042" xr:uid="{00000000-0005-0000-0000-0000D97A0000}"/>
    <cellStyle name="Percent 0.00%" xfId="12043" xr:uid="{00000000-0005-0000-0000-0000DA7A0000}"/>
    <cellStyle name="Percent 0.00% Long Underline" xfId="12044" xr:uid="{00000000-0005-0000-0000-0000DB7A0000}"/>
    <cellStyle name="Percent 0.000%" xfId="12045" xr:uid="{00000000-0005-0000-0000-0000DC7A0000}"/>
    <cellStyle name="Percent 0.000% Long Underline" xfId="12046" xr:uid="{00000000-0005-0000-0000-0000DD7A0000}"/>
    <cellStyle name="Percent 0.000%_Aprio - Public Comps1" xfId="12047" xr:uid="{00000000-0005-0000-0000-0000DE7A0000}"/>
    <cellStyle name="Percent 1" xfId="12048" xr:uid="{00000000-0005-0000-0000-0000DF7A0000}"/>
    <cellStyle name="Percent 10" xfId="2" xr:uid="{00000000-0005-0000-0000-0000E07A0000}"/>
    <cellStyle name="Percent 10 2" xfId="12429" xr:uid="{00000000-0005-0000-0000-0000E17A0000}"/>
    <cellStyle name="Percent 10 2 2" xfId="24286" xr:uid="{00000000-0005-0000-0000-0000E27A0000}"/>
    <cellStyle name="Percent 10 3" xfId="16385" xr:uid="{00000000-0005-0000-0000-0000E37A0000}"/>
    <cellStyle name="Percent 10 3 2" xfId="28077" xr:uid="{00000000-0005-0000-0000-0000E47A0000}"/>
    <cellStyle name="Percent 10 4" xfId="20422" xr:uid="{00000000-0005-0000-0000-0000E57A0000}"/>
    <cellStyle name="Percent 11" xfId="12049" xr:uid="{00000000-0005-0000-0000-0000E67A0000}"/>
    <cellStyle name="Percent 12" xfId="12050" xr:uid="{00000000-0005-0000-0000-0000E77A0000}"/>
    <cellStyle name="Percent 13" xfId="12051" xr:uid="{00000000-0005-0000-0000-0000E87A0000}"/>
    <cellStyle name="Percent 13 2" xfId="16194" xr:uid="{00000000-0005-0000-0000-0000E97A0000}"/>
    <cellStyle name="Percent 13 2 2" xfId="28051" xr:uid="{00000000-0005-0000-0000-0000EA7A0000}"/>
    <cellStyle name="Percent 13 3" xfId="20217" xr:uid="{00000000-0005-0000-0000-0000EB7A0000}"/>
    <cellStyle name="Percent 13 3 2" xfId="31909" xr:uid="{00000000-0005-0000-0000-0000EC7A0000}"/>
    <cellStyle name="Percent 13 4" xfId="24263" xr:uid="{00000000-0005-0000-0000-0000ED7A0000}"/>
    <cellStyle name="Percent 14" xfId="12052" xr:uid="{00000000-0005-0000-0000-0000EE7A0000}"/>
    <cellStyle name="Percent 15" xfId="12053" xr:uid="{00000000-0005-0000-0000-0000EF7A0000}"/>
    <cellStyle name="Percent 16" xfId="20366" xr:uid="{00000000-0005-0000-0000-0000F07A0000}"/>
    <cellStyle name="Percent 16 2" xfId="31943" xr:uid="{00000000-0005-0000-0000-0000F17A0000}"/>
    <cellStyle name="Percent 17" xfId="31977" xr:uid="{00000000-0005-0000-0000-0000F27A0000}"/>
    <cellStyle name="Percent 18" xfId="20384" xr:uid="{00000000-0005-0000-0000-0000F37A0000}"/>
    <cellStyle name="Percent 19" xfId="20414" xr:uid="{00000000-0005-0000-0000-0000F47A0000}"/>
    <cellStyle name="Percent 19 2" xfId="31969" xr:uid="{00000000-0005-0000-0000-0000F57A0000}"/>
    <cellStyle name="Percent 2" xfId="12054" xr:uid="{00000000-0005-0000-0000-0000F67A0000}"/>
    <cellStyle name="Percent 2 10" xfId="24264" xr:uid="{00000000-0005-0000-0000-0000F77A0000}"/>
    <cellStyle name="Percent 2 2" xfId="12055" xr:uid="{00000000-0005-0000-0000-0000F87A0000}"/>
    <cellStyle name="Percent 2 2 2" xfId="12056" xr:uid="{00000000-0005-0000-0000-0000F97A0000}"/>
    <cellStyle name="Percent 2 3" xfId="12057" xr:uid="{00000000-0005-0000-0000-0000FA7A0000}"/>
    <cellStyle name="Percent 2 3 2" xfId="12058" xr:uid="{00000000-0005-0000-0000-0000FB7A0000}"/>
    <cellStyle name="Percent 2 4" xfId="12059" xr:uid="{00000000-0005-0000-0000-0000FC7A0000}"/>
    <cellStyle name="Percent 2 4 2" xfId="12060" xr:uid="{00000000-0005-0000-0000-0000FD7A0000}"/>
    <cellStyle name="Percent 2 5" xfId="12061" xr:uid="{00000000-0005-0000-0000-0000FE7A0000}"/>
    <cellStyle name="Percent 2 6" xfId="12062" xr:uid="{00000000-0005-0000-0000-0000FF7A0000}"/>
    <cellStyle name="Percent 2 7" xfId="16195" xr:uid="{00000000-0005-0000-0000-0000007B0000}"/>
    <cellStyle name="Percent 2 7 2" xfId="28052" xr:uid="{00000000-0005-0000-0000-0000017B0000}"/>
    <cellStyle name="Percent 2 8" xfId="20218" xr:uid="{00000000-0005-0000-0000-0000027B0000}"/>
    <cellStyle name="Percent 2 8 2" xfId="31910" xr:uid="{00000000-0005-0000-0000-0000037B0000}"/>
    <cellStyle name="Percent 2 9" xfId="20383" xr:uid="{00000000-0005-0000-0000-0000047B0000}"/>
    <cellStyle name="Percent 20" xfId="20410" xr:uid="{00000000-0005-0000-0000-0000057B0000}"/>
    <cellStyle name="Percent 20 2" xfId="31965" xr:uid="{00000000-0005-0000-0000-0000067B0000}"/>
    <cellStyle name="Percent 3" xfId="12063" xr:uid="{00000000-0005-0000-0000-0000077B0000}"/>
    <cellStyle name="Percent 3 2" xfId="12064" xr:uid="{00000000-0005-0000-0000-0000087B0000}"/>
    <cellStyle name="Percent 3 2 2" xfId="12065" xr:uid="{00000000-0005-0000-0000-0000097B0000}"/>
    <cellStyle name="Percent 3 2 3" xfId="20299" xr:uid="{00000000-0005-0000-0000-00000A7B0000}"/>
    <cellStyle name="Percent 3 3" xfId="12066" xr:uid="{00000000-0005-0000-0000-00000B7B0000}"/>
    <cellStyle name="Percent 3 4" xfId="12067" xr:uid="{00000000-0005-0000-0000-00000C7B0000}"/>
    <cellStyle name="Percent 3 5" xfId="12068" xr:uid="{00000000-0005-0000-0000-00000D7B0000}"/>
    <cellStyle name="Percent 4" xfId="12069" xr:uid="{00000000-0005-0000-0000-00000E7B0000}"/>
    <cellStyle name="Percent 4 2" xfId="12070" xr:uid="{00000000-0005-0000-0000-00000F7B0000}"/>
    <cellStyle name="Percent 5" xfId="12071" xr:uid="{00000000-0005-0000-0000-0000107B0000}"/>
    <cellStyle name="Percent 6" xfId="12072" xr:uid="{00000000-0005-0000-0000-0000117B0000}"/>
    <cellStyle name="Percent 7" xfId="12073" xr:uid="{00000000-0005-0000-0000-0000127B0000}"/>
    <cellStyle name="Percent 7 3" xfId="12424" xr:uid="{00000000-0005-0000-0000-0000137B0000}"/>
    <cellStyle name="Percent 8" xfId="12074" xr:uid="{00000000-0005-0000-0000-0000147B0000}"/>
    <cellStyle name="Percent 8 2" xfId="20309" xr:uid="{00000000-0005-0000-0000-0000157B0000}"/>
    <cellStyle name="Percent 8 3" xfId="12075" xr:uid="{00000000-0005-0000-0000-0000167B0000}"/>
    <cellStyle name="Percent 9" xfId="12076" xr:uid="{00000000-0005-0000-0000-0000177B0000}"/>
    <cellStyle name="Percent Decimal" xfId="12077" xr:uid="{00000000-0005-0000-0000-0000187B0000}"/>
    <cellStyle name="Percent Hard" xfId="12078" xr:uid="{00000000-0005-0000-0000-0000197B0000}"/>
    <cellStyle name="Percent Hard 2" xfId="20367" xr:uid="{00000000-0005-0000-0000-00001A7B0000}"/>
    <cellStyle name="Percent Input" xfId="12079" xr:uid="{00000000-0005-0000-0000-00001B7B0000}"/>
    <cellStyle name="Percent Input 2" xfId="20368" xr:uid="{00000000-0005-0000-0000-00001C7B0000}"/>
    <cellStyle name="Percent*" xfId="12080" xr:uid="{00000000-0005-0000-0000-00001D7B0000}"/>
    <cellStyle name="Percent1" xfId="12081" xr:uid="{00000000-0005-0000-0000-00001E7B0000}"/>
    <cellStyle name="Percent1Blue" xfId="12082" xr:uid="{00000000-0005-0000-0000-00001F7B0000}"/>
    <cellStyle name="Percent2" xfId="12083" xr:uid="{00000000-0005-0000-0000-0000207B0000}"/>
    <cellStyle name="Percent2 [0]" xfId="12084" xr:uid="{00000000-0005-0000-0000-0000217B0000}"/>
    <cellStyle name="Percent2 [1]" xfId="12085" xr:uid="{00000000-0005-0000-0000-0000227B0000}"/>
    <cellStyle name="Percent2Blue" xfId="12086" xr:uid="{00000000-0005-0000-0000-0000237B0000}"/>
    <cellStyle name="Percentage" xfId="12087" xr:uid="{00000000-0005-0000-0000-0000247B0000}"/>
    <cellStyle name="PercentChange" xfId="12088" xr:uid="{00000000-0005-0000-0000-0000257B0000}"/>
    <cellStyle name="PercentDash0" xfId="12089" xr:uid="{00000000-0005-0000-0000-0000267B0000}"/>
    <cellStyle name="PercentF [0]" xfId="12090" xr:uid="{00000000-0005-0000-0000-0000277B0000}"/>
    <cellStyle name="PercentF [1]" xfId="12091" xr:uid="{00000000-0005-0000-0000-0000287B0000}"/>
    <cellStyle name="PercentSales" xfId="12092" xr:uid="{00000000-0005-0000-0000-0000297B0000}"/>
    <cellStyle name="PercentSales 2" xfId="20369" xr:uid="{00000000-0005-0000-0000-00002A7B0000}"/>
    <cellStyle name="PercentText0" xfId="12093" xr:uid="{00000000-0005-0000-0000-00002B7B0000}"/>
    <cellStyle name="Periods" xfId="12094" xr:uid="{00000000-0005-0000-0000-00002C7B0000}"/>
    <cellStyle name="Perlong" xfId="12095" xr:uid="{00000000-0005-0000-0000-00002D7B0000}"/>
    <cellStyle name="Plain" xfId="12096" xr:uid="{00000000-0005-0000-0000-00002E7B0000}"/>
    <cellStyle name="Plan" xfId="12097" xr:uid="{00000000-0005-0000-0000-00002F7B0000}"/>
    <cellStyle name="pound" xfId="12098" xr:uid="{00000000-0005-0000-0000-0000307B0000}"/>
    <cellStyle name="pound 2" xfId="20370" xr:uid="{00000000-0005-0000-0000-0000317B0000}"/>
    <cellStyle name="Pourcentage 2" xfId="12099" xr:uid="{00000000-0005-0000-0000-0000327B0000}"/>
    <cellStyle name="Pourcentage 3" xfId="12100" xr:uid="{00000000-0005-0000-0000-0000337B0000}"/>
    <cellStyle name="PrePop Currency (0)" xfId="12101" xr:uid="{00000000-0005-0000-0000-0000347B0000}"/>
    <cellStyle name="PrePop Currency (2)" xfId="12102" xr:uid="{00000000-0005-0000-0000-0000357B0000}"/>
    <cellStyle name="PrePop Units (0)" xfId="12103" xr:uid="{00000000-0005-0000-0000-0000367B0000}"/>
    <cellStyle name="PrePop Units (1)" xfId="12104" xr:uid="{00000000-0005-0000-0000-0000377B0000}"/>
    <cellStyle name="PrePop Units (2)" xfId="12105" xr:uid="{00000000-0005-0000-0000-0000387B0000}"/>
    <cellStyle name="Price" xfId="12106" xr:uid="{00000000-0005-0000-0000-0000397B0000}"/>
    <cellStyle name="pricing" xfId="12107" xr:uid="{00000000-0005-0000-0000-00003A7B0000}"/>
    <cellStyle name="Private" xfId="12108" xr:uid="{00000000-0005-0000-0000-00003B7B0000}"/>
    <cellStyle name="Private1" xfId="12109" xr:uid="{00000000-0005-0000-0000-00003C7B0000}"/>
    <cellStyle name="Product Title" xfId="12110" xr:uid="{00000000-0005-0000-0000-00003D7B0000}"/>
    <cellStyle name="PROJECT" xfId="12111" xr:uid="{00000000-0005-0000-0000-00003E7B0000}"/>
    <cellStyle name="PROJECT R" xfId="12112" xr:uid="{00000000-0005-0000-0000-00003F7B0000}"/>
    <cellStyle name="PROJECT_Boston Power VD 01 31 2008 Model 02 26 2008" xfId="12113" xr:uid="{00000000-0005-0000-0000-0000407B0000}"/>
    <cellStyle name="Protected" xfId="12114" xr:uid="{00000000-0005-0000-0000-0000417B0000}"/>
    <cellStyle name="Protection" xfId="12115" xr:uid="{00000000-0005-0000-0000-0000427B0000}"/>
    <cellStyle name="PSChar" xfId="12116" xr:uid="{00000000-0005-0000-0000-0000437B0000}"/>
    <cellStyle name="PSDate" xfId="12117" xr:uid="{00000000-0005-0000-0000-0000447B0000}"/>
    <cellStyle name="PSDec" xfId="12118" xr:uid="{00000000-0005-0000-0000-0000457B0000}"/>
    <cellStyle name="PSHeading" xfId="12119" xr:uid="{00000000-0005-0000-0000-0000467B0000}"/>
    <cellStyle name="PSHeading 2" xfId="20371" xr:uid="{00000000-0005-0000-0000-0000477B0000}"/>
    <cellStyle name="PSInt" xfId="12120" xr:uid="{00000000-0005-0000-0000-0000487B0000}"/>
    <cellStyle name="PSSpacer" xfId="12121" xr:uid="{00000000-0005-0000-0000-0000497B0000}"/>
    <cellStyle name="question" xfId="12122" xr:uid="{00000000-0005-0000-0000-00004A7B0000}"/>
    <cellStyle name="Ratio (1)" xfId="12123" xr:uid="{00000000-0005-0000-0000-00004B7B0000}"/>
    <cellStyle name="Ratio (2)" xfId="12124" xr:uid="{00000000-0005-0000-0000-00004C7B0000}"/>
    <cellStyle name="Ratio_U (1)" xfId="12125" xr:uid="{00000000-0005-0000-0000-00004D7B0000}"/>
    <cellStyle name="RatioX" xfId="12126" xr:uid="{00000000-0005-0000-0000-00004E7B0000}"/>
    <cellStyle name="Read" xfId="12127" xr:uid="{00000000-0005-0000-0000-00004F7B0000}"/>
    <cellStyle name="Read$" xfId="12128" xr:uid="{00000000-0005-0000-0000-0000507B0000}"/>
    <cellStyle name="Read%" xfId="12129" xr:uid="{00000000-0005-0000-0000-0000517B0000}"/>
    <cellStyle name="ReadInData" xfId="12130" xr:uid="{00000000-0005-0000-0000-0000527B0000}"/>
    <cellStyle name="Réalisé" xfId="12131" xr:uid="{00000000-0005-0000-0000-0000537B0000}"/>
    <cellStyle name="Red font" xfId="12132" xr:uid="{00000000-0005-0000-0000-0000547B0000}"/>
    <cellStyle name="Red Text" xfId="12133" xr:uid="{00000000-0005-0000-0000-0000557B0000}"/>
    <cellStyle name="regstoresfromspecstores" xfId="12134" xr:uid="{00000000-0005-0000-0000-0000567B0000}"/>
    <cellStyle name="Regular" xfId="12135" xr:uid="{00000000-0005-0000-0000-0000577B0000}"/>
    <cellStyle name="ReportNums" xfId="12136" xr:uid="{00000000-0005-0000-0000-0000587B0000}"/>
    <cellStyle name="ReportNums 2" xfId="12137" xr:uid="{00000000-0005-0000-0000-0000597B0000}"/>
    <cellStyle name="ReportNums 2 2" xfId="12138" xr:uid="{00000000-0005-0000-0000-00005A7B0000}"/>
    <cellStyle name="ReportNums 2 2 2" xfId="16197" xr:uid="{00000000-0005-0000-0000-00005B7B0000}"/>
    <cellStyle name="ReportNums 2 2 2 2" xfId="28054" xr:uid="{00000000-0005-0000-0000-00005C7B0000}"/>
    <cellStyle name="ReportNums 2 2 3" xfId="20220" xr:uid="{00000000-0005-0000-0000-00005D7B0000}"/>
    <cellStyle name="ReportNums 2 2 3 2" xfId="31912" xr:uid="{00000000-0005-0000-0000-00005E7B0000}"/>
    <cellStyle name="ReportNums 2 2 4" xfId="24266" xr:uid="{00000000-0005-0000-0000-00005F7B0000}"/>
    <cellStyle name="ReportNums 2 3" xfId="16196" xr:uid="{00000000-0005-0000-0000-0000607B0000}"/>
    <cellStyle name="ReportNums 2 3 2" xfId="28053" xr:uid="{00000000-0005-0000-0000-0000617B0000}"/>
    <cellStyle name="ReportNums 2 4" xfId="20219" xr:uid="{00000000-0005-0000-0000-0000627B0000}"/>
    <cellStyle name="ReportNums 2 4 2" xfId="31911" xr:uid="{00000000-0005-0000-0000-0000637B0000}"/>
    <cellStyle name="ReportNums 2 5" xfId="24265" xr:uid="{00000000-0005-0000-0000-0000647B0000}"/>
    <cellStyle name="ReportNums 3" xfId="12139" xr:uid="{00000000-0005-0000-0000-0000657B0000}"/>
    <cellStyle name="ReportNums 3 2" xfId="12140" xr:uid="{00000000-0005-0000-0000-0000667B0000}"/>
    <cellStyle name="ReportNums 3 2 2" xfId="16199" xr:uid="{00000000-0005-0000-0000-0000677B0000}"/>
    <cellStyle name="ReportNums 3 2 2 2" xfId="28056" xr:uid="{00000000-0005-0000-0000-0000687B0000}"/>
    <cellStyle name="ReportNums 3 2 3" xfId="20222" xr:uid="{00000000-0005-0000-0000-0000697B0000}"/>
    <cellStyle name="ReportNums 3 2 3 2" xfId="31914" xr:uid="{00000000-0005-0000-0000-00006A7B0000}"/>
    <cellStyle name="ReportNums 3 2 4" xfId="24268" xr:uid="{00000000-0005-0000-0000-00006B7B0000}"/>
    <cellStyle name="ReportNums 3 3" xfId="16198" xr:uid="{00000000-0005-0000-0000-00006C7B0000}"/>
    <cellStyle name="ReportNums 3 3 2" xfId="28055" xr:uid="{00000000-0005-0000-0000-00006D7B0000}"/>
    <cellStyle name="ReportNums 3 4" xfId="20221" xr:uid="{00000000-0005-0000-0000-00006E7B0000}"/>
    <cellStyle name="ReportNums 3 4 2" xfId="31913" xr:uid="{00000000-0005-0000-0000-00006F7B0000}"/>
    <cellStyle name="ReportNums 3 5" xfId="24267" xr:uid="{00000000-0005-0000-0000-0000707B0000}"/>
    <cellStyle name="Results % 3 dp" xfId="12141" xr:uid="{00000000-0005-0000-0000-0000717B0000}"/>
    <cellStyle name="Results 3 dp" xfId="12142" xr:uid="{00000000-0005-0000-0000-0000727B0000}"/>
    <cellStyle name="RevList" xfId="12143" xr:uid="{00000000-0005-0000-0000-0000737B0000}"/>
    <cellStyle name="Right Heading 1" xfId="12144" xr:uid="{00000000-0005-0000-0000-0000747B0000}"/>
    <cellStyle name="Right Heading 2" xfId="12145" xr:uid="{00000000-0005-0000-0000-0000757B0000}"/>
    <cellStyle name="Row Headings" xfId="12146" xr:uid="{00000000-0005-0000-0000-0000767B0000}"/>
    <cellStyle name="Row Lvl 1" xfId="12147" xr:uid="{00000000-0005-0000-0000-0000777B0000}"/>
    <cellStyle name="Row Lvl 2" xfId="12148" xr:uid="{00000000-0005-0000-0000-0000787B0000}"/>
    <cellStyle name="s]_x000d__x000a_load=nwpopup.exe_x000d__x000a_run=_x000d__x000a_Beep=yes_x000d__x000a_NullPort=None_x000d__x000a_BorderWidth=3_x000d__x000a_CursorBlinkRate=530_x000d__x000a_DoubleClickSpeed=452_x000d__x000a_Programs" xfId="12149" xr:uid="{00000000-0005-0000-0000-0000797B0000}"/>
    <cellStyle name="Salomon Logo" xfId="12150" xr:uid="{00000000-0005-0000-0000-00007A7B0000}"/>
    <cellStyle name="SAPBEXaggData" xfId="12151" xr:uid="{00000000-0005-0000-0000-00007B7B0000}"/>
    <cellStyle name="SAPBEXaggDataEmph" xfId="12152" xr:uid="{00000000-0005-0000-0000-00007C7B0000}"/>
    <cellStyle name="SAPBEXaggItem" xfId="12153" xr:uid="{00000000-0005-0000-0000-00007D7B0000}"/>
    <cellStyle name="SAPBEXchaText" xfId="12154" xr:uid="{00000000-0005-0000-0000-00007E7B0000}"/>
    <cellStyle name="SAPBEXexcBad7" xfId="12155" xr:uid="{00000000-0005-0000-0000-00007F7B0000}"/>
    <cellStyle name="SAPBEXexcBad8" xfId="12156" xr:uid="{00000000-0005-0000-0000-0000807B0000}"/>
    <cellStyle name="SAPBEXexcBad9" xfId="12157" xr:uid="{00000000-0005-0000-0000-0000817B0000}"/>
    <cellStyle name="SAPBEXexcCritical4" xfId="12158" xr:uid="{00000000-0005-0000-0000-0000827B0000}"/>
    <cellStyle name="SAPBEXexcCritical5" xfId="12159" xr:uid="{00000000-0005-0000-0000-0000837B0000}"/>
    <cellStyle name="SAPBEXexcCritical6" xfId="12160" xr:uid="{00000000-0005-0000-0000-0000847B0000}"/>
    <cellStyle name="SAPBEXexcGood1" xfId="12161" xr:uid="{00000000-0005-0000-0000-0000857B0000}"/>
    <cellStyle name="SAPBEXexcGood2" xfId="12162" xr:uid="{00000000-0005-0000-0000-0000867B0000}"/>
    <cellStyle name="SAPBEXexcGood3" xfId="12163" xr:uid="{00000000-0005-0000-0000-0000877B0000}"/>
    <cellStyle name="SAPBEXfilterDrill" xfId="12164" xr:uid="{00000000-0005-0000-0000-0000887B0000}"/>
    <cellStyle name="SAPBEXfilterItem" xfId="12165" xr:uid="{00000000-0005-0000-0000-0000897B0000}"/>
    <cellStyle name="SAPBEXfilterText" xfId="12166" xr:uid="{00000000-0005-0000-0000-00008A7B0000}"/>
    <cellStyle name="SAPBEXformats" xfId="12167" xr:uid="{00000000-0005-0000-0000-00008B7B0000}"/>
    <cellStyle name="SAPBEXheaderItem" xfId="12168" xr:uid="{00000000-0005-0000-0000-00008C7B0000}"/>
    <cellStyle name="SAPBEXheaderText" xfId="12169" xr:uid="{00000000-0005-0000-0000-00008D7B0000}"/>
    <cellStyle name="SAPBEXresData" xfId="12170" xr:uid="{00000000-0005-0000-0000-00008E7B0000}"/>
    <cellStyle name="SAPBEXresDataEmph" xfId="12171" xr:uid="{00000000-0005-0000-0000-00008F7B0000}"/>
    <cellStyle name="SAPBEXresItem" xfId="12172" xr:uid="{00000000-0005-0000-0000-0000907B0000}"/>
    <cellStyle name="SAPBEXstdData" xfId="12173" xr:uid="{00000000-0005-0000-0000-0000917B0000}"/>
    <cellStyle name="SAPBEXstdDataEmph" xfId="12174" xr:uid="{00000000-0005-0000-0000-0000927B0000}"/>
    <cellStyle name="SAPBEXstdItem" xfId="12175" xr:uid="{00000000-0005-0000-0000-0000937B0000}"/>
    <cellStyle name="SAPBEXtitle" xfId="12176" xr:uid="{00000000-0005-0000-0000-0000947B0000}"/>
    <cellStyle name="SAPBEXundefined" xfId="12177" xr:uid="{00000000-0005-0000-0000-0000957B0000}"/>
    <cellStyle name="SAPKey" xfId="12178" xr:uid="{00000000-0005-0000-0000-0000967B0000}"/>
    <cellStyle name="SAPKey 2" xfId="12179" xr:uid="{00000000-0005-0000-0000-0000977B0000}"/>
    <cellStyle name="SAPKey 3" xfId="12180" xr:uid="{00000000-0005-0000-0000-0000987B0000}"/>
    <cellStyle name="SAPLocked" xfId="12181" xr:uid="{00000000-0005-0000-0000-0000997B0000}"/>
    <cellStyle name="SAPLocked 2" xfId="12182" xr:uid="{00000000-0005-0000-0000-00009A7B0000}"/>
    <cellStyle name="SAPLocked 3" xfId="12183" xr:uid="{00000000-0005-0000-0000-00009B7B0000}"/>
    <cellStyle name="SAPOutput" xfId="12184" xr:uid="{00000000-0005-0000-0000-00009C7B0000}"/>
    <cellStyle name="SAPOutput 2" xfId="12185" xr:uid="{00000000-0005-0000-0000-00009D7B0000}"/>
    <cellStyle name="SAPOutput 3" xfId="12186" xr:uid="{00000000-0005-0000-0000-00009E7B0000}"/>
    <cellStyle name="SAPSpace" xfId="12187" xr:uid="{00000000-0005-0000-0000-00009F7B0000}"/>
    <cellStyle name="SAPSpace 2" xfId="12188" xr:uid="{00000000-0005-0000-0000-0000A07B0000}"/>
    <cellStyle name="SAPSpace 3" xfId="12189" xr:uid="{00000000-0005-0000-0000-0000A17B0000}"/>
    <cellStyle name="SAPText" xfId="12190" xr:uid="{00000000-0005-0000-0000-0000A27B0000}"/>
    <cellStyle name="SAPText 2" xfId="12191" xr:uid="{00000000-0005-0000-0000-0000A37B0000}"/>
    <cellStyle name="SAPText 3" xfId="12192" xr:uid="{00000000-0005-0000-0000-0000A47B0000}"/>
    <cellStyle name="SAPUnLocked" xfId="12193" xr:uid="{00000000-0005-0000-0000-0000A57B0000}"/>
    <cellStyle name="SAPUnLocked 2" xfId="12194" xr:uid="{00000000-0005-0000-0000-0000A67B0000}"/>
    <cellStyle name="SAPUnLocked 3" xfId="12195" xr:uid="{00000000-0005-0000-0000-0000A77B0000}"/>
    <cellStyle name="sbt2" xfId="12196" xr:uid="{00000000-0005-0000-0000-0000A87B0000}"/>
    <cellStyle name="sbt2 2" xfId="12197" xr:uid="{00000000-0005-0000-0000-0000A97B0000}"/>
    <cellStyle name="sbt2 2 2" xfId="12198" xr:uid="{00000000-0005-0000-0000-0000AA7B0000}"/>
    <cellStyle name="sbt2 2 2 2" xfId="20225" xr:uid="{00000000-0005-0000-0000-0000AB7B0000}"/>
    <cellStyle name="sbt2 2 3" xfId="20224" xr:uid="{00000000-0005-0000-0000-0000AC7B0000}"/>
    <cellStyle name="sbt2 3" xfId="12199" xr:uid="{00000000-0005-0000-0000-0000AD7B0000}"/>
    <cellStyle name="sbt2 3 2" xfId="12200" xr:uid="{00000000-0005-0000-0000-0000AE7B0000}"/>
    <cellStyle name="sbt2 3 2 2" xfId="20227" xr:uid="{00000000-0005-0000-0000-0000AF7B0000}"/>
    <cellStyle name="sbt2 3 3" xfId="20226" xr:uid="{00000000-0005-0000-0000-0000B07B0000}"/>
    <cellStyle name="sbt2 4" xfId="12201" xr:uid="{00000000-0005-0000-0000-0000B17B0000}"/>
    <cellStyle name="sbt2 4 2" xfId="20228" xr:uid="{00000000-0005-0000-0000-0000B27B0000}"/>
    <cellStyle name="sbt2 5" xfId="20223" xr:uid="{00000000-0005-0000-0000-0000B37B0000}"/>
    <cellStyle name="SectionHeaderNormal" xfId="12202" xr:uid="{00000000-0005-0000-0000-0000B47B0000}"/>
    <cellStyle name="SectionHeading" xfId="12203" xr:uid="{00000000-0005-0000-0000-0000B57B0000}"/>
    <cellStyle name="SectionHeading 2" xfId="12204" xr:uid="{00000000-0005-0000-0000-0000B67B0000}"/>
    <cellStyle name="SectionHeading 2 2" xfId="12205" xr:uid="{00000000-0005-0000-0000-0000B77B0000}"/>
    <cellStyle name="SectionHeading 2 2 2" xfId="16202" xr:uid="{00000000-0005-0000-0000-0000B87B0000}"/>
    <cellStyle name="SectionHeading 2 2 2 2" xfId="28059" xr:uid="{00000000-0005-0000-0000-0000B97B0000}"/>
    <cellStyle name="SectionHeading 2 2 3" xfId="20231" xr:uid="{00000000-0005-0000-0000-0000BA7B0000}"/>
    <cellStyle name="SectionHeading 2 2 3 2" xfId="31917" xr:uid="{00000000-0005-0000-0000-0000BB7B0000}"/>
    <cellStyle name="SectionHeading 2 2 4" xfId="24271" xr:uid="{00000000-0005-0000-0000-0000BC7B0000}"/>
    <cellStyle name="SectionHeading 2 3" xfId="16201" xr:uid="{00000000-0005-0000-0000-0000BD7B0000}"/>
    <cellStyle name="SectionHeading 2 3 2" xfId="28058" xr:uid="{00000000-0005-0000-0000-0000BE7B0000}"/>
    <cellStyle name="SectionHeading 2 4" xfId="20230" xr:uid="{00000000-0005-0000-0000-0000BF7B0000}"/>
    <cellStyle name="SectionHeading 2 4 2" xfId="31916" xr:uid="{00000000-0005-0000-0000-0000C07B0000}"/>
    <cellStyle name="SectionHeading 2 5" xfId="24270" xr:uid="{00000000-0005-0000-0000-0000C17B0000}"/>
    <cellStyle name="SectionHeading 3" xfId="12206" xr:uid="{00000000-0005-0000-0000-0000C27B0000}"/>
    <cellStyle name="SectionHeading 3 2" xfId="12207" xr:uid="{00000000-0005-0000-0000-0000C37B0000}"/>
    <cellStyle name="SectionHeading 3 2 2" xfId="16204" xr:uid="{00000000-0005-0000-0000-0000C47B0000}"/>
    <cellStyle name="SectionHeading 3 2 2 2" xfId="28061" xr:uid="{00000000-0005-0000-0000-0000C57B0000}"/>
    <cellStyle name="SectionHeading 3 2 3" xfId="20233" xr:uid="{00000000-0005-0000-0000-0000C67B0000}"/>
    <cellStyle name="SectionHeading 3 2 3 2" xfId="31919" xr:uid="{00000000-0005-0000-0000-0000C77B0000}"/>
    <cellStyle name="SectionHeading 3 2 4" xfId="24273" xr:uid="{00000000-0005-0000-0000-0000C87B0000}"/>
    <cellStyle name="SectionHeading 3 3" xfId="16203" xr:uid="{00000000-0005-0000-0000-0000C97B0000}"/>
    <cellStyle name="SectionHeading 3 3 2" xfId="28060" xr:uid="{00000000-0005-0000-0000-0000CA7B0000}"/>
    <cellStyle name="SectionHeading 3 4" xfId="20232" xr:uid="{00000000-0005-0000-0000-0000CB7B0000}"/>
    <cellStyle name="SectionHeading 3 4 2" xfId="31918" xr:uid="{00000000-0005-0000-0000-0000CC7B0000}"/>
    <cellStyle name="SectionHeading 3 5" xfId="24272" xr:uid="{00000000-0005-0000-0000-0000CD7B0000}"/>
    <cellStyle name="SectionHeading 4" xfId="12208" xr:uid="{00000000-0005-0000-0000-0000CE7B0000}"/>
    <cellStyle name="SectionHeading 4 2" xfId="16205" xr:uid="{00000000-0005-0000-0000-0000CF7B0000}"/>
    <cellStyle name="SectionHeading 4 2 2" xfId="28062" xr:uid="{00000000-0005-0000-0000-0000D07B0000}"/>
    <cellStyle name="SectionHeading 4 3" xfId="20234" xr:uid="{00000000-0005-0000-0000-0000D17B0000}"/>
    <cellStyle name="SectionHeading 4 3 2" xfId="31920" xr:uid="{00000000-0005-0000-0000-0000D27B0000}"/>
    <cellStyle name="SectionHeading 4 4" xfId="24274" xr:uid="{00000000-0005-0000-0000-0000D37B0000}"/>
    <cellStyle name="SectionHeading 5" xfId="16200" xr:uid="{00000000-0005-0000-0000-0000D47B0000}"/>
    <cellStyle name="SectionHeading 5 2" xfId="28057" xr:uid="{00000000-0005-0000-0000-0000D57B0000}"/>
    <cellStyle name="SectionHeading 6" xfId="20229" xr:uid="{00000000-0005-0000-0000-0000D67B0000}"/>
    <cellStyle name="SectionHeading 6 2" xfId="31915" xr:uid="{00000000-0005-0000-0000-0000D77B0000}"/>
    <cellStyle name="SectionHeading 7" xfId="24269" xr:uid="{00000000-0005-0000-0000-0000D87B0000}"/>
    <cellStyle name="SGD 2" xfId="12209" xr:uid="{00000000-0005-0000-0000-0000D97B0000}"/>
    <cellStyle name="SGD 2 2" xfId="20372" xr:uid="{00000000-0005-0000-0000-0000DA7B0000}"/>
    <cellStyle name="Shaded" xfId="12210" xr:uid="{00000000-0005-0000-0000-0000DB7B0000}"/>
    <cellStyle name="SHADEDSTORES" xfId="12211" xr:uid="{00000000-0005-0000-0000-0000DC7B0000}"/>
    <cellStyle name="SHADEDSTORES 2" xfId="12212" xr:uid="{00000000-0005-0000-0000-0000DD7B0000}"/>
    <cellStyle name="SHADEDSTORES 2 2" xfId="12213" xr:uid="{00000000-0005-0000-0000-0000DE7B0000}"/>
    <cellStyle name="SHADEDSTORES 2 2 2" xfId="16207" xr:uid="{00000000-0005-0000-0000-0000DF7B0000}"/>
    <cellStyle name="SHADEDSTORES 2 2 2 2" xfId="28064" xr:uid="{00000000-0005-0000-0000-0000E07B0000}"/>
    <cellStyle name="SHADEDSTORES 2 2 3" xfId="20236" xr:uid="{00000000-0005-0000-0000-0000E17B0000}"/>
    <cellStyle name="SHADEDSTORES 2 2 3 2" xfId="31922" xr:uid="{00000000-0005-0000-0000-0000E27B0000}"/>
    <cellStyle name="SHADEDSTORES 2 2 4" xfId="24276" xr:uid="{00000000-0005-0000-0000-0000E37B0000}"/>
    <cellStyle name="SHADEDSTORES 2 3" xfId="16206" xr:uid="{00000000-0005-0000-0000-0000E47B0000}"/>
    <cellStyle name="SHADEDSTORES 2 3 2" xfId="28063" xr:uid="{00000000-0005-0000-0000-0000E57B0000}"/>
    <cellStyle name="SHADEDSTORES 2 4" xfId="20235" xr:uid="{00000000-0005-0000-0000-0000E67B0000}"/>
    <cellStyle name="SHADEDSTORES 2 4 2" xfId="31921" xr:uid="{00000000-0005-0000-0000-0000E77B0000}"/>
    <cellStyle name="SHADEDSTORES 2 5" xfId="24275" xr:uid="{00000000-0005-0000-0000-0000E87B0000}"/>
    <cellStyle name="SHADEDSTORES 3" xfId="12214" xr:uid="{00000000-0005-0000-0000-0000E97B0000}"/>
    <cellStyle name="SHADEDSTORES 3 2" xfId="12215" xr:uid="{00000000-0005-0000-0000-0000EA7B0000}"/>
    <cellStyle name="SHADEDSTORES 3 2 2" xfId="16209" xr:uid="{00000000-0005-0000-0000-0000EB7B0000}"/>
    <cellStyle name="SHADEDSTORES 3 2 2 2" xfId="28066" xr:uid="{00000000-0005-0000-0000-0000EC7B0000}"/>
    <cellStyle name="SHADEDSTORES 3 2 3" xfId="20238" xr:uid="{00000000-0005-0000-0000-0000ED7B0000}"/>
    <cellStyle name="SHADEDSTORES 3 2 3 2" xfId="31924" xr:uid="{00000000-0005-0000-0000-0000EE7B0000}"/>
    <cellStyle name="SHADEDSTORES 3 2 4" xfId="24278" xr:uid="{00000000-0005-0000-0000-0000EF7B0000}"/>
    <cellStyle name="SHADEDSTORES 3 3" xfId="16208" xr:uid="{00000000-0005-0000-0000-0000F07B0000}"/>
    <cellStyle name="SHADEDSTORES 3 3 2" xfId="28065" xr:uid="{00000000-0005-0000-0000-0000F17B0000}"/>
    <cellStyle name="SHADEDSTORES 3 4" xfId="20237" xr:uid="{00000000-0005-0000-0000-0000F27B0000}"/>
    <cellStyle name="SHADEDSTORES 3 4 2" xfId="31923" xr:uid="{00000000-0005-0000-0000-0000F37B0000}"/>
    <cellStyle name="SHADEDSTORES 3 5" xfId="24277" xr:uid="{00000000-0005-0000-0000-0000F47B0000}"/>
    <cellStyle name="Shading" xfId="12216" xr:uid="{00000000-0005-0000-0000-0000F57B0000}"/>
    <cellStyle name="Shares" xfId="12217" xr:uid="{00000000-0005-0000-0000-0000F67B0000}"/>
    <cellStyle name="Shares 2" xfId="20373" xr:uid="{00000000-0005-0000-0000-0000F77B0000}"/>
    <cellStyle name="sharesout" xfId="12218" xr:uid="{00000000-0005-0000-0000-0000F87B0000}"/>
    <cellStyle name="sharesout 2" xfId="12219" xr:uid="{00000000-0005-0000-0000-0000F97B0000}"/>
    <cellStyle name="sharesout 2 2" xfId="12220" xr:uid="{00000000-0005-0000-0000-0000FA7B0000}"/>
    <cellStyle name="sharesout 2 2 2" xfId="16212" xr:uid="{00000000-0005-0000-0000-0000FB7B0000}"/>
    <cellStyle name="sharesout 2 2 2 2" xfId="28069" xr:uid="{00000000-0005-0000-0000-0000FC7B0000}"/>
    <cellStyle name="sharesout 2 2 3" xfId="20241" xr:uid="{00000000-0005-0000-0000-0000FD7B0000}"/>
    <cellStyle name="sharesout 2 2 3 2" xfId="31927" xr:uid="{00000000-0005-0000-0000-0000FE7B0000}"/>
    <cellStyle name="sharesout 2 2 4" xfId="24281" xr:uid="{00000000-0005-0000-0000-0000FF7B0000}"/>
    <cellStyle name="sharesout 2 3" xfId="16211" xr:uid="{00000000-0005-0000-0000-0000007C0000}"/>
    <cellStyle name="sharesout 2 3 2" xfId="28068" xr:uid="{00000000-0005-0000-0000-0000017C0000}"/>
    <cellStyle name="sharesout 2 4" xfId="20240" xr:uid="{00000000-0005-0000-0000-0000027C0000}"/>
    <cellStyle name="sharesout 2 4 2" xfId="31926" xr:uid="{00000000-0005-0000-0000-0000037C0000}"/>
    <cellStyle name="sharesout 2 5" xfId="24280" xr:uid="{00000000-0005-0000-0000-0000047C0000}"/>
    <cellStyle name="sharesout 3" xfId="12221" xr:uid="{00000000-0005-0000-0000-0000057C0000}"/>
    <cellStyle name="sharesout 3 2" xfId="12222" xr:uid="{00000000-0005-0000-0000-0000067C0000}"/>
    <cellStyle name="sharesout 3 2 2" xfId="16214" xr:uid="{00000000-0005-0000-0000-0000077C0000}"/>
    <cellStyle name="sharesout 3 2 2 2" xfId="28071" xr:uid="{00000000-0005-0000-0000-0000087C0000}"/>
    <cellStyle name="sharesout 3 2 3" xfId="20243" xr:uid="{00000000-0005-0000-0000-0000097C0000}"/>
    <cellStyle name="sharesout 3 2 3 2" xfId="31929" xr:uid="{00000000-0005-0000-0000-00000A7C0000}"/>
    <cellStyle name="sharesout 3 2 4" xfId="24283" xr:uid="{00000000-0005-0000-0000-00000B7C0000}"/>
    <cellStyle name="sharesout 3 3" xfId="16213" xr:uid="{00000000-0005-0000-0000-00000C7C0000}"/>
    <cellStyle name="sharesout 3 3 2" xfId="28070" xr:uid="{00000000-0005-0000-0000-00000D7C0000}"/>
    <cellStyle name="sharesout 3 4" xfId="20242" xr:uid="{00000000-0005-0000-0000-00000E7C0000}"/>
    <cellStyle name="sharesout 3 4 2" xfId="31928" xr:uid="{00000000-0005-0000-0000-00000F7C0000}"/>
    <cellStyle name="sharesout 3 5" xfId="24282" xr:uid="{00000000-0005-0000-0000-0000107C0000}"/>
    <cellStyle name="sharesout 4" xfId="12223" xr:uid="{00000000-0005-0000-0000-0000117C0000}"/>
    <cellStyle name="sharesout 4 2" xfId="16215" xr:uid="{00000000-0005-0000-0000-0000127C0000}"/>
    <cellStyle name="sharesout 4 2 2" xfId="28072" xr:uid="{00000000-0005-0000-0000-0000137C0000}"/>
    <cellStyle name="sharesout 4 3" xfId="20244" xr:uid="{00000000-0005-0000-0000-0000147C0000}"/>
    <cellStyle name="sharesout 4 3 2" xfId="31930" xr:uid="{00000000-0005-0000-0000-0000157C0000}"/>
    <cellStyle name="sharesout 4 4" xfId="24284" xr:uid="{00000000-0005-0000-0000-0000167C0000}"/>
    <cellStyle name="sharesout 5" xfId="16210" xr:uid="{00000000-0005-0000-0000-0000177C0000}"/>
    <cellStyle name="sharesout 5 2" xfId="28067" xr:uid="{00000000-0005-0000-0000-0000187C0000}"/>
    <cellStyle name="sharesout 6" xfId="20239" xr:uid="{00000000-0005-0000-0000-0000197C0000}"/>
    <cellStyle name="sharesout 6 2" xfId="31925" xr:uid="{00000000-0005-0000-0000-00001A7C0000}"/>
    <cellStyle name="sharesout 7" xfId="24279" xr:uid="{00000000-0005-0000-0000-00001B7C0000}"/>
    <cellStyle name="Sheetmult" xfId="12224" xr:uid="{00000000-0005-0000-0000-00001C7C0000}"/>
    <cellStyle name="ShOut" xfId="12225" xr:uid="{00000000-0005-0000-0000-00001D7C0000}"/>
    <cellStyle name="Shtmultx" xfId="12226" xr:uid="{00000000-0005-0000-0000-00001E7C0000}"/>
    <cellStyle name="Single Accounting" xfId="12227" xr:uid="{00000000-0005-0000-0000-00001F7C0000}"/>
    <cellStyle name="Single Border" xfId="12228" xr:uid="{00000000-0005-0000-0000-0000207C0000}"/>
    <cellStyle name="Single Border 2" xfId="12229" xr:uid="{00000000-0005-0000-0000-0000217C0000}"/>
    <cellStyle name="Single Border 2 2" xfId="20300" xr:uid="{00000000-0005-0000-0000-0000227C0000}"/>
    <cellStyle name="Single Border 3" xfId="12230" xr:uid="{00000000-0005-0000-0000-0000237C0000}"/>
    <cellStyle name="Single Border 3 2" xfId="20301" xr:uid="{00000000-0005-0000-0000-0000247C0000}"/>
    <cellStyle name="Single Border 4" xfId="20302" xr:uid="{00000000-0005-0000-0000-0000257C0000}"/>
    <cellStyle name="Size10Pt" xfId="12231" xr:uid="{00000000-0005-0000-0000-0000267C0000}"/>
    <cellStyle name="Size10Pt 2" xfId="20374" xr:uid="{00000000-0005-0000-0000-0000277C0000}"/>
    <cellStyle name="Size12Pt" xfId="12232" xr:uid="{00000000-0005-0000-0000-0000287C0000}"/>
    <cellStyle name="Size12Pt 2" xfId="20375" xr:uid="{00000000-0005-0000-0000-0000297C0000}"/>
    <cellStyle name="Small Page Heading" xfId="12233" xr:uid="{00000000-0005-0000-0000-00002A7C0000}"/>
    <cellStyle name="specstores" xfId="12234" xr:uid="{00000000-0005-0000-0000-00002B7C0000}"/>
    <cellStyle name="Standaard_laroux" xfId="12235" xr:uid="{00000000-0005-0000-0000-00002C7C0000}"/>
    <cellStyle name="STANDARD" xfId="12236" xr:uid="{00000000-0005-0000-0000-00002D7C0000}"/>
    <cellStyle name="Std Currency" xfId="12237" xr:uid="{00000000-0005-0000-0000-00002E7C0000}"/>
    <cellStyle name="Std Input" xfId="12238" xr:uid="{00000000-0005-0000-0000-00002F7C0000}"/>
    <cellStyle name="Std Number" xfId="12239" xr:uid="{00000000-0005-0000-0000-0000307C0000}"/>
    <cellStyle name="Std Percent" xfId="12240" xr:uid="{00000000-0005-0000-0000-0000317C0000}"/>
    <cellStyle name="Std Text" xfId="12241" xr:uid="{00000000-0005-0000-0000-0000327C0000}"/>
    <cellStyle name="Strange" xfId="12242" xr:uid="{00000000-0005-0000-0000-0000337C0000}"/>
    <cellStyle name="Strange 2" xfId="20376" xr:uid="{00000000-0005-0000-0000-0000347C0000}"/>
    <cellStyle name="Strikethru" xfId="12243" xr:uid="{00000000-0005-0000-0000-0000357C0000}"/>
    <cellStyle name="STYL1 - Style1" xfId="12244" xr:uid="{00000000-0005-0000-0000-0000367C0000}"/>
    <cellStyle name="STYL1 - Style1 2" xfId="12245" xr:uid="{00000000-0005-0000-0000-0000377C0000}"/>
    <cellStyle name="Style 1" xfId="12246" xr:uid="{00000000-0005-0000-0000-0000387C0000}"/>
    <cellStyle name="Style 2" xfId="12247" xr:uid="{00000000-0005-0000-0000-0000397C0000}"/>
    <cellStyle name="Style 21" xfId="12248" xr:uid="{00000000-0005-0000-0000-00003A7C0000}"/>
    <cellStyle name="Style 22" xfId="12249" xr:uid="{00000000-0005-0000-0000-00003B7C0000}"/>
    <cellStyle name="Style 23" xfId="12250" xr:uid="{00000000-0005-0000-0000-00003C7C0000}"/>
    <cellStyle name="Style 24" xfId="12251" xr:uid="{00000000-0005-0000-0000-00003D7C0000}"/>
    <cellStyle name="Style 25" xfId="12252" xr:uid="{00000000-0005-0000-0000-00003E7C0000}"/>
    <cellStyle name="Style 26" xfId="12253" xr:uid="{00000000-0005-0000-0000-00003F7C0000}"/>
    <cellStyle name="Style 27" xfId="12254" xr:uid="{00000000-0005-0000-0000-0000407C0000}"/>
    <cellStyle name="Style 28" xfId="12255" xr:uid="{00000000-0005-0000-0000-0000417C0000}"/>
    <cellStyle name="Style 29" xfId="12256" xr:uid="{00000000-0005-0000-0000-0000427C0000}"/>
    <cellStyle name="Style 3" xfId="12257" xr:uid="{00000000-0005-0000-0000-0000437C0000}"/>
    <cellStyle name="Style 30" xfId="12258" xr:uid="{00000000-0005-0000-0000-0000447C0000}"/>
    <cellStyle name="Style 31" xfId="12259" xr:uid="{00000000-0005-0000-0000-0000457C0000}"/>
    <cellStyle name="Style 32" xfId="12260" xr:uid="{00000000-0005-0000-0000-0000467C0000}"/>
    <cellStyle name="Style 33" xfId="12261" xr:uid="{00000000-0005-0000-0000-0000477C0000}"/>
    <cellStyle name="Style 33 2" xfId="20377" xr:uid="{00000000-0005-0000-0000-0000487C0000}"/>
    <cellStyle name="Style 34" xfId="12262" xr:uid="{00000000-0005-0000-0000-0000497C0000}"/>
    <cellStyle name="Style 34 2" xfId="20378" xr:uid="{00000000-0005-0000-0000-00004A7C0000}"/>
    <cellStyle name="Style 35" xfId="12263" xr:uid="{00000000-0005-0000-0000-00004B7C0000}"/>
    <cellStyle name="Style 36" xfId="12264" xr:uid="{00000000-0005-0000-0000-00004C7C0000}"/>
    <cellStyle name="Style 37" xfId="12265" xr:uid="{00000000-0005-0000-0000-00004D7C0000}"/>
    <cellStyle name="Style 38" xfId="12266" xr:uid="{00000000-0005-0000-0000-00004E7C0000}"/>
    <cellStyle name="Style 39" xfId="12267" xr:uid="{00000000-0005-0000-0000-00004F7C0000}"/>
    <cellStyle name="Style 4" xfId="12268" xr:uid="{00000000-0005-0000-0000-0000507C0000}"/>
    <cellStyle name="Style 40" xfId="12269" xr:uid="{00000000-0005-0000-0000-0000517C0000}"/>
    <cellStyle name="Style 41" xfId="12270" xr:uid="{00000000-0005-0000-0000-0000527C0000}"/>
    <cellStyle name="Style 42" xfId="12271" xr:uid="{00000000-0005-0000-0000-0000537C0000}"/>
    <cellStyle name="Style 43" xfId="12272" xr:uid="{00000000-0005-0000-0000-0000547C0000}"/>
    <cellStyle name="Style 44" xfId="12273" xr:uid="{00000000-0005-0000-0000-0000557C0000}"/>
    <cellStyle name="Style 44 2" xfId="12274" xr:uid="{00000000-0005-0000-0000-0000567C0000}"/>
    <cellStyle name="Style 45" xfId="12275" xr:uid="{00000000-0005-0000-0000-0000577C0000}"/>
    <cellStyle name="Style 45 2" xfId="12276" xr:uid="{00000000-0005-0000-0000-0000587C0000}"/>
    <cellStyle name="Style 46" xfId="12277" xr:uid="{00000000-0005-0000-0000-0000597C0000}"/>
    <cellStyle name="Style 46 2" xfId="12278" xr:uid="{00000000-0005-0000-0000-00005A7C0000}"/>
    <cellStyle name="Style 47" xfId="12279" xr:uid="{00000000-0005-0000-0000-00005B7C0000}"/>
    <cellStyle name="Style 47 2" xfId="12280" xr:uid="{00000000-0005-0000-0000-00005C7C0000}"/>
    <cellStyle name="Style 48" xfId="12281" xr:uid="{00000000-0005-0000-0000-00005D7C0000}"/>
    <cellStyle name="Style 48 2" xfId="12282" xr:uid="{00000000-0005-0000-0000-00005E7C0000}"/>
    <cellStyle name="Style 49" xfId="12283" xr:uid="{00000000-0005-0000-0000-00005F7C0000}"/>
    <cellStyle name="Style 49 2" xfId="12284" xr:uid="{00000000-0005-0000-0000-0000607C0000}"/>
    <cellStyle name="Style 5" xfId="12285" xr:uid="{00000000-0005-0000-0000-0000617C0000}"/>
    <cellStyle name="Style 50" xfId="12286" xr:uid="{00000000-0005-0000-0000-0000627C0000}"/>
    <cellStyle name="Style 50 2" xfId="12287" xr:uid="{00000000-0005-0000-0000-0000637C0000}"/>
    <cellStyle name="Style 51" xfId="12288" xr:uid="{00000000-0005-0000-0000-0000647C0000}"/>
    <cellStyle name="Style 51 2" xfId="12289" xr:uid="{00000000-0005-0000-0000-0000657C0000}"/>
    <cellStyle name="Style 51 3" xfId="12290" xr:uid="{00000000-0005-0000-0000-0000667C0000}"/>
    <cellStyle name="Style 52" xfId="12291" xr:uid="{00000000-0005-0000-0000-0000677C0000}"/>
    <cellStyle name="Style 53" xfId="12292" xr:uid="{00000000-0005-0000-0000-0000687C0000}"/>
    <cellStyle name="Style 54" xfId="12293" xr:uid="{00000000-0005-0000-0000-0000697C0000}"/>
    <cellStyle name="Style 55" xfId="12294" xr:uid="{00000000-0005-0000-0000-00006A7C0000}"/>
    <cellStyle name="Style 56" xfId="12295" xr:uid="{00000000-0005-0000-0000-00006B7C0000}"/>
    <cellStyle name="Style 57" xfId="12296" xr:uid="{00000000-0005-0000-0000-00006C7C0000}"/>
    <cellStyle name="Style 58" xfId="12297" xr:uid="{00000000-0005-0000-0000-00006D7C0000}"/>
    <cellStyle name="Style 59" xfId="12298" xr:uid="{00000000-0005-0000-0000-00006E7C0000}"/>
    <cellStyle name="Style 6" xfId="12299" xr:uid="{00000000-0005-0000-0000-00006F7C0000}"/>
    <cellStyle name="Style 60" xfId="12300" xr:uid="{00000000-0005-0000-0000-0000707C0000}"/>
    <cellStyle name="Style 61" xfId="12301" xr:uid="{00000000-0005-0000-0000-0000717C0000}"/>
    <cellStyle name="Style 62" xfId="12302" xr:uid="{00000000-0005-0000-0000-0000727C0000}"/>
    <cellStyle name="Style 63" xfId="12303" xr:uid="{00000000-0005-0000-0000-0000737C0000}"/>
    <cellStyle name="Style 64" xfId="12304" xr:uid="{00000000-0005-0000-0000-0000747C0000}"/>
    <cellStyle name="Style 65" xfId="12305" xr:uid="{00000000-0005-0000-0000-0000757C0000}"/>
    <cellStyle name="Style 66" xfId="12306" xr:uid="{00000000-0005-0000-0000-0000767C0000}"/>
    <cellStyle name="Style 67" xfId="12307" xr:uid="{00000000-0005-0000-0000-0000777C0000}"/>
    <cellStyle name="Style 68" xfId="12308" xr:uid="{00000000-0005-0000-0000-0000787C0000}"/>
    <cellStyle name="Style 69" xfId="12309" xr:uid="{00000000-0005-0000-0000-0000797C0000}"/>
    <cellStyle name="Style 7" xfId="12310" xr:uid="{00000000-0005-0000-0000-00007A7C0000}"/>
    <cellStyle name="Style 70" xfId="12311" xr:uid="{00000000-0005-0000-0000-00007B7C0000}"/>
    <cellStyle name="Style 71" xfId="12312" xr:uid="{00000000-0005-0000-0000-00007C7C0000}"/>
    <cellStyle name="Style 72" xfId="12313" xr:uid="{00000000-0005-0000-0000-00007D7C0000}"/>
    <cellStyle name="Style 73" xfId="12314" xr:uid="{00000000-0005-0000-0000-00007E7C0000}"/>
    <cellStyle name="Style 74" xfId="12315" xr:uid="{00000000-0005-0000-0000-00007F7C0000}"/>
    <cellStyle name="Style 75" xfId="12316" xr:uid="{00000000-0005-0000-0000-0000807C0000}"/>
    <cellStyle name="Style 76" xfId="12317" xr:uid="{00000000-0005-0000-0000-0000817C0000}"/>
    <cellStyle name="Style 77" xfId="12318" xr:uid="{00000000-0005-0000-0000-0000827C0000}"/>
    <cellStyle name="Style 77 2" xfId="12319" xr:uid="{00000000-0005-0000-0000-0000837C0000}"/>
    <cellStyle name="Style 78" xfId="12320" xr:uid="{00000000-0005-0000-0000-0000847C0000}"/>
    <cellStyle name="Style 79" xfId="12321" xr:uid="{00000000-0005-0000-0000-0000857C0000}"/>
    <cellStyle name="Style 8" xfId="12322" xr:uid="{00000000-0005-0000-0000-0000867C0000}"/>
    <cellStyle name="Style 80" xfId="12323" xr:uid="{00000000-0005-0000-0000-0000877C0000}"/>
    <cellStyle name="Style 85" xfId="12324" xr:uid="{00000000-0005-0000-0000-0000887C0000}"/>
    <cellStyle name="Style 87" xfId="12325" xr:uid="{00000000-0005-0000-0000-0000897C0000}"/>
    <cellStyle name="Style 9" xfId="12326" xr:uid="{00000000-0005-0000-0000-00008A7C0000}"/>
    <cellStyle name="Style 91" xfId="12327" xr:uid="{00000000-0005-0000-0000-00008B7C0000}"/>
    <cellStyle name="Style 93" xfId="12328" xr:uid="{00000000-0005-0000-0000-00008C7C0000}"/>
    <cellStyle name="STYLE1" xfId="12329" xr:uid="{00000000-0005-0000-0000-00008D7C0000}"/>
    <cellStyle name="STYLE1 2" xfId="12330" xr:uid="{00000000-0005-0000-0000-00008E7C0000}"/>
    <cellStyle name="STYLE10" xfId="12331" xr:uid="{00000000-0005-0000-0000-00008F7C0000}"/>
    <cellStyle name="STYLE10 2" xfId="12332" xr:uid="{00000000-0005-0000-0000-0000907C0000}"/>
    <cellStyle name="STYLE11" xfId="12333" xr:uid="{00000000-0005-0000-0000-0000917C0000}"/>
    <cellStyle name="STYLE11 2" xfId="12334" xr:uid="{00000000-0005-0000-0000-0000927C0000}"/>
    <cellStyle name="STYLE12" xfId="12335" xr:uid="{00000000-0005-0000-0000-0000937C0000}"/>
    <cellStyle name="STYLE12 2" xfId="12336" xr:uid="{00000000-0005-0000-0000-0000947C0000}"/>
    <cellStyle name="STYLE13" xfId="12337" xr:uid="{00000000-0005-0000-0000-0000957C0000}"/>
    <cellStyle name="STYLE14" xfId="12338" xr:uid="{00000000-0005-0000-0000-0000967C0000}"/>
    <cellStyle name="STYLE15" xfId="12339" xr:uid="{00000000-0005-0000-0000-0000977C0000}"/>
    <cellStyle name="STYLE2" xfId="12340" xr:uid="{00000000-0005-0000-0000-0000987C0000}"/>
    <cellStyle name="STYLE2 2" xfId="12341" xr:uid="{00000000-0005-0000-0000-0000997C0000}"/>
    <cellStyle name="STYLE2 3" xfId="12342" xr:uid="{00000000-0005-0000-0000-00009A7C0000}"/>
    <cellStyle name="STYLE3" xfId="12343" xr:uid="{00000000-0005-0000-0000-00009B7C0000}"/>
    <cellStyle name="STYLE3 2" xfId="12344" xr:uid="{00000000-0005-0000-0000-00009C7C0000}"/>
    <cellStyle name="STYLE3 3" xfId="12345" xr:uid="{00000000-0005-0000-0000-00009D7C0000}"/>
    <cellStyle name="STYLE4" xfId="12346" xr:uid="{00000000-0005-0000-0000-00009E7C0000}"/>
    <cellStyle name="STYLE4 2" xfId="12347" xr:uid="{00000000-0005-0000-0000-00009F7C0000}"/>
    <cellStyle name="STYLE4 2 2" xfId="12348" xr:uid="{00000000-0005-0000-0000-0000A07C0000}"/>
    <cellStyle name="STYLE4 2 2 2" xfId="12349" xr:uid="{00000000-0005-0000-0000-0000A17C0000}"/>
    <cellStyle name="STYLE4 2 3" xfId="12350" xr:uid="{00000000-0005-0000-0000-0000A27C0000}"/>
    <cellStyle name="STYLE4 3" xfId="12351" xr:uid="{00000000-0005-0000-0000-0000A37C0000}"/>
    <cellStyle name="STYLE4 4" xfId="12352" xr:uid="{00000000-0005-0000-0000-0000A47C0000}"/>
    <cellStyle name="STYLE4_3VR Common Stock Valuation Analysis Version 2" xfId="12353" xr:uid="{00000000-0005-0000-0000-0000A57C0000}"/>
    <cellStyle name="STYLE5" xfId="12354" xr:uid="{00000000-0005-0000-0000-0000A67C0000}"/>
    <cellStyle name="STYLE5 2" xfId="12355" xr:uid="{00000000-0005-0000-0000-0000A77C0000}"/>
    <cellStyle name="STYLE5_BS Jan 05 with Plan 0222" xfId="12356" xr:uid="{00000000-0005-0000-0000-0000A87C0000}"/>
    <cellStyle name="STYLE6" xfId="12357" xr:uid="{00000000-0005-0000-0000-0000A97C0000}"/>
    <cellStyle name="STYLE6 2" xfId="12358" xr:uid="{00000000-0005-0000-0000-0000AA7C0000}"/>
    <cellStyle name="STYLE6_BS" xfId="12359" xr:uid="{00000000-0005-0000-0000-0000AB7C0000}"/>
    <cellStyle name="STYLE7" xfId="12360" xr:uid="{00000000-0005-0000-0000-0000AC7C0000}"/>
    <cellStyle name="STYLE7 2" xfId="12361" xr:uid="{00000000-0005-0000-0000-0000AD7C0000}"/>
    <cellStyle name="STYLE7 3" xfId="12362" xr:uid="{00000000-0005-0000-0000-0000AE7C0000}"/>
    <cellStyle name="STYLE7_BS Jan 05 with Plan 0222" xfId="12363" xr:uid="{00000000-0005-0000-0000-0000AF7C0000}"/>
    <cellStyle name="STYLE8" xfId="12364" xr:uid="{00000000-0005-0000-0000-0000B07C0000}"/>
    <cellStyle name="STYLE8 2" xfId="12365" xr:uid="{00000000-0005-0000-0000-0000B17C0000}"/>
    <cellStyle name="STYLE8 3" xfId="12366" xr:uid="{00000000-0005-0000-0000-0000B27C0000}"/>
    <cellStyle name="STYLE8_BS Jan 05 with Plan 0222" xfId="12367" xr:uid="{00000000-0005-0000-0000-0000B37C0000}"/>
    <cellStyle name="STYLE9" xfId="12368" xr:uid="{00000000-0005-0000-0000-0000B47C0000}"/>
    <cellStyle name="STYLE9 2" xfId="12369" xr:uid="{00000000-0005-0000-0000-0000B57C0000}"/>
    <cellStyle name="STYLE9 3" xfId="12370" xr:uid="{00000000-0005-0000-0000-0000B67C0000}"/>
    <cellStyle name="STYLE9_Exec " xfId="12371" xr:uid="{00000000-0005-0000-0000-0000B77C0000}"/>
    <cellStyle name="subhead" xfId="12372" xr:uid="{00000000-0005-0000-0000-0000B87C0000}"/>
    <cellStyle name="Sub-Heading" xfId="12373" xr:uid="{00000000-0005-0000-0000-0000B97C0000}"/>
    <cellStyle name="Subscribers" xfId="12374" xr:uid="{00000000-0005-0000-0000-0000BA7C0000}"/>
    <cellStyle name="SubScript" xfId="12375" xr:uid="{00000000-0005-0000-0000-0000BB7C0000}"/>
    <cellStyle name="subt1" xfId="12376" xr:uid="{00000000-0005-0000-0000-0000BC7C0000}"/>
    <cellStyle name="Subtitle" xfId="12377" xr:uid="{00000000-0005-0000-0000-0000BD7C0000}"/>
    <cellStyle name="Subtotal" xfId="12378" xr:uid="{00000000-0005-0000-0000-0000BE7C0000}"/>
    <cellStyle name="Summary" xfId="12379" xr:uid="{00000000-0005-0000-0000-0000BF7C0000}"/>
    <cellStyle name="SuperScript" xfId="12380" xr:uid="{00000000-0005-0000-0000-0000C07C0000}"/>
    <cellStyle name="Table" xfId="12381" xr:uid="{00000000-0005-0000-0000-0000C17C0000}"/>
    <cellStyle name="Table Bottom" xfId="12382" xr:uid="{00000000-0005-0000-0000-0000C27C0000}"/>
    <cellStyle name="Table Col Head" xfId="12383" xr:uid="{00000000-0005-0000-0000-0000C37C0000}"/>
    <cellStyle name="Table Head" xfId="12384" xr:uid="{00000000-0005-0000-0000-0000C47C0000}"/>
    <cellStyle name="Table Head Aligned" xfId="12385" xr:uid="{00000000-0005-0000-0000-0000C57C0000}"/>
    <cellStyle name="Table Head Aligned 2" xfId="12386" xr:uid="{00000000-0005-0000-0000-0000C67C0000}"/>
    <cellStyle name="Table Head Aligned 3" xfId="12387" xr:uid="{00000000-0005-0000-0000-0000C77C0000}"/>
    <cellStyle name="Table Head Blue" xfId="12388" xr:uid="{00000000-0005-0000-0000-0000C87C0000}"/>
    <cellStyle name="Table Head Green" xfId="12389" xr:uid="{00000000-0005-0000-0000-0000C97C0000}"/>
    <cellStyle name="Table Head Green 2" xfId="12390" xr:uid="{00000000-0005-0000-0000-0000CA7C0000}"/>
    <cellStyle name="Table Head Green 3" xfId="12391" xr:uid="{00000000-0005-0000-0000-0000CB7C0000}"/>
    <cellStyle name="Table Head_Cash Flow" xfId="12392" xr:uid="{00000000-0005-0000-0000-0000CC7C0000}"/>
    <cellStyle name="Table Sub Head" xfId="12393" xr:uid="{00000000-0005-0000-0000-0000CD7C0000}"/>
    <cellStyle name="Table Sub Heading" xfId="12394" xr:uid="{00000000-0005-0000-0000-0000CE7C0000}"/>
    <cellStyle name="Table Text" xfId="12395" xr:uid="{00000000-0005-0000-0000-0000CF7C0000}"/>
    <cellStyle name="Table Title" xfId="12396" xr:uid="{00000000-0005-0000-0000-0000D07C0000}"/>
    <cellStyle name="Table Top" xfId="12397" xr:uid="{00000000-0005-0000-0000-0000D17C0000}"/>
    <cellStyle name="Table Unites" xfId="12398" xr:uid="{00000000-0005-0000-0000-0000D27C0000}"/>
    <cellStyle name="Table Units" xfId="12399" xr:uid="{00000000-0005-0000-0000-0000D37C0000}"/>
    <cellStyle name="Table_Eric CapIQ unlinked v1" xfId="12400" xr:uid="{00000000-0005-0000-0000-0000D47C0000}"/>
    <cellStyle name="TableBase" xfId="12401" xr:uid="{00000000-0005-0000-0000-0000D57C0000}"/>
    <cellStyle name="TableColumnHeading" xfId="12402" xr:uid="{00000000-0005-0000-0000-0000D67C0000}"/>
    <cellStyle name="TableHead" xfId="12403" xr:uid="{00000000-0005-0000-0000-0000D77C0000}"/>
    <cellStyle name="TableSubTitleItalic" xfId="12404" xr:uid="{00000000-0005-0000-0000-0000D87C0000}"/>
    <cellStyle name="TableText" xfId="12405" xr:uid="{00000000-0005-0000-0000-0000D97C0000}"/>
    <cellStyle name="TableTitle" xfId="12406" xr:uid="{00000000-0005-0000-0000-0000DA7C0000}"/>
    <cellStyle name="TABLETXT" xfId="12407" xr:uid="{00000000-0005-0000-0000-0000DB7C0000}"/>
    <cellStyle name="test" xfId="12408" xr:uid="{00000000-0005-0000-0000-0000DC7C0000}"/>
    <cellStyle name="Test [green]" xfId="12409" xr:uid="{00000000-0005-0000-0000-0000DD7C0000}"/>
    <cellStyle name="Text" xfId="12410" xr:uid="{00000000-0005-0000-0000-0000DE7C0000}"/>
    <cellStyle name="Text 1" xfId="12411" xr:uid="{00000000-0005-0000-0000-0000DF7C0000}"/>
    <cellStyle name="Text Head 1" xfId="12412" xr:uid="{00000000-0005-0000-0000-0000E07C0000}"/>
    <cellStyle name="Text Indent A" xfId="12413" xr:uid="{00000000-0005-0000-0000-0000E17C0000}"/>
    <cellStyle name="Text Indent B" xfId="12414" xr:uid="{00000000-0005-0000-0000-0000E27C0000}"/>
    <cellStyle name="Text Indent C" xfId="12415" xr:uid="{00000000-0005-0000-0000-0000E37C0000}"/>
    <cellStyle name="Text Wrap" xfId="12416" xr:uid="{00000000-0005-0000-0000-0000E47C0000}"/>
    <cellStyle name="TextBold" xfId="12417" xr:uid="{00000000-0005-0000-0000-0000E57C0000}"/>
    <cellStyle name="TextDys0" xfId="12418" xr:uid="{00000000-0005-0000-0000-0000E67C0000}"/>
    <cellStyle name="TextNormal" xfId="20303" xr:uid="{00000000-0005-0000-0000-0000E77C0000}"/>
    <cellStyle name="Title 2" xfId="20304" xr:uid="{00000000-0005-0000-0000-0000E87C0000}"/>
    <cellStyle name="Total 2" xfId="12419" xr:uid="{00000000-0005-0000-0000-0000E97C0000}"/>
    <cellStyle name="Warning Text 2" xfId="12420" xr:uid="{00000000-0005-0000-0000-0000EA7C0000}"/>
  </cellStyles>
  <dxfs count="430">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ill>
        <patternFill>
          <bgColor theme="3" tint="0.7999816888943144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color theme="0"/>
      </font>
    </dxf>
    <dxf>
      <font>
        <b/>
        <i val="0"/>
      </font>
    </dxf>
    <dxf>
      <font>
        <color theme="0"/>
      </font>
    </dxf>
    <dxf>
      <font>
        <b/>
        <i val="0"/>
      </font>
    </dxf>
    <dxf>
      <font>
        <color theme="0"/>
      </font>
    </dxf>
    <dxf>
      <font>
        <b/>
        <i val="0"/>
      </font>
    </dxf>
    <dxf>
      <font>
        <color theme="0"/>
      </font>
    </dxf>
    <dxf>
      <font>
        <b/>
        <i val="0"/>
      </font>
    </dxf>
    <dxf>
      <font>
        <b/>
        <i val="0"/>
      </font>
    </dxf>
    <dxf>
      <font>
        <color theme="0"/>
      </font>
    </dxf>
    <dxf>
      <font>
        <b/>
        <i val="0"/>
      </font>
    </dxf>
    <dxf>
      <font>
        <b/>
        <i val="0"/>
      </font>
    </dxf>
    <dxf>
      <font>
        <color theme="0"/>
      </font>
    </dxf>
    <dxf>
      <font>
        <b/>
        <i val="0"/>
      </font>
    </dxf>
    <dxf>
      <font>
        <b/>
        <i val="0"/>
      </font>
    </dxf>
    <dxf>
      <font>
        <b/>
        <i val="0"/>
      </font>
    </dxf>
    <dxf>
      <font>
        <color theme="0"/>
      </font>
    </dxf>
    <dxf>
      <font>
        <b/>
        <i val="0"/>
      </font>
    </dxf>
    <dxf>
      <font>
        <b/>
        <i val="0"/>
      </font>
    </dxf>
    <dxf>
      <font>
        <b/>
        <i val="0"/>
        <condense val="0"/>
        <extend val="0"/>
        <color indexed="13"/>
      </font>
      <fill>
        <patternFill>
          <bgColor indexed="12"/>
        </patternFill>
      </fill>
    </dxf>
    <dxf>
      <font>
        <b/>
        <i val="0"/>
      </font>
    </dxf>
    <dxf>
      <fill>
        <patternFill patternType="solid">
          <bgColor rgb="FFFFFF00"/>
        </patternFill>
      </fill>
    </dxf>
    <dxf>
      <font>
        <b/>
        <i val="0"/>
      </font>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ont>
        <b/>
        <i val="0"/>
      </font>
    </dxf>
    <dxf>
      <font>
        <b/>
        <i val="0"/>
      </font>
    </dxf>
    <dxf>
      <font>
        <b/>
        <i val="0"/>
      </font>
    </dxf>
    <dxf>
      <fill>
        <patternFill patternType="solid">
          <bgColor rgb="FFFFFF00"/>
        </patternFill>
      </fill>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s>
  <tableStyles count="0" defaultTableStyle="TableStyleMedium9" defaultPivotStyle="PivotStyleLight16"/>
  <colors>
    <mruColors>
      <color rgb="FF0000FF"/>
      <color rgb="FF008000"/>
      <color rgb="FF009900"/>
      <color rgb="FF000000"/>
      <color rgb="FF808080"/>
      <color rgb="FFDCE6F1"/>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externalLink" Target="externalLinks/externalLink1.xml"/><Relationship Id="rId112"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07" Type="http://schemas.openxmlformats.org/officeDocument/2006/relationships/externalLink" Target="externalLinks/externalLink1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externalLink" Target="externalLinks/externalLink14.xml"/><Relationship Id="rId110"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2.xml"/><Relationship Id="rId95" Type="http://schemas.openxmlformats.org/officeDocument/2006/relationships/externalLink" Target="externalLinks/externalLink7.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externalLink" Target="externalLinks/externalLink12.xml"/><Relationship Id="rId105" Type="http://schemas.openxmlformats.org/officeDocument/2006/relationships/externalLink" Target="externalLinks/externalLink1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5.xml"/><Relationship Id="rId98" Type="http://schemas.openxmlformats.org/officeDocument/2006/relationships/externalLink" Target="externalLinks/externalLink1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externalLink" Target="externalLinks/externalLink15.xml"/><Relationship Id="rId108"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3.xml"/><Relationship Id="rId96" Type="http://schemas.openxmlformats.org/officeDocument/2006/relationships/externalLink" Target="externalLinks/externalLink8.xml"/><Relationship Id="rId11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externalLink" Target="externalLinks/externalLink18.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6.xml"/><Relationship Id="rId99" Type="http://schemas.openxmlformats.org/officeDocument/2006/relationships/externalLink" Target="externalLinks/externalLink11.xml"/><Relationship Id="rId101" Type="http://schemas.openxmlformats.org/officeDocument/2006/relationships/externalLink" Target="externalLinks/externalLink1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externalLink" Target="externalLinks/externalLink9.xml"/><Relationship Id="rId104" Type="http://schemas.openxmlformats.org/officeDocument/2006/relationships/externalLink" Target="externalLinks/externalLink1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667989848376394E-2"/>
          <c:y val="4.1270586790686251E-2"/>
          <c:w val="0.98433201015162364"/>
          <c:h val="0.91307159521726455"/>
        </c:manualLayout>
      </c:layout>
      <c:ofPieChart>
        <c:ofPieType val="pie"/>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D97-40E8-871E-C189FCF72A4F}"/>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D97-40E8-871E-C189FCF72A4F}"/>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D97-40E8-871E-C189FCF72A4F}"/>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D97-40E8-871E-C189FCF72A4F}"/>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D97-40E8-871E-C189FCF72A4F}"/>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D97-40E8-871E-C189FCF72A4F}"/>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D97-40E8-871E-C189FCF72A4F}"/>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2D97-40E8-871E-C189FCF72A4F}"/>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2D97-40E8-871E-C189FCF72A4F}"/>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2D97-40E8-871E-C189FCF72A4F}"/>
              </c:ext>
            </c:extLst>
          </c:dPt>
          <c:dLbls>
            <c:dLbl>
              <c:idx val="9"/>
              <c:tx>
                <c:rich>
                  <a:bodyPr/>
                  <a:lstStyle/>
                  <a:p>
                    <a:r>
                      <a:rPr lang="en-US" baseline="0"/>
                      <a:t>Common &amp; Equivalent
</a:t>
                    </a:r>
                    <a:fld id="{6F9DBA7A-8412-4DF1-8EED-F629AA63B57A}"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3-2D97-40E8-871E-C189FCF72A4F}"/>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('Cap Table'!$D$7:$K$7,'Cap Table'!$B$14)</c:f>
              <c:strCache>
                <c:ptCount val="4"/>
                <c:pt idx="0">
                  <c:v>Series A</c:v>
                </c:pt>
                <c:pt idx="1">
                  <c:v>Series B</c:v>
                </c:pt>
                <c:pt idx="2">
                  <c:v>Series C</c:v>
                </c:pt>
                <c:pt idx="3">
                  <c:v>Common</c:v>
                </c:pt>
              </c:strCache>
            </c:strRef>
          </c:cat>
          <c:val>
            <c:numRef>
              <c:f>('Cap Table'!$D$17:$K$17,'Cap Table'!$M$14)</c:f>
              <c:numCache>
                <c:formatCode>_(* #,##0.0_);_(* \(#,##0.0\);_(* "-"_);_(@_)</c:formatCode>
                <c:ptCount val="4"/>
                <c:pt idx="0">
                  <c:v>57758.733999999997</c:v>
                </c:pt>
                <c:pt idx="1">
                  <c:v>12500</c:v>
                </c:pt>
                <c:pt idx="2">
                  <c:v>27528.580999999998</c:v>
                </c:pt>
                <c:pt idx="3">
                  <c:v>30213.973000000002</c:v>
                </c:pt>
              </c:numCache>
            </c:numRef>
          </c:val>
          <c:extLst>
            <c:ext xmlns:c16="http://schemas.microsoft.com/office/drawing/2014/chart" uri="{C3380CC4-5D6E-409C-BE32-E72D297353CC}">
              <c16:uniqueId val="{00000014-2D97-40E8-871E-C189FCF72A4F}"/>
            </c:ext>
          </c:extLst>
        </c:ser>
        <c:dLbls>
          <c:showLegendKey val="0"/>
          <c:showVal val="0"/>
          <c:showCatName val="0"/>
          <c:showSerName val="0"/>
          <c:showPercent val="0"/>
          <c:showBubbleSize val="0"/>
          <c:showLeaderLines val="1"/>
        </c:dLbls>
        <c:gapWidth val="24"/>
        <c:splitType val="pos"/>
        <c:splitPos val="2"/>
        <c:secondPieSize val="60"/>
        <c:serLines>
          <c:spPr>
            <a:ln w="9525" cap="flat" cmpd="sng" algn="ctr">
              <a:solidFill>
                <a:schemeClr val="tx1">
                  <a:alpha val="54000"/>
                </a:schemeClr>
              </a:solidFill>
              <a:round/>
            </a:ln>
            <a:effectLst/>
          </c:spPr>
        </c:serLines>
      </c:ofPieChart>
      <c:spPr>
        <a:noFill/>
        <a:ln>
          <a:noFill/>
        </a:ln>
        <a:effectLst/>
      </c:spPr>
    </c:plotArea>
    <c:plotVisOnly val="1"/>
    <c:dispBlanksAs val="gap"/>
    <c:showDLblsOverMax val="0"/>
  </c:chart>
  <c:spPr>
    <a:gradFill flip="none" rotWithShape="1">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gradFill>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2057400</xdr:colOff>
      <xdr:row>23</xdr:row>
      <xdr:rowOff>123825</xdr:rowOff>
    </xdr:from>
    <xdr:to>
      <xdr:col>3</xdr:col>
      <xdr:colOff>4819650</xdr:colOff>
      <xdr:row>25</xdr:row>
      <xdr:rowOff>66675</xdr:rowOff>
    </xdr:to>
    <xdr:pic>
      <xdr:nvPicPr>
        <xdr:cNvPr id="3" name="Picture 6">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38525" y="533400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2343150</xdr:colOff>
      <xdr:row>26</xdr:row>
      <xdr:rowOff>28575</xdr:rowOff>
    </xdr:from>
    <xdr:to>
      <xdr:col>3</xdr:col>
      <xdr:colOff>4324350</xdr:colOff>
      <xdr:row>27</xdr:row>
      <xdr:rowOff>0</xdr:rowOff>
    </xdr:to>
    <xdr:pic>
      <xdr:nvPicPr>
        <xdr:cNvPr id="5" name="Picture 8" descr="A close up of a logo&#10;&#10;Description generated with very high confidence">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24275" y="591502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1845470</xdr:colOff>
      <xdr:row>0</xdr:row>
      <xdr:rowOff>142875</xdr:rowOff>
    </xdr:from>
    <xdr:to>
      <xdr:col>3</xdr:col>
      <xdr:colOff>4628425</xdr:colOff>
      <xdr:row>5</xdr:row>
      <xdr:rowOff>170920</xdr:rowOff>
    </xdr:to>
    <xdr:pic>
      <xdr:nvPicPr>
        <xdr:cNvPr id="6" name="Picture 5">
          <a:extLst>
            <a:ext uri="{FF2B5EF4-FFF2-40B4-BE49-F238E27FC236}">
              <a16:creationId xmlns:a16="http://schemas.microsoft.com/office/drawing/2014/main" id="{9BDB40D3-0812-478D-A041-39BFA083AF4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26595" y="142875"/>
          <a:ext cx="2782955" cy="9210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1771650</xdr:colOff>
      <xdr:row>25</xdr:row>
      <xdr:rowOff>104775</xdr:rowOff>
    </xdr:from>
    <xdr:to>
      <xdr:col>3</xdr:col>
      <xdr:colOff>4533900</xdr:colOff>
      <xdr:row>27</xdr:row>
      <xdr:rowOff>47625</xdr:rowOff>
    </xdr:to>
    <xdr:pic>
      <xdr:nvPicPr>
        <xdr:cNvPr id="2" name="Picture 6">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2057400</xdr:colOff>
      <xdr:row>28</xdr:row>
      <xdr:rowOff>9525</xdr:rowOff>
    </xdr:from>
    <xdr:to>
      <xdr:col>3</xdr:col>
      <xdr:colOff>4038600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385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1876425</xdr:colOff>
      <xdr:row>25</xdr:row>
      <xdr:rowOff>114300</xdr:rowOff>
    </xdr:from>
    <xdr:to>
      <xdr:col>3</xdr:col>
      <xdr:colOff>4638675</xdr:colOff>
      <xdr:row>27</xdr:row>
      <xdr:rowOff>57150</xdr:rowOff>
    </xdr:to>
    <xdr:pic>
      <xdr:nvPicPr>
        <xdr:cNvPr id="2" name="Picture 6">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86100" y="533400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2162175</xdr:colOff>
      <xdr:row>28</xdr:row>
      <xdr:rowOff>19050</xdr:rowOff>
    </xdr:from>
    <xdr:to>
      <xdr:col>3</xdr:col>
      <xdr:colOff>4143375</xdr:colOff>
      <xdr:row>28</xdr:row>
      <xdr:rowOff>228600</xdr:rowOff>
    </xdr:to>
    <xdr:pic>
      <xdr:nvPicPr>
        <xdr:cNvPr id="3" name="Picture 8" descr="A close up of a logo&#10;&#10;Description generated with very high confidence">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71850" y="591502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1809750</xdr:colOff>
      <xdr:row>25</xdr:row>
      <xdr:rowOff>104775</xdr:rowOff>
    </xdr:from>
    <xdr:to>
      <xdr:col>3</xdr:col>
      <xdr:colOff>4572000</xdr:colOff>
      <xdr:row>27</xdr:row>
      <xdr:rowOff>47625</xdr:rowOff>
    </xdr:to>
    <xdr:pic>
      <xdr:nvPicPr>
        <xdr:cNvPr id="2" name="Picture 6">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908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2095500</xdr:colOff>
      <xdr:row>28</xdr:row>
      <xdr:rowOff>9525</xdr:rowOff>
    </xdr:from>
    <xdr:to>
      <xdr:col>3</xdr:col>
      <xdr:colOff>4076700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766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1657350</xdr:colOff>
      <xdr:row>25</xdr:row>
      <xdr:rowOff>123825</xdr:rowOff>
    </xdr:from>
    <xdr:to>
      <xdr:col>3</xdr:col>
      <xdr:colOff>4419600</xdr:colOff>
      <xdr:row>27</xdr:row>
      <xdr:rowOff>66675</xdr:rowOff>
    </xdr:to>
    <xdr:pic>
      <xdr:nvPicPr>
        <xdr:cNvPr id="2" name="Picture 6">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8475" y="534352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1943100</xdr:colOff>
      <xdr:row>28</xdr:row>
      <xdr:rowOff>28575</xdr:rowOff>
    </xdr:from>
    <xdr:to>
      <xdr:col>3</xdr:col>
      <xdr:colOff>3924300</xdr:colOff>
      <xdr:row>29</xdr:row>
      <xdr:rowOff>0</xdr:rowOff>
    </xdr:to>
    <xdr:pic>
      <xdr:nvPicPr>
        <xdr:cNvPr id="3" name="Picture 8" descr="A close up of a logo&#10;&#10;Description generated with very high confidence">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592455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421481</xdr:colOff>
      <xdr:row>1</xdr:row>
      <xdr:rowOff>57150</xdr:rowOff>
    </xdr:from>
    <xdr:to>
      <xdr:col>21</xdr:col>
      <xdr:colOff>46197</xdr:colOff>
      <xdr:row>16</xdr:row>
      <xdr:rowOff>43814</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1743075</xdr:colOff>
      <xdr:row>25</xdr:row>
      <xdr:rowOff>104775</xdr:rowOff>
    </xdr:from>
    <xdr:to>
      <xdr:col>3</xdr:col>
      <xdr:colOff>4505325</xdr:colOff>
      <xdr:row>27</xdr:row>
      <xdr:rowOff>47625</xdr:rowOff>
    </xdr:to>
    <xdr:pic>
      <xdr:nvPicPr>
        <xdr:cNvPr id="2" name="Picture 6">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2028825</xdr:colOff>
      <xdr:row>28</xdr:row>
      <xdr:rowOff>9525</xdr:rowOff>
    </xdr:from>
    <xdr:to>
      <xdr:col>3</xdr:col>
      <xdr:colOff>4010025</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9950"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23</xdr:col>
      <xdr:colOff>47625</xdr:colOff>
      <xdr:row>31</xdr:row>
      <xdr:rowOff>228600</xdr:rowOff>
    </xdr:from>
    <xdr:to>
      <xdr:col>25</xdr:col>
      <xdr:colOff>314325</xdr:colOff>
      <xdr:row>38</xdr:row>
      <xdr:rowOff>66675</xdr:rowOff>
    </xdr:to>
    <xdr:pic>
      <xdr:nvPicPr>
        <xdr:cNvPr id="5" name="Picture 4">
          <a:extLst>
            <a:ext uri="{FF2B5EF4-FFF2-40B4-BE49-F238E27FC236}">
              <a16:creationId xmlns:a16="http://schemas.microsoft.com/office/drawing/2014/main" id="{00000000-0008-0000-2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782925" y="8810625"/>
          <a:ext cx="1333500" cy="990600"/>
        </a:xfrm>
        <a:prstGeom prst="rect">
          <a:avLst/>
        </a:prstGeom>
        <a:noFill/>
        <a:ln w="3175">
          <a:solidFill>
            <a:schemeClr val="bg1">
              <a:lumMod val="6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2019300</xdr:colOff>
      <xdr:row>23</xdr:row>
      <xdr:rowOff>104775</xdr:rowOff>
    </xdr:from>
    <xdr:to>
      <xdr:col>3</xdr:col>
      <xdr:colOff>4781550</xdr:colOff>
      <xdr:row>25</xdr:row>
      <xdr:rowOff>47625</xdr:rowOff>
    </xdr:to>
    <xdr:pic>
      <xdr:nvPicPr>
        <xdr:cNvPr id="3" name="Picture 6">
          <a:extLst>
            <a:ext uri="{FF2B5EF4-FFF2-40B4-BE49-F238E27FC236}">
              <a16:creationId xmlns:a16="http://schemas.microsoft.com/office/drawing/2014/main" id="{00000000-0008-0000-3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425" y="531495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2305050</xdr:colOff>
      <xdr:row>26</xdr:row>
      <xdr:rowOff>9525</xdr:rowOff>
    </xdr:from>
    <xdr:to>
      <xdr:col>3</xdr:col>
      <xdr:colOff>4286250</xdr:colOff>
      <xdr:row>26</xdr:row>
      <xdr:rowOff>219075</xdr:rowOff>
    </xdr:to>
    <xdr:pic>
      <xdr:nvPicPr>
        <xdr:cNvPr id="4" name="Picture 8" descr="A close up of a logo&#10;&#10;Description generated with very high confidence">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6175" y="589597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1774031</xdr:colOff>
      <xdr:row>0</xdr:row>
      <xdr:rowOff>119062</xdr:rowOff>
    </xdr:from>
    <xdr:to>
      <xdr:col>3</xdr:col>
      <xdr:colOff>4556986</xdr:colOff>
      <xdr:row>6</xdr:row>
      <xdr:rowOff>39951</xdr:rowOff>
    </xdr:to>
    <xdr:pic>
      <xdr:nvPicPr>
        <xdr:cNvPr id="5" name="Picture 4">
          <a:extLst>
            <a:ext uri="{FF2B5EF4-FFF2-40B4-BE49-F238E27FC236}">
              <a16:creationId xmlns:a16="http://schemas.microsoft.com/office/drawing/2014/main" id="{F62C3C8C-F38E-4A6D-BDB1-7C75E441A3A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155156" y="119062"/>
          <a:ext cx="2782955" cy="92101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1695450</xdr:colOff>
      <xdr:row>25</xdr:row>
      <xdr:rowOff>104775</xdr:rowOff>
    </xdr:from>
    <xdr:to>
      <xdr:col>3</xdr:col>
      <xdr:colOff>4457700</xdr:colOff>
      <xdr:row>27</xdr:row>
      <xdr:rowOff>47625</xdr:rowOff>
    </xdr:to>
    <xdr:pic>
      <xdr:nvPicPr>
        <xdr:cNvPr id="2" name="Picture 6">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65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1981200</xdr:colOff>
      <xdr:row>28</xdr:row>
      <xdr:rowOff>9525</xdr:rowOff>
    </xdr:from>
    <xdr:to>
      <xdr:col>3</xdr:col>
      <xdr:colOff>3962400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F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23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1657350</xdr:colOff>
      <xdr:row>25</xdr:row>
      <xdr:rowOff>104775</xdr:rowOff>
    </xdr:from>
    <xdr:to>
      <xdr:col>3</xdr:col>
      <xdr:colOff>4419600</xdr:colOff>
      <xdr:row>27</xdr:row>
      <xdr:rowOff>47625</xdr:rowOff>
    </xdr:to>
    <xdr:pic>
      <xdr:nvPicPr>
        <xdr:cNvPr id="2" name="Picture 6">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84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1943100</xdr:colOff>
      <xdr:row>28</xdr:row>
      <xdr:rowOff>9525</xdr:rowOff>
    </xdr:from>
    <xdr:to>
      <xdr:col>3</xdr:col>
      <xdr:colOff>3924300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c_oa2\netgear\finance\AUDIT\bridge\quarterly%20trends%20for%20d%20&amp;%20t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Kw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USNY057\groupdirs\M&amp;A\Presentations\04\9040832n\9040832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Transfer\02-tues\book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gb24166\PDMSdirs\Current%20Work\PC\9-05\9-05046\9-05046L.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model.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2004%2005%20SCS%20UK%20management%20account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Valuation\RNA%20Advisors\Vivace%20Therapeutics\VD%2005.31.2016\4%20-%20Provided%20by%20Client\Previous%20Valuation\Vivace%20Therapeutics,%20Inc.%2003.31.15%20Final%20Exhibits%2006.12.15.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Users\jc3\Dropbox\C:\C\HNH%20-%20Holy%20Name%20Hospital\HNH-02%20Holy%20Name%20Medical%20Center%20Dialysis%20Program%20(PHC-BV)\HNH-02%20HNMC's%20Dialysis%20Program%20Financial%20Model%20DRAFT%2008-25-2011.xlsx"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Subscriptons%202015.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biodesix.local\Finance\Finance\Planning%20Model\NEW-Data%20Room\1.%20Financial\1.1%20Financial%20Model\1.1%20Biodesix%20-%20Financial%20Model%20(03.30.17)%20RNA%20Advisors.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pagrawal/Desktop/Aduro%20409A%202014.09.30%20VD%20Exhibits%20DRAFT%202014.11.16.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G:\Users\pagrawal\Desktop\Aduro%20409A%202014.09.30%20VD%20Exhibits%20DRAFT%202014.11.16.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Users\pagrawal\Desktop\Aduro%20409A%202014.09.30%20VD%20Exhibits%20DRAFT%202014.11.16.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Valuation\RNA%20Advisors\4D%20Molecular%20Therapeutics\409A%20VD%2001.15.2016\7%20-%20Audit\Option%20Simulation%20&amp;%20Volatility%20Computation.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Valuation/RNA%20Advisors/4D%20Molecular%20Therapeutics/409A%20VD%2001.15.2016/7%20-%20Audit/Option%20Simulation%20&amp;%20Volatility%20Computation.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Valuation\RNA%20Advisors\Expertus\6%20-%20Analysis\Expertus%20VD%2002.28.2015%20IP%20Valuation%2003.11.2015.xlsx"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PathMissing" Target="SUBS" TargetMode="External"/></Relationships>
</file>

<file path=xl/externalLinks/_rels/externalLink19.xml.rels><?xml version="1.0" encoding="UTF-8" standalone="yes"?>
<Relationships xmlns="http://schemas.openxmlformats.org/package/2006/relationships"><Relationship Id="rId1" Type="http://schemas.microsoft.com/office/2006/relationships/xlExternalLinkPath/xlPathMissing" Target="Cflow110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2"/>
      <sheetName val="Sheet3"/>
      <sheetName val="Sheet4"/>
      <sheetName val="Sheet1"/>
      <sheetName val="Tickmarks"/>
      <sheetName val="Sheet5"/>
      <sheetName val="FAB별"/>
      <sheetName val="Credit Calc"/>
      <sheetName val="Capital IQ Sheet-GPC"/>
    </sheetNames>
    <sheetDataSet>
      <sheetData sheetId="0" refreshError="1">
        <row r="3">
          <cell r="H3" t="str">
            <v>Q1 97</v>
          </cell>
          <cell r="I3" t="str">
            <v>Q2 97</v>
          </cell>
          <cell r="J3" t="str">
            <v>Q3 97</v>
          </cell>
          <cell r="K3" t="str">
            <v>Q4 97</v>
          </cell>
          <cell r="M3" t="str">
            <v>Q1 98</v>
          </cell>
          <cell r="N3" t="str">
            <v>Q2 98</v>
          </cell>
          <cell r="O3" t="str">
            <v>Q3 98</v>
          </cell>
          <cell r="P3" t="str">
            <v>Q4 98</v>
          </cell>
        </row>
        <row r="15">
          <cell r="H15">
            <v>-2123303.52</v>
          </cell>
          <cell r="I15">
            <v>-1253290.3699999999</v>
          </cell>
          <cell r="J15">
            <v>-162269.43</v>
          </cell>
          <cell r="K15">
            <v>146899.29000000033</v>
          </cell>
          <cell r="M15">
            <v>-246014.77000000002</v>
          </cell>
          <cell r="N15">
            <v>-1799602.0100000002</v>
          </cell>
          <cell r="O15">
            <v>-1013013.5800000001</v>
          </cell>
        </row>
        <row r="20">
          <cell r="H20">
            <v>0.19236638472376649</v>
          </cell>
          <cell r="I20">
            <v>0.17160343737293951</v>
          </cell>
          <cell r="J20">
            <v>0.22329840583258154</v>
          </cell>
          <cell r="K20">
            <v>0.2622241607330375</v>
          </cell>
          <cell r="M20">
            <v>0.22868601654276952</v>
          </cell>
          <cell r="N20">
            <v>0.13886160439354986</v>
          </cell>
          <cell r="O20">
            <v>0.16937325540860795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rica"/>
      <sheetName val="Ocean"/>
      <sheetName val="S Amer"/>
      <sheetName val="W Eur"/>
      <sheetName val="C Amer"/>
      <sheetName val="E Eur"/>
      <sheetName val="E Asia"/>
      <sheetName val="Mideast"/>
      <sheetName val="TOC"/>
      <sheetName val="Demand Data"/>
      <sheetName val="Supply Data"/>
      <sheetName val="Price Fcsts"/>
      <sheetName val="World"/>
      <sheetName val="N Amer"/>
      <sheetName val="FSU"/>
      <sheetName val="S Asia"/>
      <sheetName val="Soc As"/>
    </sheetNames>
    <sheetDataSet>
      <sheetData sheetId="0"/>
      <sheetData sheetId="1"/>
      <sheetData sheetId="2"/>
      <sheetData sheetId="3"/>
      <sheetData sheetId="4" refreshError="1"/>
      <sheetData sheetId="5" refreshError="1"/>
      <sheetData sheetId="6"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503.6</v>
          </cell>
          <cell r="C19">
            <v>489.4</v>
          </cell>
          <cell r="D19">
            <v>510.8</v>
          </cell>
          <cell r="E19">
            <v>518.29999999999995</v>
          </cell>
          <cell r="F19">
            <v>568.4</v>
          </cell>
          <cell r="G19">
            <v>508.3</v>
          </cell>
          <cell r="H19">
            <v>516.29999999999995</v>
          </cell>
          <cell r="I19">
            <v>537.6</v>
          </cell>
          <cell r="J19">
            <v>582.6</v>
          </cell>
          <cell r="K19">
            <v>522.5</v>
          </cell>
          <cell r="L19">
            <v>533.9</v>
          </cell>
          <cell r="M19">
            <v>556.4</v>
          </cell>
          <cell r="N19">
            <v>555.4</v>
          </cell>
          <cell r="O19">
            <v>560</v>
          </cell>
          <cell r="P19">
            <v>568.4</v>
          </cell>
          <cell r="Q19">
            <v>576.92599999999993</v>
          </cell>
          <cell r="R19">
            <v>585.57988999999986</v>
          </cell>
          <cell r="S19">
            <v>594.36358834999976</v>
          </cell>
          <cell r="T19">
            <v>603.27904217524974</v>
          </cell>
          <cell r="U19">
            <v>612.32822780787842</v>
          </cell>
          <cell r="V19">
            <v>621.51315122499659</v>
          </cell>
        </row>
        <row r="21">
          <cell r="B21">
            <v>9.3691469287980365</v>
          </cell>
          <cell r="C21">
            <v>9.4162280691437559</v>
          </cell>
          <cell r="D21">
            <v>9.4635457981344278</v>
          </cell>
          <cell r="E21">
            <v>9.511101304657716</v>
          </cell>
          <cell r="F21">
            <v>9.5588957835755934</v>
          </cell>
          <cell r="G21">
            <v>9.6069304357543661</v>
          </cell>
          <cell r="H21">
            <v>9.6552064680948408</v>
          </cell>
          <cell r="I21">
            <v>9.7037250935626549</v>
          </cell>
          <cell r="J21">
            <v>9.7524875312187493</v>
          </cell>
          <cell r="K21">
            <v>9.8014950062499988</v>
          </cell>
          <cell r="L21">
            <v>9.8507487499999993</v>
          </cell>
          <cell r="M21">
            <v>9.9002499999999998</v>
          </cell>
          <cell r="N21">
            <v>9.9499999999999993</v>
          </cell>
          <cell r="O21">
            <v>10</v>
          </cell>
          <cell r="P21">
            <v>10.049999999999999</v>
          </cell>
          <cell r="Q21">
            <v>10.100249999999997</v>
          </cell>
          <cell r="R21">
            <v>10.150751249999995</v>
          </cell>
          <cell r="S21">
            <v>10.201505006249995</v>
          </cell>
          <cell r="T21">
            <v>10.252512531281244</v>
          </cell>
          <cell r="U21">
            <v>10.303775093937649</v>
          </cell>
          <cell r="V21">
            <v>10.355293969407336</v>
          </cell>
        </row>
        <row r="28">
          <cell r="B28">
            <v>-528.35822133666204</v>
          </cell>
          <cell r="C28">
            <v>-513.78071491121807</v>
          </cell>
          <cell r="D28">
            <v>-535.87145217207853</v>
          </cell>
          <cell r="E28">
            <v>-543.64543434379743</v>
          </cell>
          <cell r="F28">
            <v>-595.29766265708281</v>
          </cell>
          <cell r="G28">
            <v>-533.44413834882698</v>
          </cell>
          <cell r="H28">
            <v>-541.73386266213765</v>
          </cell>
          <cell r="I28">
            <v>-563.72283684636955</v>
          </cell>
          <cell r="J28">
            <v>-610.12306215715535</v>
          </cell>
          <cell r="K28">
            <v>-548.27053985643749</v>
          </cell>
          <cell r="L28">
            <v>-560.06327121250001</v>
          </cell>
          <cell r="M28">
            <v>-583.28925749999996</v>
          </cell>
          <cell r="N28">
            <v>-582.31050000000005</v>
          </cell>
          <cell r="O28">
            <v>-587.1</v>
          </cell>
          <cell r="P28">
            <v>-595.80349999999999</v>
          </cell>
          <cell r="Q28">
            <v>-604.63703749999991</v>
          </cell>
          <cell r="R28">
            <v>-613.60256048749989</v>
          </cell>
          <cell r="S28">
            <v>-622.70204615693729</v>
          </cell>
          <cell r="T28">
            <v>-631.93750134772688</v>
          </cell>
          <cell r="U28">
            <v>-641.31096298887064</v>
          </cell>
          <cell r="V28">
            <v>-650.82449855023594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7"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414.7</v>
          </cell>
          <cell r="C19">
            <v>273</v>
          </cell>
          <cell r="D19">
            <v>269.8</v>
          </cell>
          <cell r="E19">
            <v>245</v>
          </cell>
          <cell r="F19">
            <v>253.6</v>
          </cell>
          <cell r="G19">
            <v>297</v>
          </cell>
          <cell r="H19">
            <v>378.8</v>
          </cell>
          <cell r="I19">
            <v>479.3</v>
          </cell>
          <cell r="J19">
            <v>421.5</v>
          </cell>
          <cell r="K19">
            <v>430.6</v>
          </cell>
          <cell r="L19">
            <v>421.3</v>
          </cell>
          <cell r="M19">
            <v>431.3</v>
          </cell>
          <cell r="N19">
            <v>443.1</v>
          </cell>
          <cell r="O19">
            <v>450</v>
          </cell>
          <cell r="P19">
            <v>456.74999999999994</v>
          </cell>
          <cell r="Q19">
            <v>463.60124999999988</v>
          </cell>
          <cell r="R19">
            <v>470.55526874999981</v>
          </cell>
          <cell r="S19">
            <v>477.61359778124978</v>
          </cell>
          <cell r="T19">
            <v>484.77780174796845</v>
          </cell>
          <cell r="U19">
            <v>492.04946877418791</v>
          </cell>
          <cell r="V19">
            <v>499.4302108058007</v>
          </cell>
        </row>
        <row r="21">
          <cell r="B21">
            <v>24.199576476360555</v>
          </cell>
          <cell r="C21">
            <v>24.260227043970481</v>
          </cell>
          <cell r="D21">
            <v>24.321029618015519</v>
          </cell>
          <cell r="E21">
            <v>24.381984579464177</v>
          </cell>
          <cell r="F21">
            <v>24.443092310239777</v>
          </cell>
          <cell r="G21">
            <v>24.504353193222833</v>
          </cell>
          <cell r="H21">
            <v>24.565767612253467</v>
          </cell>
          <cell r="I21">
            <v>24.627335952133802</v>
          </cell>
          <cell r="J21">
            <v>24.689058598630375</v>
          </cell>
          <cell r="K21">
            <v>24.750935938476566</v>
          </cell>
          <cell r="L21">
            <v>24.812968359375002</v>
          </cell>
          <cell r="M21">
            <v>24.87515625</v>
          </cell>
          <cell r="N21">
            <v>24.9375</v>
          </cell>
          <cell r="O21">
            <v>25</v>
          </cell>
          <cell r="P21">
            <v>25.0625</v>
          </cell>
          <cell r="Q21">
            <v>25.12515625</v>
          </cell>
          <cell r="R21">
            <v>25.187969140624997</v>
          </cell>
          <cell r="S21">
            <v>25.250939063476558</v>
          </cell>
          <cell r="T21">
            <v>25.314066411135247</v>
          </cell>
          <cell r="U21">
            <v>25.377351577163083</v>
          </cell>
          <cell r="V21">
            <v>25.440794956105989</v>
          </cell>
        </row>
        <row r="28">
          <cell r="B28">
            <v>-452.06656377065138</v>
          </cell>
          <cell r="C28">
            <v>-306.17803385528958</v>
          </cell>
          <cell r="D28">
            <v>-302.94466050655603</v>
          </cell>
          <cell r="E28">
            <v>-277.46344411684811</v>
          </cell>
          <cell r="F28">
            <v>-286.38438507954697</v>
          </cell>
          <cell r="G28">
            <v>-331.14948378901948</v>
          </cell>
          <cell r="H28">
            <v>-415.46674064062108</v>
          </cell>
          <cell r="I28">
            <v>-519.04515603069785</v>
          </cell>
          <cell r="J28">
            <v>-459.57473035658927</v>
          </cell>
          <cell r="K28">
            <v>-469.0114640166309</v>
          </cell>
          <cell r="L28">
            <v>-459.49635741015629</v>
          </cell>
          <cell r="M28">
            <v>-469.86041093749998</v>
          </cell>
          <cell r="N28">
            <v>-482.07862500000005</v>
          </cell>
          <cell r="O28">
            <v>-489.25</v>
          </cell>
          <cell r="P28">
            <v>-496.26687499999991</v>
          </cell>
          <cell r="Q28">
            <v>-503.38819843749985</v>
          </cell>
          <cell r="R28">
            <v>-510.61553502734358</v>
          </cell>
          <cell r="S28">
            <v>-517.95047295006816</v>
          </cell>
          <cell r="T28">
            <v>-525.39462420387679</v>
          </cell>
          <cell r="U28">
            <v>-532.94962496189157</v>
          </cell>
          <cell r="V28">
            <v>-540.61713593476384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tock Price"/>
      <sheetName val="Price of Comps-1yr (UHS)"/>
      <sheetName val="Price of Comps-1yr (UNH)"/>
      <sheetName val="Price of Comps-3yrs (UHS)"/>
      <sheetName val="Price of Comps-3yrs (UNH)"/>
      <sheetName val="critical"/>
      <sheetName val="medical"/>
      <sheetName val="manor"/>
      <sheetName val="Stock Price (4)"/>
      <sheetName val="Shareholder Value"/>
      <sheetName val="Shareholder Value (2)"/>
      <sheetName val="Shareholder Value (3)"/>
      <sheetName val="theatre"/>
      <sheetName val="StockPrice"/>
      <sheetName val="Total"/>
      <sheetName val="Stock_Price"/>
      <sheetName val="Price_of_Comps-1yr_(UHS)"/>
      <sheetName val="Price_of_Comps-1yr_(UNH)"/>
      <sheetName val="Price_of_Comps-3yrs_(UHS)"/>
      <sheetName val="Price_of_Comps-3yrs_(UNH)"/>
      <sheetName val="Stock_Price_(4)"/>
      <sheetName val="Shareholder_Value"/>
      <sheetName val="Shareholder_Value_(2)"/>
      <sheetName val="Shareholder_Value_(3)"/>
      <sheetName val="Graph"/>
      <sheetName val="Clec_Comp"/>
      <sheetName val="Assump"/>
      <sheetName val="DCF_Rider_Term_Mult"/>
      <sheetName val="Horus_P&amp;L"/>
      <sheetName val="Assumptions"/>
      <sheetName val="sales_vol_"/>
      <sheetName val="NewGLP_Assumptions"/>
      <sheetName val="Revenue"/>
      <sheetName val="3"/>
      <sheetName val="Acc_Dil"/>
      <sheetName val="6b"/>
      <sheetName val="ValMatrix"/>
      <sheetName val="Overview_1"/>
      <sheetName val="Value_Creation"/>
      <sheetName val="Controls"/>
      <sheetName val="budg_act"/>
      <sheetName val="1"/>
      <sheetName val="Admin"/>
      <sheetName val="Constants"/>
      <sheetName val="Model"/>
      <sheetName val="MOE"/>
      <sheetName val="Financials_Old"/>
      <sheetName val="5a"/>
      <sheetName val="Side_by_Side"/>
      <sheetName val="CA"/>
      <sheetName val="Overview_2"/>
      <sheetName val="Value_Creation_Chart"/>
      <sheetName val="PF__Cash_EPS_Graph"/>
      <sheetName val="Cash_Flow"/>
      <sheetName val="4"/>
      <sheetName val="Contribution"/>
      <sheetName val="middle-market_-_new"/>
      <sheetName val="7"/>
      <sheetName val="DRDs"/>
      <sheetName val="SX3"/>
      <sheetName val="QuickMerge"/>
      <sheetName val="CONTROL"/>
      <sheetName val="Parameters"/>
      <sheetName val="NOPAT_VDF"/>
      <sheetName val="RC"/>
      <sheetName val="Chapter_7"/>
      <sheetName val="Invested_capital_VDF"/>
      <sheetName val="DCF_VDF"/>
      <sheetName val="MWV-BAL"/>
      <sheetName val="Balance_Sheet"/>
      <sheetName val="US_dollar_mkt"/>
      <sheetName val="riderF"/>
      <sheetName val="cd_Data"/>
      <sheetName val="Colour_Hierarchy"/>
      <sheetName val="graphdialog"/>
      <sheetName val="CID"/>
      <sheetName val="Inputs"/>
      <sheetName val="Customers"/>
      <sheetName val="WEEKLYVLS"/>
      <sheetName val="Data"/>
      <sheetName val="Market_Share"/>
      <sheetName val="DCF"/>
      <sheetName val="lev_loan_raw_data"/>
      <sheetName val="Valuation_Matrix"/>
      <sheetName val="MLP_IPO_Yields_vs_MLP_Index"/>
      <sheetName val="Forecast"/>
      <sheetName val="Financing_Memo"/>
      <sheetName val="Force_Count"/>
      <sheetName val="Instructions"/>
      <sheetName val="MWV-FUN"/>
      <sheetName val="FX_Rates"/>
      <sheetName val="Delhaize"/>
      <sheetName val="Income_Stmt"/>
      <sheetName val="Income_Statement"/>
      <sheetName val="Input"/>
      <sheetName val="Accretion_SensitivityOutput"/>
      <sheetName val="Summary"/>
      <sheetName val="IRR"/>
      <sheetName val="Lookup"/>
      <sheetName val="Budget"/>
      <sheetName val="WACC_VDF"/>
      <sheetName val="Minutes"/>
      <sheetName val="Monthly_IS"/>
      <sheetName val="Scenario_Manager"/>
      <sheetName val="PV_of_Op_Leases_VDF"/>
      <sheetName val="Sensitivity"/>
      <sheetName val="LBO_Model"/>
      <sheetName val="1991_-_1999_Drilling_Type"/>
      <sheetName val="MWV-QTR1"/>
      <sheetName val="LookupRanges"/>
      <sheetName val="Ali_Synergy_Est_(2)"/>
      <sheetName val="Summary_Inc_Stmt"/>
      <sheetName val="f3"/>
      <sheetName val="MarketData"/>
      <sheetName val="Definitions"/>
      <sheetName val="Team_Award"/>
      <sheetName val="Income_Statement_VDF"/>
      <sheetName val="Neste_Oy"/>
      <sheetName val="yc_Formula"/>
      <sheetName val="SEP"/>
      <sheetName val="Stock_Price1"/>
      <sheetName val="Price_of_Comps-1yr_(UHS)1"/>
      <sheetName val="Price_of_Comps-1yr_(UNH)1"/>
      <sheetName val="Price_of_Comps-3yrs_(UHS)1"/>
      <sheetName val="Price_of_Comps-3yrs_(UNH)1"/>
      <sheetName val="Stock_Price_(4)1"/>
      <sheetName val="Shareholder_Value1"/>
      <sheetName val="Shareholder_Value_(2)1"/>
      <sheetName val="Shareholder_Value_(3)1"/>
      <sheetName val="Stock_Price2"/>
      <sheetName val="Price_of_Comps-1yr_(UHS)2"/>
      <sheetName val="Price_of_Comps-1yr_(UNH)2"/>
      <sheetName val="Price_of_Comps-3yrs_(UHS)2"/>
      <sheetName val="Price_of_Comps-3yrs_(UNH)2"/>
      <sheetName val="Stock_Price_(4)2"/>
      <sheetName val="Shareholder_Value2"/>
      <sheetName val="Shareholder_Value_(2)2"/>
      <sheetName val="Shareholder_Value_(3)2"/>
      <sheetName val="Stock_Price3"/>
      <sheetName val="Price_of_Comps-1yr_(UHS)3"/>
      <sheetName val="Price_of_Comps-1yr_(UNH)3"/>
      <sheetName val="Price_of_Comps-3yrs_(UHS)3"/>
      <sheetName val="Price_of_Comps-3yrs_(UNH)3"/>
      <sheetName val="Stock_Price_(4)3"/>
      <sheetName val="Shareholder_Value3"/>
      <sheetName val="Shareholder_Value_(2)3"/>
      <sheetName val="Shareholder_Value_(3)3"/>
      <sheetName val="EuroInputs"/>
      <sheetName val="Price_of_Compsjà_x0013__x0000_¤ß_x0013__x0000_lâ_x0013_"/>
      <sheetName val="9040832n"/>
      <sheetName val="oldSEG"/>
      <sheetName val="Quarters"/>
      <sheetName val="sales vol."/>
      <sheetName val="Entry data"/>
      <sheetName val="Refunds Weekly"/>
      <sheetName val="Final Payments"/>
      <sheetName val="FootballField"/>
      <sheetName val="CNST"/>
      <sheetName val="AL &amp; NHY"/>
      <sheetName val="SEE"/>
      <sheetName val="P&amp;L"/>
      <sheetName val="company"/>
      <sheetName val="99 JULY SALE"/>
    </sheetNames>
    <sheetDataSet>
      <sheetData sheetId="0"/>
      <sheetData sheetId="1" refreshError="1">
        <row r="4">
          <cell r="A4">
            <v>35464</v>
          </cell>
          <cell r="B4">
            <v>1</v>
          </cell>
          <cell r="C4">
            <v>1</v>
          </cell>
          <cell r="D4">
            <v>1</v>
          </cell>
          <cell r="E4">
            <v>1</v>
          </cell>
          <cell r="F4">
            <v>1</v>
          </cell>
          <cell r="G4">
            <v>1</v>
          </cell>
        </row>
        <row r="5">
          <cell r="A5">
            <v>35465</v>
          </cell>
          <cell r="B5">
            <v>0.99669966996699666</v>
          </cell>
          <cell r="C5">
            <v>1.0280811232449298</v>
          </cell>
          <cell r="D5">
            <v>1</v>
          </cell>
          <cell r="E5">
            <v>0.99328859060402686</v>
          </cell>
          <cell r="F5">
            <v>0.97093023255813948</v>
          </cell>
          <cell r="G5">
            <v>1.0113636363636365</v>
          </cell>
        </row>
        <row r="6">
          <cell r="A6">
            <v>35466</v>
          </cell>
          <cell r="B6">
            <v>0.97689768976897695</v>
          </cell>
          <cell r="C6">
            <v>0.97347893915756634</v>
          </cell>
          <cell r="D6">
            <v>1.0112781954887218</v>
          </cell>
          <cell r="E6">
            <v>0.96644295302013428</v>
          </cell>
          <cell r="F6">
            <v>0.95813953488372094</v>
          </cell>
          <cell r="G6">
            <v>0.96590909090909094</v>
          </cell>
        </row>
        <row r="7">
          <cell r="A7">
            <v>35467</v>
          </cell>
          <cell r="B7">
            <v>0.99339933993399343</v>
          </cell>
          <cell r="C7">
            <v>0.96567862714508579</v>
          </cell>
          <cell r="D7">
            <v>1.0263157894736843</v>
          </cell>
          <cell r="E7">
            <v>0.95302013422818788</v>
          </cell>
          <cell r="F7">
            <v>0.92093023255813955</v>
          </cell>
          <cell r="G7">
            <v>0.95454545454545459</v>
          </cell>
        </row>
        <row r="8">
          <cell r="A8">
            <v>35468</v>
          </cell>
          <cell r="B8">
            <v>1.0297029702970297</v>
          </cell>
          <cell r="C8">
            <v>0.97347893915756634</v>
          </cell>
          <cell r="D8">
            <v>1.0413533834586466</v>
          </cell>
          <cell r="E8">
            <v>0.97315436241610742</v>
          </cell>
          <cell r="F8">
            <v>0.95581395348837206</v>
          </cell>
          <cell r="G8">
            <v>0.96590909090909094</v>
          </cell>
        </row>
        <row r="9">
          <cell r="A9">
            <v>35471</v>
          </cell>
          <cell r="B9">
            <v>1.033003300330033</v>
          </cell>
          <cell r="C9">
            <v>0.99375975039001563</v>
          </cell>
          <cell r="D9">
            <v>1.0883458646616542</v>
          </cell>
          <cell r="E9">
            <v>0.98657718120805371</v>
          </cell>
          <cell r="F9">
            <v>0.94883720930232562</v>
          </cell>
          <cell r="G9">
            <v>0.95454545454545459</v>
          </cell>
        </row>
        <row r="10">
          <cell r="A10">
            <v>35472</v>
          </cell>
          <cell r="B10">
            <v>1.0594059405940595</v>
          </cell>
          <cell r="C10">
            <v>0.99843993759750393</v>
          </cell>
          <cell r="D10">
            <v>1.0676691729323309</v>
          </cell>
          <cell r="E10">
            <v>1.0067114093959733</v>
          </cell>
          <cell r="F10">
            <v>0.96976744186046515</v>
          </cell>
          <cell r="G10">
            <v>0.95454545454545459</v>
          </cell>
        </row>
        <row r="11">
          <cell r="A11">
            <v>35473</v>
          </cell>
          <cell r="B11">
            <v>1.0734323432343233</v>
          </cell>
          <cell r="C11">
            <v>1.0265210608424338</v>
          </cell>
          <cell r="D11">
            <v>1.0864661654135339</v>
          </cell>
          <cell r="E11">
            <v>1.0067114093959733</v>
          </cell>
          <cell r="F11">
            <v>1.0418604651162791</v>
          </cell>
          <cell r="G11">
            <v>0.96590909090909094</v>
          </cell>
        </row>
        <row r="12">
          <cell r="A12">
            <v>35474</v>
          </cell>
          <cell r="B12">
            <v>1.0981848184818481</v>
          </cell>
          <cell r="C12">
            <v>1.0733229329173166</v>
          </cell>
          <cell r="D12">
            <v>1.1165413533834587</v>
          </cell>
          <cell r="E12">
            <v>1.0536912751677852</v>
          </cell>
          <cell r="F12">
            <v>1.1046511627906976</v>
          </cell>
          <cell r="G12">
            <v>0.98863636363636365</v>
          </cell>
        </row>
        <row r="13">
          <cell r="A13">
            <v>35475</v>
          </cell>
          <cell r="B13">
            <v>1.1056105610561056</v>
          </cell>
          <cell r="C13">
            <v>1.0795631825273011</v>
          </cell>
          <cell r="D13">
            <v>1.131578947368421</v>
          </cell>
          <cell r="E13">
            <v>1.0738255033557047</v>
          </cell>
          <cell r="F13">
            <v>1.1441860465116278</v>
          </cell>
          <cell r="G13">
            <v>1.2159090909090908</v>
          </cell>
        </row>
        <row r="14">
          <cell r="A14">
            <v>35478</v>
          </cell>
          <cell r="B14">
            <v>1.1056105610561056</v>
          </cell>
          <cell r="C14">
            <v>1.0795631825273011</v>
          </cell>
          <cell r="D14">
            <v>1.131578947368421</v>
          </cell>
          <cell r="E14">
            <v>1.0738255033557047</v>
          </cell>
          <cell r="F14">
            <v>1.1441860465116278</v>
          </cell>
          <cell r="G14">
            <v>1.2159090909090908</v>
          </cell>
        </row>
        <row r="15">
          <cell r="A15">
            <v>35479</v>
          </cell>
          <cell r="B15">
            <v>1.0990099009900991</v>
          </cell>
          <cell r="C15">
            <v>1.0608424336973479</v>
          </cell>
          <cell r="D15">
            <v>1.1090225563909775</v>
          </cell>
          <cell r="E15">
            <v>1.0738255033557047</v>
          </cell>
          <cell r="F15">
            <v>1.1000000000000001</v>
          </cell>
          <cell r="G15">
            <v>1.2159090909090908</v>
          </cell>
        </row>
        <row r="16">
          <cell r="A16">
            <v>35480</v>
          </cell>
          <cell r="B16">
            <v>1.1122112211221122</v>
          </cell>
          <cell r="C16">
            <v>1.0717628705148206</v>
          </cell>
          <cell r="D16">
            <v>1.131578947368421</v>
          </cell>
          <cell r="E16">
            <v>1.0268456375838926</v>
          </cell>
          <cell r="F16">
            <v>1.1046511627906976</v>
          </cell>
          <cell r="G16">
            <v>1.2159090909090908</v>
          </cell>
        </row>
        <row r="17">
          <cell r="A17">
            <v>35481</v>
          </cell>
          <cell r="B17">
            <v>1.1056105610561056</v>
          </cell>
          <cell r="C17">
            <v>1.0592823712948518</v>
          </cell>
          <cell r="D17">
            <v>1.1099624060150375</v>
          </cell>
          <cell r="E17">
            <v>1.0671140939597314</v>
          </cell>
          <cell r="F17">
            <v>1.0930232558139534</v>
          </cell>
          <cell r="G17">
            <v>1.2045454545454546</v>
          </cell>
        </row>
        <row r="18">
          <cell r="A18">
            <v>35482</v>
          </cell>
          <cell r="B18">
            <v>1.0990099009900991</v>
          </cell>
          <cell r="C18">
            <v>1.0608424336973479</v>
          </cell>
          <cell r="D18">
            <v>1.1353383458646618</v>
          </cell>
          <cell r="E18">
            <v>1.0738255033557047</v>
          </cell>
          <cell r="F18">
            <v>1.0953488372093023</v>
          </cell>
          <cell r="G18">
            <v>1.2159090909090908</v>
          </cell>
        </row>
        <row r="19">
          <cell r="A19">
            <v>35485</v>
          </cell>
          <cell r="B19">
            <v>1.0808580858085808</v>
          </cell>
          <cell r="C19">
            <v>1.0702028081123245</v>
          </cell>
          <cell r="D19">
            <v>1.1390977443609023</v>
          </cell>
          <cell r="E19">
            <v>1.0604026845637584</v>
          </cell>
          <cell r="F19">
            <v>1.0627906976744186</v>
          </cell>
          <cell r="G19">
            <v>1.2045454545454546</v>
          </cell>
        </row>
        <row r="20">
          <cell r="A20">
            <v>35486</v>
          </cell>
          <cell r="B20">
            <v>1.0990099009900991</v>
          </cell>
          <cell r="C20">
            <v>1.0670826833073324</v>
          </cell>
          <cell r="D20">
            <v>1.1503759398496241</v>
          </cell>
          <cell r="E20">
            <v>1.0738255033557047</v>
          </cell>
          <cell r="F20">
            <v>1.069767441860465</v>
          </cell>
          <cell r="G20">
            <v>1.2045454545454546</v>
          </cell>
        </row>
        <row r="21">
          <cell r="A21">
            <v>35487</v>
          </cell>
          <cell r="B21">
            <v>1.0940594059405941</v>
          </cell>
          <cell r="C21">
            <v>1.0405616224648986</v>
          </cell>
          <cell r="D21">
            <v>1.1503759398496241</v>
          </cell>
          <cell r="E21">
            <v>1.0134228187919463</v>
          </cell>
          <cell r="F21">
            <v>1.0488372093023255</v>
          </cell>
          <cell r="G21">
            <v>1.2045454545454546</v>
          </cell>
        </row>
        <row r="22">
          <cell r="A22">
            <v>35488</v>
          </cell>
          <cell r="B22">
            <v>1.0990099009900991</v>
          </cell>
          <cell r="C22">
            <v>1.0468018720748831</v>
          </cell>
          <cell r="D22">
            <v>1.1390977443609023</v>
          </cell>
          <cell r="E22">
            <v>1.0201342281879195</v>
          </cell>
          <cell r="F22">
            <v>1.0372093023255815</v>
          </cell>
          <cell r="G22">
            <v>1.2045454545454546</v>
          </cell>
        </row>
        <row r="23">
          <cell r="A23">
            <v>35489</v>
          </cell>
          <cell r="B23">
            <v>1.1056105610561056</v>
          </cell>
          <cell r="C23">
            <v>1.0374414976599065</v>
          </cell>
          <cell r="D23">
            <v>1.1353383458646618</v>
          </cell>
          <cell r="E23">
            <v>1.0536912751677852</v>
          </cell>
          <cell r="F23">
            <v>1.0372093023255815</v>
          </cell>
          <cell r="G23">
            <v>1.1931818181818181</v>
          </cell>
        </row>
        <row r="24">
          <cell r="A24">
            <v>35492</v>
          </cell>
          <cell r="B24">
            <v>1.0965346534653466</v>
          </cell>
          <cell r="C24">
            <v>1.0577223088923557</v>
          </cell>
          <cell r="D24">
            <v>1.1390977443609023</v>
          </cell>
          <cell r="E24">
            <v>1.1342281879194631</v>
          </cell>
          <cell r="F24">
            <v>1.0325581395348837</v>
          </cell>
          <cell r="G24">
            <v>1.2159090909090908</v>
          </cell>
        </row>
        <row r="25">
          <cell r="A25">
            <v>35493</v>
          </cell>
          <cell r="B25">
            <v>1.0973597359735974</v>
          </cell>
          <cell r="C25">
            <v>1.06396255850234</v>
          </cell>
          <cell r="D25">
            <v>1.1353383458646618</v>
          </cell>
          <cell r="E25">
            <v>1.1610738255033557</v>
          </cell>
          <cell r="F25">
            <v>1.069767441860465</v>
          </cell>
          <cell r="G25">
            <v>1.2159090909090908</v>
          </cell>
        </row>
        <row r="26">
          <cell r="A26">
            <v>35494</v>
          </cell>
          <cell r="B26">
            <v>1.113861386138614</v>
          </cell>
          <cell r="C26">
            <v>1.076443057722309</v>
          </cell>
          <cell r="D26">
            <v>1.1278195488721805</v>
          </cell>
          <cell r="E26">
            <v>1.174496644295302</v>
          </cell>
          <cell r="F26">
            <v>1.1255813953488372</v>
          </cell>
          <cell r="G26">
            <v>1.2727272727272727</v>
          </cell>
        </row>
        <row r="27">
          <cell r="A27">
            <v>35495</v>
          </cell>
          <cell r="B27">
            <v>1.1460396039603959</v>
          </cell>
          <cell r="C27">
            <v>1.0717628705148206</v>
          </cell>
          <cell r="D27">
            <v>1.1090225563909775</v>
          </cell>
          <cell r="E27">
            <v>1.1208053691275168</v>
          </cell>
          <cell r="F27">
            <v>1.1093023255813954</v>
          </cell>
          <cell r="G27">
            <v>1.2272727272727273</v>
          </cell>
        </row>
        <row r="28">
          <cell r="A28">
            <v>35496</v>
          </cell>
          <cell r="B28">
            <v>1.165016501650165</v>
          </cell>
          <cell r="C28">
            <v>1.1216848673946958</v>
          </cell>
          <cell r="D28">
            <v>1.1541353383458646</v>
          </cell>
          <cell r="E28">
            <v>1.2147651006711409</v>
          </cell>
          <cell r="F28">
            <v>1.1511627906976745</v>
          </cell>
          <cell r="G28">
            <v>1.2386363636363635</v>
          </cell>
        </row>
        <row r="29">
          <cell r="A29">
            <v>35499</v>
          </cell>
          <cell r="B29">
            <v>1.165016501650165</v>
          </cell>
          <cell r="C29">
            <v>1.1372854914196568</v>
          </cell>
          <cell r="D29">
            <v>1.1766917293233083</v>
          </cell>
          <cell r="E29">
            <v>1.2348993288590604</v>
          </cell>
          <cell r="F29">
            <v>1.2069767441860466</v>
          </cell>
          <cell r="G29">
            <v>1.3068181818181819</v>
          </cell>
        </row>
        <row r="30">
          <cell r="A30">
            <v>35500</v>
          </cell>
          <cell r="B30">
            <v>1.1452145214521452</v>
          </cell>
          <cell r="C30">
            <v>1.1528861154446177</v>
          </cell>
          <cell r="D30">
            <v>1.1766917293233083</v>
          </cell>
          <cell r="E30">
            <v>1.2348993288590604</v>
          </cell>
          <cell r="F30">
            <v>1.2255813953488373</v>
          </cell>
          <cell r="G30">
            <v>1.2954545454545454</v>
          </cell>
        </row>
        <row r="31">
          <cell r="A31">
            <v>35501</v>
          </cell>
          <cell r="B31">
            <v>1.1386138613861385</v>
          </cell>
          <cell r="C31">
            <v>1.1591263650546022</v>
          </cell>
          <cell r="D31">
            <v>1.1879699248120301</v>
          </cell>
          <cell r="E31">
            <v>1.2214765100671141</v>
          </cell>
          <cell r="F31">
            <v>1.213953488372093</v>
          </cell>
          <cell r="G31">
            <v>1.2954545454545454</v>
          </cell>
        </row>
        <row r="32">
          <cell r="A32">
            <v>35502</v>
          </cell>
          <cell r="B32">
            <v>1.1353135313531353</v>
          </cell>
          <cell r="C32">
            <v>1.1232449297971918</v>
          </cell>
          <cell r="D32">
            <v>1.1766917293233083</v>
          </cell>
          <cell r="E32">
            <v>1.1879194630872483</v>
          </cell>
          <cell r="F32">
            <v>1.1895348837209303</v>
          </cell>
          <cell r="G32">
            <v>1.2954545454545454</v>
          </cell>
        </row>
        <row r="33">
          <cell r="A33">
            <v>35503</v>
          </cell>
          <cell r="B33">
            <v>1.1353135313531353</v>
          </cell>
          <cell r="C33">
            <v>1.1341653666146645</v>
          </cell>
          <cell r="D33">
            <v>1.1691729323308271</v>
          </cell>
          <cell r="E33">
            <v>1.2281879194630871</v>
          </cell>
          <cell r="F33">
            <v>1.1837209302325582</v>
          </cell>
          <cell r="G33">
            <v>1.2954545454545454</v>
          </cell>
        </row>
        <row r="34">
          <cell r="A34">
            <v>35506</v>
          </cell>
          <cell r="B34">
            <v>1.1377887788778878</v>
          </cell>
          <cell r="C34">
            <v>1.1216848673946958</v>
          </cell>
          <cell r="D34">
            <v>1.1541353383458646</v>
          </cell>
          <cell r="E34">
            <v>1.1946308724832215</v>
          </cell>
          <cell r="F34">
            <v>1.1348837209302325</v>
          </cell>
          <cell r="G34">
            <v>1.2954545454545454</v>
          </cell>
        </row>
        <row r="35">
          <cell r="A35">
            <v>35507</v>
          </cell>
          <cell r="B35">
            <v>1.1287128712871286</v>
          </cell>
          <cell r="C35">
            <v>1.1154446177847115</v>
          </cell>
          <cell r="D35">
            <v>1.1428571428571428</v>
          </cell>
          <cell r="E35">
            <v>1.1946308724832215</v>
          </cell>
          <cell r="F35">
            <v>1.1093023255813954</v>
          </cell>
          <cell r="G35">
            <v>1.3068181818181819</v>
          </cell>
        </row>
        <row r="36">
          <cell r="A36">
            <v>35508</v>
          </cell>
          <cell r="B36">
            <v>1.1287128712871286</v>
          </cell>
          <cell r="C36">
            <v>1.0936037441497659</v>
          </cell>
          <cell r="D36">
            <v>1.1466165413533835</v>
          </cell>
          <cell r="E36">
            <v>1.174496644295302</v>
          </cell>
          <cell r="F36">
            <v>1.1232558139534883</v>
          </cell>
          <cell r="G36">
            <v>1.2954545454545454</v>
          </cell>
        </row>
        <row r="37">
          <cell r="A37">
            <v>35509</v>
          </cell>
          <cell r="B37">
            <v>1.1303630363036303</v>
          </cell>
          <cell r="C37">
            <v>1.0998439937597504</v>
          </cell>
          <cell r="D37">
            <v>1.1503759398496241</v>
          </cell>
          <cell r="E37">
            <v>1.1677852348993289</v>
          </cell>
          <cell r="F37">
            <v>1.155813953488372</v>
          </cell>
          <cell r="G37">
            <v>1.2954545454545454</v>
          </cell>
        </row>
        <row r="38">
          <cell r="A38">
            <v>35510</v>
          </cell>
          <cell r="B38">
            <v>1.1221122112211221</v>
          </cell>
          <cell r="C38">
            <v>1.1014040561622465</v>
          </cell>
          <cell r="D38">
            <v>1.1466165413533835</v>
          </cell>
          <cell r="E38">
            <v>1.1812080536912752</v>
          </cell>
          <cell r="F38">
            <v>1.1441860465116278</v>
          </cell>
          <cell r="G38">
            <v>1.2954545454545454</v>
          </cell>
        </row>
        <row r="39">
          <cell r="A39">
            <v>35513</v>
          </cell>
          <cell r="B39">
            <v>1.0965346534653466</v>
          </cell>
          <cell r="C39">
            <v>1.0951638065522622</v>
          </cell>
          <cell r="D39">
            <v>1.1353383458646618</v>
          </cell>
          <cell r="E39">
            <v>1.1677852348993289</v>
          </cell>
          <cell r="F39">
            <v>1.1441860465116278</v>
          </cell>
          <cell r="G39">
            <v>1.2954545454545454</v>
          </cell>
        </row>
        <row r="40">
          <cell r="A40">
            <v>35514</v>
          </cell>
          <cell r="B40">
            <v>1.1221122112211221</v>
          </cell>
          <cell r="C40">
            <v>1.1232449297971918</v>
          </cell>
          <cell r="D40">
            <v>1.131578947368421</v>
          </cell>
          <cell r="E40">
            <v>1.1812080536912752</v>
          </cell>
          <cell r="F40">
            <v>1.1790697674418604</v>
          </cell>
          <cell r="G40">
            <v>1.2954545454545454</v>
          </cell>
        </row>
        <row r="41">
          <cell r="A41">
            <v>35515</v>
          </cell>
          <cell r="B41">
            <v>1.1435643564356435</v>
          </cell>
          <cell r="C41">
            <v>1.1185647425897036</v>
          </cell>
          <cell r="D41">
            <v>1.112781954887218</v>
          </cell>
          <cell r="E41">
            <v>1.2013422818791946</v>
          </cell>
          <cell r="F41">
            <v>1.1697674418604651</v>
          </cell>
          <cell r="G41">
            <v>1.2954545454545454</v>
          </cell>
        </row>
        <row r="42">
          <cell r="A42">
            <v>35516</v>
          </cell>
          <cell r="B42">
            <v>1.141914191419142</v>
          </cell>
          <cell r="C42">
            <v>1.0904836193447738</v>
          </cell>
          <cell r="D42">
            <v>1.1052631578947369</v>
          </cell>
          <cell r="E42">
            <v>1.174496644295302</v>
          </cell>
          <cell r="F42">
            <v>1.1372093023255814</v>
          </cell>
          <cell r="G42">
            <v>1.2954545454545454</v>
          </cell>
        </row>
        <row r="43">
          <cell r="A43">
            <v>35517</v>
          </cell>
          <cell r="B43">
            <v>1.141914191419142</v>
          </cell>
          <cell r="C43">
            <v>1.0904836193447738</v>
          </cell>
          <cell r="D43">
            <v>1.1052631578947369</v>
          </cell>
          <cell r="E43">
            <v>1.174496644295302</v>
          </cell>
          <cell r="F43">
            <v>1.1372093023255814</v>
          </cell>
          <cell r="G43">
            <v>1.2954545454545454</v>
          </cell>
        </row>
        <row r="44">
          <cell r="A44">
            <v>35520</v>
          </cell>
          <cell r="B44">
            <v>1.1386138613861385</v>
          </cell>
          <cell r="C44">
            <v>1.0717628705148206</v>
          </cell>
          <cell r="D44">
            <v>1.0977443609022557</v>
          </cell>
          <cell r="E44">
            <v>1.1812080536912752</v>
          </cell>
          <cell r="F44">
            <v>1.0906976744186045</v>
          </cell>
          <cell r="G44">
            <v>1.2954545454545454</v>
          </cell>
        </row>
        <row r="45">
          <cell r="A45">
            <v>35521</v>
          </cell>
          <cell r="B45">
            <v>1.1056105610561056</v>
          </cell>
          <cell r="C45">
            <v>1.0748829953198127</v>
          </cell>
          <cell r="D45">
            <v>1.1090225563909775</v>
          </cell>
          <cell r="E45">
            <v>1.1342281879194631</v>
          </cell>
          <cell r="F45">
            <v>1.0604651162790697</v>
          </cell>
          <cell r="G45">
            <v>1.2954545454545454</v>
          </cell>
        </row>
        <row r="46">
          <cell r="A46">
            <v>35522</v>
          </cell>
          <cell r="B46">
            <v>1.0973597359735974</v>
          </cell>
          <cell r="C46">
            <v>1.0748829953198127</v>
          </cell>
          <cell r="D46">
            <v>0.84586466165413532</v>
          </cell>
          <cell r="E46">
            <v>1.1140939597315436</v>
          </cell>
          <cell r="F46">
            <v>1.0511627906976744</v>
          </cell>
          <cell r="G46">
            <v>1.2954545454545454</v>
          </cell>
        </row>
        <row r="47">
          <cell r="A47">
            <v>35523</v>
          </cell>
          <cell r="B47">
            <v>1.0957095709570956</v>
          </cell>
          <cell r="C47">
            <v>1.0842433697347893</v>
          </cell>
          <cell r="D47">
            <v>0.82330827067669177</v>
          </cell>
          <cell r="E47">
            <v>1.1342281879194631</v>
          </cell>
          <cell r="F47">
            <v>1.0813953488372092</v>
          </cell>
          <cell r="G47">
            <v>1.2840909090909092</v>
          </cell>
        </row>
        <row r="48">
          <cell r="A48">
            <v>35524</v>
          </cell>
          <cell r="B48">
            <v>1.1023102310231023</v>
          </cell>
          <cell r="C48">
            <v>1.076443057722309</v>
          </cell>
          <cell r="D48">
            <v>0.83082706766917291</v>
          </cell>
          <cell r="E48">
            <v>1.1342281879194631</v>
          </cell>
          <cell r="F48">
            <v>1.0790697674418606</v>
          </cell>
          <cell r="G48">
            <v>1.2954545454545454</v>
          </cell>
        </row>
        <row r="49">
          <cell r="A49">
            <v>35527</v>
          </cell>
          <cell r="B49">
            <v>1.0907590759075907</v>
          </cell>
          <cell r="C49">
            <v>1.0670826833073324</v>
          </cell>
          <cell r="D49">
            <v>0.82706766917293228</v>
          </cell>
          <cell r="E49">
            <v>1.1677852348993289</v>
          </cell>
          <cell r="F49">
            <v>1.1093023255813954</v>
          </cell>
          <cell r="G49">
            <v>1.2954545454545454</v>
          </cell>
        </row>
        <row r="50">
          <cell r="A50">
            <v>35528</v>
          </cell>
          <cell r="B50">
            <v>1.0907590759075907</v>
          </cell>
          <cell r="C50">
            <v>1.0686427457098284</v>
          </cell>
          <cell r="D50">
            <v>0.81578947368421051</v>
          </cell>
          <cell r="E50">
            <v>1.1610738255033557</v>
          </cell>
          <cell r="F50">
            <v>1.1418604651162791</v>
          </cell>
          <cell r="G50">
            <v>1.2840909090909092</v>
          </cell>
        </row>
        <row r="51">
          <cell r="A51">
            <v>35529</v>
          </cell>
          <cell r="B51">
            <v>1.0874587458745875</v>
          </cell>
          <cell r="C51">
            <v>1.0655226209048363</v>
          </cell>
          <cell r="D51">
            <v>0.83834586466165417</v>
          </cell>
          <cell r="E51">
            <v>1.1208053691275168</v>
          </cell>
          <cell r="F51">
            <v>1.1744186046511629</v>
          </cell>
          <cell r="G51">
            <v>1.3068181818181819</v>
          </cell>
        </row>
        <row r="52">
          <cell r="A52">
            <v>35530</v>
          </cell>
          <cell r="B52">
            <v>1.0891089108910892</v>
          </cell>
          <cell r="C52">
            <v>1.076443057722309</v>
          </cell>
          <cell r="D52">
            <v>0.83458646616541354</v>
          </cell>
          <cell r="E52">
            <v>1.1409395973154361</v>
          </cell>
          <cell r="F52">
            <v>1.1976744186046511</v>
          </cell>
          <cell r="G52">
            <v>1.2954545454545454</v>
          </cell>
        </row>
        <row r="53">
          <cell r="A53">
            <v>35531</v>
          </cell>
          <cell r="B53">
            <v>1.0577557755775577</v>
          </cell>
          <cell r="C53">
            <v>1.0436817472698907</v>
          </cell>
          <cell r="D53">
            <v>0.81203007518796988</v>
          </cell>
          <cell r="E53">
            <v>1.1140939597315436</v>
          </cell>
          <cell r="F53">
            <v>1.1232558139534883</v>
          </cell>
          <cell r="G53">
            <v>1.2840909090909092</v>
          </cell>
        </row>
        <row r="54">
          <cell r="A54">
            <v>35534</v>
          </cell>
          <cell r="B54">
            <v>1.0379537953795379</v>
          </cell>
          <cell r="C54">
            <v>1.0748829953198127</v>
          </cell>
          <cell r="D54">
            <v>0.82330827067669177</v>
          </cell>
          <cell r="E54">
            <v>1.1275167785234899</v>
          </cell>
          <cell r="F54">
            <v>1.1534883720930234</v>
          </cell>
          <cell r="G54">
            <v>1.2727272727272727</v>
          </cell>
        </row>
        <row r="55">
          <cell r="A55">
            <v>35535</v>
          </cell>
          <cell r="B55">
            <v>1.0742574257425743</v>
          </cell>
          <cell r="C55">
            <v>1.1045241809672386</v>
          </cell>
          <cell r="D55">
            <v>0.84586466165413532</v>
          </cell>
          <cell r="E55">
            <v>1.1476510067114094</v>
          </cell>
          <cell r="F55">
            <v>1.1767441860465115</v>
          </cell>
          <cell r="G55">
            <v>1.2727272727272727</v>
          </cell>
        </row>
        <row r="56">
          <cell r="A56">
            <v>35536</v>
          </cell>
          <cell r="B56">
            <v>1.1039603960396041</v>
          </cell>
          <cell r="C56">
            <v>1.1201248049921997</v>
          </cell>
          <cell r="D56">
            <v>0.86466165413533835</v>
          </cell>
          <cell r="E56">
            <v>1.1476510067114094</v>
          </cell>
          <cell r="F56">
            <v>1.1476744186046512</v>
          </cell>
          <cell r="G56">
            <v>1.2840909090909092</v>
          </cell>
        </row>
        <row r="57">
          <cell r="A57">
            <v>35537</v>
          </cell>
          <cell r="B57">
            <v>1.0990099009900991</v>
          </cell>
          <cell r="C57">
            <v>1.0982839313572543</v>
          </cell>
          <cell r="D57">
            <v>0.84962406015037595</v>
          </cell>
          <cell r="E57">
            <v>1.1409395973154361</v>
          </cell>
          <cell r="F57">
            <v>1.1627906976744187</v>
          </cell>
          <cell r="G57">
            <v>1.2840909090909092</v>
          </cell>
        </row>
        <row r="58">
          <cell r="A58">
            <v>35538</v>
          </cell>
          <cell r="B58">
            <v>1.0577557755775577</v>
          </cell>
          <cell r="C58">
            <v>1.0717628705148206</v>
          </cell>
          <cell r="D58">
            <v>0.80451127819548873</v>
          </cell>
          <cell r="E58">
            <v>1.080536912751678</v>
          </cell>
          <cell r="F58">
            <v>1.1232558139534883</v>
          </cell>
          <cell r="G58">
            <v>1.2840909090909092</v>
          </cell>
        </row>
        <row r="59">
          <cell r="A59">
            <v>35541</v>
          </cell>
          <cell r="B59">
            <v>1.0445544554455446</v>
          </cell>
          <cell r="C59">
            <v>1.0624024960998439</v>
          </cell>
          <cell r="D59">
            <v>0.77819548872180455</v>
          </cell>
          <cell r="E59">
            <v>1.0939597315436242</v>
          </cell>
          <cell r="F59">
            <v>1.1232558139534883</v>
          </cell>
          <cell r="G59">
            <v>1.2727272727272727</v>
          </cell>
        </row>
        <row r="60">
          <cell r="A60">
            <v>35542</v>
          </cell>
          <cell r="B60">
            <v>1.0297029702970297</v>
          </cell>
          <cell r="C60">
            <v>1.0702028081123245</v>
          </cell>
          <cell r="D60">
            <v>0.76691729323308266</v>
          </cell>
          <cell r="E60">
            <v>1.1073825503355705</v>
          </cell>
          <cell r="F60">
            <v>1.1418604651162791</v>
          </cell>
          <cell r="G60">
            <v>1.2727272727272727</v>
          </cell>
        </row>
        <row r="61">
          <cell r="A61">
            <v>35543</v>
          </cell>
          <cell r="B61">
            <v>1.0148514851485149</v>
          </cell>
          <cell r="C61">
            <v>1.0686427457098284</v>
          </cell>
          <cell r="D61">
            <v>0.75563909774436089</v>
          </cell>
          <cell r="E61">
            <v>1.1208053691275168</v>
          </cell>
          <cell r="F61">
            <v>1.1488372093023256</v>
          </cell>
          <cell r="G61">
            <v>1.2727272727272727</v>
          </cell>
        </row>
        <row r="62">
          <cell r="A62">
            <v>35544</v>
          </cell>
          <cell r="B62">
            <v>1.0198019801980198</v>
          </cell>
          <cell r="C62">
            <v>1.0530421216848673</v>
          </cell>
          <cell r="D62">
            <v>0.75939849624060152</v>
          </cell>
          <cell r="E62">
            <v>1.080536912751678</v>
          </cell>
          <cell r="F62">
            <v>1.1395348837209303</v>
          </cell>
          <cell r="G62">
            <v>1.2727272727272727</v>
          </cell>
        </row>
        <row r="63">
          <cell r="A63">
            <v>35545</v>
          </cell>
          <cell r="B63">
            <v>1.0156765676567656</v>
          </cell>
          <cell r="C63">
            <v>1.0483619344773791</v>
          </cell>
          <cell r="D63">
            <v>0.74060150375939848</v>
          </cell>
          <cell r="E63">
            <v>1.0939597315436242</v>
          </cell>
          <cell r="F63">
            <v>1.1046511627906976</v>
          </cell>
          <cell r="G63">
            <v>1.2727272727272727</v>
          </cell>
        </row>
        <row r="64">
          <cell r="A64">
            <v>35548</v>
          </cell>
          <cell r="B64">
            <v>1.0099009900990099</v>
          </cell>
          <cell r="C64">
            <v>1.0468018720748831</v>
          </cell>
          <cell r="D64">
            <v>0.73308270676691734</v>
          </cell>
          <cell r="E64">
            <v>1.087248322147651</v>
          </cell>
          <cell r="F64">
            <v>1.0976744186046512</v>
          </cell>
          <cell r="G64">
            <v>1.2613636363636365</v>
          </cell>
        </row>
        <row r="65">
          <cell r="A65">
            <v>35549</v>
          </cell>
          <cell r="B65">
            <v>1.033003300330033</v>
          </cell>
          <cell r="C65">
            <v>1.1185647425897036</v>
          </cell>
          <cell r="D65">
            <v>0.77067669172932329</v>
          </cell>
          <cell r="E65">
            <v>1.1543624161073827</v>
          </cell>
          <cell r="F65">
            <v>1.1674418604651162</v>
          </cell>
          <cell r="G65">
            <v>1.2613636363636365</v>
          </cell>
        </row>
        <row r="66">
          <cell r="A66">
            <v>35550</v>
          </cell>
          <cell r="B66">
            <v>1.0594059405940595</v>
          </cell>
          <cell r="C66">
            <v>1.1372854914196568</v>
          </cell>
          <cell r="D66">
            <v>0.81203007518796988</v>
          </cell>
          <cell r="E66">
            <v>1.1677852348993289</v>
          </cell>
          <cell r="F66">
            <v>1.2255813953488373</v>
          </cell>
          <cell r="G66">
            <v>1.2613636363636365</v>
          </cell>
        </row>
        <row r="67">
          <cell r="A67">
            <v>35551</v>
          </cell>
          <cell r="B67">
            <v>1.0148514851485149</v>
          </cell>
          <cell r="C67">
            <v>1.1216848673946958</v>
          </cell>
          <cell r="D67">
            <v>0.80451127819548873</v>
          </cell>
          <cell r="E67">
            <v>1.1610738255033557</v>
          </cell>
          <cell r="F67">
            <v>1.213953488372093</v>
          </cell>
          <cell r="G67">
            <v>1.2727272727272727</v>
          </cell>
        </row>
        <row r="68">
          <cell r="A68">
            <v>35552</v>
          </cell>
          <cell r="B68">
            <v>1.0181518151815181</v>
          </cell>
          <cell r="C68">
            <v>1.1216848673946958</v>
          </cell>
          <cell r="D68">
            <v>0.82330827067669177</v>
          </cell>
          <cell r="E68">
            <v>1.174496644295302</v>
          </cell>
          <cell r="F68">
            <v>1.2720930232558139</v>
          </cell>
          <cell r="G68">
            <v>1.2727272727272727</v>
          </cell>
        </row>
        <row r="69">
          <cell r="A69">
            <v>35555</v>
          </cell>
          <cell r="B69">
            <v>1.0396039603960396</v>
          </cell>
          <cell r="C69">
            <v>1.1310452418096724</v>
          </cell>
          <cell r="D69">
            <v>0.83458646616541354</v>
          </cell>
          <cell r="E69">
            <v>1.1543624161073827</v>
          </cell>
          <cell r="F69">
            <v>1.2</v>
          </cell>
          <cell r="G69">
            <v>1.2954545454545454</v>
          </cell>
        </row>
        <row r="70">
          <cell r="A70">
            <v>35556</v>
          </cell>
          <cell r="B70">
            <v>1.056930693069307</v>
          </cell>
          <cell r="C70">
            <v>1.1965678627145087</v>
          </cell>
          <cell r="D70">
            <v>0.81203007518796988</v>
          </cell>
          <cell r="E70">
            <v>1.1543624161073827</v>
          </cell>
          <cell r="F70">
            <v>1.2441860465116279</v>
          </cell>
          <cell r="G70">
            <v>1.2727272727272727</v>
          </cell>
        </row>
        <row r="71">
          <cell r="A71">
            <v>35557</v>
          </cell>
          <cell r="B71">
            <v>1.0627062706270627</v>
          </cell>
          <cell r="C71">
            <v>1.2059282371294853</v>
          </cell>
          <cell r="D71">
            <v>0.81203007518796988</v>
          </cell>
          <cell r="E71">
            <v>1.1610738255033557</v>
          </cell>
          <cell r="F71">
            <v>1.2511627906976743</v>
          </cell>
          <cell r="G71">
            <v>1.2840909090909092</v>
          </cell>
        </row>
        <row r="72">
          <cell r="A72">
            <v>35558</v>
          </cell>
          <cell r="B72">
            <v>1.0412541254125414</v>
          </cell>
          <cell r="C72">
            <v>1.2246489859594383</v>
          </cell>
          <cell r="D72">
            <v>0.80451127819548873</v>
          </cell>
          <cell r="E72">
            <v>1.1476510067114094</v>
          </cell>
          <cell r="F72">
            <v>1.2279069767441861</v>
          </cell>
          <cell r="G72">
            <v>1.2727272727272727</v>
          </cell>
        </row>
        <row r="73">
          <cell r="A73">
            <v>35559</v>
          </cell>
          <cell r="B73">
            <v>1.028052805280528</v>
          </cell>
          <cell r="C73">
            <v>1.2293291731669267</v>
          </cell>
          <cell r="D73">
            <v>0.81578947368421051</v>
          </cell>
          <cell r="E73">
            <v>1.1409395973154361</v>
          </cell>
          <cell r="F73">
            <v>1.2069767441860466</v>
          </cell>
          <cell r="G73">
            <v>1.2840909090909092</v>
          </cell>
        </row>
        <row r="74">
          <cell r="A74">
            <v>35562</v>
          </cell>
          <cell r="B74">
            <v>1.033003300330033</v>
          </cell>
          <cell r="C74">
            <v>1.2402496099843994</v>
          </cell>
          <cell r="D74">
            <v>0.83834586466165417</v>
          </cell>
          <cell r="E74">
            <v>1.174496644295302</v>
          </cell>
          <cell r="F74">
            <v>1.2279069767441861</v>
          </cell>
          <cell r="G74">
            <v>1.2840909090909092</v>
          </cell>
        </row>
        <row r="75">
          <cell r="A75">
            <v>35563</v>
          </cell>
          <cell r="B75">
            <v>0.98844884488448848</v>
          </cell>
          <cell r="C75">
            <v>1.2308892355694228</v>
          </cell>
          <cell r="D75">
            <v>0.83458646616541354</v>
          </cell>
          <cell r="E75">
            <v>1.2013422818791946</v>
          </cell>
          <cell r="F75">
            <v>1.2127906976744185</v>
          </cell>
          <cell r="G75">
            <v>1.2840909090909092</v>
          </cell>
        </row>
        <row r="76">
          <cell r="A76">
            <v>35564</v>
          </cell>
          <cell r="B76">
            <v>0.95379537953795379</v>
          </cell>
          <cell r="C76">
            <v>1.218408736349454</v>
          </cell>
          <cell r="D76">
            <v>0.83458646616541354</v>
          </cell>
          <cell r="E76">
            <v>1.1543624161073827</v>
          </cell>
          <cell r="F76">
            <v>1.1883720930232557</v>
          </cell>
          <cell r="G76">
            <v>1.2727272727272727</v>
          </cell>
        </row>
        <row r="77">
          <cell r="A77">
            <v>35565</v>
          </cell>
          <cell r="B77">
            <v>0.96039603960396036</v>
          </cell>
          <cell r="C77">
            <v>1.2090483619344774</v>
          </cell>
          <cell r="D77">
            <v>0.83834586466165417</v>
          </cell>
          <cell r="E77">
            <v>1.1610738255033557</v>
          </cell>
          <cell r="F77">
            <v>1.1744186046511629</v>
          </cell>
          <cell r="G77">
            <v>1.2840909090909092</v>
          </cell>
        </row>
        <row r="78">
          <cell r="A78">
            <v>35566</v>
          </cell>
          <cell r="B78">
            <v>0.97029702970297027</v>
          </cell>
          <cell r="C78">
            <v>1.1825273010920436</v>
          </cell>
          <cell r="D78">
            <v>0.83834586466165417</v>
          </cell>
          <cell r="E78">
            <v>1.1409395973154361</v>
          </cell>
          <cell r="F78">
            <v>1.1790697674418604</v>
          </cell>
          <cell r="G78">
            <v>1.2840909090909092</v>
          </cell>
        </row>
        <row r="79">
          <cell r="A79">
            <v>35569</v>
          </cell>
          <cell r="B79">
            <v>0.97854785478547857</v>
          </cell>
          <cell r="C79">
            <v>1.204368174726989</v>
          </cell>
          <cell r="D79">
            <v>0.84210526315789469</v>
          </cell>
          <cell r="E79">
            <v>1.1610738255033557</v>
          </cell>
          <cell r="F79">
            <v>1.2186046511627906</v>
          </cell>
          <cell r="G79">
            <v>1.2840909090909092</v>
          </cell>
        </row>
        <row r="80">
          <cell r="A80">
            <v>35570</v>
          </cell>
          <cell r="B80">
            <v>0.98679867986798675</v>
          </cell>
          <cell r="C80">
            <v>1.204368174726989</v>
          </cell>
          <cell r="D80">
            <v>0.83834586466165417</v>
          </cell>
          <cell r="E80">
            <v>1.1677852348993289</v>
          </cell>
          <cell r="F80">
            <v>1.2488372093023257</v>
          </cell>
          <cell r="G80">
            <v>1.2840909090909092</v>
          </cell>
        </row>
        <row r="81">
          <cell r="A81">
            <v>35571</v>
          </cell>
          <cell r="B81">
            <v>0.98514851485148514</v>
          </cell>
          <cell r="C81">
            <v>1.1778471138845554</v>
          </cell>
          <cell r="D81">
            <v>0.84586466165413532</v>
          </cell>
          <cell r="E81">
            <v>1.1409395973154361</v>
          </cell>
          <cell r="F81">
            <v>1.2244186046511627</v>
          </cell>
          <cell r="G81">
            <v>1.2840909090909092</v>
          </cell>
        </row>
        <row r="82">
          <cell r="A82">
            <v>35572</v>
          </cell>
          <cell r="B82">
            <v>1.0148514851485149</v>
          </cell>
          <cell r="C82">
            <v>1.1825273010920436</v>
          </cell>
          <cell r="D82">
            <v>0.84962406015037595</v>
          </cell>
          <cell r="E82">
            <v>1.1342281879194631</v>
          </cell>
          <cell r="F82">
            <v>1.2116279069767442</v>
          </cell>
          <cell r="G82">
            <v>1.3068181818181819</v>
          </cell>
        </row>
        <row r="83">
          <cell r="A83">
            <v>35573</v>
          </cell>
          <cell r="B83">
            <v>1.0066006600660067</v>
          </cell>
          <cell r="C83">
            <v>1.1887675507020281</v>
          </cell>
          <cell r="D83">
            <v>0.8571428571428571</v>
          </cell>
          <cell r="E83">
            <v>1.1677852348993289</v>
          </cell>
          <cell r="F83">
            <v>1.2116279069767442</v>
          </cell>
          <cell r="G83">
            <v>1.2954545454545454</v>
          </cell>
        </row>
        <row r="84">
          <cell r="A84">
            <v>35576</v>
          </cell>
          <cell r="B84">
            <v>1.0066006600660067</v>
          </cell>
          <cell r="C84">
            <v>1.1887675507020281</v>
          </cell>
          <cell r="D84">
            <v>0.8571428571428571</v>
          </cell>
          <cell r="E84">
            <v>1.1677852348993289</v>
          </cell>
          <cell r="F84">
            <v>1.2116279069767442</v>
          </cell>
          <cell r="G84">
            <v>1.2954545454545454</v>
          </cell>
        </row>
        <row r="85">
          <cell r="A85">
            <v>35577</v>
          </cell>
          <cell r="B85">
            <v>1.0066006600660067</v>
          </cell>
          <cell r="C85">
            <v>1.1903276131045242</v>
          </cell>
          <cell r="D85">
            <v>0.8721804511278195</v>
          </cell>
          <cell r="E85">
            <v>1.1543624161073827</v>
          </cell>
          <cell r="F85">
            <v>1.2232558139534884</v>
          </cell>
          <cell r="G85">
            <v>1.3068181818181819</v>
          </cell>
        </row>
        <row r="86">
          <cell r="A86">
            <v>35578</v>
          </cell>
          <cell r="B86">
            <v>1.0066006600660067</v>
          </cell>
          <cell r="C86">
            <v>1.1825273010920436</v>
          </cell>
          <cell r="D86">
            <v>0.88345864661654139</v>
          </cell>
          <cell r="E86">
            <v>1.1342281879194631</v>
          </cell>
          <cell r="F86">
            <v>1.2093023255813953</v>
          </cell>
          <cell r="G86">
            <v>1.3068181818181819</v>
          </cell>
        </row>
        <row r="87">
          <cell r="A87">
            <v>35579</v>
          </cell>
          <cell r="B87">
            <v>1.0297029702970297</v>
          </cell>
          <cell r="C87">
            <v>1.1965678627145087</v>
          </cell>
          <cell r="D87">
            <v>0.86842105263157898</v>
          </cell>
          <cell r="E87">
            <v>1.1543624161073827</v>
          </cell>
          <cell r="F87">
            <v>1.2116279069767442</v>
          </cell>
          <cell r="G87">
            <v>1.3068181818181819</v>
          </cell>
        </row>
        <row r="88">
          <cell r="A88">
            <v>35580</v>
          </cell>
          <cell r="B88">
            <v>1.0462046204620461</v>
          </cell>
          <cell r="C88">
            <v>1.2605304212168487</v>
          </cell>
          <cell r="D88">
            <v>0.89849624060150379</v>
          </cell>
          <cell r="E88">
            <v>1.2214765100671141</v>
          </cell>
          <cell r="F88">
            <v>1.3116279069767443</v>
          </cell>
          <cell r="G88">
            <v>1.3181818181818181</v>
          </cell>
        </row>
        <row r="89">
          <cell r="A89">
            <v>35583</v>
          </cell>
          <cell r="B89">
            <v>1.0511551155115511</v>
          </cell>
          <cell r="C89">
            <v>1.2480499219968799</v>
          </cell>
          <cell r="D89">
            <v>0.90225563909774431</v>
          </cell>
          <cell r="E89">
            <v>1.2483221476510067</v>
          </cell>
          <cell r="F89">
            <v>1.344186046511628</v>
          </cell>
          <cell r="G89">
            <v>1.3068181818181819</v>
          </cell>
        </row>
        <row r="90">
          <cell r="A90">
            <v>35584</v>
          </cell>
          <cell r="B90">
            <v>1.056105610561056</v>
          </cell>
          <cell r="C90">
            <v>1.2371294851794072</v>
          </cell>
          <cell r="D90">
            <v>0.92481203007518797</v>
          </cell>
          <cell r="E90">
            <v>1.2684563758389262</v>
          </cell>
          <cell r="F90">
            <v>1.35</v>
          </cell>
          <cell r="G90">
            <v>1.3068181818181819</v>
          </cell>
        </row>
        <row r="91">
          <cell r="A91">
            <v>35585</v>
          </cell>
          <cell r="B91">
            <v>1.0833333333333333</v>
          </cell>
          <cell r="C91">
            <v>1.2605304212168487</v>
          </cell>
          <cell r="D91">
            <v>0.9135338345864662</v>
          </cell>
          <cell r="E91">
            <v>1.2483221476510067</v>
          </cell>
          <cell r="F91">
            <v>1.3779069767441861</v>
          </cell>
          <cell r="G91">
            <v>1.3181818181818181</v>
          </cell>
        </row>
        <row r="92">
          <cell r="A92">
            <v>35586</v>
          </cell>
          <cell r="B92">
            <v>1.0891089108910892</v>
          </cell>
          <cell r="C92">
            <v>1.2854914196567864</v>
          </cell>
          <cell r="D92">
            <v>0.90977443609022557</v>
          </cell>
          <cell r="E92">
            <v>1.2550335570469799</v>
          </cell>
          <cell r="F92">
            <v>1.3395348837209302</v>
          </cell>
          <cell r="G92">
            <v>1.3068181818181819</v>
          </cell>
        </row>
        <row r="93">
          <cell r="A93">
            <v>35587</v>
          </cell>
          <cell r="B93">
            <v>1.0726072607260726</v>
          </cell>
          <cell r="C93">
            <v>1.313572542901716</v>
          </cell>
          <cell r="D93">
            <v>0.93233082706766912</v>
          </cell>
          <cell r="E93">
            <v>1.2416107382550337</v>
          </cell>
          <cell r="F93">
            <v>1.3162790697674418</v>
          </cell>
          <cell r="G93">
            <v>1.3068181818181819</v>
          </cell>
        </row>
        <row r="94">
          <cell r="A94">
            <v>35590</v>
          </cell>
          <cell r="B94">
            <v>1.0874587458745875</v>
          </cell>
          <cell r="C94">
            <v>1.3494539781591264</v>
          </cell>
          <cell r="D94">
            <v>0.94360902255639101</v>
          </cell>
          <cell r="E94">
            <v>1.2818791946308725</v>
          </cell>
          <cell r="F94">
            <v>1.3523255813953488</v>
          </cell>
          <cell r="G94">
            <v>1.3068181818181819</v>
          </cell>
        </row>
        <row r="95">
          <cell r="A95">
            <v>35591</v>
          </cell>
          <cell r="B95">
            <v>1.0808580858085808</v>
          </cell>
          <cell r="C95">
            <v>1.3416536661466458</v>
          </cell>
          <cell r="D95">
            <v>0.96240601503759393</v>
          </cell>
          <cell r="E95">
            <v>1.3020134228187918</v>
          </cell>
          <cell r="F95">
            <v>1.3383720930232559</v>
          </cell>
          <cell r="G95">
            <v>1.3295454545454546</v>
          </cell>
        </row>
        <row r="96">
          <cell r="A96">
            <v>35592</v>
          </cell>
          <cell r="B96">
            <v>1.1105610561056105</v>
          </cell>
          <cell r="C96">
            <v>1.3541341653666146</v>
          </cell>
          <cell r="D96">
            <v>0.98496240601503759</v>
          </cell>
          <cell r="E96">
            <v>1.2953020134228188</v>
          </cell>
          <cell r="F96">
            <v>1.3395348837209302</v>
          </cell>
          <cell r="G96">
            <v>1.3181818181818181</v>
          </cell>
        </row>
        <row r="97">
          <cell r="A97">
            <v>35593</v>
          </cell>
          <cell r="B97">
            <v>1.1468646864686469</v>
          </cell>
          <cell r="C97">
            <v>1.3884555382215289</v>
          </cell>
          <cell r="D97">
            <v>0.96992481203007519</v>
          </cell>
          <cell r="E97">
            <v>1.2818791946308725</v>
          </cell>
          <cell r="F97">
            <v>1.3209302325581396</v>
          </cell>
          <cell r="G97">
            <v>1.3181818181818181</v>
          </cell>
        </row>
        <row r="98">
          <cell r="A98">
            <v>35594</v>
          </cell>
          <cell r="B98">
            <v>1.1534653465346534</v>
          </cell>
          <cell r="C98">
            <v>1.4071762870514821</v>
          </cell>
          <cell r="D98">
            <v>0.97744360902255634</v>
          </cell>
          <cell r="E98">
            <v>1.3020134228187918</v>
          </cell>
          <cell r="F98">
            <v>1.3186046511627907</v>
          </cell>
          <cell r="G98">
            <v>1.3181818181818181</v>
          </cell>
        </row>
        <row r="99">
          <cell r="A99">
            <v>35597</v>
          </cell>
          <cell r="B99">
            <v>1.136138613861386</v>
          </cell>
          <cell r="C99">
            <v>1.3666146645865835</v>
          </cell>
          <cell r="D99">
            <v>0.96240601503759393</v>
          </cell>
          <cell r="E99">
            <v>1.2751677852348993</v>
          </cell>
          <cell r="F99">
            <v>1.2872093023255815</v>
          </cell>
          <cell r="G99">
            <v>1.3181818181818181</v>
          </cell>
        </row>
        <row r="100">
          <cell r="A100">
            <v>35598</v>
          </cell>
          <cell r="B100">
            <v>1.1303630363036303</v>
          </cell>
          <cell r="C100">
            <v>1.3650546021840875</v>
          </cell>
          <cell r="D100">
            <v>0.93984962406015038</v>
          </cell>
          <cell r="E100">
            <v>1.2818791946308725</v>
          </cell>
          <cell r="F100">
            <v>1.286046511627907</v>
          </cell>
          <cell r="G100">
            <v>1.3181818181818181</v>
          </cell>
        </row>
        <row r="101">
          <cell r="A101">
            <v>35599</v>
          </cell>
          <cell r="B101">
            <v>1.0973597359735974</v>
          </cell>
          <cell r="C101">
            <v>1.3338533541341653</v>
          </cell>
          <cell r="D101">
            <v>0.94360902255639101</v>
          </cell>
          <cell r="E101">
            <v>1.2751677852348993</v>
          </cell>
          <cell r="F101">
            <v>1.2790697674418605</v>
          </cell>
          <cell r="G101">
            <v>1.3181818181818181</v>
          </cell>
        </row>
        <row r="102">
          <cell r="A102">
            <v>35600</v>
          </cell>
          <cell r="B102">
            <v>1.1171617161716172</v>
          </cell>
          <cell r="C102">
            <v>1.3634945397815912</v>
          </cell>
          <cell r="D102">
            <v>0.97744360902255634</v>
          </cell>
          <cell r="E102">
            <v>1.2885906040268456</v>
          </cell>
          <cell r="F102">
            <v>1.3813953488372093</v>
          </cell>
          <cell r="G102">
            <v>1.3295454545454546</v>
          </cell>
        </row>
        <row r="103">
          <cell r="A103">
            <v>35601</v>
          </cell>
          <cell r="B103">
            <v>1.1320132013201321</v>
          </cell>
          <cell r="C103">
            <v>1.3494539781591264</v>
          </cell>
          <cell r="D103">
            <v>0.98496240601503759</v>
          </cell>
          <cell r="E103">
            <v>1.2751677852348993</v>
          </cell>
          <cell r="F103">
            <v>1.3651162790697675</v>
          </cell>
          <cell r="G103">
            <v>1.3295454545454546</v>
          </cell>
        </row>
        <row r="104">
          <cell r="A104">
            <v>35604</v>
          </cell>
          <cell r="B104">
            <v>1.1287128712871286</v>
          </cell>
          <cell r="C104">
            <v>1.3354134165366616</v>
          </cell>
          <cell r="D104">
            <v>0.97368421052631582</v>
          </cell>
          <cell r="E104">
            <v>1.2550335570469799</v>
          </cell>
          <cell r="F104">
            <v>1.3616279069767443</v>
          </cell>
          <cell r="G104">
            <v>1.3295454545454546</v>
          </cell>
        </row>
        <row r="105">
          <cell r="A105">
            <v>35605</v>
          </cell>
          <cell r="B105">
            <v>0.88118811881188119</v>
          </cell>
          <cell r="C105">
            <v>1.3494539781591264</v>
          </cell>
          <cell r="D105">
            <v>0.94736842105263153</v>
          </cell>
          <cell r="E105">
            <v>1.2483221476510067</v>
          </cell>
          <cell r="F105">
            <v>1.3651162790697675</v>
          </cell>
          <cell r="G105">
            <v>1.3295454545454546</v>
          </cell>
        </row>
        <row r="106">
          <cell r="A106">
            <v>35606</v>
          </cell>
          <cell r="B106">
            <v>0.92409240924092406</v>
          </cell>
          <cell r="C106">
            <v>1.3361934477379096</v>
          </cell>
          <cell r="D106">
            <v>0.94360902255639101</v>
          </cell>
          <cell r="E106">
            <v>1.2449664429530201</v>
          </cell>
          <cell r="F106">
            <v>1.3813953488372093</v>
          </cell>
          <cell r="G106">
            <v>1.3295454545454546</v>
          </cell>
        </row>
        <row r="107">
          <cell r="A107">
            <v>35607</v>
          </cell>
          <cell r="B107">
            <v>0.91171617161716167</v>
          </cell>
          <cell r="C107">
            <v>1.3299531981279251</v>
          </cell>
          <cell r="D107">
            <v>0.93609022556390975</v>
          </cell>
          <cell r="E107">
            <v>1.2315436241610738</v>
          </cell>
          <cell r="F107">
            <v>1.3744186046511628</v>
          </cell>
          <cell r="G107">
            <v>1.3238636363636365</v>
          </cell>
        </row>
        <row r="108">
          <cell r="A108">
            <v>35608</v>
          </cell>
          <cell r="B108">
            <v>0.83003300330033003</v>
          </cell>
          <cell r="C108">
            <v>1.2971918876755071</v>
          </cell>
          <cell r="D108">
            <v>0.93984962406015038</v>
          </cell>
          <cell r="E108">
            <v>1.2281879194630871</v>
          </cell>
          <cell r="F108">
            <v>1.3581395348837209</v>
          </cell>
          <cell r="G108">
            <v>1.3295454545454546</v>
          </cell>
        </row>
        <row r="109">
          <cell r="A109">
            <v>35611</v>
          </cell>
          <cell r="B109">
            <v>0.84323432343234328</v>
          </cell>
          <cell r="C109">
            <v>1.2776911076443058</v>
          </cell>
          <cell r="D109">
            <v>0.91165413533834583</v>
          </cell>
          <cell r="E109">
            <v>1.2416107382550337</v>
          </cell>
          <cell r="F109">
            <v>1.3348837209302327</v>
          </cell>
          <cell r="G109">
            <v>1.3295454545454546</v>
          </cell>
        </row>
        <row r="110">
          <cell r="A110">
            <v>35612</v>
          </cell>
          <cell r="B110">
            <v>0.84818481848184824</v>
          </cell>
          <cell r="C110">
            <v>1.2761310452418098</v>
          </cell>
          <cell r="D110">
            <v>0.9285714285714286</v>
          </cell>
          <cell r="E110">
            <v>1.238255033557047</v>
          </cell>
          <cell r="F110">
            <v>1.3837209302325582</v>
          </cell>
          <cell r="G110">
            <v>1.3295454545454546</v>
          </cell>
        </row>
        <row r="111">
          <cell r="A111">
            <v>35613</v>
          </cell>
          <cell r="B111">
            <v>0.8366336633663366</v>
          </cell>
          <cell r="C111">
            <v>1.2901716068642746</v>
          </cell>
          <cell r="D111">
            <v>0.9285714285714286</v>
          </cell>
          <cell r="E111">
            <v>1.2449664429530201</v>
          </cell>
          <cell r="F111">
            <v>1.4116279069767441</v>
          </cell>
          <cell r="G111">
            <v>1.3181818181818181</v>
          </cell>
        </row>
        <row r="112">
          <cell r="A112">
            <v>35614</v>
          </cell>
          <cell r="B112">
            <v>0.84570957095709576</v>
          </cell>
          <cell r="C112">
            <v>1.3151326053042123</v>
          </cell>
          <cell r="D112">
            <v>0.93421052631578949</v>
          </cell>
          <cell r="E112">
            <v>1.2348993288590604</v>
          </cell>
          <cell r="F112">
            <v>1.4290697674418604</v>
          </cell>
          <cell r="G112">
            <v>1.3125</v>
          </cell>
        </row>
        <row r="113">
          <cell r="A113">
            <v>35615</v>
          </cell>
          <cell r="B113">
            <v>0.84570957095709576</v>
          </cell>
          <cell r="C113">
            <v>1.3151326053042123</v>
          </cell>
          <cell r="D113">
            <v>0.93421052631578949</v>
          </cell>
          <cell r="E113">
            <v>1.2348993288590604</v>
          </cell>
          <cell r="F113">
            <v>1.4290697674418604</v>
          </cell>
          <cell r="G113">
            <v>1.3125</v>
          </cell>
        </row>
        <row r="114">
          <cell r="A114">
            <v>35618</v>
          </cell>
          <cell r="B114">
            <v>0.84158415841584155</v>
          </cell>
          <cell r="C114">
            <v>1.3018720748829953</v>
          </cell>
          <cell r="D114">
            <v>0.93984962406015038</v>
          </cell>
          <cell r="E114">
            <v>1.238255033557047</v>
          </cell>
          <cell r="F114">
            <v>1.4162790697674419</v>
          </cell>
          <cell r="G114">
            <v>1.3181818181818181</v>
          </cell>
        </row>
        <row r="115">
          <cell r="A115">
            <v>35619</v>
          </cell>
          <cell r="B115">
            <v>0.85808580858085803</v>
          </cell>
          <cell r="C115">
            <v>1.3112324492979719</v>
          </cell>
          <cell r="D115">
            <v>0.9285714285714286</v>
          </cell>
          <cell r="E115">
            <v>1.2315436241610738</v>
          </cell>
          <cell r="F115">
            <v>1.4953488372093022</v>
          </cell>
          <cell r="G115">
            <v>1.3181818181818181</v>
          </cell>
        </row>
        <row r="116">
          <cell r="A116">
            <v>35620</v>
          </cell>
          <cell r="B116">
            <v>0.86303630363036299</v>
          </cell>
          <cell r="C116">
            <v>1.2893915756630265</v>
          </cell>
          <cell r="D116">
            <v>0.90977443609022557</v>
          </cell>
          <cell r="E116">
            <v>1.2348993288590604</v>
          </cell>
          <cell r="F116">
            <v>1.4441860465116279</v>
          </cell>
          <cell r="G116">
            <v>1.3295454545454546</v>
          </cell>
        </row>
        <row r="117">
          <cell r="A117">
            <v>35621</v>
          </cell>
          <cell r="B117">
            <v>0.86138613861386137</v>
          </cell>
          <cell r="C117">
            <v>1.2901716068642746</v>
          </cell>
          <cell r="D117">
            <v>0.91917293233082709</v>
          </cell>
          <cell r="E117">
            <v>1.261744966442953</v>
          </cell>
          <cell r="F117">
            <v>1.4744186046511627</v>
          </cell>
          <cell r="G117">
            <v>1.3295454545454546</v>
          </cell>
        </row>
        <row r="118">
          <cell r="A118">
            <v>35622</v>
          </cell>
          <cell r="B118">
            <v>0.83333333333333337</v>
          </cell>
          <cell r="C118">
            <v>1.3096723868954758</v>
          </cell>
          <cell r="D118">
            <v>0.9135338345864662</v>
          </cell>
          <cell r="E118">
            <v>1.2751677852348993</v>
          </cell>
          <cell r="F118">
            <v>1.5069767441860464</v>
          </cell>
          <cell r="G118">
            <v>1.3181818181818181</v>
          </cell>
        </row>
        <row r="119">
          <cell r="A119">
            <v>35625</v>
          </cell>
          <cell r="B119">
            <v>0.84818481848184824</v>
          </cell>
          <cell r="C119">
            <v>1.3010920436817472</v>
          </cell>
          <cell r="D119">
            <v>0.92293233082706772</v>
          </cell>
          <cell r="E119">
            <v>1.261744966442953</v>
          </cell>
          <cell r="F119">
            <v>1.4697674418604652</v>
          </cell>
          <cell r="G119">
            <v>1.3295454545454546</v>
          </cell>
        </row>
        <row r="120">
          <cell r="A120">
            <v>35626</v>
          </cell>
          <cell r="B120">
            <v>0.85231023102310233</v>
          </cell>
          <cell r="C120">
            <v>1.3042121684867394</v>
          </cell>
          <cell r="D120">
            <v>0.93045112781954886</v>
          </cell>
          <cell r="E120">
            <v>1.2651006711409396</v>
          </cell>
          <cell r="F120">
            <v>1.5139534883720931</v>
          </cell>
          <cell r="G120">
            <v>1.3181818181818181</v>
          </cell>
        </row>
        <row r="121">
          <cell r="A121">
            <v>35627</v>
          </cell>
          <cell r="B121">
            <v>0.84983498349834985</v>
          </cell>
          <cell r="C121">
            <v>1.3424336973478939</v>
          </cell>
          <cell r="D121">
            <v>0.9135338345864662</v>
          </cell>
          <cell r="E121">
            <v>1.2885906040268456</v>
          </cell>
          <cell r="F121">
            <v>1.569767441860465</v>
          </cell>
          <cell r="G121">
            <v>1.2954545454545454</v>
          </cell>
        </row>
        <row r="122">
          <cell r="A122">
            <v>35628</v>
          </cell>
          <cell r="B122">
            <v>0.85313531353135319</v>
          </cell>
          <cell r="C122">
            <v>1.3338533541341653</v>
          </cell>
          <cell r="D122">
            <v>0.91541353383458646</v>
          </cell>
          <cell r="E122">
            <v>1.2684563758389262</v>
          </cell>
          <cell r="F122">
            <v>1.6069767441860465</v>
          </cell>
          <cell r="G122">
            <v>1.3068181818181819</v>
          </cell>
        </row>
        <row r="123">
          <cell r="A123">
            <v>35629</v>
          </cell>
          <cell r="B123">
            <v>0.84653465346534651</v>
          </cell>
          <cell r="C123">
            <v>1.3018720748829953</v>
          </cell>
          <cell r="D123">
            <v>0.91541353383458646</v>
          </cell>
          <cell r="E123">
            <v>1.2583892617449663</v>
          </cell>
          <cell r="F123">
            <v>1.6046511627906976</v>
          </cell>
          <cell r="G123">
            <v>1.2954545454545454</v>
          </cell>
        </row>
        <row r="124">
          <cell r="A124">
            <v>35632</v>
          </cell>
          <cell r="B124">
            <v>0.83993399339933994</v>
          </cell>
          <cell r="C124">
            <v>1.3252730109204369</v>
          </cell>
          <cell r="D124">
            <v>0.90037593984962405</v>
          </cell>
          <cell r="E124">
            <v>1.2483221476510067</v>
          </cell>
          <cell r="F124">
            <v>1.5488372093023255</v>
          </cell>
          <cell r="G124">
            <v>1.3125</v>
          </cell>
        </row>
        <row r="125">
          <cell r="A125">
            <v>35633</v>
          </cell>
          <cell r="B125">
            <v>0.84488448844884489</v>
          </cell>
          <cell r="C125">
            <v>1.3400936037441498</v>
          </cell>
          <cell r="D125">
            <v>0.90413533834586468</v>
          </cell>
          <cell r="E125">
            <v>1.2751677852348993</v>
          </cell>
          <cell r="F125">
            <v>1.5813953488372092</v>
          </cell>
          <cell r="G125">
            <v>1.3238636363636365</v>
          </cell>
        </row>
        <row r="126">
          <cell r="A126">
            <v>35634</v>
          </cell>
          <cell r="B126">
            <v>0.84158415841584155</v>
          </cell>
          <cell r="C126">
            <v>1.3837753510140405</v>
          </cell>
          <cell r="D126">
            <v>0.90601503759398494</v>
          </cell>
          <cell r="E126">
            <v>1.2483221476510067</v>
          </cell>
          <cell r="F126">
            <v>1.5930232558139534</v>
          </cell>
          <cell r="G126">
            <v>1.3238636363636365</v>
          </cell>
        </row>
        <row r="127">
          <cell r="A127">
            <v>35635</v>
          </cell>
          <cell r="B127">
            <v>0.86551155115511547</v>
          </cell>
          <cell r="C127">
            <v>1.43603744149766</v>
          </cell>
          <cell r="D127">
            <v>0.95676691729323304</v>
          </cell>
          <cell r="E127">
            <v>1.3154362416107384</v>
          </cell>
          <cell r="F127">
            <v>1.6279069767441861</v>
          </cell>
          <cell r="G127">
            <v>1.3238636363636365</v>
          </cell>
        </row>
        <row r="128">
          <cell r="A128">
            <v>35636</v>
          </cell>
          <cell r="B128">
            <v>0.86963696369636967</v>
          </cell>
          <cell r="C128">
            <v>1.4056162246489861</v>
          </cell>
          <cell r="D128">
            <v>0.9285714285714286</v>
          </cell>
          <cell r="E128">
            <v>1.2651006711409396</v>
          </cell>
          <cell r="F128">
            <v>1.5837209302325581</v>
          </cell>
          <cell r="G128">
            <v>1.3238636363636365</v>
          </cell>
        </row>
        <row r="129">
          <cell r="A129">
            <v>35639</v>
          </cell>
          <cell r="B129">
            <v>0.85643564356435642</v>
          </cell>
          <cell r="C129">
            <v>1.3759750390015602</v>
          </cell>
          <cell r="D129">
            <v>0.9285714285714286</v>
          </cell>
          <cell r="E129">
            <v>1.2416107382550337</v>
          </cell>
          <cell r="F129">
            <v>1.5418604651162791</v>
          </cell>
          <cell r="G129">
            <v>1.3181818181818181</v>
          </cell>
        </row>
        <row r="130">
          <cell r="A130">
            <v>35640</v>
          </cell>
          <cell r="B130">
            <v>0.8729372937293729</v>
          </cell>
          <cell r="C130">
            <v>1.4149765990639624</v>
          </cell>
          <cell r="D130">
            <v>0.94360902255639101</v>
          </cell>
          <cell r="E130">
            <v>1.2550335570469799</v>
          </cell>
          <cell r="F130">
            <v>1.5441860465116279</v>
          </cell>
          <cell r="G130">
            <v>1.3125</v>
          </cell>
        </row>
        <row r="131">
          <cell r="A131">
            <v>35641</v>
          </cell>
          <cell r="B131">
            <v>0.9455445544554455</v>
          </cell>
          <cell r="C131">
            <v>1.4266770670826834</v>
          </cell>
          <cell r="D131">
            <v>0.96804511278195493</v>
          </cell>
          <cell r="E131">
            <v>1.2751677852348993</v>
          </cell>
          <cell r="F131">
            <v>1.5767441860465117</v>
          </cell>
          <cell r="G131">
            <v>1.3181818181818181</v>
          </cell>
        </row>
        <row r="132">
          <cell r="A132">
            <v>35642</v>
          </cell>
          <cell r="B132">
            <v>0.93399339933993397</v>
          </cell>
          <cell r="C132">
            <v>1.421996879875195</v>
          </cell>
          <cell r="D132">
            <v>0.97368421052631582</v>
          </cell>
          <cell r="E132">
            <v>1.3087248322147651</v>
          </cell>
          <cell r="F132">
            <v>1.5639534883720929</v>
          </cell>
          <cell r="G132">
            <v>1.3181818181818181</v>
          </cell>
        </row>
        <row r="133">
          <cell r="A133">
            <v>35643</v>
          </cell>
          <cell r="B133">
            <v>0.8910891089108911</v>
          </cell>
          <cell r="C133">
            <v>1.422776911076443</v>
          </cell>
          <cell r="D133">
            <v>0.96240601503759393</v>
          </cell>
          <cell r="E133">
            <v>1.2852348993288591</v>
          </cell>
          <cell r="F133">
            <v>1.5488372093023255</v>
          </cell>
          <cell r="G133">
            <v>1.3181818181818181</v>
          </cell>
        </row>
        <row r="134">
          <cell r="A134">
            <v>35646</v>
          </cell>
          <cell r="B134">
            <v>0.90594059405940597</v>
          </cell>
          <cell r="C134">
            <v>1.4602184087363494</v>
          </cell>
          <cell r="D134">
            <v>0.99436090225563911</v>
          </cell>
          <cell r="E134">
            <v>1.3087248322147651</v>
          </cell>
          <cell r="F134">
            <v>1.5965116279069766</v>
          </cell>
          <cell r="G134">
            <v>1.3181818181818181</v>
          </cell>
        </row>
        <row r="135">
          <cell r="A135">
            <v>35647</v>
          </cell>
          <cell r="B135">
            <v>0.8952145214521452</v>
          </cell>
          <cell r="C135">
            <v>1.282371294851794</v>
          </cell>
          <cell r="D135">
            <v>0.97556390977443608</v>
          </cell>
          <cell r="E135">
            <v>1.2885906040268456</v>
          </cell>
          <cell r="F135">
            <v>1.527906976744186</v>
          </cell>
          <cell r="G135">
            <v>1.3238636363636365</v>
          </cell>
        </row>
        <row r="136">
          <cell r="A136">
            <v>35648</v>
          </cell>
          <cell r="B136">
            <v>0.8910891089108911</v>
          </cell>
          <cell r="C136">
            <v>1.2730109204368174</v>
          </cell>
          <cell r="D136">
            <v>0.94736842105263153</v>
          </cell>
          <cell r="E136">
            <v>1.3154362416107384</v>
          </cell>
          <cell r="F136">
            <v>1.4744186046511627</v>
          </cell>
          <cell r="G136">
            <v>1.3125</v>
          </cell>
        </row>
        <row r="137">
          <cell r="A137">
            <v>35649</v>
          </cell>
          <cell r="B137">
            <v>0.88778877887788776</v>
          </cell>
          <cell r="C137">
            <v>1.2074882995319813</v>
          </cell>
          <cell r="D137">
            <v>0.91165413533834583</v>
          </cell>
          <cell r="E137">
            <v>1.2751677852348993</v>
          </cell>
          <cell r="F137">
            <v>1.3767441860465117</v>
          </cell>
          <cell r="G137">
            <v>1.2954545454545454</v>
          </cell>
        </row>
        <row r="138">
          <cell r="A138">
            <v>35650</v>
          </cell>
          <cell r="B138">
            <v>0.91089108910891092</v>
          </cell>
          <cell r="C138">
            <v>1.218408736349454</v>
          </cell>
          <cell r="D138">
            <v>0.91729323308270672</v>
          </cell>
          <cell r="E138">
            <v>1.2583892617449663</v>
          </cell>
          <cell r="F138">
            <v>1.3767441860465117</v>
          </cell>
          <cell r="G138">
            <v>1.3125</v>
          </cell>
        </row>
        <row r="139">
          <cell r="A139">
            <v>35653</v>
          </cell>
          <cell r="B139">
            <v>0.91749174917491749</v>
          </cell>
          <cell r="C139">
            <v>1.2199687987519501</v>
          </cell>
          <cell r="D139">
            <v>0.9135338345864662</v>
          </cell>
          <cell r="E139">
            <v>1.2818791946308725</v>
          </cell>
          <cell r="F139">
            <v>1.3813953488372093</v>
          </cell>
          <cell r="G139">
            <v>1.3295454545454546</v>
          </cell>
        </row>
        <row r="140">
          <cell r="A140">
            <v>35654</v>
          </cell>
          <cell r="B140">
            <v>0.91254125412541254</v>
          </cell>
          <cell r="C140">
            <v>1.217628705148206</v>
          </cell>
          <cell r="D140">
            <v>0.90789473684210531</v>
          </cell>
          <cell r="E140">
            <v>1.2550335570469799</v>
          </cell>
          <cell r="F140">
            <v>1.386046511627907</v>
          </cell>
          <cell r="G140">
            <v>1.3295454545454546</v>
          </cell>
        </row>
        <row r="141">
          <cell r="A141">
            <v>35655</v>
          </cell>
          <cell r="B141">
            <v>0.93399339933993397</v>
          </cell>
          <cell r="C141">
            <v>1.2012480499219969</v>
          </cell>
          <cell r="D141">
            <v>0.9135338345864662</v>
          </cell>
          <cell r="E141">
            <v>1.2248322147651007</v>
          </cell>
          <cell r="F141">
            <v>1.3558139534883722</v>
          </cell>
          <cell r="G141">
            <v>1.3295454545454546</v>
          </cell>
        </row>
        <row r="142">
          <cell r="A142">
            <v>35656</v>
          </cell>
          <cell r="B142">
            <v>0.95132013201320131</v>
          </cell>
          <cell r="C142">
            <v>1.2082683307332294</v>
          </cell>
          <cell r="D142">
            <v>0.9135338345864662</v>
          </cell>
          <cell r="E142">
            <v>1.2483221476510067</v>
          </cell>
          <cell r="F142">
            <v>1.3953488372093024</v>
          </cell>
          <cell r="G142">
            <v>1.3295454545454546</v>
          </cell>
        </row>
        <row r="143">
          <cell r="A143">
            <v>35657</v>
          </cell>
          <cell r="B143">
            <v>0.94884488448844884</v>
          </cell>
          <cell r="C143">
            <v>1.1950078003120126</v>
          </cell>
          <cell r="D143">
            <v>0.90977443609022557</v>
          </cell>
          <cell r="E143">
            <v>1.2684563758389262</v>
          </cell>
          <cell r="F143">
            <v>1.4</v>
          </cell>
          <cell r="G143">
            <v>1.3295454545454546</v>
          </cell>
        </row>
        <row r="144">
          <cell r="A144">
            <v>35660</v>
          </cell>
          <cell r="B144">
            <v>0.9356435643564357</v>
          </cell>
          <cell r="C144">
            <v>1.1895475819032761</v>
          </cell>
          <cell r="D144">
            <v>0.90601503759398494</v>
          </cell>
          <cell r="E144">
            <v>1.2651006711409396</v>
          </cell>
          <cell r="F144">
            <v>1.413953488372093</v>
          </cell>
          <cell r="G144">
            <v>1.3352272727272727</v>
          </cell>
        </row>
        <row r="145">
          <cell r="A145">
            <v>35661</v>
          </cell>
          <cell r="B145">
            <v>0.94224422442244227</v>
          </cell>
          <cell r="C145">
            <v>1.1770670826833074</v>
          </cell>
          <cell r="D145">
            <v>0.92481203007518797</v>
          </cell>
          <cell r="E145">
            <v>1.2986577181208054</v>
          </cell>
          <cell r="F145">
            <v>1.4604651162790698</v>
          </cell>
          <cell r="G145">
            <v>1.3522727272727273</v>
          </cell>
        </row>
        <row r="146">
          <cell r="A146">
            <v>35662</v>
          </cell>
          <cell r="B146">
            <v>0.95049504950495045</v>
          </cell>
          <cell r="C146">
            <v>1.173166926677067</v>
          </cell>
          <cell r="D146">
            <v>0.9135338345864662</v>
          </cell>
          <cell r="E146">
            <v>1.2986577181208054</v>
          </cell>
          <cell r="F146">
            <v>1.4767441860465116</v>
          </cell>
          <cell r="G146">
            <v>1.3522727272727273</v>
          </cell>
        </row>
        <row r="147">
          <cell r="A147">
            <v>35663</v>
          </cell>
          <cell r="B147">
            <v>0.92904290429042902</v>
          </cell>
          <cell r="C147">
            <v>1.1669266770670828</v>
          </cell>
          <cell r="D147">
            <v>0.91165413533834583</v>
          </cell>
          <cell r="E147">
            <v>1.2684563758389262</v>
          </cell>
          <cell r="F147">
            <v>1.4279069767441861</v>
          </cell>
          <cell r="G147">
            <v>1.3522727272727273</v>
          </cell>
        </row>
        <row r="148">
          <cell r="A148">
            <v>35664</v>
          </cell>
          <cell r="B148">
            <v>0.93894389438943893</v>
          </cell>
          <cell r="C148">
            <v>1.1653666146645867</v>
          </cell>
          <cell r="D148">
            <v>0.93984962406015038</v>
          </cell>
          <cell r="E148">
            <v>1.261744966442953</v>
          </cell>
          <cell r="F148">
            <v>1.430232558139535</v>
          </cell>
          <cell r="G148">
            <v>1.3522727272727273</v>
          </cell>
        </row>
        <row r="149">
          <cell r="A149">
            <v>35667</v>
          </cell>
          <cell r="B149">
            <v>0.91584158415841588</v>
          </cell>
          <cell r="C149">
            <v>1.187207488299532</v>
          </cell>
          <cell r="D149">
            <v>0.94548872180451127</v>
          </cell>
          <cell r="E149">
            <v>1.2919463087248322</v>
          </cell>
          <cell r="F149">
            <v>1.4244186046511629</v>
          </cell>
          <cell r="G149">
            <v>1.3465909090909092</v>
          </cell>
        </row>
        <row r="150">
          <cell r="A150">
            <v>35668</v>
          </cell>
          <cell r="B150">
            <v>0.92409240924092406</v>
          </cell>
          <cell r="C150">
            <v>1.1981279251170047</v>
          </cell>
          <cell r="D150">
            <v>0.92669172932330823</v>
          </cell>
          <cell r="E150">
            <v>1.2953020134228188</v>
          </cell>
          <cell r="F150">
            <v>1.4162790697674419</v>
          </cell>
          <cell r="G150">
            <v>1.3465909090909092</v>
          </cell>
        </row>
        <row r="151">
          <cell r="A151">
            <v>35669</v>
          </cell>
          <cell r="B151">
            <v>0.91254125412541254</v>
          </cell>
          <cell r="C151">
            <v>1.2098283931357254</v>
          </cell>
          <cell r="D151">
            <v>0.94736842105263153</v>
          </cell>
          <cell r="E151">
            <v>1.2818791946308725</v>
          </cell>
          <cell r="F151">
            <v>1.3930232558139535</v>
          </cell>
          <cell r="G151">
            <v>1.3522727272727273</v>
          </cell>
        </row>
        <row r="152">
          <cell r="A152">
            <v>35670</v>
          </cell>
          <cell r="B152">
            <v>0.9092409240924092</v>
          </cell>
          <cell r="C152">
            <v>1.1989079563182528</v>
          </cell>
          <cell r="D152">
            <v>0.95864661654135341</v>
          </cell>
          <cell r="E152">
            <v>1.2785234899328859</v>
          </cell>
          <cell r="F152">
            <v>1.3651162790697675</v>
          </cell>
          <cell r="G152">
            <v>1.3522727272727273</v>
          </cell>
        </row>
        <row r="153">
          <cell r="A153">
            <v>35671</v>
          </cell>
          <cell r="B153">
            <v>0.90264026402640263</v>
          </cell>
          <cell r="C153">
            <v>1.1911076443057722</v>
          </cell>
          <cell r="D153">
            <v>0.95676691729323304</v>
          </cell>
          <cell r="E153">
            <v>1.2651006711409396</v>
          </cell>
          <cell r="F153">
            <v>1.3604651162790697</v>
          </cell>
          <cell r="G153">
            <v>1.3522727272727273</v>
          </cell>
        </row>
        <row r="154">
          <cell r="A154">
            <v>35674</v>
          </cell>
          <cell r="B154">
            <v>0.90264026402640263</v>
          </cell>
          <cell r="C154">
            <v>1.1911076443057722</v>
          </cell>
          <cell r="D154">
            <v>0.95676691729323304</v>
          </cell>
          <cell r="E154">
            <v>1.2651006711409396</v>
          </cell>
          <cell r="F154">
            <v>1.3604651162790697</v>
          </cell>
          <cell r="G154">
            <v>1.3522727272727273</v>
          </cell>
        </row>
        <row r="155">
          <cell r="A155">
            <v>35675</v>
          </cell>
          <cell r="B155">
            <v>0.94801980198019797</v>
          </cell>
          <cell r="C155">
            <v>1.2207488299531981</v>
          </cell>
          <cell r="D155">
            <v>0.97368421052631582</v>
          </cell>
          <cell r="E155">
            <v>1.2516778523489933</v>
          </cell>
          <cell r="F155">
            <v>1.3813953488372093</v>
          </cell>
          <cell r="G155">
            <v>1.3579545454545454</v>
          </cell>
        </row>
        <row r="156">
          <cell r="A156">
            <v>35676</v>
          </cell>
          <cell r="B156">
            <v>0.95049504950495045</v>
          </cell>
          <cell r="C156">
            <v>1.2394695787831513</v>
          </cell>
          <cell r="D156">
            <v>0.98872180451127822</v>
          </cell>
          <cell r="E156">
            <v>1.3087248322147651</v>
          </cell>
          <cell r="F156">
            <v>1.4075581395348837</v>
          </cell>
          <cell r="G156">
            <v>1.3636363636363635</v>
          </cell>
        </row>
        <row r="157">
          <cell r="A157">
            <v>35677</v>
          </cell>
          <cell r="B157">
            <v>0.94059405940594054</v>
          </cell>
          <cell r="C157">
            <v>1.2464898595943839</v>
          </cell>
          <cell r="D157">
            <v>0.97744360902255634</v>
          </cell>
          <cell r="E157">
            <v>1.2885906040268456</v>
          </cell>
          <cell r="F157">
            <v>1.4046511627906977</v>
          </cell>
          <cell r="G157">
            <v>1.3522727272727273</v>
          </cell>
        </row>
        <row r="158">
          <cell r="A158">
            <v>35678</v>
          </cell>
          <cell r="B158">
            <v>0.94884488448844884</v>
          </cell>
          <cell r="C158">
            <v>1.2636505460218408</v>
          </cell>
          <cell r="D158">
            <v>0.99812030075187974</v>
          </cell>
          <cell r="E158">
            <v>1.3120805369127517</v>
          </cell>
          <cell r="F158">
            <v>1.4395348837209303</v>
          </cell>
          <cell r="G158">
            <v>1.3522727272727273</v>
          </cell>
        </row>
        <row r="159">
          <cell r="A159">
            <v>35681</v>
          </cell>
          <cell r="B159">
            <v>0.94636963696369636</v>
          </cell>
          <cell r="C159">
            <v>1.2659906396255851</v>
          </cell>
          <cell r="D159">
            <v>0.99248120300751874</v>
          </cell>
          <cell r="E159">
            <v>1.2818791946308725</v>
          </cell>
          <cell r="F159">
            <v>1.4186046511627908</v>
          </cell>
          <cell r="G159">
            <v>1.3636363636363635</v>
          </cell>
        </row>
        <row r="160">
          <cell r="A160">
            <v>35682</v>
          </cell>
          <cell r="B160">
            <v>0.95049504950495045</v>
          </cell>
          <cell r="C160">
            <v>1.2730109204368174</v>
          </cell>
          <cell r="D160">
            <v>0.99624060150375937</v>
          </cell>
          <cell r="E160">
            <v>1.2953020134228188</v>
          </cell>
          <cell r="F160">
            <v>1.4209302325581394</v>
          </cell>
          <cell r="G160">
            <v>1.3579545454545454</v>
          </cell>
        </row>
        <row r="161">
          <cell r="A161">
            <v>35683</v>
          </cell>
          <cell r="B161">
            <v>0.95379537953795379</v>
          </cell>
          <cell r="C161">
            <v>1.2652106084243371</v>
          </cell>
          <cell r="D161">
            <v>0.99624060150375937</v>
          </cell>
          <cell r="E161">
            <v>1.2953020134228188</v>
          </cell>
          <cell r="F161">
            <v>1.4162790697674419</v>
          </cell>
          <cell r="G161">
            <v>1.3636363636363635</v>
          </cell>
        </row>
        <row r="162">
          <cell r="A162">
            <v>35684</v>
          </cell>
          <cell r="B162">
            <v>0.95049504950495045</v>
          </cell>
          <cell r="C162">
            <v>1.2480499219968799</v>
          </cell>
          <cell r="D162">
            <v>0.99060150375939848</v>
          </cell>
          <cell r="E162">
            <v>1.2785234899328859</v>
          </cell>
          <cell r="F162">
            <v>1.4395348837209303</v>
          </cell>
          <cell r="G162">
            <v>1.3579545454545454</v>
          </cell>
        </row>
        <row r="163">
          <cell r="A163">
            <v>35685</v>
          </cell>
          <cell r="B163">
            <v>0.98679867986798675</v>
          </cell>
          <cell r="C163">
            <v>1.2730109204368174</v>
          </cell>
          <cell r="D163">
            <v>1.013157894736842</v>
          </cell>
          <cell r="E163">
            <v>1.3389261744966443</v>
          </cell>
          <cell r="F163">
            <v>1.45</v>
          </cell>
          <cell r="G163">
            <v>1.3579545454545454</v>
          </cell>
        </row>
        <row r="164">
          <cell r="A164">
            <v>35688</v>
          </cell>
          <cell r="B164">
            <v>0.97689768976897695</v>
          </cell>
          <cell r="C164">
            <v>1.2862714508580344</v>
          </cell>
          <cell r="D164">
            <v>1.0018796992481203</v>
          </cell>
          <cell r="E164">
            <v>1.2885906040268456</v>
          </cell>
          <cell r="F164">
            <v>1.413953488372093</v>
          </cell>
          <cell r="G164">
            <v>1.3522727272727273</v>
          </cell>
        </row>
        <row r="165">
          <cell r="A165">
            <v>35689</v>
          </cell>
          <cell r="B165">
            <v>0.96534653465346532</v>
          </cell>
          <cell r="C165">
            <v>1.3213728549141965</v>
          </cell>
          <cell r="D165">
            <v>1.005639097744361</v>
          </cell>
          <cell r="E165">
            <v>1.3355704697986577</v>
          </cell>
          <cell r="F165">
            <v>1.4511627906976745</v>
          </cell>
          <cell r="G165">
            <v>1.3579545454545454</v>
          </cell>
        </row>
        <row r="166">
          <cell r="A166">
            <v>35690</v>
          </cell>
          <cell r="B166">
            <v>0.9636963696369637</v>
          </cell>
          <cell r="C166">
            <v>1.3237129485179406</v>
          </cell>
          <cell r="D166">
            <v>0.99436090225563911</v>
          </cell>
          <cell r="E166">
            <v>1.3355704697986577</v>
          </cell>
          <cell r="F166">
            <v>1.4279069767441861</v>
          </cell>
          <cell r="G166">
            <v>1.3636363636363635</v>
          </cell>
        </row>
        <row r="167">
          <cell r="A167">
            <v>35691</v>
          </cell>
          <cell r="B167">
            <v>0.96039603960396036</v>
          </cell>
          <cell r="C167">
            <v>1.3244929797191887</v>
          </cell>
          <cell r="D167">
            <v>1.0075187969924813</v>
          </cell>
          <cell r="E167">
            <v>1.3288590604026846</v>
          </cell>
          <cell r="F167">
            <v>1.430232558139535</v>
          </cell>
          <cell r="G167">
            <v>1.3636363636363635</v>
          </cell>
        </row>
        <row r="168">
          <cell r="A168">
            <v>35692</v>
          </cell>
          <cell r="B168">
            <v>0.96204620462046209</v>
          </cell>
          <cell r="C168">
            <v>1.3057722308892357</v>
          </cell>
          <cell r="D168">
            <v>1.0093984962406015</v>
          </cell>
          <cell r="E168">
            <v>1.3154362416107384</v>
          </cell>
          <cell r="F168">
            <v>1.4232558139534883</v>
          </cell>
          <cell r="G168">
            <v>1.3636363636363635</v>
          </cell>
        </row>
        <row r="169">
          <cell r="A169">
            <v>35695</v>
          </cell>
          <cell r="B169">
            <v>0.95709570957095713</v>
          </cell>
          <cell r="C169">
            <v>1.282371294851794</v>
          </cell>
          <cell r="D169">
            <v>1.0075187969924813</v>
          </cell>
          <cell r="E169">
            <v>1.3020134228187918</v>
          </cell>
          <cell r="F169">
            <v>1.4476744186046511</v>
          </cell>
          <cell r="G169">
            <v>1.3636363636363635</v>
          </cell>
        </row>
        <row r="170">
          <cell r="A170">
            <v>35696</v>
          </cell>
          <cell r="B170">
            <v>0.92574257425742579</v>
          </cell>
          <cell r="C170">
            <v>1.1692667706708268</v>
          </cell>
          <cell r="D170">
            <v>0.99812030075187974</v>
          </cell>
          <cell r="E170">
            <v>1.2785234899328859</v>
          </cell>
          <cell r="F170">
            <v>1.4313953488372093</v>
          </cell>
          <cell r="G170">
            <v>1.3636363636363635</v>
          </cell>
        </row>
        <row r="171">
          <cell r="A171">
            <v>35697</v>
          </cell>
          <cell r="B171">
            <v>0.92409240924092406</v>
          </cell>
          <cell r="C171">
            <v>1.1560062402496101</v>
          </cell>
          <cell r="D171">
            <v>0.98872180451127822</v>
          </cell>
          <cell r="E171">
            <v>1.2684563758389262</v>
          </cell>
          <cell r="F171">
            <v>1.4162790697674419</v>
          </cell>
          <cell r="G171">
            <v>1.3636363636363635</v>
          </cell>
        </row>
        <row r="172">
          <cell r="A172">
            <v>35698</v>
          </cell>
          <cell r="B172">
            <v>0.92079207920792083</v>
          </cell>
          <cell r="C172">
            <v>1.1248049921996879</v>
          </cell>
          <cell r="D172">
            <v>0.99436090225563911</v>
          </cell>
          <cell r="E172">
            <v>1.238255033557047</v>
          </cell>
          <cell r="F172">
            <v>1.3941860465116278</v>
          </cell>
          <cell r="G172">
            <v>1.3636363636363635</v>
          </cell>
        </row>
        <row r="173">
          <cell r="A173">
            <v>35699</v>
          </cell>
          <cell r="B173">
            <v>0.8952145214521452</v>
          </cell>
          <cell r="C173">
            <v>1.1294851794071763</v>
          </cell>
          <cell r="D173">
            <v>0.97556390977443608</v>
          </cell>
          <cell r="E173">
            <v>1.2550335570469799</v>
          </cell>
          <cell r="F173">
            <v>1.4511627906976745</v>
          </cell>
          <cell r="G173">
            <v>1.3636363636363635</v>
          </cell>
        </row>
        <row r="174">
          <cell r="A174">
            <v>35702</v>
          </cell>
          <cell r="B174">
            <v>0.88778877887788776</v>
          </cell>
          <cell r="C174">
            <v>1.0109204368174727</v>
          </cell>
          <cell r="D174">
            <v>0.96052631578947367</v>
          </cell>
          <cell r="E174">
            <v>1.2550335570469799</v>
          </cell>
          <cell r="F174">
            <v>1.4116279069767441</v>
          </cell>
          <cell r="G174">
            <v>1.3636363636363635</v>
          </cell>
        </row>
        <row r="175">
          <cell r="A175">
            <v>35703</v>
          </cell>
          <cell r="B175">
            <v>0.89933993399339929</v>
          </cell>
          <cell r="C175">
            <v>1.0163806552262091</v>
          </cell>
          <cell r="D175">
            <v>0.96240601503759393</v>
          </cell>
          <cell r="E175">
            <v>1.2785234899328859</v>
          </cell>
          <cell r="F175">
            <v>1.3930232558139535</v>
          </cell>
          <cell r="G175">
            <v>1.3636363636363635</v>
          </cell>
        </row>
        <row r="176">
          <cell r="A176">
            <v>35704</v>
          </cell>
          <cell r="B176">
            <v>0.88448844884488453</v>
          </cell>
          <cell r="C176">
            <v>0.99531981279251169</v>
          </cell>
          <cell r="D176">
            <v>0.97932330827067671</v>
          </cell>
          <cell r="E176">
            <v>1.2550335570469799</v>
          </cell>
          <cell r="F176">
            <v>1.336046511627907</v>
          </cell>
          <cell r="G176">
            <v>1.3636363636363635</v>
          </cell>
        </row>
        <row r="177">
          <cell r="A177">
            <v>35705</v>
          </cell>
          <cell r="B177">
            <v>0.88531353135313529</v>
          </cell>
          <cell r="C177">
            <v>0.97659906396255847</v>
          </cell>
          <cell r="D177">
            <v>0.96240601503759393</v>
          </cell>
          <cell r="E177">
            <v>1.1946308724832215</v>
          </cell>
          <cell r="F177">
            <v>1.3255813953488371</v>
          </cell>
          <cell r="G177">
            <v>1.3636363636363635</v>
          </cell>
        </row>
        <row r="178">
          <cell r="A178">
            <v>35706</v>
          </cell>
          <cell r="B178">
            <v>0.89603960396039606</v>
          </cell>
          <cell r="C178">
            <v>0.9726989079563183</v>
          </cell>
          <cell r="D178">
            <v>0.96240601503759393</v>
          </cell>
          <cell r="E178">
            <v>1.2516778523489933</v>
          </cell>
          <cell r="F178">
            <v>1.3720930232558139</v>
          </cell>
          <cell r="G178">
            <v>1.3636363636363635</v>
          </cell>
        </row>
        <row r="179">
          <cell r="A179">
            <v>35709</v>
          </cell>
          <cell r="B179">
            <v>0.90594059405940597</v>
          </cell>
          <cell r="C179">
            <v>0.9726989079563183</v>
          </cell>
          <cell r="D179">
            <v>0.95676691729323304</v>
          </cell>
          <cell r="E179">
            <v>1.2348993288590604</v>
          </cell>
          <cell r="F179">
            <v>1.3232558139534885</v>
          </cell>
          <cell r="G179">
            <v>1.3636363636363635</v>
          </cell>
        </row>
        <row r="180">
          <cell r="A180">
            <v>35710</v>
          </cell>
          <cell r="B180">
            <v>0.94059405940594054</v>
          </cell>
          <cell r="C180">
            <v>1.0015600624024961</v>
          </cell>
          <cell r="D180">
            <v>1.0037593984962405</v>
          </cell>
          <cell r="E180">
            <v>1.3154362416107384</v>
          </cell>
          <cell r="F180">
            <v>1.4267441860465115</v>
          </cell>
          <cell r="G180">
            <v>1.3636363636363635</v>
          </cell>
        </row>
        <row r="181">
          <cell r="A181">
            <v>35711</v>
          </cell>
          <cell r="B181">
            <v>0.92904290429042902</v>
          </cell>
          <cell r="C181">
            <v>0.98751950078003126</v>
          </cell>
          <cell r="D181">
            <v>0.99812030075187974</v>
          </cell>
          <cell r="E181">
            <v>1.2718120805369129</v>
          </cell>
          <cell r="F181">
            <v>1.4488372093023256</v>
          </cell>
          <cell r="G181">
            <v>1.3636363636363635</v>
          </cell>
        </row>
        <row r="182">
          <cell r="A182">
            <v>35712</v>
          </cell>
          <cell r="B182">
            <v>0.93234323432343236</v>
          </cell>
          <cell r="C182">
            <v>0.98595943837753508</v>
          </cell>
          <cell r="D182">
            <v>0.98308270676691734</v>
          </cell>
          <cell r="E182">
            <v>1.2785234899328859</v>
          </cell>
          <cell r="F182">
            <v>1.430232558139535</v>
          </cell>
          <cell r="G182">
            <v>1.3636363636363635</v>
          </cell>
        </row>
        <row r="183">
          <cell r="A183">
            <v>35713</v>
          </cell>
          <cell r="B183">
            <v>0.92079207920792083</v>
          </cell>
          <cell r="C183">
            <v>0.98049921996879874</v>
          </cell>
          <cell r="D183">
            <v>0.98308270676691734</v>
          </cell>
          <cell r="E183">
            <v>1.2651006711409396</v>
          </cell>
          <cell r="F183">
            <v>1.3720930232558139</v>
          </cell>
          <cell r="G183">
            <v>1.3636363636363635</v>
          </cell>
        </row>
        <row r="184">
          <cell r="A184">
            <v>35716</v>
          </cell>
          <cell r="B184">
            <v>0.91419141914191415</v>
          </cell>
          <cell r="C184">
            <v>0.99687987519500776</v>
          </cell>
          <cell r="D184">
            <v>0.98684210526315785</v>
          </cell>
          <cell r="E184">
            <v>1.2885906040268456</v>
          </cell>
          <cell r="F184">
            <v>1.4162790697674419</v>
          </cell>
          <cell r="G184">
            <v>1.3636363636363635</v>
          </cell>
        </row>
        <row r="185">
          <cell r="A185">
            <v>35717</v>
          </cell>
          <cell r="B185">
            <v>0.91914191419141911</v>
          </cell>
          <cell r="C185">
            <v>0.98985959438377535</v>
          </cell>
          <cell r="D185">
            <v>0.99248120300751874</v>
          </cell>
          <cell r="E185">
            <v>1.2818791946308725</v>
          </cell>
          <cell r="F185">
            <v>1.3767441860465117</v>
          </cell>
          <cell r="G185">
            <v>1.3636363636363635</v>
          </cell>
        </row>
        <row r="186">
          <cell r="A186">
            <v>35718</v>
          </cell>
          <cell r="B186">
            <v>0.91089108910891092</v>
          </cell>
          <cell r="C186">
            <v>0.98361934477379098</v>
          </cell>
          <cell r="D186">
            <v>0.98308270676691734</v>
          </cell>
          <cell r="E186">
            <v>1.2919463087248322</v>
          </cell>
          <cell r="F186">
            <v>1.3674418604651162</v>
          </cell>
          <cell r="G186">
            <v>1.3636363636363635</v>
          </cell>
        </row>
        <row r="187">
          <cell r="A187">
            <v>35719</v>
          </cell>
          <cell r="B187">
            <v>0.91419141914191415</v>
          </cell>
          <cell r="C187">
            <v>0.95865834633385338</v>
          </cell>
          <cell r="D187">
            <v>0.95864661654135341</v>
          </cell>
          <cell r="E187">
            <v>1.2651006711409396</v>
          </cell>
          <cell r="F187">
            <v>1.3465116279069766</v>
          </cell>
          <cell r="G187">
            <v>1.3636363636363635</v>
          </cell>
        </row>
        <row r="188">
          <cell r="A188">
            <v>35720</v>
          </cell>
          <cell r="B188">
            <v>0.90594059405940597</v>
          </cell>
          <cell r="C188">
            <v>0.93369734789391579</v>
          </cell>
          <cell r="D188">
            <v>0.96804511278195493</v>
          </cell>
          <cell r="E188">
            <v>1.2718120805369129</v>
          </cell>
          <cell r="F188">
            <v>1.3104651162790697</v>
          </cell>
          <cell r="G188">
            <v>1.3636363636363635</v>
          </cell>
        </row>
        <row r="189">
          <cell r="A189">
            <v>35723</v>
          </cell>
          <cell r="B189">
            <v>0.91584158415841588</v>
          </cell>
          <cell r="C189">
            <v>0.9430577223088924</v>
          </cell>
          <cell r="D189">
            <v>0.99624060150375937</v>
          </cell>
          <cell r="E189">
            <v>1.2986577181208054</v>
          </cell>
          <cell r="F189">
            <v>1.3511627906976744</v>
          </cell>
          <cell r="G189">
            <v>1.3636363636363635</v>
          </cell>
        </row>
        <row r="190">
          <cell r="A190">
            <v>35724</v>
          </cell>
          <cell r="B190">
            <v>0.94059405940594054</v>
          </cell>
          <cell r="C190">
            <v>0.96567862714508579</v>
          </cell>
          <cell r="D190">
            <v>0.98308270676691734</v>
          </cell>
          <cell r="E190">
            <v>1.3221476510067114</v>
          </cell>
          <cell r="F190">
            <v>1.3604651162790697</v>
          </cell>
          <cell r="G190">
            <v>1.3636363636363635</v>
          </cell>
        </row>
        <row r="191">
          <cell r="A191">
            <v>35725</v>
          </cell>
          <cell r="B191">
            <v>0.93151815181518149</v>
          </cell>
          <cell r="C191">
            <v>0.95865834633385338</v>
          </cell>
          <cell r="D191">
            <v>0.96992481203007519</v>
          </cell>
          <cell r="E191">
            <v>1.2818791946308725</v>
          </cell>
          <cell r="F191">
            <v>1.3627906976744186</v>
          </cell>
          <cell r="G191">
            <v>1.3636363636363635</v>
          </cell>
        </row>
        <row r="192">
          <cell r="A192">
            <v>35726</v>
          </cell>
          <cell r="B192">
            <v>0.93069306930693074</v>
          </cell>
          <cell r="C192">
            <v>0.95163806552262087</v>
          </cell>
          <cell r="D192">
            <v>0.96052631578947367</v>
          </cell>
          <cell r="E192">
            <v>1.2449664429530201</v>
          </cell>
          <cell r="F192">
            <v>1.3209302325581396</v>
          </cell>
          <cell r="G192">
            <v>1.3636363636363635</v>
          </cell>
        </row>
        <row r="193">
          <cell r="A193">
            <v>35727</v>
          </cell>
          <cell r="B193">
            <v>0.9092409240924092</v>
          </cell>
          <cell r="C193">
            <v>0.94071762870514819</v>
          </cell>
          <cell r="D193">
            <v>0.96240601503759393</v>
          </cell>
          <cell r="E193">
            <v>1.2147651006711409</v>
          </cell>
          <cell r="F193">
            <v>1.2790697674418605</v>
          </cell>
          <cell r="G193">
            <v>1.3636363636363635</v>
          </cell>
        </row>
        <row r="194">
          <cell r="A194">
            <v>35730</v>
          </cell>
          <cell r="B194">
            <v>0.83333333333333337</v>
          </cell>
          <cell r="C194">
            <v>0.86115444617784709</v>
          </cell>
          <cell r="D194">
            <v>0.89473684210526316</v>
          </cell>
          <cell r="E194">
            <v>1.1241610738255035</v>
          </cell>
          <cell r="F194">
            <v>0.4813953488372093</v>
          </cell>
          <cell r="G194">
            <v>1.3636363636363635</v>
          </cell>
        </row>
        <row r="195">
          <cell r="A195">
            <v>35731</v>
          </cell>
          <cell r="B195">
            <v>0.87458745874587462</v>
          </cell>
          <cell r="C195">
            <v>0.89781591263650551</v>
          </cell>
          <cell r="D195">
            <v>0.91917293233082709</v>
          </cell>
          <cell r="E195">
            <v>1.1543624161073827</v>
          </cell>
          <cell r="F195">
            <v>0.47209302325581393</v>
          </cell>
          <cell r="G195">
            <v>1.3636363636363635</v>
          </cell>
        </row>
        <row r="196">
          <cell r="A196">
            <v>35732</v>
          </cell>
          <cell r="B196">
            <v>0.85973597359735976</v>
          </cell>
          <cell r="C196">
            <v>0.90561622464898595</v>
          </cell>
          <cell r="D196">
            <v>0.90601503759398494</v>
          </cell>
          <cell r="E196">
            <v>1.1577181208053691</v>
          </cell>
          <cell r="F196">
            <v>0.5058139534883721</v>
          </cell>
          <cell r="G196">
            <v>1.3636363636363635</v>
          </cell>
        </row>
        <row r="197">
          <cell r="A197">
            <v>35733</v>
          </cell>
          <cell r="B197">
            <v>0.85313531353135319</v>
          </cell>
          <cell r="C197">
            <v>0.8931357254290172</v>
          </cell>
          <cell r="D197">
            <v>0.89097744360902253</v>
          </cell>
          <cell r="E197">
            <v>1.1208053691275168</v>
          </cell>
          <cell r="F197">
            <v>0.48023255813953486</v>
          </cell>
          <cell r="G197">
            <v>1.3636363636363635</v>
          </cell>
        </row>
        <row r="198">
          <cell r="A198">
            <v>35734</v>
          </cell>
          <cell r="B198">
            <v>0.8547854785478548</v>
          </cell>
          <cell r="C198">
            <v>0.88689547581903272</v>
          </cell>
          <cell r="D198">
            <v>0.86466165413533835</v>
          </cell>
          <cell r="E198">
            <v>1.1241610738255035</v>
          </cell>
          <cell r="F198">
            <v>0.48023255813953486</v>
          </cell>
          <cell r="G198">
            <v>1.3636363636363635</v>
          </cell>
        </row>
        <row r="199">
          <cell r="A199">
            <v>35737</v>
          </cell>
          <cell r="B199">
            <v>0.86138613861386137</v>
          </cell>
          <cell r="C199">
            <v>0.90717628705148201</v>
          </cell>
          <cell r="D199">
            <v>0.8778195488721805</v>
          </cell>
          <cell r="E199">
            <v>1.1677852348993289</v>
          </cell>
          <cell r="F199">
            <v>0.48372093023255813</v>
          </cell>
          <cell r="G199">
            <v>1.3636363636363635</v>
          </cell>
        </row>
        <row r="200">
          <cell r="A200">
            <v>35738</v>
          </cell>
          <cell r="B200">
            <v>0.85973597359735976</v>
          </cell>
          <cell r="C200">
            <v>0.92433697347893917</v>
          </cell>
          <cell r="D200">
            <v>0.88157894736842102</v>
          </cell>
          <cell r="E200">
            <v>1.1845637583892616</v>
          </cell>
          <cell r="F200">
            <v>0.47093023255813954</v>
          </cell>
          <cell r="G200">
            <v>1.3636363636363635</v>
          </cell>
        </row>
        <row r="201">
          <cell r="A201">
            <v>35739</v>
          </cell>
          <cell r="B201">
            <v>0.86138613861386137</v>
          </cell>
          <cell r="C201">
            <v>0.89937597503900157</v>
          </cell>
          <cell r="D201">
            <v>0.89473684210526316</v>
          </cell>
          <cell r="E201">
            <v>1.1845637583892616</v>
          </cell>
          <cell r="F201">
            <v>0.44418604651162791</v>
          </cell>
          <cell r="G201">
            <v>1.3636363636363635</v>
          </cell>
        </row>
        <row r="202">
          <cell r="A202">
            <v>35740</v>
          </cell>
          <cell r="B202">
            <v>0.90264026402640263</v>
          </cell>
          <cell r="C202">
            <v>0.90639625585023398</v>
          </cell>
          <cell r="D202">
            <v>0.89097744360902253</v>
          </cell>
          <cell r="E202">
            <v>1.2080536912751678</v>
          </cell>
          <cell r="F202">
            <v>0.45930232558139533</v>
          </cell>
          <cell r="G202">
            <v>1.3636363636363635</v>
          </cell>
        </row>
        <row r="203">
          <cell r="A203">
            <v>35741</v>
          </cell>
          <cell r="B203">
            <v>0.9273927392739274</v>
          </cell>
          <cell r="C203">
            <v>0.92667706708268327</v>
          </cell>
          <cell r="D203">
            <v>0.87593984962406013</v>
          </cell>
          <cell r="E203">
            <v>1.2013422818791946</v>
          </cell>
          <cell r="F203">
            <v>0.47325581395348837</v>
          </cell>
          <cell r="G203">
            <v>1.3636363636363635</v>
          </cell>
        </row>
        <row r="204">
          <cell r="A204">
            <v>35744</v>
          </cell>
          <cell r="B204">
            <v>0.94389438943894388</v>
          </cell>
          <cell r="C204">
            <v>0.94461778471138846</v>
          </cell>
          <cell r="D204">
            <v>0.89473684210526316</v>
          </cell>
          <cell r="E204">
            <v>1.2214765100671141</v>
          </cell>
          <cell r="F204">
            <v>0.46046511627906977</v>
          </cell>
          <cell r="G204">
            <v>1.3636363636363635</v>
          </cell>
        </row>
        <row r="205">
          <cell r="A205">
            <v>35745</v>
          </cell>
          <cell r="B205">
            <v>0.94884488448844884</v>
          </cell>
          <cell r="C205">
            <v>0.97191887675507016</v>
          </cell>
          <cell r="D205">
            <v>0.92105263157894735</v>
          </cell>
          <cell r="E205">
            <v>1.2214765100671141</v>
          </cell>
          <cell r="F205">
            <v>0.46395348837209305</v>
          </cell>
          <cell r="G205">
            <v>1.3636363636363635</v>
          </cell>
        </row>
        <row r="206">
          <cell r="A206">
            <v>35746</v>
          </cell>
          <cell r="B206">
            <v>0.9092409240924092</v>
          </cell>
          <cell r="C206">
            <v>0.96099843993759748</v>
          </cell>
          <cell r="D206">
            <v>0.90601503759398494</v>
          </cell>
          <cell r="E206">
            <v>1.1812080536912752</v>
          </cell>
          <cell r="F206">
            <v>0.44534883720930235</v>
          </cell>
          <cell r="G206">
            <v>1.3636363636363635</v>
          </cell>
        </row>
        <row r="207">
          <cell r="A207">
            <v>35747</v>
          </cell>
          <cell r="B207">
            <v>0.91254125412541254</v>
          </cell>
          <cell r="C207">
            <v>0.95865834633385338</v>
          </cell>
          <cell r="D207">
            <v>0.91541353383458646</v>
          </cell>
          <cell r="E207">
            <v>1.1644295302013423</v>
          </cell>
          <cell r="F207">
            <v>0.43604651162790697</v>
          </cell>
          <cell r="G207">
            <v>1.3636363636363635</v>
          </cell>
        </row>
        <row r="208">
          <cell r="A208">
            <v>35748</v>
          </cell>
          <cell r="B208">
            <v>0.89768976897689767</v>
          </cell>
          <cell r="C208">
            <v>0.96723868954758185</v>
          </cell>
          <cell r="D208">
            <v>0.89473684210526316</v>
          </cell>
          <cell r="E208">
            <v>1.1644295302013423</v>
          </cell>
          <cell r="F208">
            <v>0.46279069767441861</v>
          </cell>
          <cell r="G208">
            <v>1.3636363636363635</v>
          </cell>
        </row>
        <row r="209">
          <cell r="A209">
            <v>35751</v>
          </cell>
          <cell r="B209">
            <v>0.90429042904290424</v>
          </cell>
          <cell r="C209">
            <v>0.98595943837753508</v>
          </cell>
          <cell r="D209">
            <v>0.90601503759398494</v>
          </cell>
          <cell r="E209">
            <v>1.1946308724832215</v>
          </cell>
          <cell r="F209">
            <v>0.44883720930232557</v>
          </cell>
          <cell r="G209">
            <v>1.3636363636363635</v>
          </cell>
        </row>
        <row r="210">
          <cell r="A210">
            <v>35752</v>
          </cell>
          <cell r="B210">
            <v>0.89273927392739272</v>
          </cell>
          <cell r="C210">
            <v>0.9773790951638065</v>
          </cell>
          <cell r="D210">
            <v>0.89849624060150379</v>
          </cell>
          <cell r="E210">
            <v>1.1979865771812082</v>
          </cell>
          <cell r="F210">
            <v>0.4325581395348837</v>
          </cell>
          <cell r="G210">
            <v>1.3636363636363635</v>
          </cell>
        </row>
        <row r="211">
          <cell r="A211">
            <v>35753</v>
          </cell>
          <cell r="B211">
            <v>0.89603960396039606</v>
          </cell>
          <cell r="C211">
            <v>0.97581903276131043</v>
          </cell>
          <cell r="D211">
            <v>0.87969924812030076</v>
          </cell>
          <cell r="E211">
            <v>1.1711409395973154</v>
          </cell>
          <cell r="F211">
            <v>0.44069767441860463</v>
          </cell>
          <cell r="G211">
            <v>1.3636363636363635</v>
          </cell>
        </row>
        <row r="212">
          <cell r="A212">
            <v>35754</v>
          </cell>
          <cell r="B212">
            <v>0.87128712871287128</v>
          </cell>
          <cell r="C212">
            <v>0.9726989079563183</v>
          </cell>
          <cell r="D212">
            <v>0.90037593984962405</v>
          </cell>
          <cell r="E212">
            <v>1.1812080536912752</v>
          </cell>
          <cell r="F212">
            <v>0.4325581395348837</v>
          </cell>
          <cell r="G212">
            <v>1.3636363636363635</v>
          </cell>
        </row>
        <row r="213">
          <cell r="A213">
            <v>35755</v>
          </cell>
          <cell r="B213">
            <v>0.88613861386138615</v>
          </cell>
          <cell r="C213">
            <v>0.97035881435257409</v>
          </cell>
          <cell r="D213">
            <v>0.8928571428571429</v>
          </cell>
          <cell r="E213">
            <v>1.1912751677852349</v>
          </cell>
          <cell r="F213">
            <v>0.42674418604651165</v>
          </cell>
          <cell r="G213">
            <v>1.3636363636363635</v>
          </cell>
        </row>
        <row r="214">
          <cell r="A214">
            <v>35758</v>
          </cell>
          <cell r="B214">
            <v>0.86468646864686471</v>
          </cell>
          <cell r="C214">
            <v>0.94929797191887677</v>
          </cell>
          <cell r="D214">
            <v>0.8928571428571429</v>
          </cell>
          <cell r="E214">
            <v>1.174496644295302</v>
          </cell>
          <cell r="F214">
            <v>0.42441860465116277</v>
          </cell>
          <cell r="G214">
            <v>1.3636363636363635</v>
          </cell>
        </row>
        <row r="215">
          <cell r="A215">
            <v>35759</v>
          </cell>
          <cell r="B215">
            <v>0.68151815181518149</v>
          </cell>
          <cell r="C215">
            <v>0.93369734789391579</v>
          </cell>
          <cell r="D215">
            <v>0.88721804511278191</v>
          </cell>
          <cell r="E215">
            <v>1.1812080536912752</v>
          </cell>
          <cell r="F215">
            <v>0.42790697674418604</v>
          </cell>
          <cell r="G215">
            <v>1.3636363636363635</v>
          </cell>
        </row>
        <row r="216">
          <cell r="A216">
            <v>35760</v>
          </cell>
          <cell r="B216">
            <v>0.70792079207920788</v>
          </cell>
          <cell r="C216">
            <v>0.93447737909516382</v>
          </cell>
          <cell r="D216">
            <v>0.84774436090225569</v>
          </cell>
          <cell r="E216">
            <v>1.1845637583892616</v>
          </cell>
          <cell r="F216">
            <v>0.43604651162790697</v>
          </cell>
          <cell r="G216">
            <v>1.3636363636363635</v>
          </cell>
        </row>
        <row r="217">
          <cell r="A217">
            <v>35761</v>
          </cell>
          <cell r="B217">
            <v>0.70792079207920788</v>
          </cell>
          <cell r="C217">
            <v>0.93447737909516382</v>
          </cell>
          <cell r="D217">
            <v>0.84774436090225569</v>
          </cell>
          <cell r="E217">
            <v>1.1845637583892616</v>
          </cell>
          <cell r="F217">
            <v>0.43604651162790697</v>
          </cell>
          <cell r="G217">
            <v>1.3636363636363635</v>
          </cell>
        </row>
        <row r="218">
          <cell r="A218">
            <v>35762</v>
          </cell>
          <cell r="B218">
            <v>0.70957095709570961</v>
          </cell>
          <cell r="C218">
            <v>0.93603744149765988</v>
          </cell>
          <cell r="D218">
            <v>0.84398496240601506</v>
          </cell>
          <cell r="E218">
            <v>1.1912751677852349</v>
          </cell>
          <cell r="F218">
            <v>0.44418604651162791</v>
          </cell>
          <cell r="G218">
            <v>1.3636363636363635</v>
          </cell>
        </row>
        <row r="219">
          <cell r="A219">
            <v>35765</v>
          </cell>
          <cell r="B219">
            <v>0.72277227722772275</v>
          </cell>
          <cell r="C219">
            <v>0.96723868954758185</v>
          </cell>
          <cell r="D219">
            <v>0.85902255639097747</v>
          </cell>
          <cell r="E219">
            <v>1.2281879194630871</v>
          </cell>
          <cell r="F219">
            <v>0.45348837209302323</v>
          </cell>
          <cell r="G219">
            <v>1.3636363636363635</v>
          </cell>
        </row>
        <row r="220">
          <cell r="A220">
            <v>35766</v>
          </cell>
          <cell r="B220">
            <v>0.70132013201320131</v>
          </cell>
          <cell r="C220">
            <v>0.98283931357254295</v>
          </cell>
          <cell r="D220">
            <v>0.84586466165413532</v>
          </cell>
          <cell r="E220">
            <v>1.2080536912751678</v>
          </cell>
          <cell r="F220">
            <v>0.43720930232558142</v>
          </cell>
          <cell r="G220">
            <v>1.3636363636363635</v>
          </cell>
        </row>
        <row r="221">
          <cell r="A221">
            <v>35767</v>
          </cell>
          <cell r="B221">
            <v>0.71122112211221122</v>
          </cell>
          <cell r="C221">
            <v>1.0015600624024961</v>
          </cell>
          <cell r="D221">
            <v>0.84586466165413532</v>
          </cell>
          <cell r="E221">
            <v>1.1879194630872483</v>
          </cell>
          <cell r="F221">
            <v>0.44186046511627908</v>
          </cell>
          <cell r="G221">
            <v>1.3636363636363635</v>
          </cell>
        </row>
        <row r="222">
          <cell r="A222">
            <v>35768</v>
          </cell>
          <cell r="B222">
            <v>0.70709570957095713</v>
          </cell>
          <cell r="C222">
            <v>0.9929797191887676</v>
          </cell>
          <cell r="D222">
            <v>0.84210526315789469</v>
          </cell>
          <cell r="E222">
            <v>1.2483221476510067</v>
          </cell>
          <cell r="F222">
            <v>0.39302325581395348</v>
          </cell>
          <cell r="G222">
            <v>1.3636363636363635</v>
          </cell>
        </row>
        <row r="223">
          <cell r="A223">
            <v>35769</v>
          </cell>
          <cell r="B223">
            <v>0.71452145214521456</v>
          </cell>
          <cell r="C223">
            <v>0.99687987519500776</v>
          </cell>
          <cell r="D223">
            <v>0.84210526315789469</v>
          </cell>
          <cell r="E223">
            <v>1.2583892617449663</v>
          </cell>
          <cell r="F223">
            <v>0.413953488372093</v>
          </cell>
          <cell r="G223">
            <v>1.3636363636363635</v>
          </cell>
        </row>
        <row r="224">
          <cell r="A224">
            <v>35772</v>
          </cell>
          <cell r="B224">
            <v>0.72277227722772275</v>
          </cell>
          <cell r="C224">
            <v>0.98673946957878311</v>
          </cell>
          <cell r="D224">
            <v>0.82518796992481203</v>
          </cell>
          <cell r="E224">
            <v>1.2483221476510067</v>
          </cell>
          <cell r="F224">
            <v>0.39767441860465114</v>
          </cell>
          <cell r="G224">
            <v>1.3636363636363635</v>
          </cell>
        </row>
        <row r="225">
          <cell r="A225">
            <v>35773</v>
          </cell>
          <cell r="B225">
            <v>0.71617161716171618</v>
          </cell>
          <cell r="C225">
            <v>0.99219968798751945</v>
          </cell>
          <cell r="D225">
            <v>0.80639097744360899</v>
          </cell>
          <cell r="E225">
            <v>1.2751677852348993</v>
          </cell>
          <cell r="F225">
            <v>0.37325581395348839</v>
          </cell>
          <cell r="G225">
            <v>1.3636363636363635</v>
          </cell>
        </row>
        <row r="226">
          <cell r="A226">
            <v>35774</v>
          </cell>
          <cell r="B226">
            <v>0.70792079207920788</v>
          </cell>
          <cell r="C226">
            <v>0.98751950078003126</v>
          </cell>
          <cell r="D226">
            <v>0.76315789473684215</v>
          </cell>
          <cell r="E226">
            <v>1.1476510067114094</v>
          </cell>
          <cell r="F226">
            <v>0.31860465116279069</v>
          </cell>
          <cell r="G226">
            <v>1.3636363636363635</v>
          </cell>
        </row>
        <row r="227">
          <cell r="A227">
            <v>35775</v>
          </cell>
          <cell r="B227">
            <v>0.70709570957095713</v>
          </cell>
          <cell r="C227">
            <v>0.9750390015600624</v>
          </cell>
          <cell r="D227">
            <v>0.75939849624060152</v>
          </cell>
          <cell r="E227">
            <v>1.1275167785234899</v>
          </cell>
          <cell r="F227">
            <v>0.30813953488372092</v>
          </cell>
          <cell r="G227">
            <v>1.3636363636363635</v>
          </cell>
        </row>
        <row r="228">
          <cell r="A228">
            <v>35776</v>
          </cell>
          <cell r="B228">
            <v>0.70297029702970293</v>
          </cell>
          <cell r="C228">
            <v>0.98517940717628705</v>
          </cell>
          <cell r="D228">
            <v>0.75939849624060152</v>
          </cell>
          <cell r="E228">
            <v>1.1241610738255035</v>
          </cell>
          <cell r="F228">
            <v>0.28953488372093023</v>
          </cell>
          <cell r="G228">
            <v>1.3636363636363635</v>
          </cell>
        </row>
        <row r="229">
          <cell r="A229">
            <v>35779</v>
          </cell>
          <cell r="B229">
            <v>0.71122112211221122</v>
          </cell>
          <cell r="C229">
            <v>1.0031201248049921</v>
          </cell>
          <cell r="D229">
            <v>0.73684210526315785</v>
          </cell>
          <cell r="E229">
            <v>1.1174496644295302</v>
          </cell>
          <cell r="F229">
            <v>0.2930232558139535</v>
          </cell>
          <cell r="G229">
            <v>1.3636363636363635</v>
          </cell>
        </row>
        <row r="230">
          <cell r="A230">
            <v>35780</v>
          </cell>
          <cell r="B230">
            <v>0.71947194719471952</v>
          </cell>
          <cell r="C230">
            <v>0.99375975039001563</v>
          </cell>
          <cell r="D230">
            <v>0.73872180451127822</v>
          </cell>
          <cell r="E230">
            <v>1.0906040268456376</v>
          </cell>
          <cell r="F230">
            <v>0.30116279069767443</v>
          </cell>
          <cell r="G230">
            <v>1.3636363636363635</v>
          </cell>
        </row>
        <row r="231">
          <cell r="A231">
            <v>35781</v>
          </cell>
          <cell r="B231">
            <v>0.71782178217821779</v>
          </cell>
          <cell r="C231">
            <v>0.98439937597503901</v>
          </cell>
          <cell r="D231">
            <v>0.75375939849624063</v>
          </cell>
          <cell r="E231">
            <v>1.080536912751678</v>
          </cell>
          <cell r="F231">
            <v>0.3</v>
          </cell>
          <cell r="G231">
            <v>1.3636363636363635</v>
          </cell>
        </row>
        <row r="232">
          <cell r="A232">
            <v>35782</v>
          </cell>
          <cell r="B232">
            <v>0.71122112211221122</v>
          </cell>
          <cell r="C232">
            <v>0.86739469578783146</v>
          </cell>
          <cell r="D232">
            <v>0.71240601503759393</v>
          </cell>
          <cell r="E232">
            <v>1.0671140939597314</v>
          </cell>
          <cell r="F232">
            <v>0.27790697674418607</v>
          </cell>
          <cell r="G232">
            <v>1.3636363636363635</v>
          </cell>
        </row>
        <row r="233">
          <cell r="A233">
            <v>35783</v>
          </cell>
          <cell r="B233">
            <v>0.70379537953795379</v>
          </cell>
          <cell r="C233">
            <v>0.84789391575663031</v>
          </cell>
          <cell r="D233">
            <v>0.68045112781954886</v>
          </cell>
          <cell r="E233">
            <v>1.0503355704697988</v>
          </cell>
          <cell r="F233">
            <v>0.28255813953488373</v>
          </cell>
          <cell r="G233">
            <v>1.3636363636363635</v>
          </cell>
        </row>
        <row r="234">
          <cell r="A234">
            <v>35786</v>
          </cell>
          <cell r="B234">
            <v>0.71947194719471952</v>
          </cell>
          <cell r="C234">
            <v>0.8408736349453978</v>
          </cell>
          <cell r="D234">
            <v>0.68045112781954886</v>
          </cell>
          <cell r="E234">
            <v>1.0402684563758389</v>
          </cell>
          <cell r="F234">
            <v>0.28139534883720929</v>
          </cell>
          <cell r="G234">
            <v>1.3636363636363635</v>
          </cell>
        </row>
        <row r="235">
          <cell r="A235">
            <v>35787</v>
          </cell>
          <cell r="B235">
            <v>0.70627062706270627</v>
          </cell>
          <cell r="C235">
            <v>0.8408736349453978</v>
          </cell>
          <cell r="D235">
            <v>0.67669172932330823</v>
          </cell>
          <cell r="E235">
            <v>1.0201342281879195</v>
          </cell>
          <cell r="F235">
            <v>0.27209302325581397</v>
          </cell>
          <cell r="G235">
            <v>1.3636363636363635</v>
          </cell>
        </row>
        <row r="236">
          <cell r="A236">
            <v>35788</v>
          </cell>
          <cell r="B236">
            <v>0.70297029702970293</v>
          </cell>
          <cell r="C236">
            <v>0.83619344773790949</v>
          </cell>
          <cell r="D236">
            <v>0.68421052631578949</v>
          </cell>
          <cell r="E236">
            <v>1.0134228187919463</v>
          </cell>
          <cell r="F236">
            <v>0.26976744186046514</v>
          </cell>
          <cell r="G236">
            <v>1.3636363636363635</v>
          </cell>
        </row>
        <row r="237">
          <cell r="A237">
            <v>35789</v>
          </cell>
          <cell r="B237">
            <v>0.70297029702970293</v>
          </cell>
          <cell r="C237">
            <v>0.83619344773790949</v>
          </cell>
          <cell r="D237">
            <v>0.68421052631578949</v>
          </cell>
          <cell r="E237">
            <v>1.0134228187919463</v>
          </cell>
          <cell r="F237">
            <v>0.26976744186046514</v>
          </cell>
          <cell r="G237">
            <v>1.3636363636363635</v>
          </cell>
        </row>
        <row r="238">
          <cell r="A238">
            <v>35790</v>
          </cell>
          <cell r="B238">
            <v>0.70462046204620465</v>
          </cell>
          <cell r="C238">
            <v>0.8408736349453978</v>
          </cell>
          <cell r="D238">
            <v>0.68233082706766912</v>
          </cell>
          <cell r="E238">
            <v>1.0134228187919463</v>
          </cell>
          <cell r="F238">
            <v>0.2686046511627907</v>
          </cell>
          <cell r="G238">
            <v>1.3636363636363635</v>
          </cell>
        </row>
        <row r="239">
          <cell r="A239">
            <v>35793</v>
          </cell>
          <cell r="B239">
            <v>0.68976897689768979</v>
          </cell>
          <cell r="C239">
            <v>0.84165366614664583</v>
          </cell>
          <cell r="D239">
            <v>0.68045112781954886</v>
          </cell>
          <cell r="E239">
            <v>1.0335570469798658</v>
          </cell>
          <cell r="F239">
            <v>0.2686046511627907</v>
          </cell>
          <cell r="G239">
            <v>1.3636363636363635</v>
          </cell>
        </row>
        <row r="240">
          <cell r="A240">
            <v>35794</v>
          </cell>
          <cell r="B240">
            <v>0.69471947194719474</v>
          </cell>
          <cell r="C240">
            <v>0.87363494539781594</v>
          </cell>
          <cell r="D240">
            <v>0.6992481203007519</v>
          </cell>
          <cell r="E240">
            <v>1.080536912751678</v>
          </cell>
          <cell r="F240">
            <v>0.28837209302325584</v>
          </cell>
          <cell r="G240">
            <v>1.3636363636363635</v>
          </cell>
        </row>
        <row r="241">
          <cell r="A241">
            <v>35795</v>
          </cell>
          <cell r="B241">
            <v>0.6914191419141914</v>
          </cell>
          <cell r="C241">
            <v>0.88065522620904835</v>
          </cell>
          <cell r="D241">
            <v>0.66917293233082709</v>
          </cell>
          <cell r="E241">
            <v>1.1140939597315436</v>
          </cell>
          <cell r="F241">
            <v>0.28953488372093023</v>
          </cell>
          <cell r="G241">
            <v>1.3636363636363635</v>
          </cell>
        </row>
        <row r="242">
          <cell r="A242">
            <v>35796</v>
          </cell>
          <cell r="B242">
            <v>0.6914191419141914</v>
          </cell>
          <cell r="C242">
            <v>0.88065522620904835</v>
          </cell>
          <cell r="D242">
            <v>0.66917293233082709</v>
          </cell>
          <cell r="E242">
            <v>1.1140939597315436</v>
          </cell>
          <cell r="F242">
            <v>0.28953488372093023</v>
          </cell>
          <cell r="G242">
            <v>1.3636363636363635</v>
          </cell>
        </row>
        <row r="243">
          <cell r="A243">
            <v>35797</v>
          </cell>
          <cell r="B243">
            <v>0.69636963696369636</v>
          </cell>
          <cell r="C243">
            <v>0.87363494539781594</v>
          </cell>
          <cell r="D243">
            <v>0.69548872180451127</v>
          </cell>
          <cell r="E243">
            <v>1.1342281879194631</v>
          </cell>
          <cell r="F243">
            <v>0.31860465116279069</v>
          </cell>
          <cell r="G243">
            <v>1.3636363636363635</v>
          </cell>
        </row>
        <row r="244">
          <cell r="A244">
            <v>35800</v>
          </cell>
          <cell r="B244">
            <v>0.68811881188118806</v>
          </cell>
          <cell r="C244">
            <v>0.87831513260530425</v>
          </cell>
          <cell r="D244">
            <v>0.69548872180451127</v>
          </cell>
          <cell r="E244">
            <v>1.1409395973154361</v>
          </cell>
          <cell r="F244">
            <v>0.33953488372093021</v>
          </cell>
          <cell r="G244">
            <v>1.3636363636363635</v>
          </cell>
        </row>
        <row r="245">
          <cell r="A245">
            <v>35801</v>
          </cell>
          <cell r="B245">
            <v>0.66666666666666663</v>
          </cell>
          <cell r="C245">
            <v>0.9024960998439937</v>
          </cell>
          <cell r="D245">
            <v>0.69172932330827064</v>
          </cell>
          <cell r="E245">
            <v>1.1140939597315436</v>
          </cell>
          <cell r="F245">
            <v>0.32558139534883723</v>
          </cell>
          <cell r="G245">
            <v>1.3636363636363635</v>
          </cell>
        </row>
        <row r="246">
          <cell r="A246">
            <v>35802</v>
          </cell>
          <cell r="B246">
            <v>0.72607260726072609</v>
          </cell>
          <cell r="C246">
            <v>0.91107644305772228</v>
          </cell>
          <cell r="D246">
            <v>0.73308270676691734</v>
          </cell>
          <cell r="E246">
            <v>1.1677852348993289</v>
          </cell>
          <cell r="F246">
            <v>0.3174418604651163</v>
          </cell>
          <cell r="G246">
            <v>1.3636363636363635</v>
          </cell>
        </row>
        <row r="247">
          <cell r="A247">
            <v>35803</v>
          </cell>
          <cell r="B247">
            <v>0.68646864686468645</v>
          </cell>
          <cell r="C247">
            <v>0.88767550702028086</v>
          </cell>
          <cell r="D247">
            <v>0.74060150375939848</v>
          </cell>
          <cell r="E247">
            <v>1.1174496644295302</v>
          </cell>
          <cell r="F247">
            <v>0.30465116279069765</v>
          </cell>
          <cell r="G247">
            <v>1.3636363636363635</v>
          </cell>
        </row>
        <row r="248">
          <cell r="A248">
            <v>35804</v>
          </cell>
          <cell r="B248">
            <v>0.65841584158415845</v>
          </cell>
          <cell r="C248">
            <v>0.86895475819032764</v>
          </cell>
          <cell r="D248">
            <v>0.74060150375939848</v>
          </cell>
          <cell r="E248">
            <v>1.0536912751677852</v>
          </cell>
          <cell r="F248">
            <v>0.29186046511627906</v>
          </cell>
          <cell r="G248">
            <v>1.3636363636363635</v>
          </cell>
        </row>
        <row r="249">
          <cell r="A249">
            <v>35807</v>
          </cell>
          <cell r="B249">
            <v>0.65676567656765672</v>
          </cell>
          <cell r="C249">
            <v>0.87909516380655228</v>
          </cell>
          <cell r="D249">
            <v>0.74060150375939848</v>
          </cell>
          <cell r="E249">
            <v>1.0738255033557047</v>
          </cell>
          <cell r="F249">
            <v>0.28255813953488373</v>
          </cell>
          <cell r="G249">
            <v>1.3636363636363635</v>
          </cell>
        </row>
        <row r="250">
          <cell r="A250">
            <v>35808</v>
          </cell>
          <cell r="B250">
            <v>0.66666666666666663</v>
          </cell>
          <cell r="C250">
            <v>0.87753510140405622</v>
          </cell>
          <cell r="D250">
            <v>0.73684210526315785</v>
          </cell>
          <cell r="E250">
            <v>1.0604026845637584</v>
          </cell>
          <cell r="F250">
            <v>0.28720930232558139</v>
          </cell>
          <cell r="G250">
            <v>1.3636363636363635</v>
          </cell>
        </row>
        <row r="251">
          <cell r="A251">
            <v>35809</v>
          </cell>
          <cell r="B251">
            <v>0.68316831683168322</v>
          </cell>
          <cell r="C251">
            <v>0.87597503900156004</v>
          </cell>
          <cell r="D251">
            <v>0.72556390977443608</v>
          </cell>
          <cell r="E251">
            <v>1.0939597315436242</v>
          </cell>
          <cell r="F251">
            <v>0.29534883720930233</v>
          </cell>
          <cell r="G251">
            <v>1.3636363636363635</v>
          </cell>
        </row>
        <row r="252">
          <cell r="A252">
            <v>35810</v>
          </cell>
          <cell r="B252">
            <v>0.71287128712871284</v>
          </cell>
          <cell r="C252">
            <v>0.89235569422776906</v>
          </cell>
          <cell r="D252">
            <v>0.73496240601503759</v>
          </cell>
          <cell r="E252">
            <v>1.0704697986577181</v>
          </cell>
          <cell r="F252">
            <v>0.29418604651162789</v>
          </cell>
          <cell r="G252">
            <v>1.3636363636363635</v>
          </cell>
        </row>
        <row r="253">
          <cell r="A253">
            <v>35811</v>
          </cell>
          <cell r="B253">
            <v>0.7277227722772277</v>
          </cell>
          <cell r="C253">
            <v>0.89703588143525737</v>
          </cell>
          <cell r="D253">
            <v>0.75187969924812026</v>
          </cell>
          <cell r="E253">
            <v>1.0838926174496644</v>
          </cell>
          <cell r="F253">
            <v>0.29534883720930233</v>
          </cell>
          <cell r="G253">
            <v>1.3636363636363635</v>
          </cell>
        </row>
        <row r="254">
          <cell r="A254">
            <v>35814</v>
          </cell>
          <cell r="B254">
            <v>0.7277227722772277</v>
          </cell>
          <cell r="C254">
            <v>0.89703588143525737</v>
          </cell>
          <cell r="D254">
            <v>0.75187969924812026</v>
          </cell>
          <cell r="E254">
            <v>1.0838926174496644</v>
          </cell>
          <cell r="F254">
            <v>0.29534883720930233</v>
          </cell>
          <cell r="G254">
            <v>1.3636363636363635</v>
          </cell>
        </row>
        <row r="255">
          <cell r="A255">
            <v>35815</v>
          </cell>
          <cell r="B255">
            <v>0.73019801980198018</v>
          </cell>
          <cell r="C255">
            <v>0.90873634945397819</v>
          </cell>
          <cell r="D255">
            <v>0.77067669172932329</v>
          </cell>
          <cell r="E255">
            <v>1.0738255033557047</v>
          </cell>
          <cell r="F255">
            <v>0.27906976744186046</v>
          </cell>
          <cell r="G255">
            <v>1.3636363636363635</v>
          </cell>
        </row>
        <row r="256">
          <cell r="A256">
            <v>35816</v>
          </cell>
          <cell r="B256">
            <v>0.76567656765676573</v>
          </cell>
          <cell r="C256">
            <v>0.91575663026521059</v>
          </cell>
          <cell r="D256">
            <v>0.77631578947368418</v>
          </cell>
          <cell r="E256">
            <v>1.0704697986577181</v>
          </cell>
          <cell r="F256">
            <v>0.27209302325581397</v>
          </cell>
          <cell r="G256">
            <v>1.3636363636363635</v>
          </cell>
        </row>
        <row r="257">
          <cell r="A257">
            <v>35817</v>
          </cell>
          <cell r="B257">
            <v>0.7722772277227723</v>
          </cell>
          <cell r="C257">
            <v>0.92823712948517945</v>
          </cell>
          <cell r="D257">
            <v>0.77819548872180455</v>
          </cell>
          <cell r="E257">
            <v>1.063758389261745</v>
          </cell>
          <cell r="F257">
            <v>0.2744186046511628</v>
          </cell>
          <cell r="G257">
            <v>1.3636363636363635</v>
          </cell>
        </row>
        <row r="258">
          <cell r="A258">
            <v>35818</v>
          </cell>
          <cell r="B258">
            <v>0.77516501650165015</v>
          </cell>
          <cell r="C258">
            <v>0.92199687987519496</v>
          </cell>
          <cell r="D258">
            <v>0.75563909774436089</v>
          </cell>
          <cell r="E258">
            <v>1.0469798657718121</v>
          </cell>
          <cell r="F258">
            <v>0.27325581395348836</v>
          </cell>
          <cell r="G258">
            <v>1.3636363636363635</v>
          </cell>
        </row>
        <row r="259">
          <cell r="A259">
            <v>35821</v>
          </cell>
          <cell r="B259">
            <v>0.7722772277227723</v>
          </cell>
          <cell r="C259">
            <v>0.93447737909516382</v>
          </cell>
          <cell r="D259">
            <v>0.74812030075187974</v>
          </cell>
          <cell r="E259">
            <v>1.0604026845637584</v>
          </cell>
          <cell r="F259">
            <v>0.27093023255813953</v>
          </cell>
          <cell r="G259">
            <v>1.3636363636363635</v>
          </cell>
        </row>
        <row r="260">
          <cell r="A260">
            <v>35822</v>
          </cell>
          <cell r="B260">
            <v>0.78382838283828382</v>
          </cell>
          <cell r="C260">
            <v>0.94929797191887677</v>
          </cell>
          <cell r="D260">
            <v>0.75187969924812026</v>
          </cell>
          <cell r="E260">
            <v>1.0704697986577181</v>
          </cell>
          <cell r="F260">
            <v>0.2686046511627907</v>
          </cell>
          <cell r="G260">
            <v>1.3636363636363635</v>
          </cell>
        </row>
        <row r="261">
          <cell r="A261">
            <v>35823</v>
          </cell>
          <cell r="B261">
            <v>0.77557755775577553</v>
          </cell>
          <cell r="C261">
            <v>0.94149765990639622</v>
          </cell>
          <cell r="D261">
            <v>0.76879699248120303</v>
          </cell>
          <cell r="E261">
            <v>1.0771812080536913</v>
          </cell>
          <cell r="F261">
            <v>0.26279069767441859</v>
          </cell>
          <cell r="G261">
            <v>1.3636363636363635</v>
          </cell>
        </row>
        <row r="262">
          <cell r="A262">
            <v>35824</v>
          </cell>
          <cell r="B262">
            <v>0.75247524752475248</v>
          </cell>
          <cell r="C262">
            <v>0.93837753510140409</v>
          </cell>
          <cell r="D262">
            <v>0.78947368421052633</v>
          </cell>
          <cell r="E262">
            <v>1.080536912751678</v>
          </cell>
          <cell r="F262">
            <v>0.2686046511627907</v>
          </cell>
          <cell r="G262">
            <v>1.3636363636363635</v>
          </cell>
        </row>
        <row r="263">
          <cell r="A263">
            <v>35825</v>
          </cell>
          <cell r="B263">
            <v>0.76567656765676573</v>
          </cell>
          <cell r="C263">
            <v>0.91731669266770666</v>
          </cell>
          <cell r="D263">
            <v>0.78007518796992481</v>
          </cell>
          <cell r="E263">
            <v>1.0771812080536913</v>
          </cell>
          <cell r="F263">
            <v>0.32558139534883723</v>
          </cell>
          <cell r="G263">
            <v>1.3636363636363635</v>
          </cell>
        </row>
        <row r="264">
          <cell r="A264">
            <v>35828</v>
          </cell>
          <cell r="B264">
            <v>0.7722772277227723</v>
          </cell>
          <cell r="C264">
            <v>0.95709828393135721</v>
          </cell>
          <cell r="D264">
            <v>0.79135338345864659</v>
          </cell>
          <cell r="E264">
            <v>1.1073825503355705</v>
          </cell>
          <cell r="F264">
            <v>0.33023255813953489</v>
          </cell>
          <cell r="G264">
            <v>1.3636363636363635</v>
          </cell>
        </row>
        <row r="265">
          <cell r="A265">
            <v>35829</v>
          </cell>
          <cell r="B265">
            <v>0.78877887788778878</v>
          </cell>
          <cell r="C265">
            <v>0.95397815912636508</v>
          </cell>
          <cell r="D265">
            <v>0.77631578947368418</v>
          </cell>
          <cell r="E265">
            <v>1.0973154362416107</v>
          </cell>
          <cell r="F265">
            <v>0.30813953488372092</v>
          </cell>
          <cell r="G265">
            <v>1.3636363636363635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sheetData sheetId="140"/>
      <sheetData sheetId="141"/>
      <sheetData sheetId="142"/>
      <sheetData sheetId="143"/>
      <sheetData sheetId="144"/>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
      <sheetName val="09"/>
      <sheetName val="10"/>
      <sheetName val="11"/>
      <sheetName val="Total"/>
      <sheetName val="Europe"/>
      <sheetName val="US"/>
      <sheetName val="Sheet3"/>
      <sheetName val="DIV Y"/>
      <sheetName val="Inc"/>
      <sheetName val="Multiples"/>
    </sheetNames>
    <sheetDataSet>
      <sheetData sheetId="0"/>
      <sheetData sheetId="1"/>
      <sheetData sheetId="2"/>
      <sheetData sheetId="3"/>
      <sheetData sheetId="4" refreshError="1">
        <row r="322">
          <cell r="C322" t="str">
            <v>Quality 1</v>
          </cell>
          <cell r="D322">
            <v>54</v>
          </cell>
        </row>
        <row r="323">
          <cell r="C323" t="str">
            <v>Quality 2</v>
          </cell>
          <cell r="D323">
            <v>37</v>
          </cell>
        </row>
        <row r="324">
          <cell r="C324" t="str">
            <v>Quality 3</v>
          </cell>
          <cell r="D324">
            <v>33</v>
          </cell>
        </row>
        <row r="325">
          <cell r="C325" t="str">
            <v>Quality 4</v>
          </cell>
          <cell r="D325">
            <v>173</v>
          </cell>
        </row>
      </sheetData>
      <sheetData sheetId="5" refreshError="1"/>
      <sheetData sheetId="6" refreshError="1"/>
      <sheetData sheetId="7" refreshError="1"/>
      <sheetData sheetId="8"/>
      <sheetData sheetId="9" refreshError="1"/>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vol."/>
      <sheetName val="Breakdown"/>
      <sheetName val="20 year"/>
      <sheetName val="ten year"/>
      <sheetName val="5 year"/>
      <sheetName val="spread"/>
      <sheetName val="Trading Summary"/>
      <sheetName val="Expected European Inv"/>
      <sheetName val="Diageo's investor base"/>
      <sheetName val="spread perf."/>
      <sheetName val="spread 2"/>
      <sheetName val="Global dist"/>
      <sheetName val="Global distribution"/>
      <sheetName val="Internat dist"/>
      <sheetName val="Post launch (6)"/>
      <sheetName val="Recent trading (7)"/>
      <sheetName val="salesvol_"/>
      <sheetName val="sales vol_"/>
      <sheetName val="Financials"/>
      <sheetName val="Stock Price"/>
      <sheetName val="20_year"/>
      <sheetName val="ten_year"/>
      <sheetName val="5_year"/>
      <sheetName val="Trading_Summary"/>
      <sheetName val="Expected_European_Inv"/>
      <sheetName val="Diageo's_investor_base"/>
      <sheetName val="sales_vol_"/>
      <sheetName val="spread_perf_"/>
      <sheetName val="spread_2"/>
      <sheetName val="Global_dist"/>
      <sheetName val="Global_distribution"/>
      <sheetName val="Internat_dist"/>
      <sheetName val="Post_launch_(6)"/>
      <sheetName val="Recent_trading_(7)"/>
      <sheetName val="sales_vol_1"/>
      <sheetName val="Stock_Price"/>
      <sheetName val="20_year1"/>
      <sheetName val="ten_year1"/>
      <sheetName val="5_year1"/>
      <sheetName val="Trading_Summary1"/>
      <sheetName val="Expected_European_Inv1"/>
      <sheetName val="Diageo's_investor_base1"/>
      <sheetName val="sales_vol_2"/>
      <sheetName val="spread_perf_1"/>
      <sheetName val="spread_21"/>
      <sheetName val="Global_dist1"/>
      <sheetName val="Global_distribution1"/>
      <sheetName val="Internat_dist1"/>
      <sheetName val="Post_launch_(6)1"/>
      <sheetName val="Recent_trading_(7)1"/>
      <sheetName val="sales_vol_3"/>
      <sheetName val="Stock_Price1"/>
      <sheetName val="20_year2"/>
      <sheetName val="ten_year2"/>
      <sheetName val="5_year2"/>
      <sheetName val="Trading_Summary2"/>
      <sheetName val="Expected_European_Inv2"/>
      <sheetName val="Diageo's_investor_base2"/>
      <sheetName val="sales_vol_4"/>
      <sheetName val="spread_perf_2"/>
      <sheetName val="spread_22"/>
      <sheetName val="Global_dist2"/>
      <sheetName val="Global_distribution2"/>
      <sheetName val="Internat_dist2"/>
      <sheetName val="Post_launch_(6)2"/>
      <sheetName val="Recent_trading_(7)2"/>
      <sheetName val="sales_vol_5"/>
      <sheetName val="Stock_Price2"/>
      <sheetName val="Input Projected"/>
      <sheetName val="consolidated"/>
      <sheetName val="oldSEG"/>
      <sheetName val="Quarters"/>
      <sheetName val="Financial Overview ShortProfile"/>
      <sheetName val="Summary"/>
      <sheetName val="CUS Image"/>
      <sheetName val="9-05046L"/>
      <sheetName val="Input"/>
      <sheetName val="ProForma"/>
      <sheetName val="__FDSCACHE__"/>
      <sheetName val="Output"/>
      <sheetName val="Sheet1"/>
      <sheetName val="Delhaize"/>
      <sheetName val="Prop Model"/>
      <sheetName val="Office Data"/>
      <sheetName val="Pro forma IS"/>
      <sheetName val="BTMAIN"/>
      <sheetName val="Assumptions"/>
      <sheetName val="OPER"/>
      <sheetName val="RSR"/>
      <sheetName val="Weeklies"/>
      <sheetName val="Opportunity Codes "/>
      <sheetName val="2013"/>
      <sheetName val="Sheet2"/>
      <sheetName val="Sheet3"/>
      <sheetName val="Sheet4"/>
      <sheetName val="Total"/>
      <sheetName val="CAPITAL PH1"/>
      <sheetName val=" BUDGET P1"/>
      <sheetName val="EuroInputs"/>
      <sheetName val="MktAss"/>
      <sheetName val="A"/>
      <sheetName val="Corp Overhead"/>
      <sheetName val="MWC"/>
      <sheetName val="Corp_Overhead"/>
      <sheetName val="Corp_Overhead1"/>
      <sheetName val="Corp_Overhead2"/>
      <sheetName val="CAPEX"/>
      <sheetName val="Parameters"/>
      <sheetName val="INPUT ACQUIROR DATA"/>
      <sheetName val="Transaction-Assum."/>
      <sheetName val="Gráfico"/>
      <sheetName val="Data"/>
      <sheetName val="All Sum"/>
      <sheetName val="P&amp;L --KRON"/>
      <sheetName val="P&amp;L -BayTV"/>
      <sheetName val="215002"/>
      <sheetName val="Summary Financials"/>
      <sheetName val="Amarillo I-40-HI"/>
      <sheetName val="LTM"/>
      <sheetName val="CREDIT STATS"/>
      <sheetName val="DropZone"/>
      <sheetName val="Cover"/>
      <sheetName val="Total Firm"/>
      <sheetName val="Data for 03-04 Base Position"/>
      <sheetName val="company"/>
      <sheetName val="BS Rollup"/>
      <sheetName val="BEV"/>
      <sheetName val="EBITDA"/>
      <sheetName val="Price Performance Output"/>
      <sheetName val="Historical Multiples Output"/>
      <sheetName val="Straw Man"/>
      <sheetName val="MedSolutions Financial Data"/>
      <sheetName val="Football Field "/>
      <sheetName val="DCF"/>
      <sheetName val="Qcharts"/>
      <sheetName val="Charts"/>
      <sheetName val="Offers G&amp;C"/>
      <sheetName val="Offers GE"/>
      <sheetName val="Offers GS"/>
      <sheetName val="Offers MC"/>
      <sheetName val="13199"/>
      <sheetName val="PNGOil"/>
      <sheetName val="Model"/>
      <sheetName val="MLP IPO Yields vs MLP Index"/>
      <sheetName val="Control Panel"/>
      <sheetName val="Market"/>
      <sheetName val="Country Risk"/>
      <sheetName val="Quarterly rates"/>
      <sheetName val="Codes"/>
      <sheetName val="NCV Pivot"/>
      <sheetName val="exec sum (ncv) (3)"/>
      <sheetName val="Data Control"/>
    </sheetNames>
    <sheetDataSet>
      <sheetData sheetId="0" refreshError="1">
        <row r="34">
          <cell r="J34" t="str">
            <v>Europe</v>
          </cell>
        </row>
        <row r="35">
          <cell r="J35" t="str">
            <v>Other</v>
          </cell>
        </row>
        <row r="36">
          <cell r="J36" t="str">
            <v>Swiss</v>
          </cell>
        </row>
        <row r="37">
          <cell r="J37" t="str">
            <v>UK</v>
          </cell>
        </row>
        <row r="211">
          <cell r="J211" t="str">
            <v>Europe</v>
          </cell>
          <cell r="K211">
            <v>42560000</v>
          </cell>
        </row>
        <row r="212">
          <cell r="J212" t="str">
            <v>Other</v>
          </cell>
          <cell r="K212">
            <v>87425000</v>
          </cell>
        </row>
        <row r="213">
          <cell r="J213" t="str">
            <v>Swiss</v>
          </cell>
          <cell r="K213">
            <v>24660000</v>
          </cell>
        </row>
        <row r="214">
          <cell r="J214" t="str">
            <v>UK</v>
          </cell>
          <cell r="K214">
            <v>42000000</v>
          </cell>
        </row>
        <row r="398">
          <cell r="J398" t="str">
            <v>Europe</v>
          </cell>
          <cell r="K398">
            <v>33000000</v>
          </cell>
        </row>
        <row r="399">
          <cell r="J399" t="str">
            <v>Other</v>
          </cell>
          <cell r="K399">
            <v>21500000</v>
          </cell>
        </row>
        <row r="400">
          <cell r="J400" t="str">
            <v>Swiss</v>
          </cell>
          <cell r="K400">
            <v>116440000</v>
          </cell>
        </row>
        <row r="401">
          <cell r="J401" t="str">
            <v>UK</v>
          </cell>
          <cell r="K401">
            <v>101448000</v>
          </cell>
        </row>
        <row r="1121">
          <cell r="I1121" t="str">
            <v>Europe</v>
          </cell>
          <cell r="J1121">
            <v>11000000</v>
          </cell>
        </row>
        <row r="1122">
          <cell r="I1122" t="str">
            <v>Swiss</v>
          </cell>
          <cell r="J1122">
            <v>3370000</v>
          </cell>
        </row>
        <row r="1632">
          <cell r="I1632" t="str">
            <v>Europe</v>
          </cell>
          <cell r="J1632">
            <v>96300000</v>
          </cell>
        </row>
        <row r="1633">
          <cell r="I1633" t="str">
            <v>Other</v>
          </cell>
          <cell r="J1633">
            <v>39000000</v>
          </cell>
        </row>
        <row r="1634">
          <cell r="I1634" t="str">
            <v>Swiss</v>
          </cell>
          <cell r="J1634">
            <v>92900000</v>
          </cell>
        </row>
        <row r="1635">
          <cell r="I1635" t="str">
            <v>UK</v>
          </cell>
          <cell r="J1635">
            <v>64000000</v>
          </cell>
        </row>
        <row r="2248">
          <cell r="I2248" t="str">
            <v>Europe</v>
          </cell>
          <cell r="J2248">
            <v>12600000</v>
          </cell>
        </row>
        <row r="2249">
          <cell r="I2249" t="str">
            <v>Other</v>
          </cell>
          <cell r="J2249">
            <v>24500000</v>
          </cell>
        </row>
        <row r="2250">
          <cell r="I2250" t="str">
            <v>Swiss</v>
          </cell>
          <cell r="J2250">
            <v>56200000</v>
          </cell>
        </row>
        <row r="2251">
          <cell r="I2251" t="str">
            <v>UK</v>
          </cell>
          <cell r="J2251">
            <v>56400000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gI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tSettings"/>
      <sheetName val="SectList"/>
      <sheetName val="AcList"/>
      <sheetName val="DepList"/>
      <sheetName val="CurList"/>
      <sheetName val="SectTB"/>
      <sheetName val="SectCDTB"/>
      <sheetName val="AcTB"/>
      <sheetName val="AcCDTB"/>
      <sheetName val="Settings"/>
      <sheetName val="TB Scheme A"/>
      <sheetName val="TB Scheme B"/>
      <sheetName val="TB Scheme C"/>
      <sheetName val="TB Scheme D"/>
      <sheetName val="Check List"/>
      <sheetName val="History"/>
      <sheetName val="TB"/>
      <sheetName val="Data"/>
      <sheetName val="CFWorkings"/>
      <sheetName val="Cover"/>
      <sheetName val="Contents"/>
      <sheetName val="Information"/>
      <sheetName val="Director"/>
      <sheetName val="Responsibilities"/>
      <sheetName val="Audit"/>
      <sheetName val="Compilation"/>
      <sheetName val="Accountant"/>
      <sheetName val="PL"/>
      <sheetName val="RGL"/>
      <sheetName val="PL 1 Page"/>
      <sheetName val="BS"/>
      <sheetName val="CF"/>
      <sheetName val="BS 1 Page"/>
      <sheetName val="Cash Flow"/>
      <sheetName val="Notes"/>
      <sheetName val="DetailPL1"/>
      <sheetName val="DetailPL2"/>
      <sheetName val="AbbCover"/>
      <sheetName val="AbbAudit"/>
      <sheetName val="AbbCompilation"/>
      <sheetName val="AbbAccountant"/>
      <sheetName val="AbbBS"/>
      <sheetName val="AbbNotes"/>
      <sheetName val="Library"/>
      <sheetName val="Info Required"/>
      <sheetName val="FAR"/>
      <sheetName val="Tax Comp"/>
      <sheetName val="Workings"/>
      <sheetName val="VT_Results"/>
      <sheetName val="2004 05 SCS UK management acco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56">
          <cell r="C56" t="str">
            <v>Stem Cell Sciences (UK) Limited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_CIQHiddenCacheSheet"/>
      <sheetName val="Cover Page"/>
      <sheetName val="TOC"/>
      <sheetName val="ValSum"/>
      <sheetName val="Allocation Methods --&gt;"/>
      <sheetName val="PWERM"/>
      <sheetName val="Prob. of Exit"/>
      <sheetName val="Tranche Calculation"/>
      <sheetName val="WACC PWERM"/>
      <sheetName val="Financials --&gt;"/>
      <sheetName val="Hist IS"/>
      <sheetName val="Hist BS"/>
      <sheetName val="Captable details--&gt;"/>
      <sheetName val="Cap"/>
      <sheetName val="EconRights"/>
      <sheetName val="Waterfall"/>
      <sheetName val="GPC Approach --&gt;"/>
      <sheetName val="Revenue &amp; EBITDA Analysis"/>
      <sheetName val="Comps Description"/>
      <sheetName val="GT Approach --&gt;"/>
      <sheetName val="Transaction Metrics"/>
      <sheetName val="Transaction Desc."/>
      <sheetName val="Supporting Schedules --&gt;"/>
      <sheetName val="IPO Data"/>
      <sheetName val="Not Used --&gt;"/>
      <sheetName val="OPM I"/>
      <sheetName val="OPM II"/>
      <sheetName val="DLOM"/>
      <sheetName val="AssetVol"/>
      <sheetName val="Equity Volatility "/>
      <sheetName val="rNPV Approach --&gt;"/>
      <sheetName val="rNPV"/>
      <sheetName val="Beta"/>
      <sheetName val="Kcapital"/>
      <sheetName val="rNPV Workings"/>
      <sheetName val="Kcapital VC Return"/>
      <sheetName val="Sheet1"/>
      <sheetName val="Equity Allocation"/>
      <sheetName val="PWERM_nEW"/>
      <sheetName val="Mandelbaum Factors"/>
      <sheetName val="Multiples Analysis"/>
      <sheetName val="Key Metrics"/>
      <sheetName val="Transaction Valuation"/>
      <sheetName val="PBC --&gt;"/>
      <sheetName val="Summary"/>
      <sheetName val="2007 Plan"/>
      <sheetName val="IPO Data (3)"/>
      <sheetName val="Future Financing"/>
      <sheetName val="Risk Free Rates"/>
      <sheetName val="Equity Volatility - old"/>
      <sheetName val="Workpaper --&gt; "/>
      <sheetName val="Settings"/>
    </sheetNames>
    <sheetDataSet>
      <sheetData sheetId="0">
        <row r="1">
          <cell r="C1" t="str">
            <v>Vivace Therapeutics, Inc.</v>
          </cell>
        </row>
        <row r="2">
          <cell r="C2">
            <v>42094</v>
          </cell>
        </row>
        <row r="4">
          <cell r="C4" t="str">
            <v>Common Stock Valuation as of March 31, 2015</v>
          </cell>
        </row>
        <row r="14">
          <cell r="C14" t="str">
            <v>CY 2015</v>
          </cell>
        </row>
        <row r="15">
          <cell r="C15" t="str">
            <v>CY 2016</v>
          </cell>
        </row>
        <row r="16">
          <cell r="C16" t="str">
            <v>CY 2017</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yMultInputs"/>
      <sheetName val="Setup"/>
    </sheetNames>
    <sheetDataSet>
      <sheetData sheetId="0" refreshError="1"/>
      <sheetData sheetId="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scriptions"/>
      <sheetName val="Subscriptons 2015"/>
    </sheetNames>
    <definedNames>
      <definedName name="Data.Top.Left"/>
    </definedNames>
    <sheetDataSet>
      <sheetData sheetId="0"/>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count"/>
      <sheetName val="Debt"/>
      <sheetName val="P&amp;V"/>
      <sheetName val="Summary"/>
      <sheetName val="Annual IS Expense Assumptions"/>
      <sheetName val="Revenue Assumptions and Summary"/>
      <sheetName val="Quarterly Income Statement"/>
      <sheetName val="Quarterly Balance Sheet"/>
      <sheetName val="Quarterly Cashflow Statement"/>
      <sheetName val="COGS Actual"/>
      <sheetName val="VeriStrat Revenue Forecast"/>
      <sheetName val="GeneStrat Revenue Forecast"/>
      <sheetName val="BDX010 Revenue Forecast"/>
      <sheetName val="ITx-Melanoma Revenue Forecast"/>
      <sheetName val="ITx-Lung Revenue Forecast"/>
      <sheetName val="Ovarian Revenue Forecast"/>
      <sheetName val="CDx Revenue Forecast"/>
      <sheetName val="Bus Dev Revenue"/>
      <sheetName val="License Royalty Income"/>
      <sheetName val="Selling Expenses"/>
      <sheetName val="Data export for P&amp;L"/>
      <sheetName val="VeriStrat_Sales_Model"/>
      <sheetName val="BDX010"/>
      <sheetName val="ImmunoDX-Melanoma"/>
      <sheetName val="ImmunoDX-Lung"/>
      <sheetName val="Ovarian"/>
      <sheetName val="CDX3"/>
      <sheetName val="CDX4"/>
      <sheetName val="CDX5"/>
      <sheetName val="CDX6"/>
      <sheetName val="SalesRepsAdded"/>
      <sheetName val="Lookup"/>
      <sheetName val="2 Monthly Expense Actuals"/>
    </sheetNames>
    <sheetDataSet>
      <sheetData sheetId="0" refreshError="1"/>
      <sheetData sheetId="1" refreshError="1"/>
      <sheetData sheetId="2" refreshError="1"/>
      <sheetData sheetId="3" refreshError="1"/>
      <sheetData sheetId="4" refreshError="1"/>
      <sheetData sheetId="5">
        <row r="24">
          <cell r="T24" t="str">
            <v>Sales Rep</v>
          </cell>
        </row>
        <row r="25">
          <cell r="T25" t="str">
            <v>Account Manager</v>
          </cell>
        </row>
      </sheetData>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2">
          <cell r="K2">
            <v>42552</v>
          </cell>
        </row>
        <row r="3">
          <cell r="K3">
            <v>42583</v>
          </cell>
        </row>
        <row r="4">
          <cell r="K4">
            <v>42614</v>
          </cell>
        </row>
        <row r="5">
          <cell r="K5">
            <v>42644</v>
          </cell>
        </row>
        <row r="6">
          <cell r="K6">
            <v>42675</v>
          </cell>
        </row>
        <row r="7">
          <cell r="K7">
            <v>42705</v>
          </cell>
        </row>
        <row r="8">
          <cell r="K8">
            <v>42736</v>
          </cell>
        </row>
        <row r="9">
          <cell r="K9">
            <v>42767</v>
          </cell>
        </row>
        <row r="10">
          <cell r="K10">
            <v>42795</v>
          </cell>
        </row>
        <row r="11">
          <cell r="K11">
            <v>42826</v>
          </cell>
        </row>
        <row r="12">
          <cell r="K12">
            <v>42856</v>
          </cell>
        </row>
        <row r="13">
          <cell r="K13">
            <v>42887</v>
          </cell>
        </row>
        <row r="14">
          <cell r="K14">
            <v>42917</v>
          </cell>
        </row>
        <row r="15">
          <cell r="K15">
            <v>42948</v>
          </cell>
        </row>
        <row r="16">
          <cell r="K16">
            <v>42979</v>
          </cell>
        </row>
        <row r="17">
          <cell r="K17">
            <v>43009</v>
          </cell>
        </row>
        <row r="18">
          <cell r="K18">
            <v>43040</v>
          </cell>
        </row>
        <row r="19">
          <cell r="K19">
            <v>43070</v>
          </cell>
        </row>
        <row r="20">
          <cell r="K20">
            <v>43101</v>
          </cell>
        </row>
        <row r="21">
          <cell r="K21">
            <v>43132</v>
          </cell>
        </row>
        <row r="22">
          <cell r="K22">
            <v>43160</v>
          </cell>
        </row>
        <row r="23">
          <cell r="K23">
            <v>43191</v>
          </cell>
        </row>
        <row r="24">
          <cell r="K24">
            <v>43221</v>
          </cell>
        </row>
        <row r="25">
          <cell r="K25">
            <v>43252</v>
          </cell>
        </row>
        <row r="26">
          <cell r="K26">
            <v>43282</v>
          </cell>
        </row>
        <row r="27">
          <cell r="K27">
            <v>43313</v>
          </cell>
        </row>
        <row r="28">
          <cell r="K28">
            <v>43344</v>
          </cell>
        </row>
        <row r="29">
          <cell r="K29">
            <v>43374</v>
          </cell>
        </row>
        <row r="30">
          <cell r="K30">
            <v>43405</v>
          </cell>
        </row>
        <row r="31">
          <cell r="K31">
            <v>43435</v>
          </cell>
        </row>
        <row r="32">
          <cell r="K32">
            <v>43466</v>
          </cell>
        </row>
        <row r="33">
          <cell r="K33">
            <v>43497</v>
          </cell>
        </row>
        <row r="34">
          <cell r="K34">
            <v>43525</v>
          </cell>
        </row>
        <row r="35">
          <cell r="K35">
            <v>43556</v>
          </cell>
        </row>
        <row r="36">
          <cell r="K36">
            <v>43586</v>
          </cell>
        </row>
        <row r="37">
          <cell r="K37">
            <v>43617</v>
          </cell>
        </row>
        <row r="38">
          <cell r="K38">
            <v>43647</v>
          </cell>
        </row>
        <row r="39">
          <cell r="K39">
            <v>43678</v>
          </cell>
        </row>
        <row r="40">
          <cell r="K40">
            <v>43709</v>
          </cell>
        </row>
        <row r="41">
          <cell r="K41">
            <v>43739</v>
          </cell>
        </row>
        <row r="42">
          <cell r="K42">
            <v>43770</v>
          </cell>
        </row>
        <row r="43">
          <cell r="K43">
            <v>43800</v>
          </cell>
        </row>
        <row r="44">
          <cell r="K44">
            <v>43831</v>
          </cell>
        </row>
        <row r="45">
          <cell r="K45">
            <v>43862</v>
          </cell>
        </row>
        <row r="46">
          <cell r="K46">
            <v>43891</v>
          </cell>
        </row>
        <row r="47">
          <cell r="K47">
            <v>43922</v>
          </cell>
        </row>
        <row r="48">
          <cell r="K48">
            <v>43952</v>
          </cell>
        </row>
        <row r="49">
          <cell r="K49">
            <v>43983</v>
          </cell>
        </row>
        <row r="50">
          <cell r="K50">
            <v>44013</v>
          </cell>
        </row>
        <row r="51">
          <cell r="K51">
            <v>44044</v>
          </cell>
        </row>
        <row r="52">
          <cell r="K52">
            <v>44075</v>
          </cell>
        </row>
        <row r="53">
          <cell r="K53">
            <v>44105</v>
          </cell>
        </row>
        <row r="54">
          <cell r="K54">
            <v>44136</v>
          </cell>
        </row>
        <row r="55">
          <cell r="K55">
            <v>44166</v>
          </cell>
        </row>
      </sheetData>
      <sheetData sheetId="3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 val="Out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Setup - IP Val"/>
      <sheetName val="_CIQHiddenCacheSheet"/>
      <sheetName val="Cover Page IP Val"/>
      <sheetName val="TOC"/>
      <sheetName val="ValSum IP Val"/>
      <sheetName val="Technology - Summary"/>
      <sheetName val="Technology - MPEE"/>
      <sheetName val="CAC"/>
      <sheetName val="Technology - RFR"/>
      <sheetName val="Technology - Transactions"/>
      <sheetName val="Technology - Cost"/>
      <sheetName val="Brand IP - RFR"/>
      <sheetName val="Brand IP - Transactions"/>
      <sheetName val="Projections"/>
      <sheetName val="WACC"/>
      <sheetName val="Beta"/>
      <sheetName val="Balance Sheet"/>
      <sheetName val="Income Statement"/>
      <sheetName val="GPC"/>
      <sheetName val="GPC Metrics"/>
      <sheetName val="GPC Desc"/>
      <sheetName val="PBC"/>
      <sheetName val="WARA"/>
      <sheetName val="Customer Contracts"/>
      <sheetName val="Projections 2016-2018"/>
      <sheetName val="BS 2010-2012"/>
      <sheetName val="PBC_Cash Flow"/>
      <sheetName val="IS FY 2010 - 2012"/>
      <sheetName val="CF 2010-1013"/>
      <sheetName val="PBC _ Budget 2015"/>
      <sheetName val="Workforce for Technology"/>
      <sheetName val="Assembled Workforce"/>
      <sheetName val="IS"/>
      <sheetName val="BS"/>
      <sheetName val="CF"/>
      <sheetName val="YTD PL"/>
      <sheetName val="02.28.2015 BS"/>
      <sheetName val="Salaries"/>
      <sheetName val="Monthly BS &amp; CF Drivers"/>
      <sheetName val="Depreciation - MACRS"/>
      <sheetName val="List Data"/>
    </sheetNames>
    <sheetDataSet>
      <sheetData sheetId="0"/>
      <sheetData sheetId="1">
        <row r="1">
          <cell r="C1" t="str">
            <v>Expertus, Inc.</v>
          </cell>
        </row>
        <row r="2">
          <cell r="C2">
            <v>42063</v>
          </cell>
        </row>
        <row r="4">
          <cell r="C4" t="str">
            <v>Intellectual Property Valuation as of February 28, 2015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S"/>
      <sheetName val="Setup - IP Val"/>
    </sheetNames>
    <sheetDataSet>
      <sheetData sheetId="0" refreshError="1"/>
      <sheetData sheetId="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pt Cash flow 10-Q Report P 3"/>
      <sheetName val="Cflow1108"/>
      <sheetName val="#REF"/>
    </sheetNames>
    <sheetDataSet>
      <sheetData sheetId="0" refreshError="1">
        <row r="8">
          <cell r="B8" t="str">
            <v>Cash flows from operating activities</v>
          </cell>
        </row>
        <row r="34">
          <cell r="B34" t="str">
            <v>Cash flows from investing activities</v>
          </cell>
        </row>
        <row r="42">
          <cell r="B42" t="str">
            <v>Cash flows from financing activities</v>
          </cell>
        </row>
        <row r="49">
          <cell r="B49" t="str">
            <v>Foreign currency translation loss in comprehensive income</v>
          </cell>
        </row>
        <row r="50">
          <cell r="B50" t="str">
            <v>Net increase (decrease) in cash .</v>
          </cell>
        </row>
        <row r="51">
          <cell r="B51" t="str">
            <v>Cash and cash equivalents at beginning of year .</v>
          </cell>
        </row>
        <row r="52">
          <cell r="B52" t="str">
            <v>Cash and cash equivalents at end of year</v>
          </cell>
        </row>
      </sheetData>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8.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printerSettings" Target="../printerSettings/printerSettings25.bin"/><Relationship Id="rId4" Type="http://schemas.openxmlformats.org/officeDocument/2006/relationships/comments" Target="../comments3.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vmlDrawing" Target="../drawings/vmlDrawing21.vml"/><Relationship Id="rId1" Type="http://schemas.openxmlformats.org/officeDocument/2006/relationships/printerSettings" Target="../printerSettings/printerSettings31.bin"/><Relationship Id="rId4" Type="http://schemas.openxmlformats.org/officeDocument/2006/relationships/comments" Target="../comments4.xml"/></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vmlDrawing" Target="../drawings/vmlDrawing29.vml"/><Relationship Id="rId1" Type="http://schemas.openxmlformats.org/officeDocument/2006/relationships/printerSettings" Target="../printerSettings/printerSettings38.bin"/><Relationship Id="rId4" Type="http://schemas.openxmlformats.org/officeDocument/2006/relationships/comments" Target="../comments5.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vmlDrawing" Target="../drawings/vmlDrawing31.vml"/><Relationship Id="rId1" Type="http://schemas.openxmlformats.org/officeDocument/2006/relationships/printerSettings" Target="../printerSettings/printerSettings39.bin"/><Relationship Id="rId4" Type="http://schemas.openxmlformats.org/officeDocument/2006/relationships/comments" Target="../comments6.xml"/></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41.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vmlDrawing" Target="../drawings/vmlDrawing35.vml"/><Relationship Id="rId1" Type="http://schemas.openxmlformats.org/officeDocument/2006/relationships/printerSettings" Target="../printerSettings/printerSettings42.bin"/><Relationship Id="rId4" Type="http://schemas.openxmlformats.org/officeDocument/2006/relationships/comments" Target="../comments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37.vml"/><Relationship Id="rId1" Type="http://schemas.openxmlformats.org/officeDocument/2006/relationships/printerSettings" Target="../printerSettings/printerSettings4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38.vml"/><Relationship Id="rId1" Type="http://schemas.openxmlformats.org/officeDocument/2006/relationships/printerSettings" Target="../printerSettings/printerSettings47.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39.vml"/><Relationship Id="rId1" Type="http://schemas.openxmlformats.org/officeDocument/2006/relationships/printerSettings" Target="../printerSettings/printerSettings4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vmlDrawing" Target="../drawings/vmlDrawing40.vml"/><Relationship Id="rId1" Type="http://schemas.openxmlformats.org/officeDocument/2006/relationships/printerSettings" Target="../printerSettings/printerSettings50.bin"/><Relationship Id="rId4" Type="http://schemas.openxmlformats.org/officeDocument/2006/relationships/comments" Target="../comments11.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2.bin"/></Relationships>
</file>

<file path=xl/worksheets/_rels/sheet65.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53.bin"/></Relationships>
</file>

<file path=xl/worksheets/_rels/sheet66.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54.bin"/></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vmlDrawing" Target="../drawings/vmlDrawing44.vml"/><Relationship Id="rId1" Type="http://schemas.openxmlformats.org/officeDocument/2006/relationships/printerSettings" Target="../printerSettings/printerSettings55.bin"/><Relationship Id="rId4" Type="http://schemas.openxmlformats.org/officeDocument/2006/relationships/comments" Target="../comments12.xml"/></Relationships>
</file>

<file path=xl/worksheets/_rels/sheet68.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56.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vmlDrawing" Target="../drawings/vmlDrawing47.vml"/><Relationship Id="rId1" Type="http://schemas.openxmlformats.org/officeDocument/2006/relationships/printerSettings" Target="../printerSettings/printerSettings57.bin"/><Relationship Id="rId4" Type="http://schemas.openxmlformats.org/officeDocument/2006/relationships/comments" Target="../comments13.xml"/></Relationships>
</file>

<file path=xl/worksheets/_rels/sheet70.xml.rels><?xml version="1.0" encoding="UTF-8" standalone="yes"?>
<Relationships xmlns="http://schemas.openxmlformats.org/package/2006/relationships"><Relationship Id="rId2" Type="http://schemas.openxmlformats.org/officeDocument/2006/relationships/vmlDrawing" Target="../drawings/vmlDrawing49.vml"/><Relationship Id="rId1" Type="http://schemas.openxmlformats.org/officeDocument/2006/relationships/printerSettings" Target="../printerSettings/printerSettings58.bin"/></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vmlDrawing" Target="../drawings/vmlDrawing50.vml"/><Relationship Id="rId1" Type="http://schemas.openxmlformats.org/officeDocument/2006/relationships/printerSettings" Target="../printerSettings/printerSettings59.bin"/><Relationship Id="rId4" Type="http://schemas.openxmlformats.org/officeDocument/2006/relationships/comments" Target="../comments14.xml"/></Relationships>
</file>

<file path=xl/worksheets/_rels/sheet72.xml.rels><?xml version="1.0" encoding="UTF-8" standalone="yes"?>
<Relationships xmlns="http://schemas.openxmlformats.org/package/2006/relationships"><Relationship Id="rId2" Type="http://schemas.openxmlformats.org/officeDocument/2006/relationships/vmlDrawing" Target="../drawings/vmlDrawing52.vml"/><Relationship Id="rId1" Type="http://schemas.openxmlformats.org/officeDocument/2006/relationships/printerSettings" Target="../printerSettings/printerSettings60.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74.xml.rels><?xml version="1.0" encoding="UTF-8" standalone="yes"?>
<Relationships xmlns="http://schemas.openxmlformats.org/package/2006/relationships"><Relationship Id="rId2" Type="http://schemas.openxmlformats.org/officeDocument/2006/relationships/vmlDrawing" Target="../drawings/vmlDrawing53.vml"/><Relationship Id="rId1" Type="http://schemas.openxmlformats.org/officeDocument/2006/relationships/printerSettings" Target="../printerSettings/printerSettings62.bin"/></Relationships>
</file>

<file path=xl/worksheets/_rels/sheet75.xml.rels><?xml version="1.0" encoding="UTF-8" standalone="yes"?>
<Relationships xmlns="http://schemas.openxmlformats.org/package/2006/relationships"><Relationship Id="rId2" Type="http://schemas.openxmlformats.org/officeDocument/2006/relationships/vmlDrawing" Target="../drawings/vmlDrawing54.vml"/><Relationship Id="rId1" Type="http://schemas.openxmlformats.org/officeDocument/2006/relationships/printerSettings" Target="../printerSettings/printerSettings63.bin"/></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printerSettings" Target="../printerSettings/printerSettings64.bin"/><Relationship Id="rId1" Type="http://schemas.openxmlformats.org/officeDocument/2006/relationships/hyperlink" Target="http://www.fiercebiotech.com/biotech/genentech-south-korean-pharma-up-to-910m-raf-inhibitor-deal" TargetMode="External"/><Relationship Id="rId5" Type="http://schemas.openxmlformats.org/officeDocument/2006/relationships/comments" Target="../comments15.xml"/><Relationship Id="rId4" Type="http://schemas.openxmlformats.org/officeDocument/2006/relationships/vmlDrawing" Target="../drawings/vmlDrawing56.v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vmlDrawing" Target="../drawings/vmlDrawing57.vml"/><Relationship Id="rId1" Type="http://schemas.openxmlformats.org/officeDocument/2006/relationships/printerSettings" Target="../printerSettings/printerSettings65.bin"/><Relationship Id="rId4" Type="http://schemas.openxmlformats.org/officeDocument/2006/relationships/comments" Target="../comments16.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vmlDrawing" Target="../drawings/vmlDrawing59.vml"/><Relationship Id="rId1" Type="http://schemas.openxmlformats.org/officeDocument/2006/relationships/printerSettings" Target="../printerSettings/printerSettings66.bin"/><Relationship Id="rId4" Type="http://schemas.openxmlformats.org/officeDocument/2006/relationships/comments" Target="../comments17.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80.xml.rels><?xml version="1.0" encoding="UTF-8" standalone="yes"?>
<Relationships xmlns="http://schemas.openxmlformats.org/package/2006/relationships"><Relationship Id="rId2" Type="http://schemas.openxmlformats.org/officeDocument/2006/relationships/vmlDrawing" Target="../drawings/vmlDrawing61.vml"/><Relationship Id="rId1" Type="http://schemas.openxmlformats.org/officeDocument/2006/relationships/printerSettings" Target="../printerSettings/printerSettings68.bin"/></Relationships>
</file>

<file path=xl/worksheets/_rels/sheet81.xml.rels><?xml version="1.0" encoding="UTF-8" standalone="yes"?>
<Relationships xmlns="http://schemas.openxmlformats.org/package/2006/relationships"><Relationship Id="rId2" Type="http://schemas.openxmlformats.org/officeDocument/2006/relationships/vmlDrawing" Target="../drawings/vmlDrawing62.vml"/><Relationship Id="rId1" Type="http://schemas.openxmlformats.org/officeDocument/2006/relationships/printerSettings" Target="../printerSettings/printerSettings69.bin"/></Relationships>
</file>

<file path=xl/worksheets/_rels/sheet82.xml.rels><?xml version="1.0" encoding="UTF-8" standalone="yes"?>
<Relationships xmlns="http://schemas.openxmlformats.org/package/2006/relationships"><Relationship Id="rId2" Type="http://schemas.openxmlformats.org/officeDocument/2006/relationships/vmlDrawing" Target="../drawings/vmlDrawing63.vml"/><Relationship Id="rId1" Type="http://schemas.openxmlformats.org/officeDocument/2006/relationships/printerSettings" Target="../printerSettings/printerSettings70.bin"/></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vmlDrawing" Target="../drawings/vmlDrawing64.vml"/><Relationship Id="rId1" Type="http://schemas.openxmlformats.org/officeDocument/2006/relationships/printerSettings" Target="../printerSettings/printerSettings71.bin"/><Relationship Id="rId4" Type="http://schemas.openxmlformats.org/officeDocument/2006/relationships/comments" Target="../comments18.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vmlDrawing" Target="../drawings/vmlDrawing66.vml"/><Relationship Id="rId1" Type="http://schemas.openxmlformats.org/officeDocument/2006/relationships/printerSettings" Target="../printerSettings/printerSettings72.bin"/><Relationship Id="rId4" Type="http://schemas.openxmlformats.org/officeDocument/2006/relationships/comments" Target="../comments19.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vmlDrawing" Target="../drawings/vmlDrawing68.vml"/><Relationship Id="rId1" Type="http://schemas.openxmlformats.org/officeDocument/2006/relationships/printerSettings" Target="../printerSettings/printerSettings73.bin"/><Relationship Id="rId4" Type="http://schemas.openxmlformats.org/officeDocument/2006/relationships/comments" Target="../comments20.xml"/></Relationships>
</file>

<file path=xl/worksheets/_rels/sheet86.xml.rels><?xml version="1.0" encoding="UTF-8" standalone="yes"?>
<Relationships xmlns="http://schemas.openxmlformats.org/package/2006/relationships"><Relationship Id="rId2" Type="http://schemas.openxmlformats.org/officeDocument/2006/relationships/vmlDrawing" Target="../drawings/vmlDrawing70.vml"/><Relationship Id="rId1" Type="http://schemas.openxmlformats.org/officeDocument/2006/relationships/printerSettings" Target="../printerSettings/printerSettings74.bin"/></Relationships>
</file>

<file path=xl/worksheets/_rels/sheet87.xml.rels><?xml version="1.0" encoding="UTF-8" standalone="yes"?>
<Relationships xmlns="http://schemas.openxmlformats.org/package/2006/relationships"><Relationship Id="rId2" Type="http://schemas.openxmlformats.org/officeDocument/2006/relationships/vmlDrawing" Target="../drawings/vmlDrawing71.vml"/><Relationship Id="rId1" Type="http://schemas.openxmlformats.org/officeDocument/2006/relationships/printerSettings" Target="../printerSettings/printerSettings75.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2:C13"/>
  <sheetViews>
    <sheetView zoomScale="80" zoomScaleNormal="80" workbookViewId="0"/>
  </sheetViews>
  <sheetFormatPr defaultRowHeight="12.75"/>
  <cols>
    <col min="1" max="1" width="6.6640625" style="179" customWidth="1"/>
    <col min="2" max="2" width="46" style="179" bestFit="1" customWidth="1"/>
    <col min="3" max="3" width="52.6640625" style="179" customWidth="1"/>
    <col min="4" max="16384" width="9.33203125" style="179"/>
  </cols>
  <sheetData>
    <row r="2" spans="1:3">
      <c r="A2" s="199" t="s">
        <v>557</v>
      </c>
    </row>
    <row r="3" spans="1:3">
      <c r="A3" s="179" t="s">
        <v>453</v>
      </c>
      <c r="B3" s="179" t="s">
        <v>879</v>
      </c>
      <c r="C3" s="179" t="s">
        <v>558</v>
      </c>
    </row>
    <row r="4" spans="1:3" ht="51">
      <c r="A4" s="180">
        <v>1</v>
      </c>
      <c r="B4" s="179" t="s">
        <v>559</v>
      </c>
      <c r="C4" s="200" t="s">
        <v>560</v>
      </c>
    </row>
    <row r="5" spans="1:3" ht="38.25">
      <c r="A5" s="180">
        <f>+A4+1</f>
        <v>2</v>
      </c>
      <c r="B5" s="179" t="s">
        <v>561</v>
      </c>
      <c r="C5" s="200" t="s">
        <v>680</v>
      </c>
    </row>
    <row r="6" spans="1:3" ht="38.25">
      <c r="A6" s="180">
        <f>+A5+1</f>
        <v>3</v>
      </c>
      <c r="B6" s="179" t="s">
        <v>562</v>
      </c>
      <c r="C6" s="200" t="s">
        <v>681</v>
      </c>
    </row>
    <row r="7" spans="1:3" ht="25.5">
      <c r="A7" s="180">
        <f>+A6+1</f>
        <v>4</v>
      </c>
      <c r="B7" s="179" t="s">
        <v>563</v>
      </c>
      <c r="C7" s="200" t="s">
        <v>682</v>
      </c>
    </row>
    <row r="8" spans="1:3">
      <c r="A8" s="180">
        <f>+A7+1</f>
        <v>5</v>
      </c>
      <c r="B8" s="179" t="s">
        <v>565</v>
      </c>
      <c r="C8" s="201" t="s">
        <v>564</v>
      </c>
    </row>
    <row r="11" spans="1:3">
      <c r="A11" s="199" t="s">
        <v>566</v>
      </c>
    </row>
    <row r="12" spans="1:3">
      <c r="A12" s="179">
        <v>1</v>
      </c>
      <c r="B12" s="179" t="s">
        <v>567</v>
      </c>
    </row>
    <row r="13" spans="1:3">
      <c r="A13" s="179">
        <v>2</v>
      </c>
      <c r="B13" s="179" t="s">
        <v>703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1"/>
  </sheetPr>
  <dimension ref="A1:F57"/>
  <sheetViews>
    <sheetView zoomScale="80" zoomScaleNormal="80" workbookViewId="0"/>
  </sheetViews>
  <sheetFormatPr defaultRowHeight="12.75" outlineLevelRow="1"/>
  <cols>
    <col min="1" max="1" width="7" style="179" customWidth="1"/>
    <col min="2" max="2" width="32.1640625" style="179" customWidth="1"/>
    <col min="3" max="3" width="56.33203125" style="179" customWidth="1"/>
    <col min="4" max="4" width="20.83203125" style="203" customWidth="1"/>
    <col min="5" max="5" width="10.83203125" style="179" customWidth="1"/>
    <col min="6" max="6" width="9.33203125" style="179"/>
    <col min="7" max="7" width="12.83203125" style="179" customWidth="1"/>
    <col min="8" max="8" width="17.83203125" style="179" bestFit="1" customWidth="1"/>
    <col min="9" max="10" width="12.83203125" style="179" customWidth="1"/>
    <col min="11" max="16384" width="9.33203125" style="179"/>
  </cols>
  <sheetData>
    <row r="1" spans="1:4">
      <c r="A1" s="202" t="s">
        <v>444</v>
      </c>
    </row>
    <row r="3" spans="1:4">
      <c r="B3" s="179" t="s">
        <v>443</v>
      </c>
      <c r="C3" s="204">
        <v>42718</v>
      </c>
      <c r="D3" s="203" t="s">
        <v>578</v>
      </c>
    </row>
    <row r="5" spans="1:4">
      <c r="B5" s="179" t="s">
        <v>448</v>
      </c>
      <c r="C5" s="205" t="s">
        <v>3237</v>
      </c>
    </row>
    <row r="6" spans="1:4">
      <c r="B6" s="179" t="s">
        <v>449</v>
      </c>
      <c r="C6" s="206">
        <v>43245</v>
      </c>
    </row>
    <row r="7" spans="1:4">
      <c r="B7" s="179" t="s">
        <v>549</v>
      </c>
      <c r="C7" s="206">
        <v>43100</v>
      </c>
    </row>
    <row r="8" spans="1:4">
      <c r="B8" s="179" t="s">
        <v>460</v>
      </c>
      <c r="C8" s="205" t="s">
        <v>2031</v>
      </c>
    </row>
    <row r="9" spans="1:4">
      <c r="B9" s="179" t="s">
        <v>452</v>
      </c>
      <c r="C9" s="207">
        <v>0.21</v>
      </c>
    </row>
    <row r="10" spans="1:4">
      <c r="B10" s="179" t="s">
        <v>476</v>
      </c>
      <c r="C10" s="205"/>
    </row>
    <row r="13" spans="1:4">
      <c r="B13" s="179" t="s">
        <v>447</v>
      </c>
      <c r="C13" s="205"/>
    </row>
    <row r="14" spans="1:4">
      <c r="B14" s="179" t="s">
        <v>450</v>
      </c>
      <c r="C14" s="205"/>
    </row>
    <row r="15" spans="1:4">
      <c r="B15" s="179" t="s">
        <v>451</v>
      </c>
      <c r="C15" s="205"/>
    </row>
    <row r="16" spans="1:4">
      <c r="B16" s="179" t="s">
        <v>445</v>
      </c>
      <c r="C16" s="205"/>
    </row>
    <row r="17" spans="1:4">
      <c r="B17" s="179" t="s">
        <v>446</v>
      </c>
      <c r="C17" s="205"/>
    </row>
    <row r="19" spans="1:4">
      <c r="B19" s="179" t="s">
        <v>683</v>
      </c>
      <c r="C19" s="205" t="s">
        <v>144</v>
      </c>
    </row>
    <row r="20" spans="1:4">
      <c r="B20" s="179" t="s">
        <v>684</v>
      </c>
      <c r="C20" s="205" t="s">
        <v>686</v>
      </c>
    </row>
    <row r="21" spans="1:4">
      <c r="B21" s="179" t="s">
        <v>685</v>
      </c>
      <c r="C21" s="205" t="s">
        <v>0</v>
      </c>
    </row>
    <row r="22" spans="1:4">
      <c r="B22" s="179" t="s">
        <v>688</v>
      </c>
      <c r="C22" s="205" t="s">
        <v>687</v>
      </c>
    </row>
    <row r="23" spans="1:4">
      <c r="B23" s="179" t="s">
        <v>689</v>
      </c>
      <c r="C23" s="205" t="s">
        <v>1554</v>
      </c>
    </row>
    <row r="24" spans="1:4">
      <c r="B24" s="179" t="s">
        <v>1553</v>
      </c>
      <c r="C24" s="205" t="s">
        <v>88</v>
      </c>
    </row>
    <row r="25" spans="1:4">
      <c r="B25" s="179" t="s">
        <v>1634</v>
      </c>
      <c r="C25" s="205" t="s">
        <v>1635</v>
      </c>
    </row>
    <row r="26" spans="1:4">
      <c r="D26" s="208" t="s">
        <v>551</v>
      </c>
    </row>
    <row r="27" spans="1:4">
      <c r="A27" s="209" t="s">
        <v>453</v>
      </c>
      <c r="B27" s="210" t="s">
        <v>108</v>
      </c>
      <c r="C27" s="211" t="s">
        <v>454</v>
      </c>
      <c r="D27" s="212" t="s">
        <v>147</v>
      </c>
    </row>
    <row r="28" spans="1:4">
      <c r="A28" s="213">
        <v>1</v>
      </c>
      <c r="B28" s="214" t="str">
        <f>'Capital IQ Sheet-GPC'!A13</f>
        <v>NasdaqGS:EDIT</v>
      </c>
      <c r="C28" s="215" t="str">
        <f>'Capital IQ Sheet-GPC'!B13</f>
        <v>IQ252050056</v>
      </c>
      <c r="D28" s="216">
        <f>IF(B28="","",'Comp.1'!C12)</f>
        <v>1379.6794800000002</v>
      </c>
    </row>
    <row r="29" spans="1:4">
      <c r="A29" s="217">
        <f>A28+1</f>
        <v>2</v>
      </c>
      <c r="B29" s="218" t="str">
        <f>'Capital IQ Sheet-GPC'!A14</f>
        <v>LSE:OXB</v>
      </c>
      <c r="C29" s="219" t="str">
        <f>'Capital IQ Sheet-GPC'!B14</f>
        <v>IQ613227</v>
      </c>
      <c r="D29" s="220">
        <f>IF(B29="","",'Comp.1'!C13)</f>
        <v>686.14873999999998</v>
      </c>
    </row>
    <row r="30" spans="1:4">
      <c r="A30" s="217">
        <f t="shared" ref="A30:A57" si="0">A29+1</f>
        <v>3</v>
      </c>
      <c r="B30" s="218" t="str">
        <f>'Capital IQ Sheet-GPC'!A15</f>
        <v>NasdaqCM:FENC</v>
      </c>
      <c r="C30" s="219" t="str">
        <f>'Capital IQ Sheet-GPC'!B15</f>
        <v>IQ1455350</v>
      </c>
      <c r="D30" s="220">
        <f>IF(B30="","",'Comp.1'!C14)</f>
        <v>178.94606000000002</v>
      </c>
    </row>
    <row r="31" spans="1:4">
      <c r="A31" s="217">
        <f t="shared" si="0"/>
        <v>4</v>
      </c>
      <c r="B31" s="218" t="str">
        <f>'Capital IQ Sheet-GPC'!A16</f>
        <v>NasdaqGM:PRQR</v>
      </c>
      <c r="C31" s="219" t="str">
        <f>'Capital IQ Sheet-GPC'!B16</f>
        <v>IQ224193775</v>
      </c>
      <c r="D31" s="220">
        <f>IF(B31="","",'Comp.1'!C15)</f>
        <v>139.23598000000001</v>
      </c>
    </row>
    <row r="32" spans="1:4">
      <c r="A32" s="217">
        <f t="shared" si="0"/>
        <v>5</v>
      </c>
      <c r="B32" s="218" t="str">
        <f>'Capital IQ Sheet-GPC'!A17</f>
        <v>ENXTPA:GKTX</v>
      </c>
      <c r="C32" s="219" t="str">
        <f>'Capital IQ Sheet-GPC'!B17</f>
        <v>IQ25750031</v>
      </c>
      <c r="D32" s="220">
        <f>IF(B32="","",'Comp.1'!C16)</f>
        <v>125.38888000000001</v>
      </c>
    </row>
    <row r="33" spans="1:4">
      <c r="A33" s="217">
        <f t="shared" si="0"/>
        <v>6</v>
      </c>
      <c r="B33" s="218" t="str">
        <f>'Capital IQ Sheet-GPC'!A18</f>
        <v>NasdaqCM:NVUS</v>
      </c>
      <c r="C33" s="219" t="str">
        <f>'Capital IQ Sheet-GPC'!B18</f>
        <v>IQ62494905</v>
      </c>
      <c r="D33" s="220">
        <f>IF(B33="","",'Comp.1'!C17)</f>
        <v>51.510280000000009</v>
      </c>
    </row>
    <row r="34" spans="1:4">
      <c r="A34" s="217">
        <f t="shared" si="0"/>
        <v>7</v>
      </c>
      <c r="B34" s="218" t="str">
        <f>'Capital IQ Sheet-GPC'!A19</f>
        <v>ENXTPA:ALSEN</v>
      </c>
      <c r="C34" s="219" t="str">
        <f>'Capital IQ Sheet-GPC'!B19</f>
        <v>IQ201049094</v>
      </c>
      <c r="D34" s="220">
        <f>IF(B34="","",'Comp.1'!C18)</f>
        <v>30.731609999999996</v>
      </c>
    </row>
    <row r="35" spans="1:4">
      <c r="A35" s="217">
        <f t="shared" si="0"/>
        <v>8</v>
      </c>
      <c r="B35" s="218" t="str">
        <f>'Capital IQ Sheet-GPC'!A20</f>
        <v>NasdaqGS:OTIC</v>
      </c>
      <c r="C35" s="219" t="str">
        <f>'Capital IQ Sheet-GPC'!B20</f>
        <v>IQ60978778</v>
      </c>
      <c r="D35" s="220">
        <f>IF(B35="","",'Comp.1'!C19)</f>
        <v>25.845989999999986</v>
      </c>
    </row>
    <row r="36" spans="1:4">
      <c r="A36" s="217">
        <f t="shared" si="0"/>
        <v>9</v>
      </c>
      <c r="B36" s="218" t="str">
        <f>'Capital IQ Sheet-GPC'!A21</f>
        <v>NasdaqCM:EARS</v>
      </c>
      <c r="C36" s="219" t="str">
        <f>'Capital IQ Sheet-GPC'!B21</f>
        <v>IQ42726152</v>
      </c>
      <c r="D36" s="220">
        <f>IF(B36="","",'Comp.1'!C20)</f>
        <v>3.072160000000002</v>
      </c>
    </row>
    <row r="37" spans="1:4" outlineLevel="1">
      <c r="A37" s="217">
        <f t="shared" si="0"/>
        <v>10</v>
      </c>
      <c r="B37" s="218" t="str">
        <f>'Capital IQ Sheet-GPC'!A22</f>
        <v>(Invalid Identifier)</v>
      </c>
      <c r="C37" s="219" t="str">
        <f>'Capital IQ Sheet-GPC'!B22</f>
        <v>(Invalid Identifier)</v>
      </c>
      <c r="D37" s="220" t="str">
        <f>IF(B37="","",'Comp.1'!C21)</f>
        <v>n/a</v>
      </c>
    </row>
    <row r="38" spans="1:4" hidden="1" outlineLevel="1">
      <c r="A38" s="217">
        <f t="shared" si="0"/>
        <v>11</v>
      </c>
      <c r="B38" s="218" t="str">
        <f>'Capital IQ Sheet-GPC'!A23</f>
        <v>(Invalid Identifier)</v>
      </c>
      <c r="C38" s="219" t="str">
        <f>'Capital IQ Sheet-GPC'!B23</f>
        <v>(Invalid Identifier)</v>
      </c>
      <c r="D38" s="220" t="str">
        <f>IF(B38="","",'Comp.1'!C22)</f>
        <v>n/a</v>
      </c>
    </row>
    <row r="39" spans="1:4" hidden="1" outlineLevel="1">
      <c r="A39" s="217">
        <f t="shared" si="0"/>
        <v>12</v>
      </c>
      <c r="B39" s="218" t="str">
        <f>'Capital IQ Sheet-GPC'!A24</f>
        <v>(Invalid Identifier)</v>
      </c>
      <c r="C39" s="219" t="str">
        <f>'Capital IQ Sheet-GPC'!B24</f>
        <v>(Invalid Identifier)</v>
      </c>
      <c r="D39" s="220" t="str">
        <f>IF(B39="","",'Comp.1'!C23)</f>
        <v>n/a</v>
      </c>
    </row>
    <row r="40" spans="1:4" hidden="1" outlineLevel="1">
      <c r="A40" s="217">
        <f t="shared" si="0"/>
        <v>13</v>
      </c>
      <c r="B40" s="218" t="str">
        <f>'Capital IQ Sheet-GPC'!A25</f>
        <v>(Invalid Identifier)</v>
      </c>
      <c r="C40" s="219" t="str">
        <f>'Capital IQ Sheet-GPC'!B25</f>
        <v>(Invalid Identifier)</v>
      </c>
      <c r="D40" s="220" t="str">
        <f>IF(B40="","",'Comp.1'!C24)</f>
        <v>n/a</v>
      </c>
    </row>
    <row r="41" spans="1:4" hidden="1" outlineLevel="1">
      <c r="A41" s="217">
        <f t="shared" si="0"/>
        <v>14</v>
      </c>
      <c r="B41" s="218" t="str">
        <f>'Capital IQ Sheet-GPC'!A26</f>
        <v>(Invalid Identifier)</v>
      </c>
      <c r="C41" s="219" t="str">
        <f>'Capital IQ Sheet-GPC'!B26</f>
        <v>(Invalid Identifier)</v>
      </c>
      <c r="D41" s="220" t="str">
        <f>IF(B41="","",'Comp.1'!C25)</f>
        <v>n/a</v>
      </c>
    </row>
    <row r="42" spans="1:4" hidden="1" outlineLevel="1">
      <c r="A42" s="217">
        <f t="shared" si="0"/>
        <v>15</v>
      </c>
      <c r="B42" s="218" t="str">
        <f>'Capital IQ Sheet-GPC'!A27</f>
        <v>(Invalid Identifier)</v>
      </c>
      <c r="C42" s="219" t="str">
        <f>'Capital IQ Sheet-GPC'!B27</f>
        <v>(Invalid Identifier)</v>
      </c>
      <c r="D42" s="220" t="str">
        <f>IF(B42="","",'Comp.1'!C26)</f>
        <v>n/a</v>
      </c>
    </row>
    <row r="43" spans="1:4" hidden="1" outlineLevel="1">
      <c r="A43" s="217">
        <f t="shared" si="0"/>
        <v>16</v>
      </c>
      <c r="B43" s="218" t="str">
        <f>'Capital IQ Sheet-GPC'!A28</f>
        <v>(Invalid Identifier)</v>
      </c>
      <c r="C43" s="219" t="str">
        <f>'Capital IQ Sheet-GPC'!B28</f>
        <v>(Invalid Identifier)</v>
      </c>
      <c r="D43" s="220" t="str">
        <f>IF(B43="","",'Comp.1'!C27)</f>
        <v>n/a</v>
      </c>
    </row>
    <row r="44" spans="1:4" hidden="1" outlineLevel="1">
      <c r="A44" s="217">
        <f t="shared" si="0"/>
        <v>17</v>
      </c>
      <c r="B44" s="218" t="str">
        <f>'Capital IQ Sheet-GPC'!A29</f>
        <v>(Invalid Identifier)</v>
      </c>
      <c r="C44" s="219" t="str">
        <f>'Capital IQ Sheet-GPC'!B29</f>
        <v>(Invalid Identifier)</v>
      </c>
      <c r="D44" s="220" t="str">
        <f>IF(B44="","",'Comp.1'!C28)</f>
        <v>n/a</v>
      </c>
    </row>
    <row r="45" spans="1:4" hidden="1" outlineLevel="1">
      <c r="A45" s="217">
        <f t="shared" si="0"/>
        <v>18</v>
      </c>
      <c r="B45" s="218" t="str">
        <f>'Capital IQ Sheet-GPC'!A30</f>
        <v>(Invalid Identifier)</v>
      </c>
      <c r="C45" s="219" t="str">
        <f>'Capital IQ Sheet-GPC'!B30</f>
        <v>(Invalid Identifier)</v>
      </c>
      <c r="D45" s="220" t="str">
        <f>IF(B45="","",'Comp.1'!C29)</f>
        <v>n/a</v>
      </c>
    </row>
    <row r="46" spans="1:4" hidden="1" outlineLevel="1">
      <c r="A46" s="217">
        <f t="shared" si="0"/>
        <v>19</v>
      </c>
      <c r="B46" s="218" t="str">
        <f>'Capital IQ Sheet-GPC'!A31</f>
        <v>(Invalid Identifier)</v>
      </c>
      <c r="C46" s="219" t="str">
        <f>'Capital IQ Sheet-GPC'!B31</f>
        <v>(Invalid Identifier)</v>
      </c>
      <c r="D46" s="220" t="str">
        <f>IF(B46="","",'Comp.1'!C30)</f>
        <v>n/a</v>
      </c>
    </row>
    <row r="47" spans="1:4" hidden="1" outlineLevel="1">
      <c r="A47" s="217">
        <f t="shared" si="0"/>
        <v>20</v>
      </c>
      <c r="B47" s="218" t="str">
        <f>'Capital IQ Sheet-GPC'!A32</f>
        <v>(Invalid Identifier)</v>
      </c>
      <c r="C47" s="219" t="str">
        <f>'Capital IQ Sheet-GPC'!B32</f>
        <v>(Invalid Identifier)</v>
      </c>
      <c r="D47" s="220" t="str">
        <f>IF(B47="","",'Comp.1'!C31)</f>
        <v>n/a</v>
      </c>
    </row>
    <row r="48" spans="1:4" hidden="1" outlineLevel="1">
      <c r="A48" s="217">
        <f t="shared" si="0"/>
        <v>21</v>
      </c>
      <c r="B48" s="218" t="str">
        <f>'Capital IQ Sheet-GPC'!A33</f>
        <v>(Invalid Identifier)</v>
      </c>
      <c r="C48" s="219" t="str">
        <f>'Capital IQ Sheet-GPC'!B33</f>
        <v>(Invalid Identifier)</v>
      </c>
      <c r="D48" s="220" t="str">
        <f>IF(B48="","",'Comp.1'!C32)</f>
        <v>n/a</v>
      </c>
    </row>
    <row r="49" spans="1:6" hidden="1" outlineLevel="1">
      <c r="A49" s="217">
        <f t="shared" si="0"/>
        <v>22</v>
      </c>
      <c r="B49" s="218" t="str">
        <f>'Capital IQ Sheet-GPC'!A34</f>
        <v>(Invalid Identifier)</v>
      </c>
      <c r="C49" s="219" t="str">
        <f>'Capital IQ Sheet-GPC'!B34</f>
        <v>(Invalid Identifier)</v>
      </c>
      <c r="D49" s="220" t="str">
        <f>IF(B49="","",'Comp.1'!C33)</f>
        <v>n/a</v>
      </c>
    </row>
    <row r="50" spans="1:6" hidden="1" outlineLevel="1">
      <c r="A50" s="217">
        <f t="shared" si="0"/>
        <v>23</v>
      </c>
      <c r="B50" s="218" t="str">
        <f>'Capital IQ Sheet-GPC'!A35</f>
        <v>(Invalid Identifier)</v>
      </c>
      <c r="C50" s="219" t="str">
        <f>'Capital IQ Sheet-GPC'!B35</f>
        <v>(Invalid Identifier)</v>
      </c>
      <c r="D50" s="220" t="str">
        <f>IF(B50="","",'Comp.1'!C34)</f>
        <v>n/a</v>
      </c>
    </row>
    <row r="51" spans="1:6" hidden="1" outlineLevel="1">
      <c r="A51" s="217">
        <f t="shared" si="0"/>
        <v>24</v>
      </c>
      <c r="B51" s="218" t="str">
        <f>'Capital IQ Sheet-GPC'!A36</f>
        <v>(Invalid Identifier)</v>
      </c>
      <c r="C51" s="219" t="str">
        <f>'Capital IQ Sheet-GPC'!B36</f>
        <v>(Invalid Identifier)</v>
      </c>
      <c r="D51" s="220" t="str">
        <f>IF(B51="","",'Comp.1'!C35)</f>
        <v>n/a</v>
      </c>
    </row>
    <row r="52" spans="1:6" hidden="1" outlineLevel="1">
      <c r="A52" s="217">
        <f t="shared" si="0"/>
        <v>25</v>
      </c>
      <c r="B52" s="218" t="str">
        <f>'Capital IQ Sheet-GPC'!A37</f>
        <v>(Invalid Identifier)</v>
      </c>
      <c r="C52" s="219" t="str">
        <f>'Capital IQ Sheet-GPC'!B37</f>
        <v>(Invalid Identifier)</v>
      </c>
      <c r="D52" s="220" t="str">
        <f>IF(B52="","",'Comp.1'!C36)</f>
        <v>n/a</v>
      </c>
    </row>
    <row r="53" spans="1:6" hidden="1" outlineLevel="1">
      <c r="A53" s="217">
        <f t="shared" si="0"/>
        <v>26</v>
      </c>
      <c r="B53" s="218" t="str">
        <f>'Capital IQ Sheet-GPC'!A44</f>
        <v>CPSE:WDH</v>
      </c>
      <c r="C53" s="219" t="str">
        <f>'Capital IQ Sheet-GPC'!B38</f>
        <v>(Invalid Identifier)</v>
      </c>
      <c r="D53" s="220" t="str">
        <f>IF(B53="","",'Comp.1'!C37)</f>
        <v>n/a</v>
      </c>
      <c r="E53" s="179" t="s">
        <v>3607</v>
      </c>
      <c r="F53" s="179" t="s">
        <v>3606</v>
      </c>
    </row>
    <row r="54" spans="1:6" hidden="1" outlineLevel="1">
      <c r="A54" s="217">
        <f t="shared" si="0"/>
        <v>27</v>
      </c>
      <c r="B54" s="218" t="str">
        <f>'Capital IQ Sheet-GPC'!A45</f>
        <v>ASX:COH</v>
      </c>
      <c r="C54" s="219" t="str">
        <f>'Capital IQ Sheet-GPC'!B39</f>
        <v>(Invalid Identifier)</v>
      </c>
      <c r="D54" s="220" t="str">
        <f>IF(B54="","",'Comp.1'!C38)</f>
        <v>n/a</v>
      </c>
      <c r="E54" s="179" t="s">
        <v>3607</v>
      </c>
      <c r="F54" s="179" t="s">
        <v>3606</v>
      </c>
    </row>
    <row r="55" spans="1:6" hidden="1" outlineLevel="1">
      <c r="A55" s="217">
        <f t="shared" si="0"/>
        <v>28</v>
      </c>
      <c r="B55" s="218" t="str">
        <f>'Capital IQ Sheet-GPC'!A46</f>
        <v>BIT:AMP</v>
      </c>
      <c r="C55" s="219" t="str">
        <f>'Capital IQ Sheet-GPC'!B40</f>
        <v>(Invalid Identifier)</v>
      </c>
      <c r="D55" s="220" t="str">
        <f>IF(B55="","",'Comp.1'!C39)</f>
        <v>n/a</v>
      </c>
      <c r="E55" s="179" t="s">
        <v>3607</v>
      </c>
      <c r="F55" s="179" t="s">
        <v>3606</v>
      </c>
    </row>
    <row r="56" spans="1:6" hidden="1" outlineLevel="1">
      <c r="A56" s="217">
        <f t="shared" si="0"/>
        <v>29</v>
      </c>
      <c r="B56" s="218" t="str">
        <f>'Capital IQ Sheet-GPC'!A47</f>
        <v>OM:ELOS B</v>
      </c>
      <c r="C56" s="219" t="str">
        <f>'Capital IQ Sheet-GPC'!B41</f>
        <v>(Invalid Identifier)</v>
      </c>
      <c r="D56" s="220" t="str">
        <f>IF(B56="","",'Comp.1'!C40)</f>
        <v>n/a</v>
      </c>
      <c r="E56" s="179" t="s">
        <v>3607</v>
      </c>
      <c r="F56" s="179" t="s">
        <v>3606</v>
      </c>
    </row>
    <row r="57" spans="1:6" hidden="1" outlineLevel="1">
      <c r="A57" s="221">
        <f t="shared" si="0"/>
        <v>30</v>
      </c>
      <c r="B57" s="222" t="str">
        <f>'Capital IQ Sheet-GPC'!A42</f>
        <v>(Invalid Identifier)</v>
      </c>
      <c r="C57" s="223" t="str">
        <f>'Capital IQ Sheet-GPC'!B42</f>
        <v>(Invalid Identifier)</v>
      </c>
      <c r="D57" s="224" t="str">
        <f>IF(B57="","",'Comp.1'!C41)</f>
        <v>n/a</v>
      </c>
    </row>
  </sheetData>
  <dataValidations count="1">
    <dataValidation type="list" allowBlank="1" showInputMessage="1" showErrorMessage="1" sqref="C10" xr:uid="{00000000-0002-0000-0100-000000000000}">
      <formula1>"New,Recurring"</formula1>
    </dataValidation>
  </dataValidations>
  <pageMargins left="0.5" right="0.5" top="0.5" bottom="0.5" header="0.3" footer="0.3"/>
  <pageSetup orientation="landscape" r:id="rId1"/>
  <headerFooter>
    <oddHeader>&amp;R&amp;"Garamond, Bold"&amp;K000001CONFIDENTIAL</oddHeader>
    <oddFooter>&amp;L&amp;G&amp;R&amp;"Garamond"&amp;K000001Page &amp;P of &amp;N</oddFooter>
  </headerFooter>
  <legacy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9"/>
  <dimension ref="B3:G165"/>
  <sheetViews>
    <sheetView zoomScale="80" zoomScaleNormal="80" workbookViewId="0"/>
  </sheetViews>
  <sheetFormatPr defaultRowHeight="12.75"/>
  <cols>
    <col min="1" max="1" width="9.33203125" style="179"/>
    <col min="2" max="2" width="17" style="179" customWidth="1"/>
    <col min="3" max="3" width="13.33203125" style="179" customWidth="1"/>
    <col min="4" max="4" width="26.5" style="179" customWidth="1"/>
    <col min="5" max="5" width="9.33203125" style="179"/>
    <col min="6" max="6" width="65" style="179" customWidth="1"/>
    <col min="7" max="7" width="46.5" style="179" customWidth="1"/>
    <col min="8" max="16384" width="9.33203125" style="179"/>
  </cols>
  <sheetData>
    <row r="3" spans="2:7">
      <c r="B3" s="182" t="s">
        <v>1595</v>
      </c>
      <c r="D3" s="179" t="s">
        <v>1619</v>
      </c>
    </row>
    <row r="4" spans="2:7">
      <c r="B4" s="182" t="s">
        <v>1601</v>
      </c>
      <c r="D4" s="225">
        <v>42850.427083333336</v>
      </c>
    </row>
    <row r="6" spans="2:7">
      <c r="B6" s="226" t="s">
        <v>1596</v>
      </c>
      <c r="C6" s="226" t="s">
        <v>1597</v>
      </c>
      <c r="D6" s="226" t="s">
        <v>1598</v>
      </c>
      <c r="E6" s="226" t="s">
        <v>1599</v>
      </c>
      <c r="F6" s="226" t="s">
        <v>705</v>
      </c>
      <c r="G6" s="226" t="s">
        <v>1600</v>
      </c>
    </row>
    <row r="7" spans="2:7">
      <c r="B7" s="227"/>
      <c r="C7" s="227"/>
      <c r="D7" s="227"/>
      <c r="E7" s="227"/>
      <c r="F7" s="227"/>
      <c r="G7" s="227"/>
    </row>
    <row r="8" spans="2:7">
      <c r="B8" s="228">
        <v>42772</v>
      </c>
      <c r="C8" s="227" t="s">
        <v>1602</v>
      </c>
      <c r="D8" s="227" t="s">
        <v>1603</v>
      </c>
      <c r="E8" s="227" t="s">
        <v>1604</v>
      </c>
      <c r="F8" s="227" t="s">
        <v>1605</v>
      </c>
      <c r="G8" s="227"/>
    </row>
    <row r="9" spans="2:7" ht="25.5">
      <c r="B9" s="228">
        <v>42772</v>
      </c>
      <c r="C9" s="227" t="s">
        <v>1602</v>
      </c>
      <c r="D9" s="227" t="s">
        <v>1606</v>
      </c>
      <c r="E9" s="227" t="s">
        <v>1607</v>
      </c>
      <c r="F9" s="229" t="s">
        <v>1608</v>
      </c>
      <c r="G9" s="227"/>
    </row>
    <row r="10" spans="2:7">
      <c r="B10" s="230">
        <v>42776</v>
      </c>
      <c r="C10" s="227" t="s">
        <v>1602</v>
      </c>
      <c r="D10" s="227" t="s">
        <v>1609</v>
      </c>
      <c r="E10" s="227" t="s">
        <v>1610</v>
      </c>
      <c r="F10" s="227" t="s">
        <v>1611</v>
      </c>
      <c r="G10" s="227"/>
    </row>
    <row r="11" spans="2:7">
      <c r="B11" s="230">
        <v>42776</v>
      </c>
      <c r="C11" s="227" t="s">
        <v>1602</v>
      </c>
      <c r="D11" s="227" t="s">
        <v>659</v>
      </c>
      <c r="E11" s="227" t="s">
        <v>1612</v>
      </c>
      <c r="F11" s="227" t="s">
        <v>1613</v>
      </c>
      <c r="G11" s="227"/>
    </row>
    <row r="12" spans="2:7">
      <c r="B12" s="230">
        <v>42776</v>
      </c>
      <c r="C12" s="227" t="s">
        <v>1602</v>
      </c>
      <c r="D12" s="227" t="s">
        <v>1614</v>
      </c>
      <c r="E12" s="227" t="s">
        <v>1615</v>
      </c>
      <c r="F12" s="227" t="s">
        <v>1616</v>
      </c>
      <c r="G12" s="227"/>
    </row>
    <row r="13" spans="2:7">
      <c r="B13" s="230">
        <v>42776</v>
      </c>
      <c r="C13" s="227" t="s">
        <v>1602</v>
      </c>
      <c r="D13" s="227" t="s">
        <v>117</v>
      </c>
      <c r="E13" s="227" t="s">
        <v>1617</v>
      </c>
      <c r="F13" s="227" t="s">
        <v>1618</v>
      </c>
      <c r="G13" s="227"/>
    </row>
    <row r="14" spans="2:7">
      <c r="B14" s="230">
        <v>42800</v>
      </c>
      <c r="C14" s="227" t="s">
        <v>1625</v>
      </c>
      <c r="D14" s="227" t="s">
        <v>638</v>
      </c>
      <c r="E14" s="227" t="s">
        <v>1610</v>
      </c>
      <c r="F14" s="227" t="s">
        <v>1628</v>
      </c>
      <c r="G14" s="227"/>
    </row>
    <row r="15" spans="2:7">
      <c r="B15" s="230">
        <v>42800</v>
      </c>
      <c r="C15" s="227" t="s">
        <v>1625</v>
      </c>
      <c r="D15" s="227" t="s">
        <v>1626</v>
      </c>
      <c r="E15" s="227" t="s">
        <v>1610</v>
      </c>
      <c r="F15" s="227" t="s">
        <v>1629</v>
      </c>
      <c r="G15" s="227"/>
    </row>
    <row r="16" spans="2:7">
      <c r="B16" s="230">
        <v>42800</v>
      </c>
      <c r="C16" s="227" t="s">
        <v>1625</v>
      </c>
      <c r="D16" s="227" t="s">
        <v>1627</v>
      </c>
      <c r="E16" s="227" t="s">
        <v>1631</v>
      </c>
      <c r="F16" s="227" t="s">
        <v>1630</v>
      </c>
      <c r="G16" s="227"/>
    </row>
    <row r="17" spans="2:7">
      <c r="B17" s="230">
        <v>42801</v>
      </c>
      <c r="C17" s="227" t="s">
        <v>1625</v>
      </c>
      <c r="D17" s="227" t="s">
        <v>659</v>
      </c>
      <c r="E17" s="227" t="s">
        <v>1633</v>
      </c>
      <c r="F17" s="227" t="s">
        <v>1632</v>
      </c>
      <c r="G17" s="227"/>
    </row>
    <row r="18" spans="2:7">
      <c r="B18" s="230">
        <v>42811</v>
      </c>
      <c r="C18" s="227" t="s">
        <v>1636</v>
      </c>
      <c r="D18" s="227" t="s">
        <v>1637</v>
      </c>
      <c r="E18" s="227" t="s">
        <v>1638</v>
      </c>
      <c r="F18" s="227" t="s">
        <v>1639</v>
      </c>
      <c r="G18" s="227"/>
    </row>
    <row r="19" spans="2:7">
      <c r="B19" s="230">
        <v>42817</v>
      </c>
      <c r="C19" s="227" t="s">
        <v>1625</v>
      </c>
      <c r="D19" s="227" t="s">
        <v>154</v>
      </c>
      <c r="E19" s="227" t="s">
        <v>1640</v>
      </c>
      <c r="F19" s="227" t="s">
        <v>1641</v>
      </c>
      <c r="G19" s="227"/>
    </row>
    <row r="20" spans="2:7">
      <c r="B20" s="230">
        <v>42849</v>
      </c>
      <c r="C20" s="227" t="s">
        <v>1602</v>
      </c>
      <c r="D20" s="227" t="s">
        <v>1627</v>
      </c>
      <c r="E20" s="227" t="s">
        <v>1642</v>
      </c>
      <c r="F20" s="227" t="s">
        <v>1643</v>
      </c>
      <c r="G20" s="227"/>
    </row>
    <row r="21" spans="2:7">
      <c r="B21" s="230">
        <v>42850</v>
      </c>
      <c r="C21" s="227" t="s">
        <v>1602</v>
      </c>
      <c r="D21" s="227" t="s">
        <v>1647</v>
      </c>
      <c r="E21" s="227" t="s">
        <v>1649</v>
      </c>
      <c r="F21" s="227" t="s">
        <v>1648</v>
      </c>
      <c r="G21" s="227"/>
    </row>
    <row r="22" spans="2:7">
      <c r="B22" s="230">
        <v>42878</v>
      </c>
      <c r="C22" s="227" t="s">
        <v>1636</v>
      </c>
      <c r="D22" s="227" t="s">
        <v>2056</v>
      </c>
      <c r="E22" s="227"/>
      <c r="F22" s="227" t="s">
        <v>2057</v>
      </c>
      <c r="G22" s="227"/>
    </row>
    <row r="23" spans="2:7">
      <c r="B23" s="230">
        <v>42878</v>
      </c>
      <c r="C23" s="227" t="s">
        <v>1636</v>
      </c>
      <c r="D23" s="227" t="s">
        <v>1992</v>
      </c>
      <c r="E23" s="227"/>
      <c r="F23" s="227" t="s">
        <v>2064</v>
      </c>
      <c r="G23" s="227"/>
    </row>
    <row r="24" spans="2:7">
      <c r="B24" s="230">
        <v>42878</v>
      </c>
      <c r="C24" s="227" t="s">
        <v>1636</v>
      </c>
      <c r="D24" s="227" t="s">
        <v>2058</v>
      </c>
      <c r="E24" s="227"/>
      <c r="F24" s="227" t="s">
        <v>2059</v>
      </c>
      <c r="G24" s="227"/>
    </row>
    <row r="25" spans="2:7">
      <c r="B25" s="230">
        <v>42878</v>
      </c>
      <c r="C25" s="227" t="s">
        <v>1636</v>
      </c>
      <c r="D25" s="227" t="s">
        <v>2060</v>
      </c>
      <c r="E25" s="227"/>
      <c r="F25" s="227" t="s">
        <v>2061</v>
      </c>
      <c r="G25" s="227"/>
    </row>
    <row r="26" spans="2:7">
      <c r="B26" s="230">
        <v>42878</v>
      </c>
      <c r="C26" s="227" t="s">
        <v>1636</v>
      </c>
      <c r="D26" s="227" t="s">
        <v>117</v>
      </c>
      <c r="E26" s="227"/>
      <c r="F26" s="227" t="s">
        <v>2062</v>
      </c>
      <c r="G26" s="227"/>
    </row>
    <row r="27" spans="2:7">
      <c r="B27" s="230">
        <v>42878</v>
      </c>
      <c r="C27" s="227" t="s">
        <v>1636</v>
      </c>
      <c r="D27" s="227" t="s">
        <v>2007</v>
      </c>
      <c r="E27" s="227"/>
      <c r="F27" s="227" t="s">
        <v>2063</v>
      </c>
      <c r="G27" s="227"/>
    </row>
    <row r="28" spans="2:7">
      <c r="B28" s="230">
        <v>42885</v>
      </c>
      <c r="C28" s="227" t="s">
        <v>1636</v>
      </c>
      <c r="D28" s="227" t="s">
        <v>384</v>
      </c>
      <c r="E28" s="227"/>
      <c r="F28" s="227" t="s">
        <v>2065</v>
      </c>
      <c r="G28" s="227"/>
    </row>
    <row r="29" spans="2:7">
      <c r="B29" s="230">
        <v>42885</v>
      </c>
      <c r="C29" s="227" t="s">
        <v>1636</v>
      </c>
      <c r="D29" s="227" t="s">
        <v>154</v>
      </c>
      <c r="E29" s="227" t="s">
        <v>2066</v>
      </c>
      <c r="F29" s="227" t="s">
        <v>2067</v>
      </c>
      <c r="G29" s="227"/>
    </row>
    <row r="30" spans="2:7">
      <c r="B30" s="230">
        <v>42885</v>
      </c>
      <c r="C30" s="227" t="s">
        <v>1636</v>
      </c>
      <c r="D30" s="227" t="s">
        <v>2068</v>
      </c>
      <c r="E30" s="227"/>
      <c r="F30" s="227" t="s">
        <v>2069</v>
      </c>
      <c r="G30" s="227"/>
    </row>
    <row r="31" spans="2:7">
      <c r="B31" s="230">
        <v>42885</v>
      </c>
      <c r="C31" s="227" t="s">
        <v>1636</v>
      </c>
      <c r="D31" s="227" t="s">
        <v>2068</v>
      </c>
      <c r="E31" s="227"/>
      <c r="F31" s="227" t="s">
        <v>2070</v>
      </c>
      <c r="G31" s="227"/>
    </row>
    <row r="32" spans="2:7">
      <c r="B32" s="230">
        <v>43039</v>
      </c>
      <c r="C32" s="227" t="s">
        <v>1636</v>
      </c>
      <c r="D32" s="227" t="s">
        <v>1206</v>
      </c>
      <c r="E32" s="227"/>
      <c r="F32" s="227" t="s">
        <v>2105</v>
      </c>
      <c r="G32" s="227"/>
    </row>
    <row r="33" spans="2:7">
      <c r="B33" s="230">
        <v>43039</v>
      </c>
      <c r="C33" s="227" t="s">
        <v>1636</v>
      </c>
      <c r="D33" s="227" t="s">
        <v>2106</v>
      </c>
      <c r="E33" s="227"/>
      <c r="F33" s="227" t="s">
        <v>2107</v>
      </c>
      <c r="G33" s="227"/>
    </row>
    <row r="34" spans="2:7">
      <c r="B34" s="230">
        <v>43049</v>
      </c>
      <c r="C34" s="227" t="s">
        <v>1636</v>
      </c>
      <c r="D34" s="227" t="s">
        <v>2108</v>
      </c>
      <c r="E34" s="227"/>
      <c r="F34" s="227" t="s">
        <v>2109</v>
      </c>
      <c r="G34" s="227"/>
    </row>
    <row r="35" spans="2:7">
      <c r="B35" s="230">
        <v>43083</v>
      </c>
      <c r="C35" s="227" t="s">
        <v>1636</v>
      </c>
      <c r="D35" s="227" t="s">
        <v>2182</v>
      </c>
      <c r="E35" s="227"/>
      <c r="F35" s="227" t="s">
        <v>2181</v>
      </c>
      <c r="G35" s="227"/>
    </row>
    <row r="36" spans="2:7">
      <c r="B36" s="230">
        <v>43098</v>
      </c>
      <c r="C36" s="227" t="s">
        <v>1636</v>
      </c>
      <c r="D36" s="227" t="s">
        <v>2068</v>
      </c>
      <c r="E36" s="227"/>
      <c r="F36" s="227" t="s">
        <v>2245</v>
      </c>
      <c r="G36" s="227"/>
    </row>
    <row r="37" spans="2:7">
      <c r="B37" s="230">
        <v>43105</v>
      </c>
      <c r="C37" s="227" t="s">
        <v>1636</v>
      </c>
      <c r="D37" s="227" t="s">
        <v>2068</v>
      </c>
      <c r="E37" s="227"/>
      <c r="F37" s="227" t="s">
        <v>2246</v>
      </c>
      <c r="G37" s="227"/>
    </row>
    <row r="38" spans="2:7">
      <c r="B38" s="230">
        <v>43105</v>
      </c>
      <c r="C38" s="227" t="s">
        <v>1636</v>
      </c>
      <c r="D38" s="227" t="s">
        <v>2253</v>
      </c>
      <c r="E38" s="227"/>
      <c r="F38" s="227" t="s">
        <v>2254</v>
      </c>
      <c r="G38" s="227"/>
    </row>
    <row r="39" spans="2:7">
      <c r="B39" s="230">
        <v>43105</v>
      </c>
      <c r="C39" s="227" t="s">
        <v>1636</v>
      </c>
      <c r="D39" s="227" t="s">
        <v>2058</v>
      </c>
      <c r="E39" s="227"/>
      <c r="F39" s="227" t="s">
        <v>2256</v>
      </c>
      <c r="G39" s="227"/>
    </row>
    <row r="40" spans="2:7">
      <c r="B40" s="230">
        <v>43105</v>
      </c>
      <c r="C40" s="227" t="s">
        <v>1636</v>
      </c>
      <c r="D40" s="227" t="s">
        <v>1992</v>
      </c>
      <c r="E40" s="227"/>
      <c r="F40" s="227" t="s">
        <v>2257</v>
      </c>
      <c r="G40" s="227"/>
    </row>
    <row r="41" spans="2:7">
      <c r="B41" s="230">
        <v>43222</v>
      </c>
      <c r="C41" s="227" t="s">
        <v>1636</v>
      </c>
      <c r="D41" s="227" t="s">
        <v>2258</v>
      </c>
      <c r="E41" s="227"/>
      <c r="F41" s="227" t="s">
        <v>2259</v>
      </c>
      <c r="G41" s="227"/>
    </row>
    <row r="42" spans="2:7">
      <c r="B42" s="230">
        <v>43222</v>
      </c>
      <c r="C42" s="227" t="s">
        <v>2263</v>
      </c>
      <c r="D42" s="227" t="s">
        <v>2072</v>
      </c>
      <c r="E42" s="227"/>
      <c r="F42" s="227" t="s">
        <v>2268</v>
      </c>
      <c r="G42" s="227"/>
    </row>
    <row r="43" spans="2:7">
      <c r="B43" s="230">
        <v>43222</v>
      </c>
      <c r="C43" s="227" t="s">
        <v>2263</v>
      </c>
      <c r="D43" s="227" t="s">
        <v>2072</v>
      </c>
      <c r="E43" s="227" t="s">
        <v>2271</v>
      </c>
      <c r="F43" s="227" t="s">
        <v>2269</v>
      </c>
      <c r="G43" s="227"/>
    </row>
    <row r="44" spans="2:7">
      <c r="B44" s="230">
        <v>43222</v>
      </c>
      <c r="C44" s="227" t="s">
        <v>2263</v>
      </c>
      <c r="D44" s="227" t="s">
        <v>2270</v>
      </c>
      <c r="E44" s="227"/>
      <c r="F44" s="227" t="s">
        <v>2268</v>
      </c>
      <c r="G44" s="227"/>
    </row>
    <row r="45" spans="2:7">
      <c r="B45" s="230">
        <v>43222</v>
      </c>
      <c r="C45" s="227" t="s">
        <v>2263</v>
      </c>
      <c r="D45" s="227" t="s">
        <v>2270</v>
      </c>
      <c r="E45" s="227" t="s">
        <v>2271</v>
      </c>
      <c r="F45" s="227" t="s">
        <v>2269</v>
      </c>
      <c r="G45" s="227"/>
    </row>
    <row r="46" spans="2:7">
      <c r="B46" s="230">
        <v>43222</v>
      </c>
      <c r="C46" s="227" t="s">
        <v>2263</v>
      </c>
      <c r="D46" s="227" t="s">
        <v>2028</v>
      </c>
      <c r="E46" s="227" t="s">
        <v>2273</v>
      </c>
      <c r="F46" s="227" t="s">
        <v>2272</v>
      </c>
      <c r="G46" s="227"/>
    </row>
    <row r="47" spans="2:7">
      <c r="B47" s="230">
        <v>43222</v>
      </c>
      <c r="C47" s="227" t="s">
        <v>2263</v>
      </c>
      <c r="D47" s="227" t="s">
        <v>732</v>
      </c>
      <c r="E47" s="227" t="s">
        <v>2275</v>
      </c>
      <c r="F47" s="227" t="s">
        <v>2274</v>
      </c>
      <c r="G47" s="227"/>
    </row>
    <row r="48" spans="2:7">
      <c r="B48" s="230">
        <v>43222</v>
      </c>
      <c r="C48" s="227" t="s">
        <v>2263</v>
      </c>
      <c r="D48" s="227" t="s">
        <v>2276</v>
      </c>
      <c r="E48" s="227"/>
      <c r="F48" s="227" t="s">
        <v>2277</v>
      </c>
      <c r="G48" s="227"/>
    </row>
    <row r="49" spans="2:7">
      <c r="B49" s="230">
        <v>43222</v>
      </c>
      <c r="C49" s="227" t="s">
        <v>2263</v>
      </c>
      <c r="D49" s="227" t="s">
        <v>384</v>
      </c>
      <c r="E49" s="227"/>
      <c r="F49" s="227" t="s">
        <v>2278</v>
      </c>
      <c r="G49" s="227"/>
    </row>
    <row r="50" spans="2:7">
      <c r="B50" s="230">
        <v>43222</v>
      </c>
      <c r="C50" s="227" t="s">
        <v>2263</v>
      </c>
      <c r="D50" s="227" t="s">
        <v>2276</v>
      </c>
      <c r="E50" s="227"/>
      <c r="F50" s="227" t="s">
        <v>2279</v>
      </c>
      <c r="G50" s="227"/>
    </row>
    <row r="51" spans="2:7">
      <c r="B51" s="230">
        <v>43222</v>
      </c>
      <c r="C51" s="227" t="s">
        <v>2263</v>
      </c>
      <c r="D51" s="227" t="s">
        <v>2280</v>
      </c>
      <c r="E51" s="227"/>
      <c r="F51" s="227" t="s">
        <v>2281</v>
      </c>
      <c r="G51" s="227"/>
    </row>
    <row r="52" spans="2:7">
      <c r="B52" s="230">
        <v>43222</v>
      </c>
      <c r="C52" s="227" t="s">
        <v>2263</v>
      </c>
      <c r="D52" s="227" t="s">
        <v>1603</v>
      </c>
      <c r="E52" s="227"/>
      <c r="F52" s="227" t="s">
        <v>2282</v>
      </c>
      <c r="G52" s="227"/>
    </row>
    <row r="53" spans="2:7">
      <c r="B53" s="230">
        <v>43222</v>
      </c>
      <c r="C53" s="227" t="s">
        <v>2263</v>
      </c>
      <c r="D53" s="227" t="s">
        <v>2283</v>
      </c>
      <c r="E53" s="227"/>
      <c r="F53" s="227" t="s">
        <v>2282</v>
      </c>
      <c r="G53" s="227"/>
    </row>
    <row r="54" spans="2:7">
      <c r="B54" s="230">
        <v>43223</v>
      </c>
      <c r="C54" s="227" t="s">
        <v>2284</v>
      </c>
      <c r="D54" s="227" t="s">
        <v>2287</v>
      </c>
      <c r="E54" s="227"/>
      <c r="F54" s="227" t="s">
        <v>2288</v>
      </c>
      <c r="G54" s="227"/>
    </row>
    <row r="55" spans="2:7">
      <c r="B55" s="230">
        <v>43223</v>
      </c>
      <c r="C55" s="227" t="s">
        <v>2284</v>
      </c>
      <c r="D55" s="227" t="s">
        <v>154</v>
      </c>
      <c r="E55" s="227"/>
      <c r="F55" s="227" t="s">
        <v>2289</v>
      </c>
      <c r="G55" s="227"/>
    </row>
    <row r="56" spans="2:7">
      <c r="B56" s="230">
        <v>43223</v>
      </c>
      <c r="C56" s="227" t="s">
        <v>2284</v>
      </c>
      <c r="D56" s="227" t="s">
        <v>2290</v>
      </c>
      <c r="E56" s="227"/>
      <c r="F56" s="227" t="s">
        <v>2291</v>
      </c>
      <c r="G56" s="227"/>
    </row>
    <row r="57" spans="2:7">
      <c r="B57" s="230">
        <v>43223</v>
      </c>
      <c r="C57" s="227" t="s">
        <v>2284</v>
      </c>
      <c r="D57" s="227" t="s">
        <v>2072</v>
      </c>
      <c r="E57" s="227"/>
      <c r="F57" s="227" t="s">
        <v>2294</v>
      </c>
      <c r="G57" s="227"/>
    </row>
    <row r="58" spans="2:7">
      <c r="B58" s="230">
        <v>43223</v>
      </c>
      <c r="C58" s="227" t="s">
        <v>2284</v>
      </c>
      <c r="D58" s="227" t="s">
        <v>2072</v>
      </c>
      <c r="E58" s="227"/>
      <c r="F58" s="227" t="s">
        <v>2295</v>
      </c>
      <c r="G58" s="227"/>
    </row>
    <row r="59" spans="2:7">
      <c r="B59" s="230">
        <v>43223</v>
      </c>
      <c r="C59" s="227" t="s">
        <v>2284</v>
      </c>
      <c r="D59" s="227" t="s">
        <v>2072</v>
      </c>
      <c r="E59" s="227"/>
      <c r="F59" s="227" t="s">
        <v>2301</v>
      </c>
      <c r="G59" s="227"/>
    </row>
    <row r="60" spans="2:7">
      <c r="B60" s="230">
        <v>43223</v>
      </c>
      <c r="C60" s="227" t="s">
        <v>2284</v>
      </c>
      <c r="D60" s="227" t="s">
        <v>2302</v>
      </c>
      <c r="E60" s="227"/>
      <c r="F60" s="227" t="s">
        <v>2303</v>
      </c>
      <c r="G60" s="227"/>
    </row>
    <row r="61" spans="2:7">
      <c r="B61" s="230">
        <v>43223</v>
      </c>
      <c r="C61" s="227" t="s">
        <v>2284</v>
      </c>
      <c r="D61" s="227" t="s">
        <v>2028</v>
      </c>
      <c r="E61" s="227"/>
      <c r="F61" s="227" t="s">
        <v>2304</v>
      </c>
      <c r="G61" s="227"/>
    </row>
    <row r="62" spans="2:7">
      <c r="B62" s="230">
        <v>43223</v>
      </c>
      <c r="C62" s="227" t="s">
        <v>2284</v>
      </c>
      <c r="D62" s="227" t="s">
        <v>2305</v>
      </c>
      <c r="E62" s="227"/>
      <c r="F62" s="227" t="s">
        <v>2306</v>
      </c>
      <c r="G62" s="227"/>
    </row>
    <row r="63" spans="2:7">
      <c r="B63" s="230">
        <v>43223</v>
      </c>
      <c r="C63" s="227" t="s">
        <v>2284</v>
      </c>
      <c r="D63" s="227" t="s">
        <v>384</v>
      </c>
      <c r="E63" s="227"/>
      <c r="F63" s="227" t="s">
        <v>2307</v>
      </c>
      <c r="G63" s="227"/>
    </row>
    <row r="64" spans="2:7">
      <c r="B64" s="230">
        <v>43223</v>
      </c>
      <c r="C64" s="227" t="s">
        <v>2284</v>
      </c>
      <c r="D64" s="227" t="s">
        <v>2311</v>
      </c>
      <c r="E64" s="227"/>
      <c r="F64" s="227" t="s">
        <v>2312</v>
      </c>
      <c r="G64" s="227"/>
    </row>
    <row r="65" spans="2:7">
      <c r="B65" s="230">
        <v>43223</v>
      </c>
      <c r="C65" s="227" t="s">
        <v>2284</v>
      </c>
      <c r="D65" s="227" t="s">
        <v>2313</v>
      </c>
      <c r="E65" s="227"/>
      <c r="F65" s="227" t="s">
        <v>2314</v>
      </c>
      <c r="G65" s="227"/>
    </row>
    <row r="66" spans="2:7">
      <c r="B66" s="230">
        <v>43223</v>
      </c>
      <c r="C66" s="227" t="s">
        <v>2284</v>
      </c>
      <c r="D66" s="227" t="s">
        <v>117</v>
      </c>
      <c r="E66" s="227"/>
      <c r="F66" s="227" t="s">
        <v>2315</v>
      </c>
      <c r="G66" s="227"/>
    </row>
    <row r="67" spans="2:7">
      <c r="B67" s="230">
        <v>43227</v>
      </c>
      <c r="C67" s="227" t="s">
        <v>1636</v>
      </c>
      <c r="D67" s="227" t="s">
        <v>384</v>
      </c>
      <c r="E67" s="227" t="s">
        <v>2319</v>
      </c>
      <c r="F67" s="227" t="s">
        <v>2320</v>
      </c>
      <c r="G67" s="227"/>
    </row>
    <row r="68" spans="2:7">
      <c r="B68" s="230">
        <v>43245</v>
      </c>
      <c r="C68" s="227" t="s">
        <v>1636</v>
      </c>
      <c r="D68" s="227" t="s">
        <v>384</v>
      </c>
      <c r="E68" s="227"/>
      <c r="F68" s="227" t="s">
        <v>2321</v>
      </c>
      <c r="G68" s="227"/>
    </row>
    <row r="69" spans="2:7">
      <c r="B69" s="230">
        <v>43303</v>
      </c>
      <c r="C69" s="227" t="s">
        <v>2263</v>
      </c>
      <c r="D69" s="227" t="s">
        <v>154</v>
      </c>
      <c r="E69" s="227"/>
      <c r="F69" s="227" t="s">
        <v>2322</v>
      </c>
      <c r="G69" s="227"/>
    </row>
    <row r="70" spans="2:7">
      <c r="B70" s="230">
        <v>43382</v>
      </c>
      <c r="C70" s="227" t="s">
        <v>1602</v>
      </c>
      <c r="D70" s="227" t="s">
        <v>3169</v>
      </c>
      <c r="E70" s="227"/>
      <c r="F70" s="227" t="s">
        <v>3168</v>
      </c>
      <c r="G70" s="227"/>
    </row>
    <row r="71" spans="2:7">
      <c r="B71" s="230">
        <v>43389</v>
      </c>
      <c r="C71" s="227" t="s">
        <v>3178</v>
      </c>
      <c r="D71" s="227" t="s">
        <v>154</v>
      </c>
      <c r="E71" s="227"/>
      <c r="F71" s="227" t="s">
        <v>3179</v>
      </c>
      <c r="G71" s="227"/>
    </row>
    <row r="72" spans="2:7">
      <c r="B72" s="230">
        <v>43389</v>
      </c>
      <c r="C72" s="227" t="s">
        <v>3178</v>
      </c>
      <c r="D72" s="227" t="s">
        <v>2287</v>
      </c>
      <c r="E72" s="227" t="s">
        <v>3181</v>
      </c>
      <c r="F72" s="227" t="s">
        <v>3180</v>
      </c>
      <c r="G72" s="227"/>
    </row>
    <row r="73" spans="2:7">
      <c r="B73" s="230">
        <v>43389</v>
      </c>
      <c r="C73" s="227" t="s">
        <v>3178</v>
      </c>
      <c r="D73" s="227" t="s">
        <v>154</v>
      </c>
      <c r="E73" s="227"/>
      <c r="F73" s="227" t="s">
        <v>3183</v>
      </c>
      <c r="G73" s="227"/>
    </row>
    <row r="74" spans="2:7">
      <c r="B74" s="230">
        <v>43395</v>
      </c>
      <c r="C74" s="227" t="s">
        <v>3178</v>
      </c>
      <c r="D74" s="227" t="s">
        <v>117</v>
      </c>
      <c r="E74" s="227"/>
      <c r="F74" s="227" t="s">
        <v>3184</v>
      </c>
      <c r="G74" s="227"/>
    </row>
    <row r="75" spans="2:7">
      <c r="B75" s="230">
        <v>43395</v>
      </c>
      <c r="C75" s="227" t="s">
        <v>3178</v>
      </c>
      <c r="D75" s="227" t="s">
        <v>2068</v>
      </c>
      <c r="E75" s="227"/>
      <c r="F75" s="227" t="s">
        <v>3186</v>
      </c>
      <c r="G75" s="227"/>
    </row>
    <row r="76" spans="2:7">
      <c r="B76" s="230">
        <v>43395</v>
      </c>
      <c r="C76" s="227" t="s">
        <v>3178</v>
      </c>
      <c r="D76" s="227" t="s">
        <v>2287</v>
      </c>
      <c r="E76" s="227"/>
      <c r="F76" s="227" t="s">
        <v>3187</v>
      </c>
      <c r="G76" s="227"/>
    </row>
    <row r="77" spans="2:7">
      <c r="B77" s="230">
        <v>43425</v>
      </c>
      <c r="C77" s="227" t="s">
        <v>3190</v>
      </c>
      <c r="D77" s="227" t="s">
        <v>3191</v>
      </c>
      <c r="E77" s="227"/>
      <c r="F77" s="227" t="s">
        <v>3192</v>
      </c>
      <c r="G77" s="227"/>
    </row>
    <row r="78" spans="2:7">
      <c r="B78" s="230">
        <v>43434</v>
      </c>
      <c r="C78" s="227" t="s">
        <v>3233</v>
      </c>
      <c r="D78" s="227" t="s">
        <v>3191</v>
      </c>
      <c r="E78" s="227"/>
      <c r="F78" s="227" t="s">
        <v>3234</v>
      </c>
      <c r="G78" s="227"/>
    </row>
    <row r="79" spans="2:7">
      <c r="B79" s="230">
        <v>43494</v>
      </c>
      <c r="C79" s="227" t="s">
        <v>3236</v>
      </c>
      <c r="D79" s="227" t="s">
        <v>117</v>
      </c>
      <c r="E79" s="227"/>
      <c r="F79" s="227" t="s">
        <v>3235</v>
      </c>
      <c r="G79" s="227"/>
    </row>
    <row r="80" spans="2:7">
      <c r="B80" s="227"/>
      <c r="C80" s="227"/>
      <c r="D80" s="227"/>
      <c r="E80" s="227"/>
      <c r="F80" s="227"/>
      <c r="G80" s="227"/>
    </row>
    <row r="81" spans="2:7">
      <c r="B81" s="227"/>
      <c r="C81" s="227"/>
      <c r="D81" s="227"/>
      <c r="E81" s="227"/>
      <c r="F81" s="227"/>
      <c r="G81" s="227"/>
    </row>
    <row r="82" spans="2:7">
      <c r="B82" s="227"/>
      <c r="C82" s="227"/>
      <c r="D82" s="227"/>
      <c r="E82" s="227"/>
      <c r="F82" s="227"/>
      <c r="G82" s="227"/>
    </row>
    <row r="83" spans="2:7">
      <c r="B83" s="227"/>
      <c r="C83" s="227"/>
      <c r="D83" s="227"/>
      <c r="E83" s="227"/>
      <c r="F83" s="227"/>
      <c r="G83" s="227"/>
    </row>
    <row r="84" spans="2:7">
      <c r="B84" s="227"/>
      <c r="C84" s="227"/>
      <c r="D84" s="227"/>
      <c r="E84" s="227"/>
      <c r="F84" s="227"/>
      <c r="G84" s="227"/>
    </row>
    <row r="85" spans="2:7">
      <c r="B85" s="227"/>
      <c r="C85" s="227"/>
      <c r="D85" s="227"/>
      <c r="E85" s="227"/>
      <c r="F85" s="227"/>
      <c r="G85" s="227"/>
    </row>
    <row r="86" spans="2:7">
      <c r="B86" s="227"/>
      <c r="C86" s="227"/>
      <c r="D86" s="227"/>
      <c r="E86" s="227"/>
      <c r="F86" s="227"/>
      <c r="G86" s="227"/>
    </row>
    <row r="87" spans="2:7">
      <c r="B87" s="227"/>
      <c r="C87" s="227"/>
      <c r="D87" s="227"/>
      <c r="E87" s="227"/>
      <c r="F87" s="227"/>
      <c r="G87" s="227"/>
    </row>
    <row r="88" spans="2:7">
      <c r="B88" s="227"/>
      <c r="C88" s="227"/>
      <c r="D88" s="227"/>
      <c r="E88" s="227"/>
      <c r="F88" s="227"/>
      <c r="G88" s="227"/>
    </row>
    <row r="89" spans="2:7">
      <c r="B89" s="227"/>
      <c r="C89" s="227"/>
      <c r="D89" s="227"/>
      <c r="E89" s="227"/>
      <c r="F89" s="227"/>
      <c r="G89" s="227"/>
    </row>
    <row r="90" spans="2:7">
      <c r="B90" s="227"/>
      <c r="C90" s="227"/>
      <c r="D90" s="227"/>
      <c r="E90" s="227"/>
      <c r="F90" s="227"/>
      <c r="G90" s="227"/>
    </row>
    <row r="91" spans="2:7">
      <c r="B91" s="227"/>
      <c r="C91" s="227"/>
      <c r="D91" s="227"/>
      <c r="E91" s="227"/>
      <c r="F91" s="227"/>
      <c r="G91" s="227"/>
    </row>
    <row r="92" spans="2:7">
      <c r="B92" s="227"/>
      <c r="C92" s="227"/>
      <c r="D92" s="227"/>
      <c r="E92" s="227"/>
      <c r="F92" s="227"/>
      <c r="G92" s="227"/>
    </row>
    <row r="93" spans="2:7">
      <c r="B93" s="227"/>
      <c r="C93" s="227"/>
      <c r="D93" s="227"/>
      <c r="E93" s="227"/>
      <c r="F93" s="227"/>
      <c r="G93" s="227"/>
    </row>
    <row r="94" spans="2:7">
      <c r="B94" s="227"/>
      <c r="C94" s="227"/>
      <c r="D94" s="227"/>
      <c r="E94" s="227"/>
      <c r="F94" s="227"/>
      <c r="G94" s="227"/>
    </row>
    <row r="95" spans="2:7">
      <c r="B95" s="227"/>
      <c r="C95" s="227"/>
      <c r="D95" s="227"/>
      <c r="E95" s="227"/>
      <c r="F95" s="227"/>
      <c r="G95" s="227"/>
    </row>
    <row r="96" spans="2:7">
      <c r="B96" s="227"/>
      <c r="C96" s="227"/>
      <c r="D96" s="227"/>
      <c r="E96" s="227"/>
      <c r="F96" s="227"/>
      <c r="G96" s="227"/>
    </row>
    <row r="97" spans="2:7">
      <c r="B97" s="227"/>
      <c r="C97" s="227"/>
      <c r="D97" s="227"/>
      <c r="E97" s="227"/>
      <c r="F97" s="227"/>
      <c r="G97" s="227"/>
    </row>
    <row r="98" spans="2:7">
      <c r="B98" s="227"/>
      <c r="C98" s="227"/>
      <c r="D98" s="227"/>
      <c r="E98" s="227"/>
      <c r="F98" s="227"/>
      <c r="G98" s="227"/>
    </row>
    <row r="99" spans="2:7">
      <c r="B99" s="227"/>
      <c r="C99" s="227"/>
      <c r="D99" s="227"/>
      <c r="E99" s="227"/>
      <c r="F99" s="227"/>
      <c r="G99" s="227"/>
    </row>
    <row r="100" spans="2:7">
      <c r="B100" s="227"/>
      <c r="C100" s="227"/>
      <c r="D100" s="227"/>
      <c r="E100" s="227"/>
      <c r="F100" s="227"/>
      <c r="G100" s="227"/>
    </row>
    <row r="101" spans="2:7">
      <c r="B101" s="227"/>
      <c r="C101" s="227"/>
      <c r="D101" s="227"/>
      <c r="E101" s="227"/>
      <c r="F101" s="227"/>
      <c r="G101" s="227"/>
    </row>
    <row r="102" spans="2:7">
      <c r="B102" s="227"/>
      <c r="C102" s="227"/>
      <c r="D102" s="227"/>
      <c r="E102" s="227"/>
      <c r="F102" s="227"/>
      <c r="G102" s="227"/>
    </row>
    <row r="103" spans="2:7">
      <c r="B103" s="227"/>
      <c r="C103" s="227"/>
      <c r="D103" s="227"/>
      <c r="E103" s="227"/>
      <c r="F103" s="227"/>
      <c r="G103" s="227"/>
    </row>
    <row r="104" spans="2:7">
      <c r="B104" s="227"/>
      <c r="C104" s="227"/>
      <c r="D104" s="227"/>
      <c r="E104" s="227"/>
      <c r="F104" s="227"/>
      <c r="G104" s="227"/>
    </row>
    <row r="105" spans="2:7">
      <c r="B105" s="227"/>
      <c r="C105" s="227"/>
      <c r="D105" s="227"/>
      <c r="E105" s="227"/>
      <c r="F105" s="227"/>
      <c r="G105" s="227"/>
    </row>
    <row r="106" spans="2:7">
      <c r="B106" s="227"/>
      <c r="C106" s="227"/>
      <c r="D106" s="227"/>
      <c r="E106" s="227"/>
      <c r="F106" s="227"/>
      <c r="G106" s="227"/>
    </row>
    <row r="107" spans="2:7">
      <c r="B107" s="227"/>
      <c r="C107" s="227"/>
      <c r="D107" s="227"/>
      <c r="E107" s="227"/>
      <c r="F107" s="227"/>
      <c r="G107" s="227"/>
    </row>
    <row r="108" spans="2:7">
      <c r="B108" s="227"/>
      <c r="C108" s="227"/>
      <c r="D108" s="227"/>
      <c r="E108" s="227"/>
      <c r="F108" s="227"/>
      <c r="G108" s="227"/>
    </row>
    <row r="109" spans="2:7">
      <c r="B109" s="227"/>
      <c r="C109" s="227"/>
      <c r="D109" s="227"/>
      <c r="E109" s="227"/>
      <c r="F109" s="227"/>
      <c r="G109" s="227"/>
    </row>
    <row r="110" spans="2:7">
      <c r="B110" s="227"/>
      <c r="C110" s="227"/>
      <c r="D110" s="227"/>
      <c r="E110" s="227"/>
      <c r="F110" s="227"/>
      <c r="G110" s="227"/>
    </row>
    <row r="111" spans="2:7">
      <c r="B111" s="227"/>
      <c r="C111" s="227"/>
      <c r="D111" s="227"/>
      <c r="E111" s="227"/>
      <c r="F111" s="227"/>
      <c r="G111" s="227"/>
    </row>
    <row r="112" spans="2:7">
      <c r="B112" s="227"/>
      <c r="C112" s="227"/>
      <c r="D112" s="227"/>
      <c r="E112" s="227"/>
      <c r="F112" s="227"/>
      <c r="G112" s="227"/>
    </row>
    <row r="113" spans="2:7">
      <c r="B113" s="227"/>
      <c r="C113" s="227"/>
      <c r="D113" s="227"/>
      <c r="E113" s="227"/>
      <c r="F113" s="227"/>
      <c r="G113" s="227"/>
    </row>
    <row r="114" spans="2:7">
      <c r="B114" s="227"/>
      <c r="C114" s="227"/>
      <c r="D114" s="227"/>
      <c r="E114" s="227"/>
      <c r="F114" s="227"/>
      <c r="G114" s="227"/>
    </row>
    <row r="115" spans="2:7">
      <c r="B115" s="227"/>
      <c r="C115" s="227"/>
      <c r="D115" s="227"/>
      <c r="E115" s="227"/>
      <c r="F115" s="227"/>
      <c r="G115" s="227"/>
    </row>
    <row r="116" spans="2:7">
      <c r="B116" s="227"/>
      <c r="C116" s="227"/>
      <c r="D116" s="227"/>
      <c r="E116" s="227"/>
      <c r="F116" s="227"/>
      <c r="G116" s="227"/>
    </row>
    <row r="117" spans="2:7">
      <c r="B117" s="227"/>
      <c r="C117" s="227"/>
      <c r="D117" s="227"/>
      <c r="E117" s="227"/>
      <c r="F117" s="227"/>
      <c r="G117" s="227"/>
    </row>
    <row r="118" spans="2:7">
      <c r="B118" s="227"/>
      <c r="C118" s="227"/>
      <c r="D118" s="227"/>
      <c r="E118" s="227"/>
      <c r="F118" s="227"/>
      <c r="G118" s="227"/>
    </row>
    <row r="119" spans="2:7">
      <c r="B119" s="227"/>
      <c r="C119" s="227"/>
      <c r="D119" s="227"/>
      <c r="E119" s="227"/>
      <c r="F119" s="227"/>
      <c r="G119" s="227"/>
    </row>
    <row r="120" spans="2:7">
      <c r="B120" s="227"/>
      <c r="C120" s="227"/>
      <c r="D120" s="227"/>
      <c r="E120" s="227"/>
      <c r="F120" s="227"/>
      <c r="G120" s="227"/>
    </row>
    <row r="121" spans="2:7">
      <c r="B121" s="227"/>
      <c r="C121" s="227"/>
      <c r="D121" s="227"/>
      <c r="E121" s="227"/>
      <c r="F121" s="227"/>
      <c r="G121" s="227"/>
    </row>
    <row r="122" spans="2:7">
      <c r="B122" s="227"/>
      <c r="C122" s="227"/>
      <c r="D122" s="227"/>
      <c r="E122" s="227"/>
      <c r="F122" s="227"/>
      <c r="G122" s="227"/>
    </row>
    <row r="123" spans="2:7">
      <c r="B123" s="227"/>
      <c r="C123" s="227"/>
      <c r="D123" s="227"/>
      <c r="E123" s="227"/>
      <c r="F123" s="227"/>
      <c r="G123" s="227"/>
    </row>
    <row r="124" spans="2:7">
      <c r="B124" s="227"/>
      <c r="C124" s="227"/>
      <c r="D124" s="227"/>
      <c r="E124" s="227"/>
      <c r="F124" s="227"/>
      <c r="G124" s="227"/>
    </row>
    <row r="125" spans="2:7">
      <c r="B125" s="227"/>
      <c r="C125" s="227"/>
      <c r="D125" s="227"/>
      <c r="E125" s="227"/>
      <c r="F125" s="227"/>
      <c r="G125" s="227"/>
    </row>
    <row r="126" spans="2:7">
      <c r="B126" s="227"/>
      <c r="C126" s="227"/>
      <c r="D126" s="227"/>
      <c r="E126" s="227"/>
      <c r="F126" s="227"/>
      <c r="G126" s="227"/>
    </row>
    <row r="127" spans="2:7">
      <c r="B127" s="227"/>
      <c r="C127" s="227"/>
      <c r="D127" s="227"/>
      <c r="E127" s="227"/>
      <c r="F127" s="227"/>
      <c r="G127" s="227"/>
    </row>
    <row r="128" spans="2:7">
      <c r="B128" s="227"/>
      <c r="C128" s="227"/>
      <c r="D128" s="227"/>
      <c r="E128" s="227"/>
      <c r="F128" s="227"/>
      <c r="G128" s="227"/>
    </row>
    <row r="129" spans="2:7">
      <c r="B129" s="227"/>
      <c r="C129" s="227"/>
      <c r="D129" s="227"/>
      <c r="E129" s="227"/>
      <c r="F129" s="227"/>
      <c r="G129" s="227"/>
    </row>
    <row r="130" spans="2:7">
      <c r="B130" s="227"/>
      <c r="C130" s="227"/>
      <c r="D130" s="227"/>
      <c r="E130" s="227"/>
      <c r="F130" s="227"/>
      <c r="G130" s="227"/>
    </row>
    <row r="131" spans="2:7">
      <c r="B131" s="227"/>
      <c r="C131" s="227"/>
      <c r="D131" s="227"/>
      <c r="E131" s="227"/>
      <c r="F131" s="227"/>
      <c r="G131" s="227"/>
    </row>
    <row r="132" spans="2:7">
      <c r="B132" s="227"/>
      <c r="C132" s="227"/>
      <c r="D132" s="227"/>
      <c r="E132" s="227"/>
      <c r="F132" s="227"/>
      <c r="G132" s="227"/>
    </row>
    <row r="133" spans="2:7">
      <c r="B133" s="227"/>
      <c r="C133" s="227"/>
      <c r="D133" s="227"/>
      <c r="E133" s="227"/>
      <c r="F133" s="227"/>
      <c r="G133" s="227"/>
    </row>
    <row r="134" spans="2:7">
      <c r="B134" s="227"/>
      <c r="C134" s="227"/>
      <c r="D134" s="227"/>
      <c r="E134" s="227"/>
      <c r="F134" s="227"/>
      <c r="G134" s="227"/>
    </row>
    <row r="135" spans="2:7">
      <c r="B135" s="227"/>
      <c r="C135" s="227"/>
      <c r="D135" s="227"/>
      <c r="E135" s="227"/>
      <c r="F135" s="227"/>
      <c r="G135" s="227"/>
    </row>
    <row r="136" spans="2:7">
      <c r="B136" s="227"/>
      <c r="C136" s="227"/>
      <c r="D136" s="227"/>
      <c r="E136" s="227"/>
      <c r="F136" s="227"/>
      <c r="G136" s="227"/>
    </row>
    <row r="137" spans="2:7">
      <c r="B137" s="227"/>
      <c r="C137" s="227"/>
      <c r="D137" s="227"/>
      <c r="E137" s="227"/>
      <c r="F137" s="227"/>
      <c r="G137" s="227"/>
    </row>
    <row r="138" spans="2:7">
      <c r="B138" s="227"/>
      <c r="C138" s="227"/>
      <c r="D138" s="227"/>
      <c r="E138" s="227"/>
      <c r="F138" s="227"/>
      <c r="G138" s="227"/>
    </row>
    <row r="139" spans="2:7">
      <c r="B139" s="227"/>
      <c r="C139" s="227"/>
      <c r="D139" s="227"/>
      <c r="E139" s="227"/>
      <c r="F139" s="227"/>
      <c r="G139" s="227"/>
    </row>
    <row r="140" spans="2:7">
      <c r="B140" s="227"/>
      <c r="C140" s="227"/>
      <c r="D140" s="227"/>
      <c r="E140" s="227"/>
      <c r="F140" s="227"/>
      <c r="G140" s="227"/>
    </row>
    <row r="141" spans="2:7">
      <c r="B141" s="227"/>
      <c r="C141" s="227"/>
      <c r="D141" s="227"/>
      <c r="E141" s="227"/>
      <c r="F141" s="227"/>
      <c r="G141" s="227"/>
    </row>
    <row r="142" spans="2:7">
      <c r="B142" s="227"/>
      <c r="C142" s="227"/>
      <c r="D142" s="227"/>
      <c r="E142" s="227"/>
      <c r="F142" s="227"/>
      <c r="G142" s="227"/>
    </row>
    <row r="143" spans="2:7">
      <c r="B143" s="227"/>
      <c r="C143" s="227"/>
      <c r="D143" s="227"/>
      <c r="E143" s="227"/>
      <c r="F143" s="227"/>
      <c r="G143" s="227"/>
    </row>
    <row r="144" spans="2:7">
      <c r="B144" s="227"/>
      <c r="C144" s="227"/>
      <c r="D144" s="227"/>
      <c r="E144" s="227"/>
      <c r="F144" s="227"/>
      <c r="G144" s="227"/>
    </row>
    <row r="145" spans="2:7">
      <c r="B145" s="227"/>
      <c r="C145" s="227"/>
      <c r="D145" s="227"/>
      <c r="E145" s="227"/>
      <c r="F145" s="227"/>
      <c r="G145" s="227"/>
    </row>
    <row r="146" spans="2:7">
      <c r="B146" s="227"/>
      <c r="C146" s="227"/>
      <c r="D146" s="227"/>
      <c r="E146" s="227"/>
      <c r="F146" s="227"/>
      <c r="G146" s="227"/>
    </row>
    <row r="147" spans="2:7">
      <c r="B147" s="227"/>
      <c r="C147" s="227"/>
      <c r="D147" s="227"/>
      <c r="E147" s="227"/>
      <c r="F147" s="227"/>
      <c r="G147" s="227"/>
    </row>
    <row r="148" spans="2:7">
      <c r="B148" s="227"/>
      <c r="C148" s="227"/>
      <c r="D148" s="227"/>
      <c r="E148" s="227"/>
      <c r="F148" s="227"/>
      <c r="G148" s="227"/>
    </row>
    <row r="149" spans="2:7">
      <c r="B149" s="227"/>
      <c r="C149" s="227"/>
      <c r="D149" s="227"/>
      <c r="E149" s="227"/>
      <c r="F149" s="227"/>
      <c r="G149" s="227"/>
    </row>
    <row r="150" spans="2:7">
      <c r="B150" s="227"/>
      <c r="C150" s="227"/>
      <c r="D150" s="227"/>
      <c r="E150" s="227"/>
      <c r="F150" s="227"/>
      <c r="G150" s="227"/>
    </row>
    <row r="151" spans="2:7">
      <c r="B151" s="227"/>
      <c r="C151" s="227"/>
      <c r="D151" s="227"/>
      <c r="E151" s="227"/>
      <c r="F151" s="227"/>
      <c r="G151" s="227"/>
    </row>
    <row r="152" spans="2:7">
      <c r="B152" s="227"/>
      <c r="C152" s="227"/>
      <c r="D152" s="227"/>
      <c r="E152" s="227"/>
      <c r="F152" s="227"/>
      <c r="G152" s="227"/>
    </row>
    <row r="153" spans="2:7">
      <c r="B153" s="227"/>
      <c r="C153" s="227"/>
      <c r="D153" s="227"/>
      <c r="E153" s="227"/>
      <c r="F153" s="227"/>
      <c r="G153" s="227"/>
    </row>
    <row r="154" spans="2:7">
      <c r="B154" s="227"/>
      <c r="C154" s="227"/>
      <c r="D154" s="227"/>
      <c r="E154" s="227"/>
      <c r="F154" s="227"/>
      <c r="G154" s="227"/>
    </row>
    <row r="155" spans="2:7">
      <c r="B155" s="227"/>
      <c r="C155" s="227"/>
      <c r="D155" s="227"/>
      <c r="E155" s="227"/>
      <c r="F155" s="227"/>
      <c r="G155" s="227"/>
    </row>
    <row r="156" spans="2:7">
      <c r="B156" s="227"/>
      <c r="C156" s="227"/>
      <c r="D156" s="227"/>
      <c r="E156" s="227"/>
      <c r="F156" s="227"/>
      <c r="G156" s="227"/>
    </row>
    <row r="157" spans="2:7">
      <c r="B157" s="227"/>
      <c r="C157" s="227"/>
      <c r="D157" s="227"/>
      <c r="E157" s="227"/>
      <c r="F157" s="227"/>
      <c r="G157" s="227"/>
    </row>
    <row r="158" spans="2:7">
      <c r="B158" s="227"/>
      <c r="C158" s="227"/>
      <c r="D158" s="227"/>
      <c r="E158" s="227"/>
      <c r="F158" s="227"/>
      <c r="G158" s="227"/>
    </row>
    <row r="159" spans="2:7">
      <c r="B159" s="227"/>
      <c r="C159" s="227"/>
      <c r="D159" s="227"/>
      <c r="E159" s="227"/>
      <c r="F159" s="227"/>
      <c r="G159" s="227"/>
    </row>
    <row r="160" spans="2:7">
      <c r="B160" s="227"/>
      <c r="C160" s="227"/>
      <c r="D160" s="227"/>
      <c r="E160" s="227"/>
      <c r="F160" s="227"/>
      <c r="G160" s="227"/>
    </row>
    <row r="161" spans="2:7">
      <c r="B161" s="227"/>
      <c r="C161" s="227"/>
      <c r="D161" s="227"/>
      <c r="E161" s="227"/>
      <c r="F161" s="227"/>
      <c r="G161" s="227"/>
    </row>
    <row r="162" spans="2:7">
      <c r="B162" s="227"/>
      <c r="C162" s="227"/>
      <c r="D162" s="227"/>
      <c r="E162" s="227"/>
      <c r="F162" s="227"/>
      <c r="G162" s="227"/>
    </row>
    <row r="163" spans="2:7">
      <c r="B163" s="227"/>
      <c r="C163" s="227"/>
      <c r="D163" s="227"/>
      <c r="E163" s="227"/>
      <c r="F163" s="227"/>
      <c r="G163" s="227"/>
    </row>
    <row r="164" spans="2:7">
      <c r="B164" s="227"/>
      <c r="C164" s="227"/>
      <c r="D164" s="227"/>
      <c r="E164" s="227"/>
      <c r="F164" s="227"/>
      <c r="G164" s="227"/>
    </row>
    <row r="165" spans="2:7">
      <c r="B165" s="227"/>
      <c r="C165" s="227"/>
      <c r="D165" s="227"/>
      <c r="E165" s="227"/>
      <c r="F165" s="227"/>
      <c r="G165" s="2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H30"/>
  <sheetViews>
    <sheetView zoomScale="80" zoomScaleNormal="80" workbookViewId="0"/>
  </sheetViews>
  <sheetFormatPr defaultRowHeight="12.75"/>
  <cols>
    <col min="1" max="1" width="2.83203125" style="179" customWidth="1"/>
    <col min="2" max="2" width="8.6640625" style="179" customWidth="1"/>
    <col min="3" max="8" width="25.83203125" style="179" customWidth="1"/>
    <col min="9" max="9" width="2.83203125" style="179" customWidth="1"/>
    <col min="10" max="16384" width="9.33203125" style="179"/>
  </cols>
  <sheetData>
    <row r="1" spans="2:8" ht="10.7" customHeight="1" thickBot="1">
      <c r="E1" s="180"/>
      <c r="G1" s="180"/>
      <c r="H1" s="180"/>
    </row>
    <row r="2" spans="2:8" ht="16.5" customHeight="1" thickTop="1">
      <c r="B2" s="1647" t="str">
        <f>'MASTER PubCo Inputs'!$C$5</f>
        <v>Decibel Therapeutics, Inc.</v>
      </c>
      <c r="C2" s="1647"/>
      <c r="D2" s="1647"/>
      <c r="E2" s="1648"/>
      <c r="F2" s="1647"/>
      <c r="G2" s="1648"/>
      <c r="H2" s="1648"/>
    </row>
    <row r="3" spans="2:8" ht="16.5" customHeight="1" thickBot="1">
      <c r="B3" s="1649" t="s">
        <v>643</v>
      </c>
      <c r="C3" s="1649"/>
      <c r="D3" s="1649"/>
      <c r="E3" s="1650"/>
      <c r="F3" s="1649"/>
      <c r="G3" s="1650"/>
      <c r="H3" s="1650"/>
    </row>
    <row r="4" spans="2:8" ht="12.75" customHeight="1" thickTop="1">
      <c r="E4" s="180"/>
      <c r="G4" s="180"/>
      <c r="H4" s="180"/>
    </row>
    <row r="6" spans="2:8">
      <c r="B6" s="1592" t="s">
        <v>649</v>
      </c>
    </row>
    <row r="7" spans="2:8">
      <c r="B7" s="364" t="s">
        <v>453</v>
      </c>
      <c r="C7" s="1651" t="s">
        <v>644</v>
      </c>
      <c r="D7" s="1651" t="s">
        <v>650</v>
      </c>
      <c r="E7" s="1651" t="s">
        <v>645</v>
      </c>
      <c r="F7" s="1651" t="s">
        <v>646</v>
      </c>
      <c r="G7" s="1651" t="s">
        <v>647</v>
      </c>
      <c r="H7" s="1652" t="s">
        <v>651</v>
      </c>
    </row>
    <row r="8" spans="2:8">
      <c r="B8" s="179">
        <v>1</v>
      </c>
    </row>
    <row r="9" spans="2:8">
      <c r="B9" s="179">
        <f>+B8+1</f>
        <v>2</v>
      </c>
    </row>
    <row r="10" spans="2:8">
      <c r="B10" s="179">
        <f t="shared" ref="B10:B30" si="0">+B9+1</f>
        <v>3</v>
      </c>
    </row>
    <row r="11" spans="2:8">
      <c r="B11" s="179">
        <f t="shared" si="0"/>
        <v>4</v>
      </c>
    </row>
    <row r="12" spans="2:8">
      <c r="B12" s="179">
        <f t="shared" si="0"/>
        <v>5</v>
      </c>
    </row>
    <row r="13" spans="2:8">
      <c r="B13" s="179">
        <f t="shared" si="0"/>
        <v>6</v>
      </c>
    </row>
    <row r="14" spans="2:8">
      <c r="B14" s="179">
        <f t="shared" si="0"/>
        <v>7</v>
      </c>
    </row>
    <row r="15" spans="2:8">
      <c r="B15" s="179">
        <f t="shared" si="0"/>
        <v>8</v>
      </c>
    </row>
    <row r="16" spans="2:8">
      <c r="B16" s="179">
        <f t="shared" si="0"/>
        <v>9</v>
      </c>
    </row>
    <row r="17" spans="2:8">
      <c r="B17" s="179">
        <f t="shared" si="0"/>
        <v>10</v>
      </c>
    </row>
    <row r="19" spans="2:8">
      <c r="B19" s="1592" t="s">
        <v>648</v>
      </c>
    </row>
    <row r="20" spans="2:8">
      <c r="B20" s="364" t="s">
        <v>453</v>
      </c>
      <c r="C20" s="1651" t="s">
        <v>644</v>
      </c>
      <c r="D20" s="1651" t="s">
        <v>650</v>
      </c>
      <c r="E20" s="1651" t="s">
        <v>645</v>
      </c>
      <c r="F20" s="1651" t="s">
        <v>646</v>
      </c>
      <c r="G20" s="1651" t="s">
        <v>647</v>
      </c>
      <c r="H20" s="1652" t="s">
        <v>603</v>
      </c>
    </row>
    <row r="21" spans="2:8">
      <c r="B21" s="179">
        <v>1</v>
      </c>
    </row>
    <row r="22" spans="2:8">
      <c r="B22" s="179">
        <f t="shared" si="0"/>
        <v>2</v>
      </c>
    </row>
    <row r="23" spans="2:8">
      <c r="B23" s="179">
        <f t="shared" si="0"/>
        <v>3</v>
      </c>
    </row>
    <row r="24" spans="2:8">
      <c r="B24" s="179">
        <f t="shared" si="0"/>
        <v>4</v>
      </c>
    </row>
    <row r="25" spans="2:8">
      <c r="B25" s="179">
        <f t="shared" si="0"/>
        <v>5</v>
      </c>
    </row>
    <row r="26" spans="2:8">
      <c r="B26" s="179">
        <f t="shared" si="0"/>
        <v>6</v>
      </c>
    </row>
    <row r="27" spans="2:8">
      <c r="B27" s="179">
        <f t="shared" si="0"/>
        <v>7</v>
      </c>
    </row>
    <row r="28" spans="2:8">
      <c r="B28" s="179">
        <f t="shared" si="0"/>
        <v>8</v>
      </c>
    </row>
    <row r="29" spans="2:8">
      <c r="B29" s="179">
        <f t="shared" si="0"/>
        <v>9</v>
      </c>
    </row>
    <row r="30" spans="2:8">
      <c r="B30" s="179">
        <f t="shared" si="0"/>
        <v>10</v>
      </c>
    </row>
  </sheetData>
  <conditionalFormatting sqref="B3:G3">
    <cfRule type="cellIs" dxfId="429" priority="2" stopIfTrue="1" operator="equal">
      <formula>"input"</formula>
    </cfRule>
  </conditionalFormatting>
  <conditionalFormatting sqref="H3">
    <cfRule type="cellIs" dxfId="428" priority="1" stopIfTrue="1" operator="equal">
      <formula>"input"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0">
    <tabColor rgb="FFFF0000"/>
  </sheetPr>
  <dimension ref="B1:I87"/>
  <sheetViews>
    <sheetView showGridLines="0" view="pageBreakPreview" topLeftCell="A16" zoomScale="80" zoomScaleNormal="145" zoomScaleSheetLayoutView="80" workbookViewId="0">
      <selection activeCell="D20" sqref="D20"/>
    </sheetView>
  </sheetViews>
  <sheetFormatPr defaultRowHeight="12.75"/>
  <cols>
    <col min="1" max="1" width="4.5" style="179" customWidth="1"/>
    <col min="2" max="2" width="23.1640625" style="179" customWidth="1"/>
    <col min="3" max="3" width="89.6640625" style="179" customWidth="1"/>
    <col min="4" max="4" width="15.1640625" style="180" customWidth="1"/>
    <col min="5" max="5" width="30.83203125" style="179" customWidth="1"/>
    <col min="6" max="6" width="4.5" style="179" customWidth="1"/>
    <col min="7" max="8" width="2.83203125" style="179" customWidth="1"/>
    <col min="9" max="9" width="13.33203125" style="179" customWidth="1"/>
    <col min="10" max="16384" width="9.33203125" style="179"/>
  </cols>
  <sheetData>
    <row r="1" spans="2:9" ht="10.7" customHeight="1" thickBot="1"/>
    <row r="2" spans="2:9" ht="16.5" customHeight="1" thickTop="1">
      <c r="B2" s="187" t="str">
        <f>'MASTER PubCo Inputs'!$C$5</f>
        <v>Decibel Therapeutics, Inc.</v>
      </c>
      <c r="C2" s="187"/>
      <c r="D2" s="191"/>
      <c r="E2" s="187"/>
      <c r="I2" s="182" t="s">
        <v>676</v>
      </c>
    </row>
    <row r="3" spans="2:9" ht="16.5" customHeight="1" thickBot="1">
      <c r="B3" s="726" t="s">
        <v>2026</v>
      </c>
      <c r="C3" s="726"/>
      <c r="D3" s="192"/>
      <c r="E3" s="726"/>
      <c r="I3" s="193" t="s">
        <v>110</v>
      </c>
    </row>
    <row r="4" spans="2:9" ht="12.75" customHeight="1" thickTop="1"/>
    <row r="5" spans="2:9" ht="12.75" customHeight="1"/>
    <row r="6" spans="2:9" ht="12.75" customHeight="1">
      <c r="B6" s="194" t="s">
        <v>644</v>
      </c>
      <c r="C6" s="195" t="s">
        <v>2026</v>
      </c>
      <c r="D6" s="195" t="s">
        <v>110</v>
      </c>
      <c r="E6" s="196" t="s">
        <v>2025</v>
      </c>
    </row>
    <row r="7" spans="2:9" ht="12.75" customHeight="1">
      <c r="B7" s="183"/>
      <c r="C7" s="183"/>
      <c r="D7" s="181"/>
      <c r="E7" s="182"/>
    </row>
    <row r="8" spans="2:9">
      <c r="B8" s="197" t="s">
        <v>3634</v>
      </c>
      <c r="C8" s="184" t="s">
        <v>2073</v>
      </c>
      <c r="D8" s="198" t="str">
        <f>IF('IPO Waterfall'!G89=$I$3,"Check","")</f>
        <v/>
      </c>
    </row>
    <row r="9" spans="2:9">
      <c r="B9" s="184"/>
      <c r="C9" s="184"/>
      <c r="D9" s="198"/>
    </row>
    <row r="10" spans="2:9">
      <c r="B10" s="197" t="s">
        <v>2311</v>
      </c>
      <c r="C10" s="184" t="s">
        <v>3654</v>
      </c>
      <c r="D10" s="198" t="str">
        <f>'OPM 1 Hybrid'!D127</f>
        <v/>
      </c>
    </row>
    <row r="11" spans="2:9">
      <c r="B11" s="184"/>
      <c r="C11" s="184"/>
      <c r="D11" s="198"/>
    </row>
    <row r="12" spans="2:9">
      <c r="B12" s="197" t="s">
        <v>2072</v>
      </c>
      <c r="C12" s="184" t="s">
        <v>2073</v>
      </c>
      <c r="D12" s="198" t="str">
        <f>IF('OPM 1'!N96=Checklist!$I$3,"Check","")</f>
        <v/>
      </c>
    </row>
    <row r="13" spans="2:9">
      <c r="B13" s="184"/>
      <c r="C13" s="184"/>
      <c r="D13" s="198"/>
    </row>
    <row r="14" spans="2:9">
      <c r="B14" s="197" t="s">
        <v>2072</v>
      </c>
      <c r="C14" s="184" t="s">
        <v>3654</v>
      </c>
      <c r="D14" s="198" t="str">
        <f>IF('OPM 1'!D122=Checklist!$I$3,"Check","")</f>
        <v/>
      </c>
    </row>
    <row r="15" spans="2:9">
      <c r="B15" s="184"/>
      <c r="C15" s="184"/>
      <c r="D15" s="198"/>
    </row>
    <row r="16" spans="2:9">
      <c r="B16" s="197" t="s">
        <v>1603</v>
      </c>
      <c r="C16" s="184" t="s">
        <v>2054</v>
      </c>
      <c r="D16" s="198" t="str">
        <f>IF('OPM 2'!D21=Checklist!$I$3,"Check","")</f>
        <v/>
      </c>
    </row>
    <row r="17" spans="2:4">
      <c r="B17" s="197"/>
      <c r="C17" s="184"/>
      <c r="D17" s="198"/>
    </row>
    <row r="18" spans="2:4">
      <c r="B18" s="197" t="s">
        <v>1603</v>
      </c>
      <c r="C18" s="184" t="s">
        <v>2249</v>
      </c>
      <c r="D18" s="198" t="str">
        <f>IF('OPM 2'!Q6=Checklist!$I$3,"Check","")</f>
        <v/>
      </c>
    </row>
    <row r="19" spans="2:4">
      <c r="B19" s="197"/>
      <c r="C19" s="184"/>
      <c r="D19" s="198"/>
    </row>
    <row r="20" spans="2:4">
      <c r="B20" s="197" t="s">
        <v>2028</v>
      </c>
      <c r="C20" s="184" t="s">
        <v>2033</v>
      </c>
      <c r="D20" s="198" t="str">
        <f>IF('Hist BS'!G79=Checklist!$I$3,"Check","")</f>
        <v/>
      </c>
    </row>
    <row r="21" spans="2:4">
      <c r="B21" s="184"/>
      <c r="C21" s="184"/>
      <c r="D21" s="198"/>
    </row>
    <row r="22" spans="2:4">
      <c r="B22" s="197" t="s">
        <v>2034</v>
      </c>
      <c r="C22" s="184" t="s">
        <v>2040</v>
      </c>
      <c r="D22" s="198" t="str">
        <f>IF('Beta Calc'!AA8=Checklist!$I$3,"Check","")</f>
        <v/>
      </c>
    </row>
    <row r="23" spans="2:4">
      <c r="B23" s="184"/>
      <c r="C23" s="184"/>
      <c r="D23" s="198"/>
    </row>
    <row r="24" spans="2:4">
      <c r="B24" s="197" t="s">
        <v>3653</v>
      </c>
      <c r="C24" s="184" t="s">
        <v>2036</v>
      </c>
      <c r="D24" s="198" t="str">
        <f>IF('Asset Vol_OPM'!AB26=Checklist!$I$3,"Check","")</f>
        <v/>
      </c>
    </row>
    <row r="25" spans="2:4">
      <c r="B25" s="197"/>
      <c r="C25" s="184"/>
      <c r="D25" s="198"/>
    </row>
    <row r="26" spans="2:4">
      <c r="B26" s="197" t="s">
        <v>2074</v>
      </c>
      <c r="C26" s="184" t="s">
        <v>2075</v>
      </c>
      <c r="D26" s="198" t="str">
        <f>IF('Asset Vol_DLOM'!AB26=Checklist!$I$3,"Check","")</f>
        <v/>
      </c>
    </row>
    <row r="27" spans="2:4">
      <c r="B27" s="184"/>
      <c r="C27" s="184"/>
      <c r="D27" s="198"/>
    </row>
    <row r="28" spans="2:4">
      <c r="B28" s="197" t="s">
        <v>2037</v>
      </c>
      <c r="C28" s="184" t="s">
        <v>2038</v>
      </c>
      <c r="D28" s="198" t="str">
        <f>IF('Asset Vol Hybrid'!AB26=Checklist!$I$3,"Check","")</f>
        <v/>
      </c>
    </row>
    <row r="29" spans="2:4">
      <c r="B29" s="197"/>
      <c r="C29" s="184"/>
      <c r="D29" s="198"/>
    </row>
    <row r="30" spans="2:4">
      <c r="B30" s="197" t="s">
        <v>2076</v>
      </c>
      <c r="C30" s="184" t="s">
        <v>2077</v>
      </c>
      <c r="D30" s="198" t="str">
        <f>IF('Asset Vol_IPO_Late'!AB26=Checklist!$I$3,"Check","")</f>
        <v/>
      </c>
    </row>
    <row r="31" spans="2:4">
      <c r="B31" s="197"/>
      <c r="C31" s="184"/>
      <c r="D31" s="198"/>
    </row>
    <row r="32" spans="2:4">
      <c r="B32" s="184"/>
      <c r="C32" s="184"/>
      <c r="D32" s="198"/>
    </row>
    <row r="33" spans="2:4">
      <c r="B33" s="197" t="s">
        <v>2110</v>
      </c>
      <c r="C33" s="184" t="s">
        <v>2111</v>
      </c>
      <c r="D33" s="198" t="str">
        <f>IF(Val_Summary!$M$9=Checklist!$I$3,"Check","")</f>
        <v/>
      </c>
    </row>
    <row r="34" spans="2:4">
      <c r="B34" s="184"/>
      <c r="C34" s="184"/>
      <c r="D34" s="198"/>
    </row>
    <row r="35" spans="2:4">
      <c r="B35" s="197" t="s">
        <v>1992</v>
      </c>
      <c r="C35" s="184" t="s">
        <v>2250</v>
      </c>
      <c r="D35" s="198" t="str">
        <f>IF('Hybrid OPM'!J54=Checklist!$I$3,"Check","")</f>
        <v/>
      </c>
    </row>
    <row r="36" spans="2:4">
      <c r="B36" s="184"/>
      <c r="C36" s="184"/>
      <c r="D36" s="198"/>
    </row>
    <row r="37" spans="2:4">
      <c r="B37" s="197" t="s">
        <v>2058</v>
      </c>
      <c r="C37" s="184" t="s">
        <v>2247</v>
      </c>
      <c r="D37" s="198" t="str">
        <f>IF('Class Vol'!P4=Checklist!$I$3,"Check","")</f>
        <v/>
      </c>
    </row>
    <row r="38" spans="2:4">
      <c r="B38" s="184"/>
      <c r="C38" s="184"/>
      <c r="D38" s="198"/>
    </row>
    <row r="39" spans="2:4">
      <c r="B39" s="197" t="s">
        <v>2039</v>
      </c>
      <c r="C39" s="184" t="s">
        <v>2039</v>
      </c>
      <c r="D39" s="198" t="e">
        <f ca="1">IF('Val Summ_Hybrid'!O3=Checklist!$I$3,"Check","")</f>
        <v>#NAME?</v>
      </c>
    </row>
    <row r="40" spans="2:4">
      <c r="B40" s="184"/>
      <c r="C40" s="184"/>
      <c r="D40" s="198"/>
    </row>
    <row r="41" spans="2:4">
      <c r="B41" s="184"/>
      <c r="C41" s="184"/>
      <c r="D41" s="198"/>
    </row>
    <row r="42" spans="2:4">
      <c r="B42" s="184"/>
      <c r="C42" s="184"/>
      <c r="D42" s="198"/>
    </row>
    <row r="43" spans="2:4">
      <c r="B43" s="184"/>
      <c r="C43" s="184"/>
      <c r="D43" s="198"/>
    </row>
    <row r="44" spans="2:4">
      <c r="B44" s="184"/>
      <c r="C44" s="184"/>
      <c r="D44" s="198"/>
    </row>
    <row r="45" spans="2:4">
      <c r="B45" s="184"/>
      <c r="C45" s="184"/>
      <c r="D45" s="198"/>
    </row>
    <row r="46" spans="2:4">
      <c r="B46" s="184"/>
      <c r="C46" s="184"/>
      <c r="D46" s="198"/>
    </row>
    <row r="47" spans="2:4">
      <c r="B47" s="184"/>
      <c r="C47" s="184"/>
      <c r="D47" s="198"/>
    </row>
    <row r="48" spans="2:4">
      <c r="B48" s="184"/>
      <c r="C48" s="184"/>
      <c r="D48" s="198"/>
    </row>
    <row r="49" spans="2:4">
      <c r="B49" s="184"/>
      <c r="C49" s="184"/>
      <c r="D49" s="198"/>
    </row>
    <row r="50" spans="2:4">
      <c r="B50" s="184"/>
      <c r="C50" s="184"/>
      <c r="D50" s="198"/>
    </row>
    <row r="51" spans="2:4">
      <c r="B51" s="184"/>
      <c r="C51" s="184"/>
      <c r="D51" s="198"/>
    </row>
    <row r="52" spans="2:4">
      <c r="B52" s="184"/>
      <c r="C52" s="184"/>
      <c r="D52" s="198"/>
    </row>
    <row r="53" spans="2:4">
      <c r="B53" s="184"/>
      <c r="C53" s="184"/>
      <c r="D53" s="198"/>
    </row>
    <row r="54" spans="2:4">
      <c r="B54" s="184"/>
      <c r="C54" s="184"/>
      <c r="D54" s="198"/>
    </row>
    <row r="55" spans="2:4">
      <c r="B55" s="184"/>
      <c r="C55" s="184"/>
      <c r="D55" s="198"/>
    </row>
    <row r="56" spans="2:4">
      <c r="B56" s="184"/>
      <c r="C56" s="184"/>
      <c r="D56" s="198"/>
    </row>
    <row r="57" spans="2:4">
      <c r="B57" s="184"/>
      <c r="C57" s="184"/>
      <c r="D57" s="198"/>
    </row>
    <row r="58" spans="2:4">
      <c r="B58" s="184"/>
      <c r="C58" s="184"/>
      <c r="D58" s="198"/>
    </row>
    <row r="59" spans="2:4">
      <c r="B59" s="184"/>
      <c r="C59" s="184"/>
      <c r="D59" s="198"/>
    </row>
    <row r="60" spans="2:4">
      <c r="B60" s="184"/>
      <c r="C60" s="184"/>
      <c r="D60" s="198"/>
    </row>
    <row r="61" spans="2:4">
      <c r="B61" s="184"/>
      <c r="C61" s="184"/>
      <c r="D61" s="198"/>
    </row>
    <row r="62" spans="2:4">
      <c r="B62" s="184"/>
      <c r="C62" s="184"/>
      <c r="D62" s="198"/>
    </row>
    <row r="63" spans="2:4">
      <c r="B63" s="184"/>
      <c r="C63" s="184"/>
      <c r="D63" s="198"/>
    </row>
    <row r="64" spans="2:4">
      <c r="B64" s="184"/>
      <c r="C64" s="184"/>
      <c r="D64" s="198"/>
    </row>
    <row r="65" spans="2:4">
      <c r="B65" s="184"/>
      <c r="C65" s="184"/>
      <c r="D65" s="198"/>
    </row>
    <row r="66" spans="2:4">
      <c r="B66" s="184"/>
      <c r="C66" s="184"/>
      <c r="D66" s="198"/>
    </row>
    <row r="67" spans="2:4">
      <c r="B67" s="184"/>
      <c r="C67" s="184"/>
      <c r="D67" s="198"/>
    </row>
    <row r="68" spans="2:4">
      <c r="B68" s="184"/>
      <c r="C68" s="184"/>
      <c r="D68" s="198"/>
    </row>
    <row r="69" spans="2:4">
      <c r="B69" s="184"/>
      <c r="C69" s="184"/>
      <c r="D69" s="198"/>
    </row>
    <row r="70" spans="2:4">
      <c r="B70" s="184"/>
      <c r="C70" s="184"/>
      <c r="D70" s="198"/>
    </row>
    <row r="71" spans="2:4">
      <c r="B71" s="184"/>
      <c r="C71" s="184"/>
      <c r="D71" s="198"/>
    </row>
    <row r="72" spans="2:4">
      <c r="B72" s="184"/>
      <c r="C72" s="184"/>
      <c r="D72" s="198"/>
    </row>
    <row r="73" spans="2:4">
      <c r="B73" s="184"/>
      <c r="C73" s="184"/>
      <c r="D73" s="198"/>
    </row>
    <row r="74" spans="2:4">
      <c r="B74" s="184"/>
      <c r="C74" s="184"/>
      <c r="D74" s="198"/>
    </row>
    <row r="75" spans="2:4">
      <c r="B75" s="184"/>
      <c r="C75" s="184"/>
      <c r="D75" s="198"/>
    </row>
    <row r="76" spans="2:4">
      <c r="B76" s="184"/>
      <c r="C76" s="184"/>
      <c r="D76" s="198"/>
    </row>
    <row r="77" spans="2:4">
      <c r="B77" s="184"/>
      <c r="C77" s="184"/>
      <c r="D77" s="198"/>
    </row>
    <row r="78" spans="2:4">
      <c r="B78" s="184"/>
      <c r="C78" s="184"/>
      <c r="D78" s="198"/>
    </row>
    <row r="79" spans="2:4">
      <c r="B79" s="184"/>
      <c r="C79" s="184"/>
      <c r="D79" s="198"/>
    </row>
    <row r="80" spans="2:4">
      <c r="B80" s="184"/>
      <c r="C80" s="184"/>
      <c r="D80" s="198"/>
    </row>
    <row r="81" spans="2:4">
      <c r="B81" s="184"/>
      <c r="C81" s="184"/>
      <c r="D81" s="198"/>
    </row>
    <row r="82" spans="2:4">
      <c r="B82" s="184"/>
      <c r="C82" s="184"/>
      <c r="D82" s="198"/>
    </row>
    <row r="83" spans="2:4">
      <c r="B83" s="184"/>
      <c r="C83" s="184"/>
      <c r="D83" s="198"/>
    </row>
    <row r="84" spans="2:4">
      <c r="B84" s="184"/>
      <c r="C84" s="184"/>
      <c r="D84" s="185"/>
    </row>
    <row r="85" spans="2:4">
      <c r="B85" s="184"/>
      <c r="C85" s="184"/>
      <c r="D85" s="185"/>
    </row>
    <row r="86" spans="2:4">
      <c r="B86" s="184"/>
      <c r="C86" s="184"/>
      <c r="D86" s="185"/>
    </row>
    <row r="87" spans="2:4">
      <c r="B87" s="184"/>
      <c r="C87" s="184"/>
      <c r="D87" s="185"/>
    </row>
  </sheetData>
  <conditionalFormatting sqref="B3:E3">
    <cfRule type="cellIs" dxfId="427" priority="45" stopIfTrue="1" operator="equal">
      <formula>"input"</formula>
    </cfRule>
  </conditionalFormatting>
  <conditionalFormatting sqref="B39:C87 B20:D32 B7:C17 D8:D17">
    <cfRule type="expression" dxfId="426" priority="44">
      <formula>OR($B7="Exhibits",$B7="Workpapers")</formula>
    </cfRule>
  </conditionalFormatting>
  <conditionalFormatting sqref="D7 D84:D87">
    <cfRule type="expression" dxfId="425" priority="43">
      <formula>$B7=""</formula>
    </cfRule>
  </conditionalFormatting>
  <conditionalFormatting sqref="D39:D83">
    <cfRule type="expression" dxfId="424" priority="30">
      <formula>OR($B39="Exhibits",$B39="Workpapers")</formula>
    </cfRule>
  </conditionalFormatting>
  <conditionalFormatting sqref="D39:D67 D20:D32 D8:D17">
    <cfRule type="notContainsBlanks" dxfId="423" priority="29">
      <formula>LEN(TRIM(D8))&gt;0</formula>
    </cfRule>
  </conditionalFormatting>
  <conditionalFormatting sqref="D20">
    <cfRule type="expression" dxfId="422" priority="28">
      <formula>OR($B20="Exhibits",$B20="Workpapers")</formula>
    </cfRule>
  </conditionalFormatting>
  <conditionalFormatting sqref="D22">
    <cfRule type="expression" dxfId="421" priority="27">
      <formula>OR($B22="Exhibits",$B22="Workpapers")</formula>
    </cfRule>
  </conditionalFormatting>
  <conditionalFormatting sqref="D24:D26">
    <cfRule type="expression" dxfId="420" priority="26">
      <formula>OR($B24="Exhibits",$B24="Workpapers")</formula>
    </cfRule>
  </conditionalFormatting>
  <conditionalFormatting sqref="D39">
    <cfRule type="expression" dxfId="419" priority="24">
      <formula>OR($B39="Exhibits",$B39="Workpapers")</formula>
    </cfRule>
  </conditionalFormatting>
  <conditionalFormatting sqref="B33:C34">
    <cfRule type="expression" dxfId="418" priority="23">
      <formula>OR($B33="Exhibits",$B33="Workpapers")</formula>
    </cfRule>
  </conditionalFormatting>
  <conditionalFormatting sqref="D33:D34">
    <cfRule type="expression" dxfId="417" priority="22">
      <formula>OR($B33="Exhibits",$B33="Workpapers")</formula>
    </cfRule>
  </conditionalFormatting>
  <conditionalFormatting sqref="D33:D34">
    <cfRule type="notContainsBlanks" dxfId="416" priority="21">
      <formula>LEN(TRIM(D33))&gt;0</formula>
    </cfRule>
  </conditionalFormatting>
  <conditionalFormatting sqref="D33">
    <cfRule type="expression" dxfId="415" priority="20">
      <formula>OR($B33="Exhibits",$B33="Workpapers")</formula>
    </cfRule>
  </conditionalFormatting>
  <conditionalFormatting sqref="B37:C38">
    <cfRule type="expression" dxfId="414" priority="19">
      <formula>OR($B37="Exhibits",$B37="Workpapers")</formula>
    </cfRule>
  </conditionalFormatting>
  <conditionalFormatting sqref="D37:D38">
    <cfRule type="expression" dxfId="413" priority="18">
      <formula>OR($B37="Exhibits",$B37="Workpapers")</formula>
    </cfRule>
  </conditionalFormatting>
  <conditionalFormatting sqref="D37:D38">
    <cfRule type="notContainsBlanks" dxfId="412" priority="17">
      <formula>LEN(TRIM(D37))&gt;0</formula>
    </cfRule>
  </conditionalFormatting>
  <conditionalFormatting sqref="D37">
    <cfRule type="expression" dxfId="411" priority="16">
      <formula>OR($B37="Exhibits",$B37="Workpapers")</formula>
    </cfRule>
  </conditionalFormatting>
  <conditionalFormatting sqref="B18:C19">
    <cfRule type="expression" dxfId="410" priority="7">
      <formula>OR($B18="Exhibits",$B18="Workpapers")</formula>
    </cfRule>
  </conditionalFormatting>
  <conditionalFormatting sqref="D18:D19">
    <cfRule type="expression" dxfId="409" priority="6">
      <formula>OR($B18="Exhibits",$B18="Workpapers")</formula>
    </cfRule>
  </conditionalFormatting>
  <conditionalFormatting sqref="D18:D19">
    <cfRule type="notContainsBlanks" dxfId="408" priority="5">
      <formula>LEN(TRIM(D18))&gt;0</formula>
    </cfRule>
  </conditionalFormatting>
  <conditionalFormatting sqref="B35:C36">
    <cfRule type="expression" dxfId="407" priority="4">
      <formula>OR($B35="Exhibits",$B35="Workpapers")</formula>
    </cfRule>
  </conditionalFormatting>
  <conditionalFormatting sqref="D35:D36">
    <cfRule type="expression" dxfId="406" priority="3">
      <formula>OR($B35="Exhibits",$B35="Workpapers")</formula>
    </cfRule>
  </conditionalFormatting>
  <conditionalFormatting sqref="D35:D36">
    <cfRule type="notContainsBlanks" dxfId="405" priority="2">
      <formula>LEN(TRIM(D35))&gt;0</formula>
    </cfRule>
  </conditionalFormatting>
  <conditionalFormatting sqref="D35">
    <cfRule type="expression" dxfId="404" priority="1">
      <formula>OR($B35="Exhibits",$B35="Workpapers")</formula>
    </cfRule>
  </conditionalFormatting>
  <pageMargins left="0.5" right="0.5" top="0.5" bottom="0.5" header="0.5" footer="0.5"/>
  <pageSetup scale="85" fitToWidth="0"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1"/>
  </sheetPr>
  <dimension ref="A1"/>
  <sheetViews>
    <sheetView workbookViewId="0"/>
  </sheetViews>
  <sheetFormatPr defaultRowHeight="12.75"/>
  <cols>
    <col min="1" max="16384" width="9.33203125" style="8"/>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Q28"/>
  <sheetViews>
    <sheetView showGridLines="0" tabSelected="1" view="pageBreakPreview" zoomScale="80" zoomScaleNormal="100" zoomScaleSheetLayoutView="80" workbookViewId="0">
      <selection activeCell="H11" sqref="H11"/>
    </sheetView>
  </sheetViews>
  <sheetFormatPr defaultColWidth="9.33203125" defaultRowHeight="14.25"/>
  <cols>
    <col min="1" max="1" width="4.5" style="155" customWidth="1"/>
    <col min="2" max="2" width="3.83203125" style="155" customWidth="1"/>
    <col min="3" max="3" width="15.83203125" style="155" customWidth="1"/>
    <col min="4" max="4" width="115.83203125" style="173" customWidth="1"/>
    <col min="5" max="5" width="8.33203125" style="155" customWidth="1"/>
    <col min="6" max="6" width="3.83203125" style="155" customWidth="1"/>
    <col min="7" max="7" width="4.5" style="155" customWidth="1"/>
    <col min="8" max="8" width="9.33203125" style="155"/>
    <col min="9" max="9" width="22.33203125" style="155" bestFit="1" customWidth="1"/>
    <col min="10" max="10" width="19" style="155" bestFit="1" customWidth="1"/>
    <col min="11" max="16384" width="9.33203125" style="155"/>
  </cols>
  <sheetData>
    <row r="1" spans="1:17">
      <c r="A1" s="231"/>
      <c r="B1" s="231"/>
      <c r="C1" s="231"/>
      <c r="D1" s="278"/>
    </row>
    <row r="2" spans="1:17">
      <c r="A2" s="231"/>
      <c r="B2" s="231"/>
      <c r="C2" s="231"/>
      <c r="D2" s="278"/>
      <c r="E2" s="231"/>
      <c r="F2" s="231"/>
      <c r="G2" s="231"/>
    </row>
    <row r="3" spans="1:17">
      <c r="A3" s="231"/>
      <c r="B3" s="231"/>
      <c r="C3" s="231"/>
      <c r="E3" s="231"/>
      <c r="F3" s="231"/>
      <c r="G3" s="231"/>
    </row>
    <row r="4" spans="1:17">
      <c r="A4" s="231"/>
      <c r="B4" s="231"/>
      <c r="C4" s="231"/>
      <c r="E4" s="231"/>
      <c r="F4" s="231"/>
      <c r="G4" s="231"/>
    </row>
    <row r="5" spans="1:17">
      <c r="A5" s="231"/>
      <c r="B5" s="231"/>
      <c r="C5" s="231"/>
      <c r="E5" s="231"/>
      <c r="F5" s="231"/>
      <c r="G5" s="231"/>
    </row>
    <row r="6" spans="1:17">
      <c r="A6" s="231"/>
      <c r="B6" s="231"/>
      <c r="C6" s="279"/>
      <c r="D6" s="280"/>
      <c r="E6" s="279"/>
      <c r="F6" s="279"/>
      <c r="G6" s="231"/>
    </row>
    <row r="7" spans="1:17" ht="15" thickBot="1">
      <c r="A7" s="231"/>
      <c r="C7" s="156"/>
      <c r="D7" s="280"/>
      <c r="E7" s="279"/>
      <c r="F7" s="279"/>
      <c r="G7" s="231"/>
    </row>
    <row r="8" spans="1:17" ht="15" thickTop="1">
      <c r="A8" s="231"/>
      <c r="B8" s="157"/>
      <c r="C8" s="158"/>
      <c r="D8" s="159"/>
      <c r="E8" s="158"/>
      <c r="F8" s="158"/>
      <c r="G8" s="231"/>
    </row>
    <row r="9" spans="1:17" s="163" customFormat="1" ht="39.75">
      <c r="A9" s="231"/>
      <c r="B9" s="160"/>
      <c r="C9" s="161"/>
      <c r="D9" s="161" t="str">
        <f>+'MASTER PubCo Inputs'!C8</f>
        <v>IRC 409A Common Stock Independent Appraisal</v>
      </c>
      <c r="E9" s="162"/>
      <c r="F9" s="162"/>
      <c r="G9" s="231"/>
      <c r="I9" s="164" t="str">
        <f ca="1">IF(COUNTIF(Checklist!D8:D39,"Check")&gt;0,"Check","")</f>
        <v/>
      </c>
    </row>
    <row r="10" spans="1:17">
      <c r="A10" s="231"/>
      <c r="B10" s="165"/>
      <c r="C10" s="166"/>
      <c r="D10" s="167"/>
      <c r="E10" s="166"/>
      <c r="F10" s="166"/>
      <c r="G10" s="231"/>
      <c r="H10" s="231"/>
      <c r="I10" s="231"/>
      <c r="J10" s="231"/>
      <c r="K10" s="231"/>
      <c r="L10" s="231"/>
      <c r="M10" s="231"/>
      <c r="N10" s="231"/>
      <c r="O10" s="231"/>
      <c r="P10" s="231"/>
      <c r="Q10" s="231"/>
    </row>
    <row r="11" spans="1:17" ht="23.25">
      <c r="A11" s="231"/>
      <c r="B11" s="165"/>
      <c r="C11" s="166"/>
      <c r="D11" s="168" t="s">
        <v>455</v>
      </c>
      <c r="E11" s="166"/>
      <c r="F11" s="166"/>
      <c r="G11" s="231"/>
      <c r="H11" s="231"/>
      <c r="I11" s="231"/>
      <c r="J11" s="231"/>
      <c r="K11" s="231"/>
      <c r="L11" s="231"/>
      <c r="M11" s="231"/>
      <c r="N11" s="231"/>
      <c r="O11" s="231"/>
      <c r="P11" s="231"/>
      <c r="Q11" s="231"/>
    </row>
    <row r="12" spans="1:17" ht="19.5">
      <c r="A12" s="231"/>
      <c r="B12" s="165"/>
      <c r="C12" s="166"/>
      <c r="D12" s="169" t="s">
        <v>456</v>
      </c>
      <c r="E12" s="166"/>
      <c r="F12" s="166"/>
      <c r="G12" s="231"/>
      <c r="H12" s="231"/>
      <c r="I12" s="231"/>
      <c r="J12" s="231"/>
      <c r="K12" s="231"/>
      <c r="L12" s="231"/>
      <c r="M12" s="231"/>
      <c r="N12" s="231"/>
      <c r="O12" s="231"/>
      <c r="P12" s="231"/>
      <c r="Q12" s="231"/>
    </row>
    <row r="13" spans="1:17" ht="23.25">
      <c r="A13" s="231"/>
      <c r="B13" s="165"/>
      <c r="C13" s="166"/>
      <c r="D13" s="168" t="str">
        <f>IF('MASTER PubCo Inputs'!C5="","",'MASTER PubCo Inputs'!C5)</f>
        <v>Decibel Therapeutics, Inc.</v>
      </c>
      <c r="E13" s="166"/>
      <c r="F13" s="166"/>
      <c r="G13" s="231"/>
      <c r="H13" s="231"/>
      <c r="I13" s="231"/>
      <c r="J13" s="231"/>
      <c r="K13" s="231"/>
      <c r="L13" s="231"/>
      <c r="M13" s="231"/>
      <c r="N13" s="231"/>
      <c r="O13" s="231"/>
      <c r="P13" s="231"/>
      <c r="Q13" s="231"/>
    </row>
    <row r="14" spans="1:17">
      <c r="A14" s="231"/>
      <c r="B14" s="165"/>
      <c r="C14" s="166"/>
      <c r="D14" s="167"/>
      <c r="E14" s="166"/>
      <c r="F14" s="166"/>
      <c r="G14" s="231"/>
      <c r="H14" s="231"/>
      <c r="I14" s="231"/>
      <c r="J14" s="231"/>
      <c r="K14" s="231"/>
      <c r="L14" s="231"/>
      <c r="M14" s="231"/>
      <c r="N14" s="231"/>
      <c r="O14" s="231"/>
      <c r="P14" s="231"/>
      <c r="Q14" s="231"/>
    </row>
    <row r="15" spans="1:17" ht="23.25">
      <c r="A15" s="231"/>
      <c r="B15" s="165"/>
      <c r="C15" s="166"/>
      <c r="D15" s="168" t="str">
        <f>"Valuation Date as of "&amp;TEXT('MASTER PubCo Inputs'!$C$6,"mmmm d, yyyy")&amp;""</f>
        <v>Valuation Date as of May 25, 2018</v>
      </c>
      <c r="E15" s="166"/>
      <c r="F15" s="166"/>
      <c r="G15" s="231"/>
      <c r="H15" s="231"/>
      <c r="I15" s="231"/>
      <c r="J15" s="231"/>
      <c r="K15" s="231"/>
      <c r="L15" s="231"/>
      <c r="M15" s="231"/>
      <c r="N15" s="231"/>
      <c r="O15" s="231"/>
      <c r="P15" s="231"/>
      <c r="Q15" s="231"/>
    </row>
    <row r="16" spans="1:17" ht="15" thickBot="1">
      <c r="A16" s="231"/>
      <c r="B16" s="170"/>
      <c r="C16" s="171"/>
      <c r="D16" s="172"/>
      <c r="E16" s="171"/>
      <c r="F16" s="171"/>
      <c r="G16" s="231"/>
      <c r="H16" s="231"/>
      <c r="I16" s="231"/>
      <c r="J16" s="231"/>
      <c r="K16" s="231"/>
      <c r="L16" s="231"/>
      <c r="M16" s="231"/>
      <c r="N16" s="231"/>
      <c r="O16" s="231"/>
      <c r="P16" s="231"/>
      <c r="Q16" s="231"/>
    </row>
    <row r="17" spans="1:17" ht="15" thickTop="1">
      <c r="A17" s="231"/>
      <c r="B17" s="231"/>
      <c r="C17" s="231"/>
      <c r="D17" s="278"/>
      <c r="E17" s="231"/>
      <c r="F17" s="231"/>
      <c r="H17" s="231"/>
      <c r="I17" s="231"/>
      <c r="J17" s="231"/>
      <c r="K17" s="231"/>
      <c r="L17" s="231"/>
      <c r="M17" s="231"/>
      <c r="N17" s="231"/>
      <c r="O17" s="231"/>
      <c r="P17" s="231"/>
      <c r="Q17" s="231"/>
    </row>
    <row r="18" spans="1:17">
      <c r="A18" s="231"/>
      <c r="B18" s="231"/>
      <c r="C18" s="231"/>
      <c r="D18" s="278"/>
      <c r="E18" s="231"/>
      <c r="F18" s="231"/>
      <c r="H18" s="231"/>
      <c r="I18" s="231"/>
      <c r="J18" s="231"/>
      <c r="K18" s="231"/>
      <c r="L18" s="231"/>
      <c r="M18" s="231"/>
      <c r="N18" s="231"/>
      <c r="O18" s="231"/>
      <c r="P18" s="231"/>
      <c r="Q18" s="231"/>
    </row>
    <row r="19" spans="1:17" ht="18">
      <c r="A19" s="231"/>
      <c r="B19" s="231"/>
      <c r="C19" s="231"/>
      <c r="D19" s="174" t="s">
        <v>457</v>
      </c>
      <c r="E19" s="231"/>
      <c r="F19" s="231"/>
      <c r="H19" s="231"/>
      <c r="I19" s="231"/>
      <c r="J19" s="231"/>
      <c r="K19" s="231"/>
      <c r="L19" s="231"/>
      <c r="M19" s="231"/>
      <c r="N19" s="231"/>
      <c r="O19" s="231"/>
      <c r="P19" s="231"/>
      <c r="Q19" s="231"/>
    </row>
    <row r="20" spans="1:17" ht="18">
      <c r="A20" s="231"/>
      <c r="B20" s="231"/>
      <c r="C20" s="231"/>
      <c r="D20" s="175" t="str">
        <f ca="1">TEXT(J20,"mmmm d, yyyy")</f>
        <v>April 4, 2019</v>
      </c>
      <c r="E20" s="231"/>
      <c r="F20" s="231"/>
      <c r="H20" s="231"/>
      <c r="I20" s="231" t="s">
        <v>459</v>
      </c>
      <c r="J20" s="232">
        <f ca="1">TODAY()</f>
        <v>43559</v>
      </c>
      <c r="K20" s="231"/>
      <c r="L20" s="231"/>
      <c r="M20" s="231"/>
      <c r="N20" s="231"/>
      <c r="O20" s="231"/>
      <c r="P20" s="231"/>
      <c r="Q20" s="231"/>
    </row>
    <row r="21" spans="1:17">
      <c r="A21" s="231"/>
      <c r="B21" s="231"/>
      <c r="C21" s="231"/>
      <c r="D21" s="278"/>
      <c r="E21" s="231"/>
      <c r="F21" s="231"/>
      <c r="H21" s="231"/>
      <c r="I21" s="231"/>
      <c r="J21" s="231"/>
      <c r="K21" s="231"/>
      <c r="L21" s="231"/>
      <c r="M21" s="231"/>
      <c r="N21" s="231"/>
      <c r="O21" s="231"/>
      <c r="P21" s="231"/>
      <c r="Q21" s="231"/>
    </row>
    <row r="22" spans="1:17">
      <c r="A22" s="231"/>
      <c r="B22" s="231"/>
      <c r="C22" s="231"/>
      <c r="D22" s="278"/>
      <c r="E22" s="231"/>
      <c r="F22" s="231"/>
      <c r="H22" s="231"/>
      <c r="I22" s="231"/>
      <c r="J22" s="231"/>
      <c r="K22" s="231"/>
      <c r="L22" s="231"/>
      <c r="M22" s="231"/>
      <c r="N22" s="231"/>
      <c r="O22" s="231"/>
      <c r="P22" s="231"/>
      <c r="Q22" s="231"/>
    </row>
    <row r="23" spans="1:17">
      <c r="A23" s="231"/>
      <c r="B23" s="231"/>
      <c r="C23" s="231"/>
      <c r="D23" s="278"/>
      <c r="E23" s="231"/>
      <c r="F23" s="231"/>
      <c r="H23" s="231"/>
      <c r="I23" s="231"/>
      <c r="J23" s="231"/>
      <c r="K23" s="231"/>
      <c r="L23" s="231"/>
      <c r="M23" s="231"/>
      <c r="N23" s="231"/>
      <c r="O23" s="231"/>
      <c r="P23" s="231"/>
      <c r="Q23" s="231"/>
    </row>
    <row r="24" spans="1:17">
      <c r="A24" s="231"/>
      <c r="B24" s="231"/>
      <c r="C24" s="231"/>
      <c r="D24" s="278"/>
      <c r="E24" s="231"/>
      <c r="F24" s="231"/>
      <c r="H24" s="231"/>
      <c r="I24" s="231"/>
      <c r="J24" s="231"/>
      <c r="K24" s="231"/>
      <c r="L24" s="231"/>
      <c r="M24" s="231"/>
      <c r="N24" s="231"/>
      <c r="O24" s="231"/>
      <c r="P24" s="231"/>
      <c r="Q24" s="231"/>
    </row>
    <row r="25" spans="1:17" ht="23.25">
      <c r="A25" s="231"/>
      <c r="B25" s="231"/>
      <c r="C25" s="231"/>
      <c r="D25" s="176"/>
      <c r="E25" s="231"/>
      <c r="F25" s="231"/>
      <c r="H25" s="231"/>
      <c r="I25" s="231"/>
      <c r="J25" s="231"/>
      <c r="K25" s="231"/>
      <c r="L25" s="231"/>
      <c r="M25" s="231"/>
      <c r="N25" s="231"/>
      <c r="O25" s="231"/>
      <c r="P25" s="231"/>
      <c r="Q25" s="231"/>
    </row>
    <row r="26" spans="1:17">
      <c r="A26" s="231"/>
      <c r="B26" s="231"/>
      <c r="C26" s="231"/>
      <c r="D26" s="278"/>
      <c r="E26" s="231"/>
      <c r="F26" s="231"/>
      <c r="H26" s="231"/>
      <c r="I26" s="231"/>
      <c r="J26" s="231"/>
      <c r="K26" s="231"/>
      <c r="L26" s="231"/>
      <c r="M26" s="231"/>
      <c r="N26" s="231"/>
      <c r="O26" s="231"/>
      <c r="P26" s="231"/>
      <c r="Q26" s="231"/>
    </row>
    <row r="27" spans="1:17" ht="18">
      <c r="A27" s="231"/>
      <c r="B27" s="231"/>
      <c r="C27" s="231"/>
      <c r="D27" s="177"/>
      <c r="E27" s="231"/>
      <c r="F27" s="231"/>
      <c r="G27" s="231"/>
      <c r="H27" s="231"/>
      <c r="I27" s="231"/>
      <c r="J27" s="231"/>
      <c r="K27" s="231"/>
      <c r="L27" s="231"/>
      <c r="M27" s="231"/>
      <c r="N27" s="231"/>
      <c r="O27" s="231"/>
      <c r="P27" s="231"/>
      <c r="Q27" s="231"/>
    </row>
    <row r="28" spans="1:17" ht="36">
      <c r="A28" s="231"/>
      <c r="B28" s="231"/>
      <c r="C28" s="231"/>
      <c r="D28" s="178" t="s">
        <v>458</v>
      </c>
      <c r="E28" s="231"/>
      <c r="F28" s="231"/>
      <c r="G28" s="231"/>
    </row>
  </sheetData>
  <pageMargins left="0.5" right="0.5" top="0.5" bottom="0.5" header="0.5" footer="0.5"/>
  <pageSetup scale="9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L72"/>
  <sheetViews>
    <sheetView showGridLines="0" tabSelected="1" view="pageBreakPreview" zoomScale="85" zoomScaleNormal="145" zoomScaleSheetLayoutView="85" workbookViewId="0">
      <selection activeCell="H11" sqref="H11"/>
    </sheetView>
  </sheetViews>
  <sheetFormatPr defaultRowHeight="12.75" outlineLevelRow="1" outlineLevelCol="1"/>
  <cols>
    <col min="1" max="1" width="4.5" style="179" customWidth="1"/>
    <col min="2" max="2" width="20.83203125" style="179" customWidth="1"/>
    <col min="3" max="4" width="14.83203125" style="179" customWidth="1"/>
    <col min="5" max="5" width="75.6640625" style="180" customWidth="1"/>
    <col min="6" max="6" width="26.1640625" style="179" customWidth="1"/>
    <col min="7" max="7" width="20.83203125" style="180" hidden="1" customWidth="1" outlineLevel="1"/>
    <col min="8" max="8" width="4.5" style="179" customWidth="1" collapsed="1"/>
    <col min="9" max="10" width="2.83203125" style="179" customWidth="1"/>
    <col min="11" max="11" width="3.33203125" style="179" customWidth="1"/>
    <col min="12" max="16384" width="9.33203125" style="179"/>
  </cols>
  <sheetData>
    <row r="1" spans="2:12" ht="10.7" customHeight="1" thickBot="1"/>
    <row r="2" spans="2:12" ht="16.5" customHeight="1" thickTop="1">
      <c r="B2" s="187" t="str">
        <f>'MASTER PubCo Inputs'!$C$5</f>
        <v>Decibel Therapeutics, Inc.</v>
      </c>
      <c r="C2" s="187"/>
      <c r="D2" s="187"/>
      <c r="E2" s="191"/>
      <c r="F2" s="187"/>
      <c r="G2" s="234"/>
    </row>
    <row r="3" spans="2:12" ht="16.5" customHeight="1" thickBot="1">
      <c r="B3" s="726" t="s">
        <v>638</v>
      </c>
      <c r="C3" s="726"/>
      <c r="D3" s="726"/>
      <c r="E3" s="192"/>
      <c r="F3" s="726"/>
      <c r="G3" s="235"/>
    </row>
    <row r="4" spans="2:12" ht="12.75" customHeight="1" thickTop="1"/>
    <row r="5" spans="2:12" ht="12.75" customHeight="1"/>
    <row r="6" spans="2:12" ht="12.75" customHeight="1">
      <c r="B6" s="181" t="s">
        <v>639</v>
      </c>
      <c r="C6" s="182"/>
      <c r="D6" s="182"/>
      <c r="E6" s="181" t="s">
        <v>692</v>
      </c>
      <c r="F6" s="182"/>
      <c r="G6" s="181"/>
    </row>
    <row r="7" spans="2:12" ht="12.75" customHeight="1">
      <c r="B7" s="183"/>
      <c r="C7" s="182"/>
      <c r="D7" s="182"/>
      <c r="E7" s="181"/>
      <c r="F7" s="182"/>
      <c r="G7" s="181"/>
    </row>
    <row r="8" spans="2:12">
      <c r="B8" s="184" t="str">
        <f>K8&amp;"."&amp;L8</f>
        <v>A.1</v>
      </c>
      <c r="E8" s="185" t="str">
        <f>Val_Summary!$B$4</f>
        <v>Valuation Summary - OPM</v>
      </c>
      <c r="G8" s="180" t="str">
        <f>"Exhibit "&amp;B8</f>
        <v>Exhibit A.1</v>
      </c>
      <c r="J8" s="179">
        <v>65</v>
      </c>
      <c r="K8" s="179" t="str">
        <f>CHAR(J8)</f>
        <v>A</v>
      </c>
      <c r="L8" s="179">
        <v>1</v>
      </c>
    </row>
    <row r="9" spans="2:12">
      <c r="B9" s="184"/>
      <c r="E9" s="185"/>
      <c r="G9" s="180" t="str">
        <f t="shared" ref="G9:G52" si="0">"Exhibit "&amp;B9</f>
        <v xml:space="preserve">Exhibit </v>
      </c>
    </row>
    <row r="10" spans="2:12">
      <c r="B10" s="184"/>
      <c r="E10" s="185" t="str">
        <f>'Allocation Method &gt;&gt;'!D9</f>
        <v>Allocation Methodology</v>
      </c>
      <c r="G10" s="180" t="str">
        <f t="shared" si="0"/>
        <v xml:space="preserve">Exhibit </v>
      </c>
    </row>
    <row r="11" spans="2:12">
      <c r="B11" s="184" t="str">
        <f t="shared" ref="B11:B53" si="1">K11&amp;"."&amp;L11</f>
        <v>B.1</v>
      </c>
      <c r="E11" s="185" t="str">
        <f>'OPM 1'!$B$4</f>
        <v>Option Pricing Method - Breakpoints &amp; Allocation</v>
      </c>
      <c r="G11" s="180" t="str">
        <f t="shared" si="0"/>
        <v>Exhibit B.1</v>
      </c>
      <c r="J11" s="179">
        <f>IF(J10="",J8+1,J10)</f>
        <v>66</v>
      </c>
      <c r="K11" s="179" t="str">
        <f>CHAR(J11)</f>
        <v>B</v>
      </c>
      <c r="L11" s="179">
        <f>IF(L10="",1,L10+1)</f>
        <v>1</v>
      </c>
    </row>
    <row r="12" spans="2:12">
      <c r="B12" s="184" t="str">
        <f t="shared" si="1"/>
        <v>B.2</v>
      </c>
      <c r="E12" s="185" t="str">
        <f>'OPM 2'!$B$4</f>
        <v>Option Pricing Method - Implied Value Per Share</v>
      </c>
      <c r="G12" s="180" t="str">
        <f t="shared" si="0"/>
        <v>Exhibit B.2</v>
      </c>
      <c r="J12" s="179">
        <f>IF(J11="",J10+1,J11)</f>
        <v>66</v>
      </c>
      <c r="K12" s="179" t="str">
        <f t="shared" ref="K12:K42" si="2">CHAR(J12)</f>
        <v>B</v>
      </c>
      <c r="L12" s="179">
        <f>IF(L11="",1,L11+1)</f>
        <v>2</v>
      </c>
    </row>
    <row r="13" spans="2:12" hidden="1" outlineLevel="1">
      <c r="B13" s="184" t="str">
        <f t="shared" si="1"/>
        <v>B.3</v>
      </c>
      <c r="E13" s="185"/>
      <c r="G13" s="180" t="str">
        <f t="shared" si="0"/>
        <v>Exhibit B.3</v>
      </c>
      <c r="J13" s="179">
        <f>IF(J12="",J11+1,J12)</f>
        <v>66</v>
      </c>
      <c r="K13" s="179" t="str">
        <f t="shared" si="2"/>
        <v>B</v>
      </c>
      <c r="L13" s="179">
        <f>IF(L12="",1,L12+1)</f>
        <v>3</v>
      </c>
    </row>
    <row r="14" spans="2:12" hidden="1" outlineLevel="1">
      <c r="B14" s="184" t="str">
        <f t="shared" si="1"/>
        <v>B.4</v>
      </c>
      <c r="E14" s="185"/>
      <c r="G14" s="180" t="str">
        <f t="shared" si="0"/>
        <v>Exhibit B.4</v>
      </c>
      <c r="J14" s="179">
        <f>IF(J13="",J12+1,J13)</f>
        <v>66</v>
      </c>
      <c r="K14" s="179" t="str">
        <f t="shared" si="2"/>
        <v>B</v>
      </c>
      <c r="L14" s="179">
        <f>IF(L13="",1,L13+1)</f>
        <v>4</v>
      </c>
    </row>
    <row r="15" spans="2:12" hidden="1" outlineLevel="1">
      <c r="B15" s="184" t="str">
        <f t="shared" si="1"/>
        <v>B.5</v>
      </c>
      <c r="E15" s="185"/>
      <c r="G15" s="180" t="str">
        <f t="shared" si="0"/>
        <v>Exhibit B.5</v>
      </c>
      <c r="J15" s="179">
        <f>IF(J14="",J13+1,J14)</f>
        <v>66</v>
      </c>
      <c r="K15" s="179" t="str">
        <f t="shared" si="2"/>
        <v>B</v>
      </c>
      <c r="L15" s="179">
        <f>IF(L14="",1,L14+1)</f>
        <v>5</v>
      </c>
    </row>
    <row r="16" spans="2:12" collapsed="1">
      <c r="B16" s="184"/>
      <c r="E16" s="185"/>
      <c r="G16" s="180" t="str">
        <f t="shared" si="0"/>
        <v xml:space="preserve">Exhibit </v>
      </c>
    </row>
    <row r="17" spans="2:12">
      <c r="B17" s="184"/>
      <c r="E17" s="185" t="str">
        <f>'Financials &gt;&gt;'!$D$9</f>
        <v>Financials</v>
      </c>
      <c r="G17" s="180" t="str">
        <f t="shared" si="0"/>
        <v xml:space="preserve">Exhibit </v>
      </c>
    </row>
    <row r="18" spans="2:12">
      <c r="B18" s="184" t="str">
        <f t="shared" si="1"/>
        <v>C.1</v>
      </c>
      <c r="E18" s="185" t="str">
        <f>Projection!$B$4</f>
        <v>Projections</v>
      </c>
      <c r="G18" s="180" t="str">
        <f t="shared" si="0"/>
        <v>Exhibit C.1</v>
      </c>
      <c r="J18" s="179">
        <f>IF(J17="",J15+1,J17)</f>
        <v>67</v>
      </c>
      <c r="K18" s="179" t="str">
        <f t="shared" si="2"/>
        <v>C</v>
      </c>
      <c r="L18" s="179">
        <f t="shared" ref="L18:L53" si="3">IF(L17="",1,L17+1)</f>
        <v>1</v>
      </c>
    </row>
    <row r="19" spans="2:12">
      <c r="B19" s="184" t="str">
        <f>K19&amp;"."&amp;L19</f>
        <v>C.2</v>
      </c>
      <c r="E19" s="185" t="str">
        <f>'Hist IS'!$B$4</f>
        <v>Historical Income Statement</v>
      </c>
      <c r="G19" s="180" t="str">
        <f>"Exhibit "&amp;B19</f>
        <v>Exhibit C.2</v>
      </c>
      <c r="J19" s="179">
        <f>IF(J18="",J16+1,J18)</f>
        <v>67</v>
      </c>
      <c r="K19" s="179" t="str">
        <f>CHAR(J19)</f>
        <v>C</v>
      </c>
      <c r="L19" s="179">
        <f>IF(L18="",1,L18+1)</f>
        <v>2</v>
      </c>
    </row>
    <row r="20" spans="2:12">
      <c r="B20" s="184" t="str">
        <f t="shared" si="1"/>
        <v>C.3</v>
      </c>
      <c r="E20" s="185" t="str">
        <f>'Hist BS'!$B$4</f>
        <v>Historical Balance Sheet</v>
      </c>
      <c r="G20" s="180" t="str">
        <f t="shared" si="0"/>
        <v>Exhibit C.3</v>
      </c>
      <c r="J20" s="179">
        <f>IF(J19="",J17+1,J19)</f>
        <v>67</v>
      </c>
      <c r="K20" s="179" t="str">
        <f t="shared" si="2"/>
        <v>C</v>
      </c>
      <c r="L20" s="179">
        <f>IF(L19="",1,L19+1)</f>
        <v>3</v>
      </c>
    </row>
    <row r="21" spans="2:12" hidden="1" outlineLevel="1">
      <c r="B21" s="184" t="str">
        <f t="shared" si="1"/>
        <v>C.4</v>
      </c>
      <c r="E21" s="185"/>
      <c r="G21" s="180" t="str">
        <f t="shared" si="0"/>
        <v>Exhibit C.4</v>
      </c>
      <c r="J21" s="179">
        <f>IF(J20="",J18+1,J20)</f>
        <v>67</v>
      </c>
      <c r="K21" s="179" t="str">
        <f t="shared" si="2"/>
        <v>C</v>
      </c>
      <c r="L21" s="179">
        <f>IF(L20="",1,L20+1)</f>
        <v>4</v>
      </c>
    </row>
    <row r="22" spans="2:12" hidden="1" outlineLevel="1" collapsed="1">
      <c r="B22" s="184"/>
      <c r="E22" s="185"/>
      <c r="G22" s="180" t="str">
        <f t="shared" si="0"/>
        <v xml:space="preserve">Exhibit </v>
      </c>
    </row>
    <row r="23" spans="2:12" hidden="1" outlineLevel="1">
      <c r="B23" s="184"/>
      <c r="E23" s="185" t="str">
        <f>'Discount Rate FP &gt;&gt;'!$D$9</f>
        <v>Discount Rates</v>
      </c>
      <c r="G23" s="180" t="str">
        <f t="shared" si="0"/>
        <v xml:space="preserve">Exhibit </v>
      </c>
    </row>
    <row r="24" spans="2:12" hidden="1" outlineLevel="1">
      <c r="B24" s="184" t="str">
        <f t="shared" si="1"/>
        <v>D.1</v>
      </c>
      <c r="E24" s="185"/>
      <c r="G24" s="180" t="str">
        <f t="shared" si="0"/>
        <v>Exhibit D.1</v>
      </c>
      <c r="J24" s="179">
        <f>IF(J23="",J21+1,J23)</f>
        <v>68</v>
      </c>
      <c r="K24" s="179" t="str">
        <f t="shared" si="2"/>
        <v>D</v>
      </c>
      <c r="L24" s="179">
        <f t="shared" si="3"/>
        <v>1</v>
      </c>
    </row>
    <row r="25" spans="2:12" hidden="1" outlineLevel="1">
      <c r="B25" s="184" t="str">
        <f t="shared" si="1"/>
        <v>D.2</v>
      </c>
      <c r="E25" s="185"/>
      <c r="G25" s="180" t="str">
        <f t="shared" si="0"/>
        <v>Exhibit D.2</v>
      </c>
      <c r="J25" s="179">
        <f t="shared" ref="J25:J53" si="4">IF(J24="",J23+1,J24)</f>
        <v>68</v>
      </c>
      <c r="K25" s="179" t="str">
        <f t="shared" si="2"/>
        <v>D</v>
      </c>
      <c r="L25" s="179">
        <f t="shared" si="3"/>
        <v>2</v>
      </c>
    </row>
    <row r="26" spans="2:12" hidden="1" outlineLevel="1">
      <c r="B26" s="184" t="str">
        <f t="shared" si="1"/>
        <v>D.3</v>
      </c>
      <c r="E26" s="185"/>
      <c r="G26" s="180" t="str">
        <f t="shared" si="0"/>
        <v>Exhibit D.3</v>
      </c>
      <c r="J26" s="179">
        <f t="shared" si="4"/>
        <v>68</v>
      </c>
      <c r="K26" s="179" t="str">
        <f t="shared" si="2"/>
        <v>D</v>
      </c>
      <c r="L26" s="179">
        <f t="shared" si="3"/>
        <v>3</v>
      </c>
    </row>
    <row r="27" spans="2:12" hidden="1" outlineLevel="1">
      <c r="B27" s="184" t="str">
        <f t="shared" si="1"/>
        <v>D.4</v>
      </c>
      <c r="E27" s="185"/>
      <c r="G27" s="180" t="str">
        <f>"Exhibit "&amp;B27</f>
        <v>Exhibit D.4</v>
      </c>
      <c r="J27" s="179">
        <f t="shared" si="4"/>
        <v>68</v>
      </c>
      <c r="K27" s="179" t="str">
        <f t="shared" si="2"/>
        <v>D</v>
      </c>
      <c r="L27" s="179">
        <f t="shared" si="3"/>
        <v>4</v>
      </c>
    </row>
    <row r="28" spans="2:12" collapsed="1">
      <c r="B28" s="184"/>
      <c r="E28" s="185"/>
      <c r="G28" s="180" t="str">
        <f t="shared" si="0"/>
        <v xml:space="preserve">Exhibit </v>
      </c>
    </row>
    <row r="29" spans="2:12">
      <c r="B29" s="184"/>
      <c r="E29" s="185" t="str">
        <f>'GCM FP &gt;&gt;'!$D$9</f>
        <v>Guideline Comparables Analysis</v>
      </c>
      <c r="G29" s="180" t="str">
        <f t="shared" si="0"/>
        <v xml:space="preserve">Exhibit </v>
      </c>
    </row>
    <row r="30" spans="2:12">
      <c r="B30" s="184" t="str">
        <f t="shared" si="1"/>
        <v>D.1</v>
      </c>
      <c r="E30" s="185" t="str">
        <f>'Comp.1'!$B$4</f>
        <v>Guideline Public Companies' Revenue Multiples</v>
      </c>
      <c r="G30" s="180" t="str">
        <f t="shared" si="0"/>
        <v>Exhibit D.1</v>
      </c>
      <c r="J30" s="179">
        <f>IF(J29="",J21+1,J29)</f>
        <v>68</v>
      </c>
      <c r="K30" s="179" t="str">
        <f t="shared" ref="K30:K31" si="5">CHAR(J30)</f>
        <v>D</v>
      </c>
      <c r="L30" s="179">
        <f t="shared" si="3"/>
        <v>1</v>
      </c>
    </row>
    <row r="31" spans="2:12">
      <c r="B31" s="184" t="str">
        <f t="shared" si="1"/>
        <v>D.2</v>
      </c>
      <c r="E31" s="185" t="str">
        <f>'Comp.6'!$B$4</f>
        <v>Guideline Public Companies' Descriptions</v>
      </c>
      <c r="G31" s="180" t="str">
        <f t="shared" si="0"/>
        <v>Exhibit D.2</v>
      </c>
      <c r="J31" s="179">
        <f t="shared" ref="J31" si="6">IF(J30="",J29+1,J30)</f>
        <v>68</v>
      </c>
      <c r="K31" s="179" t="str">
        <f t="shared" si="5"/>
        <v>D</v>
      </c>
      <c r="L31" s="179">
        <f t="shared" si="3"/>
        <v>2</v>
      </c>
    </row>
    <row r="32" spans="2:12" hidden="1" outlineLevel="1">
      <c r="B32" s="184" t="str">
        <f t="shared" si="1"/>
        <v>D.3</v>
      </c>
      <c r="E32" s="185"/>
      <c r="G32" s="180" t="str">
        <f t="shared" si="0"/>
        <v>Exhibit D.3</v>
      </c>
      <c r="J32" s="179">
        <f t="shared" si="4"/>
        <v>68</v>
      </c>
      <c r="K32" s="179" t="str">
        <f t="shared" si="2"/>
        <v>D</v>
      </c>
      <c r="L32" s="179">
        <f t="shared" si="3"/>
        <v>3</v>
      </c>
    </row>
    <row r="33" spans="2:12" hidden="1" outlineLevel="1">
      <c r="B33" s="184" t="str">
        <f t="shared" si="1"/>
        <v>D.4</v>
      </c>
      <c r="E33" s="185"/>
      <c r="G33" s="180" t="str">
        <f t="shared" si="0"/>
        <v>Exhibit D.4</v>
      </c>
      <c r="J33" s="179">
        <f t="shared" si="4"/>
        <v>68</v>
      </c>
      <c r="K33" s="179" t="str">
        <f>CHAR(J33)</f>
        <v>D</v>
      </c>
      <c r="L33" s="179">
        <f t="shared" si="3"/>
        <v>4</v>
      </c>
    </row>
    <row r="34" spans="2:12" hidden="1" outlineLevel="1">
      <c r="B34" s="184" t="str">
        <f t="shared" si="1"/>
        <v>D.5</v>
      </c>
      <c r="E34" s="185"/>
      <c r="G34" s="180" t="str">
        <f t="shared" si="0"/>
        <v>Exhibit D.5</v>
      </c>
      <c r="J34" s="179">
        <f t="shared" si="4"/>
        <v>68</v>
      </c>
      <c r="K34" s="179" t="str">
        <f>CHAR(J34)</f>
        <v>D</v>
      </c>
      <c r="L34" s="179">
        <f t="shared" si="3"/>
        <v>5</v>
      </c>
    </row>
    <row r="35" spans="2:12" collapsed="1">
      <c r="B35" s="184"/>
      <c r="E35" s="185"/>
      <c r="G35" s="180" t="str">
        <f t="shared" si="0"/>
        <v xml:space="preserve">Exhibit </v>
      </c>
    </row>
    <row r="36" spans="2:12" hidden="1" outlineLevel="1">
      <c r="B36" s="184" t="e">
        <f t="shared" si="1"/>
        <v>#REF!</v>
      </c>
      <c r="E36" s="185"/>
      <c r="G36" s="180" t="e">
        <f t="shared" si="0"/>
        <v>#REF!</v>
      </c>
      <c r="J36" s="179" t="e">
        <f>IF(#REF!="",#REF!+1,#REF!)</f>
        <v>#REF!</v>
      </c>
      <c r="K36" s="179" t="e">
        <f t="shared" si="2"/>
        <v>#REF!</v>
      </c>
      <c r="L36" s="179" t="e">
        <f>IF(#REF!="",1,#REF!+1)</f>
        <v>#REF!</v>
      </c>
    </row>
    <row r="37" spans="2:12" collapsed="1">
      <c r="B37" s="184"/>
      <c r="E37" s="185" t="str">
        <f>'Cap Structure FP &gt;&gt;'!$D$9</f>
        <v>Capitalization Summary</v>
      </c>
      <c r="G37" s="180" t="str">
        <f t="shared" si="0"/>
        <v xml:space="preserve">Exhibit </v>
      </c>
    </row>
    <row r="38" spans="2:12">
      <c r="B38" s="184" t="str">
        <f t="shared" si="1"/>
        <v>E.1</v>
      </c>
      <c r="E38" s="185" t="str">
        <f>'Cap Table'!$B$4</f>
        <v xml:space="preserve">Capitalization Table </v>
      </c>
      <c r="G38" s="180" t="str">
        <f t="shared" si="0"/>
        <v>Exhibit E.1</v>
      </c>
      <c r="J38" s="179">
        <f>IF(J37="",J30+1,J37)</f>
        <v>69</v>
      </c>
      <c r="K38" s="179" t="str">
        <f t="shared" ref="K38:K39" si="7">CHAR(J38)</f>
        <v>E</v>
      </c>
      <c r="L38" s="179">
        <f t="shared" si="3"/>
        <v>1</v>
      </c>
    </row>
    <row r="39" spans="2:12">
      <c r="B39" s="184" t="str">
        <f t="shared" si="1"/>
        <v>E.2</v>
      </c>
      <c r="E39" s="185" t="str">
        <f>'Econ Rights'!$B$4</f>
        <v xml:space="preserve">Economic Rights Summary </v>
      </c>
      <c r="G39" s="180" t="str">
        <f t="shared" si="0"/>
        <v>Exhibit E.2</v>
      </c>
      <c r="J39" s="179">
        <f t="shared" ref="J39" si="8">IF(J38="",J37+1,J38)</f>
        <v>69</v>
      </c>
      <c r="K39" s="179" t="str">
        <f t="shared" si="7"/>
        <v>E</v>
      </c>
      <c r="L39" s="179">
        <f t="shared" si="3"/>
        <v>2</v>
      </c>
    </row>
    <row r="40" spans="2:12">
      <c r="B40" s="184"/>
      <c r="E40" s="185"/>
      <c r="G40" s="180" t="str">
        <f t="shared" si="0"/>
        <v xml:space="preserve">Exhibit </v>
      </c>
    </row>
    <row r="41" spans="2:12">
      <c r="B41" s="184"/>
      <c r="E41" s="185" t="str">
        <f>+'Support FP &gt;&gt;'!D9</f>
        <v>Appendices</v>
      </c>
      <c r="G41" s="180" t="str">
        <f t="shared" si="0"/>
        <v xml:space="preserve">Exhibit </v>
      </c>
    </row>
    <row r="42" spans="2:12">
      <c r="B42" s="184" t="str">
        <f t="shared" si="1"/>
        <v>F.1</v>
      </c>
      <c r="E42" s="185" t="str">
        <f>DLOM_OPM!$B$4</f>
        <v>Discount for Lack of Marketability</v>
      </c>
      <c r="G42" s="180" t="str">
        <f t="shared" si="0"/>
        <v>Exhibit F.1</v>
      </c>
      <c r="J42" s="179">
        <f>IF(J41="",J39+1,J41)</f>
        <v>70</v>
      </c>
      <c r="K42" s="179" t="str">
        <f t="shared" si="2"/>
        <v>F</v>
      </c>
      <c r="L42" s="179">
        <v>1</v>
      </c>
    </row>
    <row r="43" spans="2:12">
      <c r="B43" s="184" t="str">
        <f>K43&amp;"."&amp;L43</f>
        <v>F.2</v>
      </c>
      <c r="E43" s="185" t="str">
        <f>'Asset Vol_OPM'!$B$4</f>
        <v>Asset Volatility - OPM</v>
      </c>
      <c r="G43" s="180" t="str">
        <f>"Exhibit "&amp;B43</f>
        <v>Exhibit F.2</v>
      </c>
      <c r="J43" s="179">
        <f t="shared" si="4"/>
        <v>70</v>
      </c>
      <c r="K43" s="179" t="str">
        <f>CHAR(J43)</f>
        <v>F</v>
      </c>
      <c r="L43" s="179">
        <f t="shared" si="3"/>
        <v>2</v>
      </c>
    </row>
    <row r="44" spans="2:12">
      <c r="B44" s="184" t="str">
        <f>K44&amp;"."&amp;L44</f>
        <v>F.3</v>
      </c>
      <c r="E44" s="185" t="str">
        <f>'Asset Vol_DLOM'!$B$4</f>
        <v>Asset Volatility - OPM DLOM</v>
      </c>
      <c r="G44" s="180" t="str">
        <f>"Exhibit "&amp;B44</f>
        <v>Exhibit F.3</v>
      </c>
      <c r="J44" s="179">
        <f t="shared" si="4"/>
        <v>70</v>
      </c>
      <c r="K44" s="179" t="str">
        <f t="shared" ref="K44:K52" si="9">CHAR(J44)</f>
        <v>F</v>
      </c>
      <c r="L44" s="179">
        <f t="shared" si="3"/>
        <v>3</v>
      </c>
    </row>
    <row r="45" spans="2:12">
      <c r="B45" s="184" t="str">
        <f>K45&amp;"."&amp;L45</f>
        <v>F.4</v>
      </c>
      <c r="E45" s="185" t="str">
        <f>'Equity Vol'!$B$4</f>
        <v>Equity Volatility</v>
      </c>
      <c r="G45" s="180" t="str">
        <f>"Exhibit "&amp;B45</f>
        <v>Exhibit F.4</v>
      </c>
      <c r="J45" s="179">
        <f t="shared" si="4"/>
        <v>70</v>
      </c>
      <c r="K45" s="179" t="str">
        <f t="shared" si="9"/>
        <v>F</v>
      </c>
      <c r="L45" s="179">
        <f t="shared" si="3"/>
        <v>4</v>
      </c>
    </row>
    <row r="46" spans="2:12">
      <c r="B46" s="184" t="str">
        <f>K46&amp;"."&amp;L46</f>
        <v>F.5</v>
      </c>
      <c r="E46" s="185" t="str">
        <f>'Risk-Free Rates'!$B$4</f>
        <v>Risk-Free Rates</v>
      </c>
      <c r="G46" s="180" t="str">
        <f>"Exhibit "&amp;B46</f>
        <v>Exhibit F.5</v>
      </c>
      <c r="J46" s="179">
        <f t="shared" si="4"/>
        <v>70</v>
      </c>
      <c r="K46" s="179" t="str">
        <f t="shared" si="9"/>
        <v>F</v>
      </c>
      <c r="L46" s="179">
        <f t="shared" si="3"/>
        <v>5</v>
      </c>
    </row>
    <row r="47" spans="2:12" hidden="1" outlineLevel="1">
      <c r="B47" s="184" t="str">
        <f>K47&amp;"."&amp;L47</f>
        <v>F.6</v>
      </c>
      <c r="E47" s="185"/>
      <c r="G47" s="180" t="str">
        <f>"Exhibit "&amp;B47</f>
        <v>Exhibit F.6</v>
      </c>
      <c r="J47" s="179">
        <f t="shared" si="4"/>
        <v>70</v>
      </c>
      <c r="K47" s="179" t="str">
        <f t="shared" si="9"/>
        <v>F</v>
      </c>
      <c r="L47" s="179">
        <f t="shared" si="3"/>
        <v>6</v>
      </c>
    </row>
    <row r="48" spans="2:12" hidden="1" outlineLevel="1">
      <c r="B48" s="184" t="str">
        <f t="shared" si="1"/>
        <v>F.7</v>
      </c>
      <c r="E48" s="185"/>
      <c r="G48" s="180" t="str">
        <f t="shared" si="0"/>
        <v>Exhibit F.7</v>
      </c>
      <c r="J48" s="179">
        <f t="shared" si="4"/>
        <v>70</v>
      </c>
      <c r="K48" s="179" t="str">
        <f t="shared" si="9"/>
        <v>F</v>
      </c>
      <c r="L48" s="179">
        <f t="shared" si="3"/>
        <v>7</v>
      </c>
    </row>
    <row r="49" spans="2:12" hidden="1" outlineLevel="1">
      <c r="B49" s="184" t="str">
        <f t="shared" si="1"/>
        <v>F.8</v>
      </c>
      <c r="E49" s="185"/>
      <c r="G49" s="180" t="str">
        <f t="shared" si="0"/>
        <v>Exhibit F.8</v>
      </c>
      <c r="J49" s="179">
        <f t="shared" si="4"/>
        <v>70</v>
      </c>
      <c r="K49" s="179" t="str">
        <f t="shared" si="9"/>
        <v>F</v>
      </c>
      <c r="L49" s="179">
        <f t="shared" si="3"/>
        <v>8</v>
      </c>
    </row>
    <row r="50" spans="2:12" hidden="1" outlineLevel="1">
      <c r="B50" s="184" t="str">
        <f t="shared" si="1"/>
        <v>F.9</v>
      </c>
      <c r="E50" s="185"/>
      <c r="G50" s="180" t="str">
        <f t="shared" si="0"/>
        <v>Exhibit F.9</v>
      </c>
      <c r="J50" s="179">
        <f t="shared" si="4"/>
        <v>70</v>
      </c>
      <c r="K50" s="179" t="str">
        <f t="shared" si="9"/>
        <v>F</v>
      </c>
      <c r="L50" s="179">
        <f t="shared" si="3"/>
        <v>9</v>
      </c>
    </row>
    <row r="51" spans="2:12" hidden="1" outlineLevel="1">
      <c r="B51" s="184" t="str">
        <f t="shared" si="1"/>
        <v>F.10</v>
      </c>
      <c r="E51" s="185"/>
      <c r="G51" s="180" t="str">
        <f t="shared" si="0"/>
        <v>Exhibit F.10</v>
      </c>
      <c r="J51" s="179">
        <f t="shared" si="4"/>
        <v>70</v>
      </c>
      <c r="K51" s="179" t="str">
        <f t="shared" si="9"/>
        <v>F</v>
      </c>
      <c r="L51" s="179">
        <f t="shared" si="3"/>
        <v>10</v>
      </c>
    </row>
    <row r="52" spans="2:12" hidden="1" outlineLevel="1">
      <c r="B52" s="184" t="str">
        <f t="shared" si="1"/>
        <v>F.11</v>
      </c>
      <c r="E52" s="236"/>
      <c r="G52" s="180" t="str">
        <f t="shared" si="0"/>
        <v>Exhibit F.11</v>
      </c>
      <c r="J52" s="179">
        <f t="shared" si="4"/>
        <v>70</v>
      </c>
      <c r="K52" s="179" t="str">
        <f t="shared" si="9"/>
        <v>F</v>
      </c>
      <c r="L52" s="179">
        <f t="shared" si="3"/>
        <v>11</v>
      </c>
    </row>
    <row r="53" spans="2:12" hidden="1" outlineLevel="1">
      <c r="B53" s="184" t="str">
        <f t="shared" si="1"/>
        <v>F.12</v>
      </c>
      <c r="E53" s="185"/>
      <c r="G53" s="180" t="str">
        <f>"Exhibit "&amp;B53</f>
        <v>Exhibit F.12</v>
      </c>
      <c r="J53" s="179">
        <f t="shared" si="4"/>
        <v>70</v>
      </c>
      <c r="K53" s="179" t="str">
        <f>CHAR(J53)</f>
        <v>F</v>
      </c>
      <c r="L53" s="179">
        <f t="shared" si="3"/>
        <v>12</v>
      </c>
    </row>
    <row r="54" spans="2:12" collapsed="1">
      <c r="B54" s="184" t="s">
        <v>664</v>
      </c>
      <c r="E54" s="185"/>
    </row>
    <row r="55" spans="2:12">
      <c r="B55" s="184" t="str">
        <f t="shared" ref="B55:B61" si="10">K55&amp;L55</f>
        <v>#1</v>
      </c>
      <c r="E55" s="185" t="str">
        <f>'Val Summ_Hybrid'!B4</f>
        <v>Valuation Summary - Hybrid OPM</v>
      </c>
      <c r="G55" s="180" t="str">
        <f t="shared" ref="G55:G69" si="11">"Workpaper "&amp;B55</f>
        <v>Workpaper #1</v>
      </c>
      <c r="K55" s="179" t="s">
        <v>1586</v>
      </c>
      <c r="L55" s="179">
        <v>1</v>
      </c>
    </row>
    <row r="56" spans="2:12">
      <c r="B56" s="184" t="str">
        <f t="shared" si="10"/>
        <v>#2</v>
      </c>
      <c r="E56" s="185" t="str">
        <f>'Hybrid OPM'!B4</f>
        <v>Hybrid OPM</v>
      </c>
      <c r="G56" s="180" t="str">
        <f t="shared" si="11"/>
        <v>Workpaper #2</v>
      </c>
      <c r="K56" s="179" t="str">
        <f>K55</f>
        <v>#</v>
      </c>
      <c r="L56" s="179">
        <f>L55+1</f>
        <v>2</v>
      </c>
    </row>
    <row r="57" spans="2:12">
      <c r="B57" s="184" t="str">
        <f t="shared" si="10"/>
        <v>#3</v>
      </c>
      <c r="E57" s="185" t="str">
        <f>'IPO Waterfall'!B4</f>
        <v>IPO Waterfall</v>
      </c>
      <c r="G57" s="180" t="str">
        <f t="shared" si="11"/>
        <v>Workpaper #3</v>
      </c>
      <c r="K57" s="179" t="str">
        <f>K56</f>
        <v>#</v>
      </c>
      <c r="L57" s="179">
        <f>L56+1</f>
        <v>3</v>
      </c>
    </row>
    <row r="58" spans="2:12">
      <c r="B58" s="184" t="str">
        <f t="shared" si="10"/>
        <v>#4</v>
      </c>
      <c r="E58" s="185" t="str">
        <f>'OPM 1 Hybrid'!$B$4</f>
        <v>Option Pricing Method - Breakpoints &amp; Allocation (Hybrid OPM)</v>
      </c>
      <c r="G58" s="180" t="str">
        <f t="shared" si="11"/>
        <v>Workpaper #4</v>
      </c>
      <c r="K58" s="179" t="str">
        <f>K57</f>
        <v>#</v>
      </c>
      <c r="L58" s="179">
        <f>L57+1</f>
        <v>4</v>
      </c>
    </row>
    <row r="59" spans="2:12">
      <c r="B59" s="184" t="str">
        <f t="shared" si="10"/>
        <v>#5</v>
      </c>
      <c r="E59" s="185" t="str">
        <f>'OPM 2 Hybrid'!$B$4</f>
        <v>Option Pricing Method - Implied Value Per Share (Hybrid OPM)</v>
      </c>
      <c r="G59" s="180" t="str">
        <f t="shared" si="11"/>
        <v>Workpaper #5</v>
      </c>
      <c r="K59" s="179" t="str">
        <f>K58</f>
        <v>#</v>
      </c>
      <c r="L59" s="179">
        <f t="shared" ref="L59:L70" si="12">L58+1</f>
        <v>5</v>
      </c>
    </row>
    <row r="60" spans="2:12">
      <c r="B60" s="184" t="str">
        <f t="shared" si="10"/>
        <v>#6</v>
      </c>
      <c r="E60" s="185" t="str">
        <f>'DLOM Hybrid'!B4</f>
        <v>Discount for Lack of Marketability - Hybrid OPM</v>
      </c>
      <c r="G60" s="180" t="str">
        <f t="shared" si="11"/>
        <v>Workpaper #6</v>
      </c>
      <c r="K60" s="179" t="s">
        <v>1586</v>
      </c>
      <c r="L60" s="179">
        <f t="shared" si="12"/>
        <v>6</v>
      </c>
    </row>
    <row r="61" spans="2:12">
      <c r="B61" s="184" t="str">
        <f t="shared" si="10"/>
        <v>#7</v>
      </c>
      <c r="E61" s="185" t="str">
        <f>'Asset Vol Hybrid'!B4</f>
        <v>Asset Volatility - Hybrid OPM</v>
      </c>
      <c r="G61" s="180" t="str">
        <f t="shared" si="11"/>
        <v>Workpaper #7</v>
      </c>
      <c r="K61" s="179" t="s">
        <v>1586</v>
      </c>
      <c r="L61" s="179">
        <f t="shared" si="12"/>
        <v>7</v>
      </c>
    </row>
    <row r="62" spans="2:12">
      <c r="B62" s="184" t="str">
        <f t="shared" ref="B62:B69" si="13">K62&amp;L62</f>
        <v>#8</v>
      </c>
      <c r="E62" s="185" t="str">
        <f>'Asset Vol Hybrid DLOM'!B4</f>
        <v>Asset Volatility - Hybrid OPM DLOM</v>
      </c>
      <c r="G62" s="180" t="str">
        <f t="shared" si="11"/>
        <v>Workpaper #8</v>
      </c>
      <c r="K62" s="179" t="str">
        <f t="shared" ref="K62:K70" si="14">K61</f>
        <v>#</v>
      </c>
      <c r="L62" s="179">
        <f t="shared" si="12"/>
        <v>8</v>
      </c>
    </row>
    <row r="63" spans="2:12">
      <c r="B63" s="184" t="str">
        <f t="shared" si="13"/>
        <v>#9</v>
      </c>
      <c r="E63" s="185" t="str">
        <f>'Asset Vol_IPO_Early'!$B$4</f>
        <v>Asset Volatility - IPO Early</v>
      </c>
      <c r="G63" s="180" t="str">
        <f t="shared" si="11"/>
        <v>Workpaper #9</v>
      </c>
      <c r="K63" s="179" t="str">
        <f t="shared" si="14"/>
        <v>#</v>
      </c>
      <c r="L63" s="179">
        <f t="shared" si="12"/>
        <v>9</v>
      </c>
    </row>
    <row r="64" spans="2:12">
      <c r="B64" s="184" t="str">
        <f t="shared" si="13"/>
        <v>#10</v>
      </c>
      <c r="E64" s="185" t="str">
        <f>'Asset Vol_IPO_Late'!$B$4</f>
        <v>Asset Volatility - IPO Late</v>
      </c>
      <c r="G64" s="180" t="str">
        <f t="shared" si="11"/>
        <v>Workpaper #10</v>
      </c>
      <c r="K64" s="179" t="str">
        <f t="shared" si="14"/>
        <v>#</v>
      </c>
      <c r="L64" s="179">
        <f t="shared" si="12"/>
        <v>10</v>
      </c>
    </row>
    <row r="65" spans="2:12">
      <c r="B65" s="184" t="str">
        <f t="shared" si="13"/>
        <v>#11</v>
      </c>
      <c r="E65" s="185" t="str">
        <f>'Risk-Free Rates_Hybrid'!$B$4</f>
        <v>Risk-Free Rates - Hybrid</v>
      </c>
      <c r="G65" s="180" t="str">
        <f t="shared" si="11"/>
        <v>Workpaper #11</v>
      </c>
      <c r="K65" s="179" t="str">
        <f t="shared" si="14"/>
        <v>#</v>
      </c>
      <c r="L65" s="179">
        <f t="shared" si="12"/>
        <v>11</v>
      </c>
    </row>
    <row r="66" spans="2:12">
      <c r="B66" s="184" t="str">
        <f t="shared" si="13"/>
        <v>#12</v>
      </c>
      <c r="E66" s="185" t="str">
        <f>WACC!$B$4</f>
        <v>Weighted Average Cost of Capital - IPO</v>
      </c>
      <c r="G66" s="180" t="str">
        <f t="shared" si="11"/>
        <v>Workpaper #12</v>
      </c>
      <c r="K66" s="179" t="str">
        <f t="shared" si="14"/>
        <v>#</v>
      </c>
      <c r="L66" s="179">
        <f t="shared" si="12"/>
        <v>12</v>
      </c>
    </row>
    <row r="67" spans="2:12">
      <c r="B67" s="184" t="str">
        <f t="shared" si="13"/>
        <v>#13</v>
      </c>
      <c r="E67" s="185" t="str">
        <f>'RoR Stage of Dev'!$B$4</f>
        <v xml:space="preserve">Rate of Return By Stage of Development </v>
      </c>
      <c r="G67" s="180" t="str">
        <f t="shared" si="11"/>
        <v>Workpaper #13</v>
      </c>
      <c r="K67" s="179" t="str">
        <f t="shared" si="14"/>
        <v>#</v>
      </c>
      <c r="L67" s="179">
        <f t="shared" si="12"/>
        <v>13</v>
      </c>
    </row>
    <row r="68" spans="2:12">
      <c r="B68" s="184" t="str">
        <f t="shared" si="13"/>
        <v>#14</v>
      </c>
      <c r="E68" s="185" t="str">
        <f>'Market Trends since Prior Val'!$B$4</f>
        <v>Market Trends Since Previous Valuation</v>
      </c>
      <c r="G68" s="180" t="str">
        <f t="shared" si="11"/>
        <v>Workpaper #14</v>
      </c>
      <c r="K68" s="179" t="str">
        <f t="shared" si="14"/>
        <v>#</v>
      </c>
      <c r="L68" s="179">
        <f t="shared" si="12"/>
        <v>14</v>
      </c>
    </row>
    <row r="69" spans="2:12">
      <c r="B69" s="184" t="str">
        <f t="shared" si="13"/>
        <v>#15</v>
      </c>
      <c r="E69" s="185" t="str">
        <f>'IPO Data_BioPharma'!B4</f>
        <v>Initial Public Offerings Data</v>
      </c>
      <c r="G69" s="180" t="str">
        <f t="shared" si="11"/>
        <v>Workpaper #15</v>
      </c>
      <c r="K69" s="179" t="str">
        <f t="shared" si="14"/>
        <v>#</v>
      </c>
      <c r="L69" s="179">
        <f t="shared" si="12"/>
        <v>15</v>
      </c>
    </row>
    <row r="70" spans="2:12">
      <c r="B70" s="184" t="str">
        <f t="shared" ref="B70" si="15">K70&amp;L70</f>
        <v>#16</v>
      </c>
      <c r="E70" s="185" t="str">
        <f>'Comparative Sheet'!$B$4</f>
        <v>Comparative Sheet</v>
      </c>
      <c r="G70" s="180" t="str">
        <f t="shared" ref="G70" si="16">"Workpaper "&amp;B70</f>
        <v>Workpaper #16</v>
      </c>
      <c r="K70" s="179" t="str">
        <f t="shared" si="14"/>
        <v>#</v>
      </c>
      <c r="L70" s="179">
        <f t="shared" si="12"/>
        <v>16</v>
      </c>
    </row>
    <row r="72" spans="2:12">
      <c r="E72" s="185"/>
    </row>
  </sheetData>
  <conditionalFormatting sqref="B3:G3">
    <cfRule type="cellIs" dxfId="403" priority="61" stopIfTrue="1" operator="equal">
      <formula>"input"</formula>
    </cfRule>
  </conditionalFormatting>
  <conditionalFormatting sqref="B7:B18 B48:B54 B20:B42 B61:B70">
    <cfRule type="expression" dxfId="402" priority="58">
      <formula>OR($B7="Exhibits",$B7="Workpapers")</formula>
    </cfRule>
  </conditionalFormatting>
  <conditionalFormatting sqref="E7:E17 E20:E41">
    <cfRule type="expression" dxfId="401" priority="57">
      <formula>$B7=""</formula>
    </cfRule>
  </conditionalFormatting>
  <conditionalFormatting sqref="G8:G18 G48:G52 G54 G20:G42 G61:G70">
    <cfRule type="expression" dxfId="400" priority="56">
      <formula>$B8="Workpapers"</formula>
    </cfRule>
  </conditionalFormatting>
  <conditionalFormatting sqref="E63">
    <cfRule type="expression" dxfId="399" priority="82">
      <formula>$B61=""</formula>
    </cfRule>
  </conditionalFormatting>
  <conditionalFormatting sqref="E42 E48:E50">
    <cfRule type="expression" dxfId="398" priority="86">
      <formula>$B42=""</formula>
    </cfRule>
  </conditionalFormatting>
  <conditionalFormatting sqref="B19">
    <cfRule type="expression" dxfId="397" priority="53">
      <formula>OR($B19="Exhibits",$B19="Workpapers")</formula>
    </cfRule>
  </conditionalFormatting>
  <conditionalFormatting sqref="G19">
    <cfRule type="expression" dxfId="396" priority="51">
      <formula>$B19="Workpapers"</formula>
    </cfRule>
  </conditionalFormatting>
  <conditionalFormatting sqref="E54">
    <cfRule type="expression" dxfId="395" priority="90">
      <formula>$B51=""</formula>
    </cfRule>
  </conditionalFormatting>
  <conditionalFormatting sqref="B55:B59">
    <cfRule type="expression" dxfId="394" priority="46">
      <formula>OR($B55="Exhibits",$B55="Workpapers")</formula>
    </cfRule>
  </conditionalFormatting>
  <conditionalFormatting sqref="G55:G59">
    <cfRule type="expression" dxfId="393" priority="45">
      <formula>$B55="Workpapers"</formula>
    </cfRule>
  </conditionalFormatting>
  <conditionalFormatting sqref="E59">
    <cfRule type="expression" dxfId="392" priority="49">
      <formula>$B56=""</formula>
    </cfRule>
  </conditionalFormatting>
  <conditionalFormatting sqref="B60">
    <cfRule type="expression" dxfId="391" priority="44">
      <formula>OR($B60="Exhibits",$B60="Workpapers")</formula>
    </cfRule>
  </conditionalFormatting>
  <conditionalFormatting sqref="G60">
    <cfRule type="expression" dxfId="390" priority="43">
      <formula>$B60="Workpapers"</formula>
    </cfRule>
  </conditionalFormatting>
  <conditionalFormatting sqref="B43:B46">
    <cfRule type="expression" dxfId="389" priority="41">
      <formula>OR($B43="Exhibits",$B43="Workpapers")</formula>
    </cfRule>
  </conditionalFormatting>
  <conditionalFormatting sqref="G43:G46">
    <cfRule type="expression" dxfId="388" priority="40">
      <formula>$B43="Workpapers"</formula>
    </cfRule>
  </conditionalFormatting>
  <conditionalFormatting sqref="B47">
    <cfRule type="expression" dxfId="387" priority="38">
      <formula>OR($B47="Exhibits",$B47="Workpapers")</formula>
    </cfRule>
  </conditionalFormatting>
  <conditionalFormatting sqref="G47">
    <cfRule type="expression" dxfId="386" priority="37">
      <formula>$B47="Workpapers"</formula>
    </cfRule>
  </conditionalFormatting>
  <conditionalFormatting sqref="E47">
    <cfRule type="expression" dxfId="385" priority="39">
      <formula>$B47=""</formula>
    </cfRule>
  </conditionalFormatting>
  <conditionalFormatting sqref="G53">
    <cfRule type="expression" dxfId="384" priority="36">
      <formula>$B53="Workpapers"</formula>
    </cfRule>
  </conditionalFormatting>
  <conditionalFormatting sqref="E18:E20">
    <cfRule type="expression" dxfId="383" priority="35">
      <formula>$B18=""</formula>
    </cfRule>
  </conditionalFormatting>
  <conditionalFormatting sqref="E45:E46">
    <cfRule type="expression" dxfId="382" priority="32">
      <formula>$B45=""</formula>
    </cfRule>
  </conditionalFormatting>
  <conditionalFormatting sqref="E61:E62">
    <cfRule type="expression" dxfId="381" priority="28">
      <formula>$B61=""</formula>
    </cfRule>
  </conditionalFormatting>
  <conditionalFormatting sqref="E63">
    <cfRule type="expression" dxfId="380" priority="22">
      <formula>$B61=""</formula>
    </cfRule>
  </conditionalFormatting>
  <conditionalFormatting sqref="E64">
    <cfRule type="expression" dxfId="379" priority="15">
      <formula>$B62=""</formula>
    </cfRule>
  </conditionalFormatting>
  <conditionalFormatting sqref="E59">
    <cfRule type="expression" dxfId="378" priority="25">
      <formula>#REF!=""</formula>
    </cfRule>
  </conditionalFormatting>
  <conditionalFormatting sqref="E60">
    <cfRule type="expression" dxfId="377" priority="26">
      <formula>$B57=""</formula>
    </cfRule>
  </conditionalFormatting>
  <conditionalFormatting sqref="E64">
    <cfRule type="expression" dxfId="376" priority="18">
      <formula>$B64=""</formula>
    </cfRule>
  </conditionalFormatting>
  <conditionalFormatting sqref="E65">
    <cfRule type="expression" dxfId="375" priority="16">
      <formula>$B65=""</formula>
    </cfRule>
  </conditionalFormatting>
  <conditionalFormatting sqref="E57:E59">
    <cfRule type="expression" dxfId="374" priority="21">
      <formula>$B57=""</formula>
    </cfRule>
  </conditionalFormatting>
  <conditionalFormatting sqref="E66">
    <cfRule type="expression" dxfId="373" priority="19">
      <formula>$B64=""</formula>
    </cfRule>
  </conditionalFormatting>
  <conditionalFormatting sqref="E65">
    <cfRule type="expression" dxfId="372" priority="11">
      <formula>$B65=""</formula>
    </cfRule>
  </conditionalFormatting>
  <conditionalFormatting sqref="E66:E67">
    <cfRule type="expression" dxfId="371" priority="17">
      <formula>$B64=""</formula>
    </cfRule>
  </conditionalFormatting>
  <conditionalFormatting sqref="E66">
    <cfRule type="expression" dxfId="370" priority="9">
      <formula>$B66=""</formula>
    </cfRule>
  </conditionalFormatting>
  <conditionalFormatting sqref="E63">
    <cfRule type="expression" dxfId="369" priority="14">
      <formula>$B63=""</formula>
    </cfRule>
  </conditionalFormatting>
  <conditionalFormatting sqref="E64">
    <cfRule type="expression" dxfId="368" priority="13">
      <formula>$B62=""</formula>
    </cfRule>
  </conditionalFormatting>
  <conditionalFormatting sqref="E69:E70">
    <cfRule type="expression" dxfId="367" priority="7">
      <formula>$B67=""</formula>
    </cfRule>
  </conditionalFormatting>
  <conditionalFormatting sqref="E69:E70">
    <cfRule type="expression" dxfId="366" priority="8">
      <formula>$B69=""</formula>
    </cfRule>
  </conditionalFormatting>
  <conditionalFormatting sqref="E69:E70">
    <cfRule type="expression" dxfId="365" priority="6">
      <formula>$B67=""</formula>
    </cfRule>
  </conditionalFormatting>
  <conditionalFormatting sqref="E66:E68">
    <cfRule type="expression" dxfId="364" priority="5">
      <formula>$B66=""</formula>
    </cfRule>
  </conditionalFormatting>
  <conditionalFormatting sqref="E72">
    <cfRule type="expression" dxfId="363" priority="1">
      <formula>$B72=""</formula>
    </cfRule>
  </conditionalFormatting>
  <conditionalFormatting sqref="E72">
    <cfRule type="expression" dxfId="362" priority="3">
      <formula>$B70=""</formula>
    </cfRule>
  </conditionalFormatting>
  <conditionalFormatting sqref="E72">
    <cfRule type="expression" dxfId="361" priority="2">
      <formula>$B70=""</formula>
    </cfRule>
  </conditionalFormatting>
  <pageMargins left="0.5" right="0.5" top="0.5" bottom="0.5" header="0.5" footer="0.5"/>
  <pageSetup scale="95" fitToWidth="0"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P739"/>
  <sheetViews>
    <sheetView showGridLines="0" tabSelected="1" view="pageBreakPreview" topLeftCell="A4" zoomScaleNormal="100" zoomScaleSheetLayoutView="100" workbookViewId="0">
      <selection activeCell="H11" sqref="H11"/>
    </sheetView>
  </sheetViews>
  <sheetFormatPr defaultRowHeight="12.75"/>
  <cols>
    <col min="1" max="1" width="4.5" style="179" customWidth="1"/>
    <col min="2" max="2" width="50.83203125" style="179" customWidth="1"/>
    <col min="3" max="3" width="2.83203125" style="179" customWidth="1"/>
    <col min="4" max="4" width="25.83203125" style="179" customWidth="1"/>
    <col min="5" max="5" width="2.83203125" style="179" customWidth="1"/>
    <col min="6" max="6" width="20.83203125" style="179" customWidth="1"/>
    <col min="7" max="7" width="2.83203125" style="179" customWidth="1"/>
    <col min="8" max="8" width="17.83203125" style="179" customWidth="1"/>
    <col min="9" max="9" width="2.83203125" style="179" customWidth="1"/>
    <col min="10" max="10" width="17.83203125" style="179" customWidth="1"/>
    <col min="11" max="11" width="4.5" style="179" customWidth="1"/>
    <col min="12" max="12" width="18.1640625" style="179" customWidth="1"/>
    <col min="13" max="14" width="12" style="179" bestFit="1" customWidth="1"/>
    <col min="15" max="15" width="20.83203125" style="179" customWidth="1"/>
    <col min="16" max="16" width="29.1640625" style="179" customWidth="1"/>
    <col min="17" max="17" width="10" style="179" bestFit="1" customWidth="1"/>
    <col min="18" max="18" width="9.6640625" style="179" bestFit="1" customWidth="1"/>
    <col min="19" max="16384" width="9.33203125" style="179"/>
  </cols>
  <sheetData>
    <row r="1" spans="1:15" ht="10.7" customHeight="1" thickBot="1"/>
    <row r="2" spans="1:15" ht="16.5" customHeight="1" thickTop="1">
      <c r="A2" s="186"/>
      <c r="B2" s="187" t="str">
        <f>'MASTER PubCo Inputs'!$C$5</f>
        <v>Decibel Therapeutics, Inc.</v>
      </c>
      <c r="C2" s="187"/>
      <c r="D2" s="187"/>
      <c r="E2" s="187"/>
      <c r="F2" s="187"/>
      <c r="G2" s="187"/>
      <c r="H2" s="187"/>
      <c r="I2" s="187"/>
      <c r="J2" s="187"/>
      <c r="K2" s="186"/>
      <c r="L2" s="976"/>
      <c r="M2" s="976"/>
      <c r="N2" s="976"/>
    </row>
    <row r="3" spans="1:15" ht="15.75" customHeight="1">
      <c r="A3" s="186"/>
      <c r="B3" s="188" t="str">
        <f>VLOOKUP(B4,Outline!$E$8:$G$75,COLUMNS(Outline!$E$8:$G$8),FALSE)</f>
        <v>Exhibit A.1</v>
      </c>
      <c r="C3" s="188"/>
      <c r="D3" s="188"/>
      <c r="E3" s="188"/>
      <c r="F3" s="188"/>
      <c r="G3" s="188"/>
      <c r="H3" s="188"/>
      <c r="I3" s="188"/>
      <c r="J3" s="188"/>
      <c r="K3" s="186"/>
      <c r="L3" s="185"/>
      <c r="M3" s="185"/>
      <c r="N3" s="180"/>
      <c r="O3" s="1903"/>
    </row>
    <row r="4" spans="1:15" ht="16.5" customHeight="1" thickBot="1">
      <c r="A4" s="186"/>
      <c r="B4" s="726" t="s">
        <v>3652</v>
      </c>
      <c r="C4" s="726"/>
      <c r="D4" s="726"/>
      <c r="E4" s="726"/>
      <c r="F4" s="726"/>
      <c r="G4" s="726"/>
      <c r="H4" s="726"/>
      <c r="I4" s="726"/>
      <c r="J4" s="727" t="str">
        <f>+'MASTER PubCo Inputs'!$C$19</f>
        <v>(in thousands of USD, except price per share)</v>
      </c>
      <c r="K4" s="186"/>
      <c r="L4" s="180"/>
      <c r="M4" s="180"/>
      <c r="N4" s="180"/>
    </row>
    <row r="5" spans="1:15" ht="14.85" customHeight="1" thickTop="1">
      <c r="L5" s="180"/>
      <c r="M5" s="180"/>
      <c r="N5" s="180"/>
    </row>
    <row r="6" spans="1:15" ht="14.85" customHeight="1">
      <c r="L6" s="180"/>
      <c r="M6" s="180"/>
      <c r="N6" s="180"/>
    </row>
    <row r="7" spans="1:15" s="200" customFormat="1" ht="14.85" customHeight="1">
      <c r="B7" s="1897" t="s">
        <v>150</v>
      </c>
      <c r="D7" s="1898" t="s">
        <v>149</v>
      </c>
      <c r="E7" s="265"/>
      <c r="F7" s="1898" t="s">
        <v>151</v>
      </c>
      <c r="H7" s="1899" t="s">
        <v>70</v>
      </c>
      <c r="J7" s="1899" t="s">
        <v>70</v>
      </c>
      <c r="L7" s="1904"/>
      <c r="M7" s="1904" t="s">
        <v>2286</v>
      </c>
      <c r="N7" s="1904"/>
    </row>
    <row r="8" spans="1:15" ht="14.85" customHeight="1">
      <c r="M8" s="2044">
        <v>0.49</v>
      </c>
      <c r="N8" s="179" t="s">
        <v>691</v>
      </c>
    </row>
    <row r="9" spans="1:15" ht="14.85" customHeight="1">
      <c r="B9" s="179" t="s">
        <v>3756</v>
      </c>
      <c r="D9" s="261">
        <f>ROUND('OPM 1'!D9,-1)</f>
        <v>161440</v>
      </c>
      <c r="F9" s="266">
        <f>'OPM 2'!L13</f>
        <v>0.49208877805055518</v>
      </c>
      <c r="H9" s="185" t="s">
        <v>155</v>
      </c>
      <c r="J9" s="185" t="str">
        <f>'OPM 1'!B3</f>
        <v>Exhibit B.1</v>
      </c>
      <c r="M9" s="2043" t="str">
        <f>IF(OR(F9-M8&gt;0.01,F9-M8&lt;-0.01),"Check","")</f>
        <v/>
      </c>
      <c r="N9" s="257" t="s">
        <v>2248</v>
      </c>
    </row>
    <row r="10" spans="1:15" ht="14.85" customHeight="1"/>
    <row r="11" spans="1:15" ht="14.85" customHeight="1">
      <c r="B11" s="1900" t="s">
        <v>156</v>
      </c>
      <c r="C11" s="1901"/>
      <c r="D11" s="1901"/>
      <c r="E11" s="1901"/>
      <c r="F11" s="1902">
        <f>F9</f>
        <v>0.49208877805055518</v>
      </c>
    </row>
    <row r="12" spans="1:15" ht="14.85" customHeight="1">
      <c r="M12" s="324"/>
      <c r="N12" s="257"/>
    </row>
    <row r="13" spans="1:15" ht="14.85" customHeight="1">
      <c r="B13" s="272"/>
    </row>
    <row r="14" spans="1:15" ht="14.85" customHeight="1">
      <c r="A14" s="273"/>
      <c r="B14" s="330"/>
    </row>
    <row r="15" spans="1:15" ht="14.85" customHeight="1">
      <c r="A15" s="273"/>
      <c r="B15" s="330"/>
    </row>
    <row r="16" spans="1:15" ht="14.85" customHeight="1">
      <c r="B16" s="1893" t="s">
        <v>3649</v>
      </c>
      <c r="D16" s="1893" t="s">
        <v>149</v>
      </c>
      <c r="F16" s="1893" t="s">
        <v>151</v>
      </c>
      <c r="H16" s="1894" t="s">
        <v>3650</v>
      </c>
      <c r="J16" s="1894" t="s">
        <v>3651</v>
      </c>
    </row>
    <row r="17" spans="2:16" ht="14.85" customHeight="1">
      <c r="B17" s="179" t="s">
        <v>2285</v>
      </c>
      <c r="D17" s="1896">
        <f>'Val Summ_Hybrid'!D9</f>
        <v>167000</v>
      </c>
      <c r="F17" s="1895">
        <f>'Val Summ_Hybrid'!F9</f>
        <v>0.53651613020701117</v>
      </c>
      <c r="H17" s="1916">
        <f>F17/'Econ Rights'!$I$13</f>
        <v>0.26825806510350558</v>
      </c>
      <c r="I17" s="549"/>
      <c r="J17" s="1916">
        <f>F17/'Econ Rights'!$J$13</f>
        <v>0.26825806510350558</v>
      </c>
      <c r="K17" s="549"/>
      <c r="P17" s="182"/>
    </row>
    <row r="18" spans="2:16" ht="14.85" customHeight="1">
      <c r="H18" s="549"/>
      <c r="I18" s="549"/>
      <c r="J18" s="549"/>
      <c r="K18" s="549"/>
    </row>
    <row r="19" spans="2:16" ht="14.85" customHeight="1">
      <c r="B19" s="179" t="s">
        <v>153</v>
      </c>
      <c r="D19" s="1913">
        <f>Val_Summary!D9</f>
        <v>161440</v>
      </c>
      <c r="E19" s="1914"/>
      <c r="F19" s="1915">
        <f>Val_Summary!F9</f>
        <v>0.49208877805055518</v>
      </c>
      <c r="H19" s="1916">
        <f>F19/'Econ Rights'!$I$13</f>
        <v>0.24604438902527759</v>
      </c>
      <c r="I19" s="549"/>
      <c r="J19" s="1916">
        <f>F19/'Econ Rights'!$J$13</f>
        <v>0.24604438902527759</v>
      </c>
      <c r="K19" s="549"/>
      <c r="N19" s="276"/>
      <c r="P19" s="180"/>
    </row>
    <row r="20" spans="2:16" ht="14.85" customHeight="1"/>
    <row r="21" spans="2:16" ht="14.85" customHeight="1"/>
    <row r="22" spans="2:16" ht="14.85" customHeight="1">
      <c r="B22" s="1893" t="s">
        <v>3757</v>
      </c>
      <c r="D22" s="1893" t="s">
        <v>149</v>
      </c>
      <c r="F22" s="1893" t="s">
        <v>151</v>
      </c>
      <c r="H22" s="1894" t="s">
        <v>3650</v>
      </c>
      <c r="L22" s="208"/>
    </row>
    <row r="23" spans="2:16" ht="14.85" customHeight="1">
      <c r="B23" s="179" t="s">
        <v>2285</v>
      </c>
      <c r="D23" s="1913">
        <f>'Comparative Sheet'!D21</f>
        <v>91000</v>
      </c>
      <c r="E23" s="1914"/>
      <c r="F23" s="1915">
        <f>'Comparative Sheet'!D19</f>
        <v>0.28623374255395451</v>
      </c>
      <c r="G23" s="201"/>
      <c r="H23" s="1916">
        <f>F23/'Econ Rights'!$I$13</f>
        <v>0.14311687127697725</v>
      </c>
      <c r="I23" s="549"/>
      <c r="J23" s="549">
        <v>1.9999564254520303</v>
      </c>
      <c r="K23" s="549">
        <v>1.8470557077727563</v>
      </c>
      <c r="L23" s="1917"/>
    </row>
    <row r="24" spans="2:16" ht="14.85" customHeight="1">
      <c r="D24" s="1914"/>
      <c r="E24" s="1914"/>
      <c r="F24" s="1914"/>
      <c r="G24" s="201"/>
      <c r="H24" s="549"/>
      <c r="I24" s="549"/>
      <c r="J24" s="549"/>
      <c r="K24" s="549"/>
      <c r="L24" s="549"/>
    </row>
    <row r="25" spans="2:16" ht="14.85" customHeight="1">
      <c r="B25" s="179" t="s">
        <v>153</v>
      </c>
      <c r="D25" s="1913">
        <f>'Comparative Sheet'!D26</f>
        <v>82300</v>
      </c>
      <c r="E25" s="1914"/>
      <c r="F25" s="1915">
        <f>'Comparative Sheet'!D24</f>
        <v>0.28623374255395451</v>
      </c>
      <c r="G25" s="201"/>
      <c r="H25" s="1916">
        <f>F25/'Econ Rights'!$I$13</f>
        <v>0.14311687127697725</v>
      </c>
      <c r="I25" s="549"/>
      <c r="J25" s="549">
        <v>1.9999564254520303</v>
      </c>
      <c r="K25" s="549">
        <v>1.8470557077727563</v>
      </c>
      <c r="L25" s="1917"/>
    </row>
    <row r="26" spans="2:16" ht="14.85" customHeight="1"/>
    <row r="27" spans="2:16" ht="14.85" customHeight="1"/>
    <row r="28" spans="2:16" ht="14.85" customHeight="1"/>
    <row r="29" spans="2:16" ht="14.85" customHeight="1"/>
    <row r="30" spans="2:16" ht="14.85" customHeight="1"/>
    <row r="31" spans="2:16" ht="14.85" customHeight="1"/>
    <row r="32" spans="2:16"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sheetData>
  <conditionalFormatting sqref="C4:I4">
    <cfRule type="cellIs" dxfId="360" priority="6" stopIfTrue="1" operator="equal">
      <formula>"input"</formula>
    </cfRule>
  </conditionalFormatting>
  <conditionalFormatting sqref="J4">
    <cfRule type="cellIs" dxfId="359" priority="2" stopIfTrue="1" operator="equal">
      <formula>"input"</formula>
    </cfRule>
  </conditionalFormatting>
  <conditionalFormatting sqref="B4">
    <cfRule type="cellIs" dxfId="358" priority="3" stopIfTrue="1" operator="equal">
      <formula>"input"</formula>
    </cfRule>
  </conditionalFormatting>
  <conditionalFormatting sqref="J4">
    <cfRule type="cellIs" dxfId="357" priority="1" stopIfTrue="1" operator="equal">
      <formula>"input"</formula>
    </cfRule>
  </conditionalFormatting>
  <pageMargins left="0.5" right="0.5" top="0.5" bottom="0.5" header="0.5" footer="0.5"/>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3" tint="-0.499984740745262"/>
    <pageSetUpPr fitToPage="1"/>
  </sheetPr>
  <dimension ref="A1:G30"/>
  <sheetViews>
    <sheetView showGridLines="0" tabSelected="1" view="pageBreakPreview" zoomScale="60" zoomScaleNormal="100" workbookViewId="0">
      <selection activeCell="H11" sqref="H11"/>
    </sheetView>
  </sheetViews>
  <sheetFormatPr defaultColWidth="9.33203125" defaultRowHeight="14.25"/>
  <cols>
    <col min="1" max="1" width="4.5" style="231" customWidth="1"/>
    <col min="2" max="2" width="3.83203125" style="155" customWidth="1"/>
    <col min="3" max="3" width="15.83203125" style="155" customWidth="1"/>
    <col min="4" max="4" width="106" style="173" customWidth="1"/>
    <col min="5" max="5" width="15.83203125" style="155" customWidth="1"/>
    <col min="6" max="6" width="3.83203125" style="155" customWidth="1"/>
    <col min="7" max="7" width="4.5" style="155" customWidth="1"/>
    <col min="8" max="8" width="9.33203125" style="155"/>
    <col min="9" max="9" width="16.33203125" style="155" bestFit="1" customWidth="1"/>
    <col min="10" max="10" width="19" style="155" bestFit="1" customWidth="1"/>
    <col min="11" max="16384" width="9.33203125" style="155"/>
  </cols>
  <sheetData>
    <row r="1" spans="1:7">
      <c r="B1" s="231"/>
      <c r="C1" s="231"/>
      <c r="D1" s="278"/>
      <c r="E1" s="231"/>
      <c r="F1" s="231"/>
      <c r="G1" s="231"/>
    </row>
    <row r="2" spans="1:7">
      <c r="B2" s="231"/>
      <c r="C2" s="231"/>
      <c r="D2" s="278"/>
      <c r="E2" s="231"/>
      <c r="F2" s="231"/>
      <c r="G2" s="231"/>
    </row>
    <row r="3" spans="1:7">
      <c r="B3" s="231"/>
      <c r="C3" s="231"/>
      <c r="D3" s="278"/>
      <c r="E3" s="231"/>
      <c r="F3" s="231"/>
      <c r="G3" s="231"/>
    </row>
    <row r="4" spans="1:7">
      <c r="B4" s="231"/>
      <c r="C4" s="231"/>
      <c r="D4" s="278"/>
      <c r="E4" s="231"/>
      <c r="F4" s="231"/>
      <c r="G4" s="231"/>
    </row>
    <row r="5" spans="1:7">
      <c r="B5" s="231"/>
      <c r="C5" s="231"/>
      <c r="D5" s="278"/>
      <c r="E5" s="231"/>
      <c r="F5" s="231"/>
      <c r="G5" s="231"/>
    </row>
    <row r="6" spans="1:7">
      <c r="B6" s="231"/>
      <c r="C6" s="279"/>
      <c r="D6" s="280"/>
      <c r="E6" s="279"/>
      <c r="F6" s="279"/>
      <c r="G6" s="231"/>
    </row>
    <row r="7" spans="1:7" ht="15" thickBot="1">
      <c r="B7" s="231"/>
      <c r="C7" s="279"/>
      <c r="D7" s="280"/>
      <c r="E7" s="279"/>
      <c r="F7" s="279"/>
      <c r="G7" s="231"/>
    </row>
    <row r="8" spans="1:7" ht="15" thickTop="1">
      <c r="B8" s="1638"/>
      <c r="C8" s="967"/>
      <c r="D8" s="1639"/>
      <c r="E8" s="967"/>
      <c r="F8" s="967"/>
      <c r="G8" s="231"/>
    </row>
    <row r="9" spans="1:7" s="163" customFormat="1" ht="39.75">
      <c r="A9" s="231"/>
      <c r="B9" s="160"/>
      <c r="C9" s="162"/>
      <c r="D9" s="189" t="s">
        <v>157</v>
      </c>
      <c r="E9" s="162"/>
      <c r="F9" s="162"/>
    </row>
    <row r="10" spans="1:7" ht="15" thickBot="1">
      <c r="B10" s="1641"/>
      <c r="C10" s="971"/>
      <c r="D10" s="1643"/>
      <c r="E10" s="971"/>
      <c r="F10" s="971"/>
      <c r="G10" s="231"/>
    </row>
    <row r="11" spans="1:7" ht="15" thickTop="1">
      <c r="D11" s="278"/>
      <c r="E11" s="231"/>
      <c r="F11" s="231"/>
      <c r="G11" s="231"/>
    </row>
    <row r="12" spans="1:7">
      <c r="D12" s="278"/>
      <c r="E12" s="231"/>
      <c r="F12" s="231"/>
      <c r="G12" s="231"/>
    </row>
    <row r="13" spans="1:7" ht="18">
      <c r="D13" s="174"/>
      <c r="E13" s="231"/>
      <c r="F13" s="231"/>
      <c r="G13" s="231"/>
    </row>
    <row r="14" spans="1:7" ht="18">
      <c r="D14" s="175"/>
      <c r="E14" s="231"/>
      <c r="F14" s="231"/>
      <c r="G14" s="231"/>
    </row>
    <row r="15" spans="1:7">
      <c r="B15" s="231"/>
      <c r="C15" s="231"/>
      <c r="D15" s="278"/>
      <c r="E15" s="231"/>
      <c r="F15" s="231"/>
      <c r="G15" s="231"/>
    </row>
    <row r="16" spans="1:7">
      <c r="B16" s="231"/>
      <c r="C16" s="231"/>
      <c r="D16" s="278"/>
      <c r="E16" s="231"/>
      <c r="F16" s="231"/>
      <c r="G16" s="231"/>
    </row>
    <row r="17" spans="2:7">
      <c r="B17" s="231"/>
      <c r="C17" s="231"/>
      <c r="D17" s="278"/>
      <c r="E17" s="231"/>
      <c r="F17" s="231"/>
      <c r="G17" s="231"/>
    </row>
    <row r="18" spans="2:7">
      <c r="B18" s="231"/>
      <c r="C18" s="231"/>
      <c r="D18" s="278"/>
      <c r="E18" s="231"/>
      <c r="F18" s="231"/>
      <c r="G18" s="231"/>
    </row>
    <row r="19" spans="2:7" s="231" customFormat="1" ht="12.75">
      <c r="D19" s="278"/>
    </row>
    <row r="20" spans="2:7" s="231" customFormat="1" ht="12.75">
      <c r="D20" s="278"/>
    </row>
    <row r="21" spans="2:7" s="231" customFormat="1" ht="12.75">
      <c r="D21" s="278"/>
    </row>
    <row r="22" spans="2:7" s="231" customFormat="1" ht="12.75">
      <c r="D22" s="278"/>
    </row>
    <row r="23" spans="2:7" s="231" customFormat="1" ht="12.75">
      <c r="D23" s="278"/>
    </row>
    <row r="24" spans="2:7" s="231" customFormat="1" ht="12.75">
      <c r="D24" s="278"/>
    </row>
    <row r="25" spans="2:7" s="231" customFormat="1" ht="12.75">
      <c r="D25" s="278"/>
    </row>
    <row r="26" spans="2:7" s="231" customFormat="1" ht="12.75">
      <c r="D26" s="278"/>
    </row>
    <row r="27" spans="2:7" ht="23.25">
      <c r="B27" s="231"/>
      <c r="C27" s="231"/>
      <c r="D27" s="176"/>
      <c r="E27" s="231"/>
      <c r="F27" s="231"/>
      <c r="G27" s="231"/>
    </row>
    <row r="28" spans="2:7">
      <c r="B28" s="231"/>
      <c r="C28" s="231"/>
      <c r="D28" s="278"/>
      <c r="E28" s="231"/>
      <c r="F28" s="231"/>
      <c r="G28" s="231"/>
    </row>
    <row r="29" spans="2:7" ht="18">
      <c r="B29" s="231"/>
      <c r="C29" s="231"/>
      <c r="D29" s="177"/>
      <c r="E29" s="231"/>
      <c r="F29" s="231"/>
      <c r="G29" s="231"/>
    </row>
    <row r="30" spans="2:7" ht="36">
      <c r="B30" s="231"/>
      <c r="C30" s="231"/>
      <c r="D30" s="178" t="s">
        <v>458</v>
      </c>
      <c r="E30" s="231"/>
      <c r="F30" s="231"/>
      <c r="G30" s="231"/>
    </row>
  </sheetData>
  <pageMargins left="0.5" right="0.5" top="0.5" bottom="0.5" header="0.5" footer="0.5"/>
  <pageSetup scale="98" orientation="landscape"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R622"/>
  <sheetViews>
    <sheetView showGridLines="0" tabSelected="1" view="pageBreakPreview" zoomScale="80" zoomScaleNormal="85" zoomScaleSheetLayoutView="80" workbookViewId="0">
      <selection activeCell="H11" sqref="H11"/>
    </sheetView>
  </sheetViews>
  <sheetFormatPr defaultRowHeight="12.75" outlineLevelRow="1"/>
  <cols>
    <col min="1" max="1" width="4.5" style="179" customWidth="1"/>
    <col min="2" max="2" width="52.5" style="179" customWidth="1"/>
    <col min="3" max="3" width="2.83203125" style="179" customWidth="1"/>
    <col min="4" max="10" width="18.1640625" style="179" customWidth="1"/>
    <col min="11" max="11" width="4.5" style="179" customWidth="1"/>
    <col min="12" max="12" width="16.83203125" style="179" bestFit="1" customWidth="1"/>
    <col min="13" max="13" width="1.83203125" style="179" customWidth="1"/>
    <col min="14" max="14" width="21.6640625" style="203" customWidth="1"/>
    <col min="15" max="15" width="9.33203125" style="179"/>
    <col min="16" max="16" width="21.6640625" style="179" customWidth="1"/>
    <col min="17" max="16384" width="9.33203125" style="179"/>
  </cols>
  <sheetData>
    <row r="1" spans="2:14" ht="10.7" customHeight="1" thickBot="1"/>
    <row r="2" spans="2:14" ht="16.5" customHeight="1" thickTop="1">
      <c r="B2" s="187" t="str">
        <f>'MASTER PubCo Inputs'!$C$5</f>
        <v>Decibel Therapeutics, Inc.</v>
      </c>
      <c r="C2" s="187"/>
      <c r="D2" s="187"/>
      <c r="E2" s="187"/>
      <c r="F2" s="187"/>
      <c r="G2" s="187"/>
      <c r="H2" s="187"/>
      <c r="I2" s="187"/>
      <c r="J2" s="187"/>
    </row>
    <row r="3" spans="2:14" ht="15.75" customHeight="1">
      <c r="B3" s="188" t="str">
        <f>VLOOKUP(B4,Outline!$E$8:$G$75,COLUMNS(Outline!$E$8:$G$8),FALSE)</f>
        <v>Exhibit B.1</v>
      </c>
      <c r="C3" s="188"/>
      <c r="D3" s="188"/>
      <c r="E3" s="188"/>
      <c r="F3" s="188"/>
      <c r="G3" s="188"/>
      <c r="H3" s="188"/>
      <c r="I3" s="188"/>
      <c r="J3" s="188"/>
    </row>
    <row r="4" spans="2:14" ht="16.5" customHeight="1" thickBot="1">
      <c r="B4" s="726" t="s">
        <v>642</v>
      </c>
      <c r="C4" s="726"/>
      <c r="D4" s="726"/>
      <c r="E4" s="726"/>
      <c r="F4" s="726"/>
      <c r="G4" s="726"/>
      <c r="H4" s="726"/>
      <c r="I4" s="726"/>
      <c r="J4" s="727" t="str">
        <f>+'MASTER PubCo Inputs'!$C$20</f>
        <v>(in thousands of USD and shares, except price per share)</v>
      </c>
    </row>
    <row r="5" spans="2:14" ht="14.85" customHeight="1" thickTop="1"/>
    <row r="6" spans="2:14" ht="14.85" customHeight="1"/>
    <row r="7" spans="2:14" ht="14.85" customHeight="1">
      <c r="B7" s="545" t="s">
        <v>387</v>
      </c>
      <c r="C7" s="546"/>
      <c r="D7" s="546"/>
      <c r="E7" s="547" t="s">
        <v>70</v>
      </c>
      <c r="F7" s="546"/>
      <c r="G7" s="546"/>
      <c r="H7" s="546"/>
      <c r="I7" s="546"/>
      <c r="J7" s="1822"/>
    </row>
    <row r="8" spans="2:14" s="549" customFormat="1" ht="14.85" customHeight="1">
      <c r="B8" s="548"/>
      <c r="C8" s="548"/>
      <c r="D8" s="548"/>
      <c r="E8" s="548"/>
      <c r="F8" s="548"/>
      <c r="G8" s="548"/>
      <c r="H8" s="548"/>
      <c r="I8" s="548"/>
      <c r="J8" s="548"/>
      <c r="N8" s="550"/>
    </row>
    <row r="9" spans="2:14" ht="14.85" customHeight="1">
      <c r="B9" s="179" t="s">
        <v>385</v>
      </c>
      <c r="C9" s="551"/>
      <c r="D9" s="552">
        <f>'OPM 2'!P7</f>
        <v>161437.64693652527</v>
      </c>
      <c r="E9" s="276" t="s">
        <v>2293</v>
      </c>
    </row>
    <row r="10" spans="2:14" ht="14.85" customHeight="1">
      <c r="B10" s="179" t="s">
        <v>386</v>
      </c>
      <c r="D10" s="553">
        <v>2.5</v>
      </c>
      <c r="E10" s="276" t="s">
        <v>2292</v>
      </c>
    </row>
    <row r="11" spans="2:14" ht="14.85" customHeight="1">
      <c r="B11" s="549" t="s">
        <v>74</v>
      </c>
      <c r="C11" s="554"/>
      <c r="D11" s="555">
        <f>'Asset Vol_OPM'!$Q$27</f>
        <v>0.69599999999999995</v>
      </c>
      <c r="E11" s="276" t="str">
        <f>'Asset Vol_OPM'!$B$3</f>
        <v>Exhibit F.2</v>
      </c>
      <c r="G11" s="329"/>
    </row>
    <row r="12" spans="2:14" ht="14.85" customHeight="1">
      <c r="B12" s="179" t="s">
        <v>72</v>
      </c>
      <c r="C12" s="554"/>
      <c r="D12" s="556">
        <f>'Risk-Free Rates'!E27</f>
        <v>2.5399999999999999E-2</v>
      </c>
      <c r="E12" s="276" t="str">
        <f>'Risk-Free Rates'!$B$3</f>
        <v>Exhibit F.5</v>
      </c>
      <c r="G12" s="329"/>
    </row>
    <row r="13" spans="2:14" ht="14.85" customHeight="1">
      <c r="B13" s="179" t="s">
        <v>73</v>
      </c>
      <c r="D13" s="557">
        <v>0</v>
      </c>
      <c r="E13" s="276" t="s">
        <v>2292</v>
      </c>
      <c r="G13" s="329"/>
    </row>
    <row r="14" spans="2:14" ht="14.85" customHeight="1">
      <c r="D14" s="324"/>
      <c r="G14" s="329"/>
    </row>
    <row r="15" spans="2:14" ht="14.85" customHeight="1">
      <c r="D15" s="558">
        <v>1</v>
      </c>
      <c r="E15" s="559">
        <f t="shared" ref="E15:J15" si="0">D15+1</f>
        <v>2</v>
      </c>
      <c r="F15" s="559">
        <f t="shared" si="0"/>
        <v>3</v>
      </c>
      <c r="G15" s="559">
        <f t="shared" si="0"/>
        <v>4</v>
      </c>
      <c r="H15" s="559">
        <f t="shared" si="0"/>
        <v>5</v>
      </c>
      <c r="I15" s="559">
        <f t="shared" si="0"/>
        <v>6</v>
      </c>
      <c r="J15" s="1844">
        <f t="shared" si="0"/>
        <v>7</v>
      </c>
    </row>
    <row r="16" spans="2:14" s="200" customFormat="1" ht="54" customHeight="1">
      <c r="B16" s="560" t="s">
        <v>388</v>
      </c>
      <c r="D16" s="561" t="str">
        <f t="array" ref="D16:J16">TRANSPOSE('Econ Rights'!O15:O21)</f>
        <v>Preferred Series B and Series C Receives Liquidation Preference</v>
      </c>
      <c r="E16" s="366" t="str">
        <v>Preferred Series A Receives Liquidation Preference</v>
      </c>
      <c r="F16" s="366" t="str">
        <v>Common Starts Receiving Value</v>
      </c>
      <c r="G16" s="366" t="str">
        <v>Expected Options Grant Exercise at $0.49</v>
      </c>
      <c r="H16" s="366" t="str">
        <v>Preferred Series A Converts to Common</v>
      </c>
      <c r="I16" s="366" t="str">
        <v>Preferred Series C Converts to Common</v>
      </c>
      <c r="J16" s="1821" t="str">
        <v>Preferred Series B Converts to Common</v>
      </c>
      <c r="L16" s="562"/>
      <c r="N16" s="265"/>
    </row>
    <row r="17" spans="2:18" ht="14.85" customHeight="1"/>
    <row r="18" spans="2:18" ht="14.85" customHeight="1">
      <c r="B18" s="182" t="s">
        <v>391</v>
      </c>
      <c r="N18" s="286" t="str">
        <f>B18</f>
        <v>Liquidation Preference</v>
      </c>
      <c r="P18" s="286" t="s">
        <v>3621</v>
      </c>
      <c r="R18" s="286" t="s">
        <v>1550</v>
      </c>
    </row>
    <row r="19" spans="2:18" ht="14.85" customHeight="1">
      <c r="B19" s="252" t="str">
        <f>'Cap Table'!$D$7</f>
        <v>Series A</v>
      </c>
      <c r="D19" s="285">
        <v>0</v>
      </c>
      <c r="E19" s="285">
        <f>N19+P19</f>
        <v>79192.432080178041</v>
      </c>
      <c r="F19" s="285">
        <f t="shared" ref="F19:G21" si="1">E19</f>
        <v>79192.432080178041</v>
      </c>
      <c r="G19" s="285">
        <f t="shared" si="1"/>
        <v>79192.432080178041</v>
      </c>
      <c r="H19" s="285">
        <v>0</v>
      </c>
      <c r="I19" s="285">
        <f>H19</f>
        <v>0</v>
      </c>
      <c r="J19" s="285">
        <f>I19</f>
        <v>0</v>
      </c>
      <c r="L19" s="255"/>
      <c r="N19" s="563">
        <f>SUM('Econ Rights'!$D$17:$H$17)</f>
        <v>57758.734000000004</v>
      </c>
      <c r="P19" s="563">
        <f>SUM('Econ Rights'!$D$32:$H$32)</f>
        <v>21433.698080178041</v>
      </c>
      <c r="R19" s="179">
        <f>SUM(N19:P19)/N33</f>
        <v>1.3710901641330651</v>
      </c>
    </row>
    <row r="20" spans="2:18" ht="14.85" customHeight="1">
      <c r="B20" s="252" t="str">
        <f>'Cap Table'!$E$7</f>
        <v>Series B</v>
      </c>
      <c r="D20" s="285">
        <f>N20+P20</f>
        <v>31542.641837890234</v>
      </c>
      <c r="E20" s="285">
        <f>D20</f>
        <v>31542.641837890234</v>
      </c>
      <c r="F20" s="285">
        <f t="shared" si="1"/>
        <v>31542.641837890234</v>
      </c>
      <c r="G20" s="285">
        <f t="shared" si="1"/>
        <v>31542.641837890234</v>
      </c>
      <c r="H20" s="285">
        <f>G20</f>
        <v>31542.641837890234</v>
      </c>
      <c r="I20" s="285">
        <f>H20</f>
        <v>31542.641837890234</v>
      </c>
      <c r="J20" s="285">
        <v>0</v>
      </c>
      <c r="N20" s="563">
        <f>'Econ Rights'!$I$17</f>
        <v>25000</v>
      </c>
      <c r="P20" s="563">
        <f>'Econ Rights'!$I$32</f>
        <v>6542.6418378902345</v>
      </c>
    </row>
    <row r="21" spans="2:18" ht="14.85" customHeight="1">
      <c r="B21" s="252" t="str">
        <f>'Cap Table'!$F$7</f>
        <v>Series C</v>
      </c>
      <c r="D21" s="285">
        <f>N21+P21</f>
        <v>66738.003444880625</v>
      </c>
      <c r="E21" s="285">
        <f>D21</f>
        <v>66738.003444880625</v>
      </c>
      <c r="F21" s="285">
        <f t="shared" si="1"/>
        <v>66738.003444880625</v>
      </c>
      <c r="G21" s="285">
        <f t="shared" si="1"/>
        <v>66738.003444880625</v>
      </c>
      <c r="H21" s="285">
        <f>G21</f>
        <v>66738.003444880625</v>
      </c>
      <c r="I21" s="285">
        <v>0</v>
      </c>
      <c r="J21" s="285">
        <f>I21</f>
        <v>0</v>
      </c>
      <c r="N21" s="563">
        <f>'Econ Rights'!$J$17</f>
        <v>55057.161999999997</v>
      </c>
      <c r="P21" s="563">
        <f>'Econ Rights'!$J$32</f>
        <v>11680.841444880634</v>
      </c>
    </row>
    <row r="22" spans="2:18" ht="14.85" customHeight="1">
      <c r="B22" s="264"/>
      <c r="C22" s="264"/>
      <c r="D22" s="264"/>
      <c r="E22" s="264"/>
      <c r="F22" s="264"/>
      <c r="G22" s="264"/>
      <c r="H22" s="264"/>
      <c r="I22" s="264"/>
      <c r="J22" s="264"/>
      <c r="N22" s="567"/>
      <c r="P22" s="351">
        <f>SUM(P19:P21)</f>
        <v>39657.181362948912</v>
      </c>
    </row>
    <row r="23" spans="2:18" ht="14.85" customHeight="1">
      <c r="B23" s="286" t="s">
        <v>544</v>
      </c>
      <c r="D23" s="309">
        <f t="shared" ref="D23:J23" si="2">SUM(D19:D21)</f>
        <v>98280.645282770856</v>
      </c>
      <c r="E23" s="309">
        <f t="shared" si="2"/>
        <v>177473.07736294891</v>
      </c>
      <c r="F23" s="309">
        <f t="shared" si="2"/>
        <v>177473.07736294891</v>
      </c>
      <c r="G23" s="309">
        <f t="shared" si="2"/>
        <v>177473.07736294891</v>
      </c>
      <c r="H23" s="309">
        <f t="shared" si="2"/>
        <v>98280.645282770856</v>
      </c>
      <c r="I23" s="309">
        <f t="shared" si="2"/>
        <v>31542.641837890234</v>
      </c>
      <c r="J23" s="309">
        <f t="shared" si="2"/>
        <v>0</v>
      </c>
    </row>
    <row r="24" spans="2:18" ht="14.85" hidden="1" customHeight="1" outlineLevel="1"/>
    <row r="25" spans="2:18" ht="14.85" hidden="1" customHeight="1" outlineLevel="1">
      <c r="B25" s="182" t="s">
        <v>619</v>
      </c>
      <c r="N25" s="286" t="str">
        <f>B25</f>
        <v>Capped Value</v>
      </c>
    </row>
    <row r="26" spans="2:18" ht="14.85" hidden="1" customHeight="1" outlineLevel="1">
      <c r="B26" s="252" t="str">
        <f>'Cap Table'!$D$7</f>
        <v>Series A</v>
      </c>
      <c r="D26" s="263">
        <f>D19</f>
        <v>0</v>
      </c>
      <c r="E26" s="263">
        <f t="shared" ref="E26:J26" si="3">E19</f>
        <v>79192.432080178041</v>
      </c>
      <c r="F26" s="263">
        <f t="shared" si="3"/>
        <v>79192.432080178041</v>
      </c>
      <c r="G26" s="263">
        <f t="shared" si="3"/>
        <v>79192.432080178041</v>
      </c>
      <c r="H26" s="263">
        <f t="shared" si="3"/>
        <v>0</v>
      </c>
      <c r="I26" s="263">
        <f t="shared" si="3"/>
        <v>0</v>
      </c>
      <c r="J26" s="263">
        <f t="shared" si="3"/>
        <v>0</v>
      </c>
      <c r="L26" s="564" t="s">
        <v>620</v>
      </c>
      <c r="N26" s="565">
        <f>SUM(N19:P19)</f>
        <v>79192.432080178041</v>
      </c>
    </row>
    <row r="27" spans="2:18" ht="14.85" hidden="1" customHeight="1" outlineLevel="1">
      <c r="B27" s="252" t="str">
        <f>'Cap Table'!$E$7</f>
        <v>Series B</v>
      </c>
      <c r="D27" s="263">
        <f t="shared" ref="D27:J27" si="4">D20</f>
        <v>31542.641837890234</v>
      </c>
      <c r="E27" s="263">
        <f t="shared" si="4"/>
        <v>31542.641837890234</v>
      </c>
      <c r="F27" s="263">
        <f t="shared" si="4"/>
        <v>31542.641837890234</v>
      </c>
      <c r="G27" s="263">
        <f t="shared" si="4"/>
        <v>31542.641837890234</v>
      </c>
      <c r="H27" s="263">
        <f t="shared" si="4"/>
        <v>31542.641837890234</v>
      </c>
      <c r="I27" s="263">
        <f t="shared" si="4"/>
        <v>31542.641837890234</v>
      </c>
      <c r="J27" s="263">
        <f t="shared" si="4"/>
        <v>0</v>
      </c>
      <c r="L27" s="564" t="s">
        <v>620</v>
      </c>
      <c r="N27" s="566">
        <f>SUM(N20:P20)</f>
        <v>31542.641837890234</v>
      </c>
    </row>
    <row r="28" spans="2:18" ht="14.85" hidden="1" customHeight="1" outlineLevel="1">
      <c r="B28" s="252" t="str">
        <f>'Cap Table'!$F$7</f>
        <v>Series C</v>
      </c>
      <c r="D28" s="263">
        <f t="shared" ref="D28:J28" si="5">D21</f>
        <v>66738.003444880625</v>
      </c>
      <c r="E28" s="263">
        <f t="shared" si="5"/>
        <v>66738.003444880625</v>
      </c>
      <c r="F28" s="263">
        <f t="shared" si="5"/>
        <v>66738.003444880625</v>
      </c>
      <c r="G28" s="263">
        <f t="shared" si="5"/>
        <v>66738.003444880625</v>
      </c>
      <c r="H28" s="263">
        <f t="shared" si="5"/>
        <v>66738.003444880625</v>
      </c>
      <c r="I28" s="263">
        <f t="shared" si="5"/>
        <v>0</v>
      </c>
      <c r="J28" s="263">
        <f t="shared" si="5"/>
        <v>0</v>
      </c>
      <c r="L28" s="564" t="s">
        <v>620</v>
      </c>
      <c r="N28" s="566">
        <f>SUM(N21:P21)</f>
        <v>66738.003444880625</v>
      </c>
    </row>
    <row r="29" spans="2:18" ht="14.85" hidden="1" customHeight="1" outlineLevel="1">
      <c r="B29" s="264"/>
      <c r="C29" s="264"/>
      <c r="D29" s="264"/>
      <c r="E29" s="264"/>
      <c r="F29" s="264"/>
      <c r="G29" s="264"/>
      <c r="H29" s="264"/>
      <c r="I29" s="264"/>
      <c r="J29" s="264"/>
      <c r="N29" s="1842"/>
    </row>
    <row r="30" spans="2:18" ht="14.85" hidden="1" customHeight="1" outlineLevel="1">
      <c r="B30" s="286" t="s">
        <v>163</v>
      </c>
      <c r="D30" s="309">
        <f t="shared" ref="D30:J30" si="6">SUM(D26:D28)</f>
        <v>98280.645282770856</v>
      </c>
      <c r="E30" s="309">
        <f t="shared" si="6"/>
        <v>177473.07736294891</v>
      </c>
      <c r="F30" s="309">
        <f t="shared" si="6"/>
        <v>177473.07736294891</v>
      </c>
      <c r="G30" s="309">
        <f t="shared" si="6"/>
        <v>177473.07736294891</v>
      </c>
      <c r="H30" s="309">
        <f t="shared" si="6"/>
        <v>98280.645282770856</v>
      </c>
      <c r="I30" s="309">
        <f t="shared" si="6"/>
        <v>31542.641837890234</v>
      </c>
      <c r="J30" s="309">
        <f t="shared" si="6"/>
        <v>0</v>
      </c>
    </row>
    <row r="31" spans="2:18" ht="14.85" customHeight="1" collapsed="1"/>
    <row r="32" spans="2:18" ht="14.85" customHeight="1">
      <c r="B32" s="182" t="s">
        <v>547</v>
      </c>
      <c r="N32" s="286" t="str">
        <f>+B32</f>
        <v>Shares Outstanding / Converted to Common Stock</v>
      </c>
    </row>
    <row r="33" spans="2:16" ht="14.85" customHeight="1">
      <c r="B33" s="252" t="str">
        <f>+$B19</f>
        <v>Series A</v>
      </c>
      <c r="D33" s="285">
        <f>IF(SUM(D19:$J19)=0,$N33,0)</f>
        <v>0</v>
      </c>
      <c r="E33" s="285">
        <f>IF(SUM(E19:$J19)=0,$N33,0)</f>
        <v>0</v>
      </c>
      <c r="F33" s="285">
        <f>IF(SUM(F19:$J19)=0,$N33,0)</f>
        <v>0</v>
      </c>
      <c r="G33" s="285">
        <f>IF(SUM(G19:$J19)=0,$N33,0)</f>
        <v>0</v>
      </c>
      <c r="H33" s="285">
        <f>IF(SUM(H19:$J19)=0,$N33,0)</f>
        <v>57758.733999999997</v>
      </c>
      <c r="I33" s="285">
        <f>IF(SUM(I19:$J19)=0,$N33,0)</f>
        <v>57758.733999999997</v>
      </c>
      <c r="J33" s="285">
        <f>IF(SUM(J19:$J19)=0,$N33,0)</f>
        <v>57758.733999999997</v>
      </c>
      <c r="N33" s="563">
        <f>+'Cap Table'!$D$11*'Cap Table'!$D$19</f>
        <v>57758.733999999997</v>
      </c>
    </row>
    <row r="34" spans="2:16" ht="14.85" customHeight="1">
      <c r="B34" s="252" t="str">
        <f>+$B20</f>
        <v>Series B</v>
      </c>
      <c r="D34" s="285">
        <f>IF(SUM(D20:$J20)=0,$N34,0)</f>
        <v>0</v>
      </c>
      <c r="E34" s="285">
        <f>IF(SUM(E20:$J20)=0,$N34,0)</f>
        <v>0</v>
      </c>
      <c r="F34" s="285">
        <f>IF(SUM(F20:$J20)=0,$N34,0)</f>
        <v>0</v>
      </c>
      <c r="G34" s="285">
        <f>IF(SUM(G20:$J20)=0,$N34,0)</f>
        <v>0</v>
      </c>
      <c r="H34" s="285">
        <f>IF(SUM(H20:$J20)=0,$N34,0)</f>
        <v>0</v>
      </c>
      <c r="I34" s="285">
        <f>IF(SUM(I20:$J20)=0,$N34,0)</f>
        <v>0</v>
      </c>
      <c r="J34" s="285">
        <f>IF(SUM(J20:$J20)=0,$N34,0)</f>
        <v>12500</v>
      </c>
      <c r="N34" s="563">
        <f>+'Cap Table'!$E$11*'Cap Table'!$E$19</f>
        <v>12500</v>
      </c>
    </row>
    <row r="35" spans="2:16" ht="14.85" customHeight="1">
      <c r="B35" s="252" t="str">
        <f>+$B21</f>
        <v>Series C</v>
      </c>
      <c r="D35" s="285">
        <f>IF(SUM(D21:$J21)=0,$N35,0)</f>
        <v>0</v>
      </c>
      <c r="E35" s="285">
        <f>IF(SUM(E21:$J21)=0,$N35,0)</f>
        <v>0</v>
      </c>
      <c r="F35" s="285">
        <f>IF(SUM(F21:$J21)=0,$N35,0)</f>
        <v>0</v>
      </c>
      <c r="G35" s="285">
        <f>IF(SUM(G21:$J21)=0,$N35,0)</f>
        <v>0</v>
      </c>
      <c r="H35" s="285">
        <f>IF(SUM(H21:$J21)=0,$N35,0)</f>
        <v>0</v>
      </c>
      <c r="I35" s="285">
        <f>IF(SUM(I21:$J21)=0,$N35,0)</f>
        <v>27528.580999999998</v>
      </c>
      <c r="J35" s="285">
        <f>IF(SUM(J21:$J21)=0,$N35,0)</f>
        <v>27528.580999999998</v>
      </c>
      <c r="N35" s="563">
        <f>+'Cap Table'!$F$11*'Cap Table'!$F$19</f>
        <v>27528.580999999998</v>
      </c>
      <c r="P35" s="182" t="s">
        <v>697</v>
      </c>
    </row>
    <row r="36" spans="2:16" ht="14.85" customHeight="1">
      <c r="B36" s="313" t="str">
        <f>'Cap Table'!$B25</f>
        <v>Expected Options Grant</v>
      </c>
      <c r="D36" s="285">
        <f>IF(D41&lt;$P$36,0,$N$36)</f>
        <v>0</v>
      </c>
      <c r="E36" s="285">
        <f t="shared" ref="E36:J36" si="7">IF(E41&lt;$P$36,0,$N$36)</f>
        <v>0</v>
      </c>
      <c r="F36" s="285">
        <f t="shared" si="7"/>
        <v>0</v>
      </c>
      <c r="G36" s="285">
        <f t="shared" si="7"/>
        <v>2454.5419999999999</v>
      </c>
      <c r="H36" s="285">
        <f t="shared" si="7"/>
        <v>2454.5419999999999</v>
      </c>
      <c r="I36" s="285">
        <f t="shared" si="7"/>
        <v>2454.5419999999999</v>
      </c>
      <c r="J36" s="285">
        <f t="shared" si="7"/>
        <v>2454.5419999999999</v>
      </c>
      <c r="N36" s="563">
        <f>+'Cap Table'!$D25</f>
        <v>2454.5419999999999</v>
      </c>
      <c r="P36" s="1841">
        <f>'Cap Table'!E25</f>
        <v>0.49</v>
      </c>
    </row>
    <row r="37" spans="2:16" ht="14.85" customHeight="1">
      <c r="B37" s="314" t="str">
        <f>'Cap Table'!$K7 &amp;" Stock"</f>
        <v>Common Stock</v>
      </c>
      <c r="D37" s="285">
        <v>0</v>
      </c>
      <c r="E37" s="285">
        <v>0</v>
      </c>
      <c r="F37" s="285">
        <f>N37</f>
        <v>27759.431</v>
      </c>
      <c r="G37" s="285">
        <f>F37</f>
        <v>27759.431</v>
      </c>
      <c r="H37" s="285">
        <f t="shared" ref="H37:J37" si="8">G37</f>
        <v>27759.431</v>
      </c>
      <c r="I37" s="285">
        <f t="shared" si="8"/>
        <v>27759.431</v>
      </c>
      <c r="J37" s="285">
        <f t="shared" si="8"/>
        <v>27759.431</v>
      </c>
      <c r="N37" s="563">
        <f>+'Cap Table'!K11</f>
        <v>27759.431</v>
      </c>
      <c r="P37" s="349"/>
    </row>
    <row r="38" spans="2:16" ht="14.85" customHeight="1" thickBot="1">
      <c r="B38" s="264"/>
      <c r="C38" s="264"/>
      <c r="D38" s="264"/>
      <c r="E38" s="264"/>
      <c r="F38" s="264"/>
      <c r="G38" s="264"/>
      <c r="H38" s="264"/>
      <c r="I38" s="264"/>
      <c r="J38" s="264"/>
      <c r="N38" s="569"/>
    </row>
    <row r="39" spans="2:16" ht="14.85" customHeight="1" thickBot="1">
      <c r="B39" s="286" t="s">
        <v>2264</v>
      </c>
      <c r="D39" s="309">
        <f t="shared" ref="D39:J39" si="9">SUM(D33:D37)</f>
        <v>0</v>
      </c>
      <c r="E39" s="309">
        <f t="shared" si="9"/>
        <v>0</v>
      </c>
      <c r="F39" s="309">
        <f t="shared" si="9"/>
        <v>27759.431</v>
      </c>
      <c r="G39" s="309">
        <f t="shared" si="9"/>
        <v>30213.973000000002</v>
      </c>
      <c r="H39" s="309">
        <f t="shared" si="9"/>
        <v>87972.706999999995</v>
      </c>
      <c r="I39" s="309">
        <f t="shared" si="9"/>
        <v>115501.288</v>
      </c>
      <c r="J39" s="309">
        <f t="shared" si="9"/>
        <v>128001.288</v>
      </c>
      <c r="L39" s="570" t="str">
        <f>IF(N39&lt;&gt;('Cap Table'!M21-'Cap Table'!M15+N36),"ERROR","")</f>
        <v/>
      </c>
      <c r="N39" s="309">
        <f>SUM(N33:N37)</f>
        <v>128001.288</v>
      </c>
    </row>
    <row r="40" spans="2:16" ht="14.85" customHeight="1"/>
    <row r="41" spans="2:16" ht="14.85" customHeight="1">
      <c r="B41" s="252" t="s">
        <v>393</v>
      </c>
      <c r="D41" s="1817">
        <f t="array" ref="D41:J41">TRANSPOSE('Econ Rights'!M15:M21)</f>
        <v>0</v>
      </c>
      <c r="E41" s="1817">
        <v>0</v>
      </c>
      <c r="F41" s="1817">
        <v>0</v>
      </c>
      <c r="G41" s="1817">
        <v>0.49</v>
      </c>
      <c r="H41" s="1817">
        <v>1.3710901641330651</v>
      </c>
      <c r="I41" s="1817">
        <v>2.4243168743380066</v>
      </c>
      <c r="J41" s="1817">
        <v>2.5234113470312187</v>
      </c>
    </row>
    <row r="42" spans="2:16" ht="14.85" customHeight="1">
      <c r="B42" s="264"/>
      <c r="C42" s="264"/>
      <c r="D42" s="264"/>
      <c r="E42" s="264"/>
      <c r="F42" s="264"/>
      <c r="G42" s="264"/>
      <c r="H42" s="264"/>
      <c r="I42" s="264"/>
      <c r="J42" s="264"/>
    </row>
    <row r="43" spans="2:16" ht="14.85" customHeight="1">
      <c r="B43" s="182" t="s">
        <v>2265</v>
      </c>
      <c r="D43" s="571">
        <f>D39*D41</f>
        <v>0</v>
      </c>
      <c r="E43" s="571">
        <f t="shared" ref="E43:J43" si="10">E39*E41</f>
        <v>0</v>
      </c>
      <c r="F43" s="571">
        <f t="shared" si="10"/>
        <v>0</v>
      </c>
      <c r="G43" s="571">
        <f t="shared" si="10"/>
        <v>14804.84677</v>
      </c>
      <c r="H43" s="571">
        <f t="shared" si="10"/>
        <v>120618.51327986004</v>
      </c>
      <c r="I43" s="571">
        <f t="shared" si="10"/>
        <v>280011.7215061739</v>
      </c>
      <c r="J43" s="571">
        <f t="shared" si="10"/>
        <v>322999.90257381095</v>
      </c>
    </row>
    <row r="44" spans="2:16" ht="14.85" customHeight="1"/>
    <row r="45" spans="2:16" ht="14.85" customHeight="1">
      <c r="B45" s="252" t="s">
        <v>394</v>
      </c>
      <c r="D45" s="285">
        <f t="shared" ref="D45:J45" si="11">-SUMPRODUCT(D36:D36,$P$36:$P$36)</f>
        <v>0</v>
      </c>
      <c r="E45" s="285">
        <f t="shared" si="11"/>
        <v>0</v>
      </c>
      <c r="F45" s="285">
        <f t="shared" si="11"/>
        <v>0</v>
      </c>
      <c r="G45" s="285">
        <f t="shared" si="11"/>
        <v>-1202.72558</v>
      </c>
      <c r="H45" s="285">
        <f t="shared" si="11"/>
        <v>-1202.72558</v>
      </c>
      <c r="I45" s="285">
        <f t="shared" si="11"/>
        <v>-1202.72558</v>
      </c>
      <c r="J45" s="285">
        <f t="shared" si="11"/>
        <v>-1202.72558</v>
      </c>
    </row>
    <row r="46" spans="2:16" ht="14.85" customHeight="1">
      <c r="B46" s="264"/>
      <c r="C46" s="264"/>
      <c r="D46" s="264"/>
      <c r="E46" s="264"/>
      <c r="F46" s="264"/>
      <c r="G46" s="264"/>
      <c r="H46" s="264"/>
      <c r="I46" s="264"/>
      <c r="J46" s="264"/>
    </row>
    <row r="47" spans="2:16" ht="14.85" customHeight="1">
      <c r="B47" s="286" t="s">
        <v>395</v>
      </c>
      <c r="D47" s="571">
        <f t="shared" ref="D47:J47" si="12">SUM(D43:D45)+D23</f>
        <v>98280.645282770856</v>
      </c>
      <c r="E47" s="571">
        <f t="shared" si="12"/>
        <v>177473.07736294891</v>
      </c>
      <c r="F47" s="571">
        <f t="shared" si="12"/>
        <v>177473.07736294891</v>
      </c>
      <c r="G47" s="571">
        <f t="shared" si="12"/>
        <v>191075.19855294892</v>
      </c>
      <c r="H47" s="571">
        <f t="shared" si="12"/>
        <v>217696.43298263091</v>
      </c>
      <c r="I47" s="571">
        <f t="shared" si="12"/>
        <v>310351.63776406413</v>
      </c>
      <c r="J47" s="571">
        <f t="shared" si="12"/>
        <v>321797.17699381092</v>
      </c>
    </row>
    <row r="48" spans="2:16" ht="14.85" customHeight="1">
      <c r="B48" s="286"/>
      <c r="D48" s="309"/>
      <c r="E48" s="309"/>
      <c r="F48" s="309"/>
      <c r="G48" s="309"/>
      <c r="H48" s="309"/>
      <c r="I48" s="309"/>
      <c r="J48" s="309"/>
    </row>
    <row r="49" spans="1:14" ht="14.85" customHeight="1"/>
    <row r="50" spans="1:14" s="200" customFormat="1" ht="14.85" customHeight="1">
      <c r="A50" s="572"/>
      <c r="B50" s="573" t="s">
        <v>397</v>
      </c>
      <c r="D50" s="574">
        <f>D$15</f>
        <v>1</v>
      </c>
      <c r="E50" s="575">
        <f t="shared" ref="E50:J50" si="13">E$15</f>
        <v>2</v>
      </c>
      <c r="F50" s="575">
        <f t="shared" si="13"/>
        <v>3</v>
      </c>
      <c r="G50" s="575">
        <f t="shared" si="13"/>
        <v>4</v>
      </c>
      <c r="H50" s="575">
        <f t="shared" si="13"/>
        <v>5</v>
      </c>
      <c r="I50" s="575">
        <f t="shared" si="13"/>
        <v>6</v>
      </c>
      <c r="J50" s="1823">
        <f t="shared" si="13"/>
        <v>7</v>
      </c>
      <c r="N50" s="265"/>
    </row>
    <row r="51" spans="1:14" ht="14.85" customHeight="1"/>
    <row r="52" spans="1:14" ht="14.85" customHeight="1">
      <c r="B52" s="179" t="s">
        <v>398</v>
      </c>
      <c r="D52" s="576">
        <v>1E-10</v>
      </c>
      <c r="E52" s="576">
        <f t="shared" ref="E52:J52" si="14">D53</f>
        <v>98280.645282770856</v>
      </c>
      <c r="F52" s="576">
        <f t="shared" si="14"/>
        <v>177473.07736294891</v>
      </c>
      <c r="G52" s="576">
        <f t="shared" si="14"/>
        <v>191075.19855294892</v>
      </c>
      <c r="H52" s="576">
        <f t="shared" si="14"/>
        <v>217696.43298263091</v>
      </c>
      <c r="I52" s="576">
        <f t="shared" si="14"/>
        <v>310351.63776406413</v>
      </c>
      <c r="J52" s="576">
        <f t="shared" si="14"/>
        <v>321797.17699381092</v>
      </c>
    </row>
    <row r="53" spans="1:14" ht="14.85" customHeight="1">
      <c r="B53" s="179" t="s">
        <v>399</v>
      </c>
      <c r="D53" s="576">
        <f>D47</f>
        <v>98280.645282770856</v>
      </c>
      <c r="E53" s="576">
        <f t="shared" ref="E53:J53" si="15">IF(F47=0,"n/a",IF(D53=E47,F47,E47))</f>
        <v>177473.07736294891</v>
      </c>
      <c r="F53" s="576">
        <f t="shared" si="15"/>
        <v>191075.19855294892</v>
      </c>
      <c r="G53" s="576">
        <f t="shared" si="15"/>
        <v>217696.43298263091</v>
      </c>
      <c r="H53" s="576">
        <f t="shared" si="15"/>
        <v>310351.63776406413</v>
      </c>
      <c r="I53" s="576">
        <f t="shared" si="15"/>
        <v>321797.17699381092</v>
      </c>
      <c r="J53" s="576" t="str">
        <f t="shared" si="15"/>
        <v>n/a</v>
      </c>
    </row>
    <row r="54" spans="1:14" ht="14.85" customHeight="1"/>
    <row r="55" spans="1:14" ht="14.85" hidden="1" customHeight="1" outlineLevel="1">
      <c r="B55" s="179" t="s">
        <v>403</v>
      </c>
      <c r="D55" s="255">
        <f t="shared" ref="D55:J55" si="16">(LN($D$9/D52)+($D$12+$D$11^2/2)*$D$10)/($D$11*SQRT($D$10))</f>
        <v>32.428562378825703</v>
      </c>
      <c r="E55" s="255">
        <f t="shared" si="16"/>
        <v>1.0589194500492636</v>
      </c>
      <c r="F55" s="255">
        <f t="shared" si="16"/>
        <v>0.52188491291474326</v>
      </c>
      <c r="G55" s="255">
        <f t="shared" si="16"/>
        <v>0.45477907315601129</v>
      </c>
      <c r="H55" s="255">
        <f t="shared" si="16"/>
        <v>0.33625316003669242</v>
      </c>
      <c r="I55" s="255">
        <f t="shared" si="16"/>
        <v>1.40239844890833E-2</v>
      </c>
      <c r="J55" s="255">
        <f t="shared" si="16"/>
        <v>-1.8885050344196536E-2</v>
      </c>
    </row>
    <row r="56" spans="1:14" ht="14.85" hidden="1" customHeight="1" outlineLevel="1">
      <c r="B56" s="179" t="s">
        <v>405</v>
      </c>
      <c r="D56" s="255">
        <f>D55-$D$11*SQRT($D$10)</f>
        <v>31.328089753087106</v>
      </c>
      <c r="E56" s="255">
        <f t="shared" ref="E56:J56" si="17">E55-$D$11*SQRT($D$10)</f>
        <v>-4.1553175689332367E-2</v>
      </c>
      <c r="F56" s="255">
        <f t="shared" si="17"/>
        <v>-0.57858771282385268</v>
      </c>
      <c r="G56" s="255">
        <f t="shared" si="17"/>
        <v>-0.64569355258258465</v>
      </c>
      <c r="H56" s="255">
        <f t="shared" si="17"/>
        <v>-0.76421946570190347</v>
      </c>
      <c r="I56" s="255">
        <f t="shared" si="17"/>
        <v>-1.0864486412495127</v>
      </c>
      <c r="J56" s="255">
        <f t="shared" si="17"/>
        <v>-1.1193576760827926</v>
      </c>
    </row>
    <row r="57" spans="1:14" ht="14.85" hidden="1" customHeight="1" outlineLevel="1">
      <c r="D57" s="255"/>
      <c r="E57" s="255"/>
      <c r="F57" s="255"/>
      <c r="G57" s="255"/>
      <c r="H57" s="255"/>
      <c r="I57" s="255"/>
      <c r="J57" s="255"/>
    </row>
    <row r="58" spans="1:14" ht="14.85" hidden="1" customHeight="1" outlineLevel="1">
      <c r="B58" s="179" t="s">
        <v>404</v>
      </c>
      <c r="D58" s="255">
        <f>(LN($D$9/D53)+($D$12+$D$11^2/2)*$D$10)/($D$11*SQRT($D$10))</f>
        <v>1.0589194500492636</v>
      </c>
      <c r="E58" s="576">
        <f t="shared" ref="E58:J58" si="18">IF(E53="n/a","n/a",(LN($D$9/E53)+($D$12+$D$11^2/2)*$D$10)/($D$11*SQRT($D$10)))</f>
        <v>0.52188491291474326</v>
      </c>
      <c r="F58" s="576">
        <f t="shared" si="18"/>
        <v>0.45477907315601129</v>
      </c>
      <c r="G58" s="576">
        <f t="shared" si="18"/>
        <v>0.33625316003669242</v>
      </c>
      <c r="H58" s="576">
        <f t="shared" si="18"/>
        <v>1.40239844890833E-2</v>
      </c>
      <c r="I58" s="576">
        <f t="shared" si="18"/>
        <v>-1.8885050344196536E-2</v>
      </c>
      <c r="J58" s="576" t="str">
        <f t="shared" si="18"/>
        <v>n/a</v>
      </c>
    </row>
    <row r="59" spans="1:14" ht="14.85" hidden="1" customHeight="1" outlineLevel="1">
      <c r="B59" s="179" t="s">
        <v>406</v>
      </c>
      <c r="D59" s="255">
        <f>D58-$D$11*SQRT($D$10)</f>
        <v>-4.1553175689332367E-2</v>
      </c>
      <c r="E59" s="576">
        <f t="shared" ref="E59:J59" si="19">IF(E53="n/a","n/a",E58-$D$11*SQRT($D$10))</f>
        <v>-0.57858771282385268</v>
      </c>
      <c r="F59" s="576">
        <f t="shared" si="19"/>
        <v>-0.64569355258258465</v>
      </c>
      <c r="G59" s="576">
        <f t="shared" si="19"/>
        <v>-0.76421946570190347</v>
      </c>
      <c r="H59" s="576">
        <f t="shared" si="19"/>
        <v>-1.0864486412495127</v>
      </c>
      <c r="I59" s="576">
        <f t="shared" si="19"/>
        <v>-1.1193576760827926</v>
      </c>
      <c r="J59" s="576" t="str">
        <f t="shared" si="19"/>
        <v>n/a</v>
      </c>
    </row>
    <row r="60" spans="1:14" ht="14.85" hidden="1" customHeight="1" outlineLevel="1">
      <c r="D60" s="255"/>
      <c r="E60" s="255"/>
      <c r="F60" s="255"/>
      <c r="G60" s="255"/>
      <c r="H60" s="255"/>
      <c r="I60" s="255"/>
      <c r="J60" s="255"/>
    </row>
    <row r="61" spans="1:14" ht="14.85" customHeight="1" collapsed="1">
      <c r="B61" s="179" t="s">
        <v>400</v>
      </c>
      <c r="D61" s="255">
        <f>$D$9*NORMSDIST(D55)-D52*EXP(-$D$12*$D$10)*NORMSDIST(D56)</f>
        <v>161437.64693652518</v>
      </c>
      <c r="E61" s="255">
        <f t="shared" ref="E61:J61" si="20">$D$9*NORMSDIST(E55)-E52*EXP(-$D$12*$D$10)*NORMSDIST(E56)</f>
        <v>93470.161093470131</v>
      </c>
      <c r="F61" s="255">
        <f t="shared" si="20"/>
        <v>65991.180211877174</v>
      </c>
      <c r="G61" s="255">
        <f t="shared" si="20"/>
        <v>62542.985791755578</v>
      </c>
      <c r="H61" s="255">
        <f t="shared" si="20"/>
        <v>56543.32752720578</v>
      </c>
      <c r="I61" s="255">
        <f t="shared" si="20"/>
        <v>41242.050800000376</v>
      </c>
      <c r="J61" s="255">
        <f t="shared" si="20"/>
        <v>39791.713382837734</v>
      </c>
    </row>
    <row r="62" spans="1:14" ht="14.85" customHeight="1">
      <c r="B62" s="179" t="s">
        <v>401</v>
      </c>
      <c r="D62" s="255">
        <f>$D$9*NORMSDIST(D58)-D53*EXP(-$D$12*$D$10)*NORMSDIST(D59)</f>
        <v>93470.161093470131</v>
      </c>
      <c r="E62" s="576">
        <f t="shared" ref="E62:J62" si="21">IF(E53="n/a","n/a",$D$9*NORMSDIST(E58)-E53*EXP(-$D$12*$D$10)*NORMSDIST(E59))</f>
        <v>65991.180211877174</v>
      </c>
      <c r="F62" s="576">
        <f t="shared" si="21"/>
        <v>62542.985791755578</v>
      </c>
      <c r="G62" s="576">
        <f t="shared" si="21"/>
        <v>56543.32752720578</v>
      </c>
      <c r="H62" s="576">
        <f t="shared" si="21"/>
        <v>41242.050800000376</v>
      </c>
      <c r="I62" s="576">
        <f t="shared" si="21"/>
        <v>39791.713382837734</v>
      </c>
      <c r="J62" s="576" t="str">
        <f t="shared" si="21"/>
        <v>n/a</v>
      </c>
    </row>
    <row r="63" spans="1:14" ht="14.85" customHeight="1"/>
    <row r="64" spans="1:14" ht="14.85" customHeight="1">
      <c r="B64" s="182" t="s">
        <v>402</v>
      </c>
      <c r="C64" s="182"/>
      <c r="D64" s="571">
        <f>D61-D62</f>
        <v>67967.485843055052</v>
      </c>
      <c r="E64" s="571">
        <f t="shared" ref="E64:J64" si="22">IF(E53="n/a",E61,E61-E62)</f>
        <v>27478.980881592957</v>
      </c>
      <c r="F64" s="571">
        <f t="shared" si="22"/>
        <v>3448.1944201215956</v>
      </c>
      <c r="G64" s="571">
        <f t="shared" si="22"/>
        <v>5999.6582645497983</v>
      </c>
      <c r="H64" s="571">
        <f t="shared" si="22"/>
        <v>15301.276727205404</v>
      </c>
      <c r="I64" s="571">
        <f t="shared" si="22"/>
        <v>1450.3374171626419</v>
      </c>
      <c r="J64" s="571">
        <f t="shared" si="22"/>
        <v>39791.713382837734</v>
      </c>
    </row>
    <row r="65" spans="2:14" ht="14.85" customHeight="1"/>
    <row r="66" spans="2:14" s="200" customFormat="1" ht="14.85" customHeight="1">
      <c r="B66" s="573" t="s">
        <v>396</v>
      </c>
      <c r="D66" s="574">
        <f>D$15</f>
        <v>1</v>
      </c>
      <c r="E66" s="575">
        <f t="shared" ref="E66:J66" si="23">E$15</f>
        <v>2</v>
      </c>
      <c r="F66" s="575">
        <f t="shared" si="23"/>
        <v>3</v>
      </c>
      <c r="G66" s="575">
        <f t="shared" si="23"/>
        <v>4</v>
      </c>
      <c r="H66" s="575">
        <f t="shared" si="23"/>
        <v>5</v>
      </c>
      <c r="I66" s="575">
        <f t="shared" si="23"/>
        <v>6</v>
      </c>
      <c r="J66" s="1823">
        <f t="shared" si="23"/>
        <v>7</v>
      </c>
      <c r="N66" s="265"/>
    </row>
    <row r="67" spans="2:14" ht="14.85" customHeight="1"/>
    <row r="68" spans="2:14" ht="14.85" customHeight="1">
      <c r="D68" s="577" t="s">
        <v>390</v>
      </c>
      <c r="E68" s="577" t="s">
        <v>390</v>
      </c>
      <c r="F68" s="577" t="s">
        <v>315</v>
      </c>
      <c r="G68" s="577" t="s">
        <v>315</v>
      </c>
      <c r="H68" s="577" t="s">
        <v>315</v>
      </c>
      <c r="I68" s="577" t="s">
        <v>315</v>
      </c>
      <c r="J68" s="577" t="s">
        <v>315</v>
      </c>
    </row>
    <row r="69" spans="2:14" ht="14.85" customHeight="1"/>
    <row r="70" spans="2:14" ht="14.85" customHeight="1">
      <c r="B70" s="252" t="str">
        <f>B33</f>
        <v>Series A</v>
      </c>
      <c r="D70" s="285">
        <v>0</v>
      </c>
      <c r="E70" s="285">
        <f>E19</f>
        <v>79192.432080178041</v>
      </c>
      <c r="F70" s="285">
        <f t="shared" ref="F70" si="24">F33</f>
        <v>0</v>
      </c>
      <c r="G70" s="285">
        <f t="shared" ref="G70:J70" si="25">G33</f>
        <v>0</v>
      </c>
      <c r="H70" s="285">
        <f t="shared" si="25"/>
        <v>57758.733999999997</v>
      </c>
      <c r="I70" s="285">
        <f t="shared" si="25"/>
        <v>57758.733999999997</v>
      </c>
      <c r="J70" s="285">
        <f t="shared" si="25"/>
        <v>57758.733999999997</v>
      </c>
    </row>
    <row r="71" spans="2:14" ht="14.85" customHeight="1">
      <c r="B71" s="252" t="str">
        <f>B34</f>
        <v>Series B</v>
      </c>
      <c r="D71" s="285">
        <f>D20</f>
        <v>31542.641837890234</v>
      </c>
      <c r="E71" s="285">
        <v>0</v>
      </c>
      <c r="F71" s="285">
        <f t="shared" ref="F71:J71" si="26">F34</f>
        <v>0</v>
      </c>
      <c r="G71" s="285">
        <f t="shared" si="26"/>
        <v>0</v>
      </c>
      <c r="H71" s="285">
        <f t="shared" si="26"/>
        <v>0</v>
      </c>
      <c r="I71" s="285">
        <f t="shared" si="26"/>
        <v>0</v>
      </c>
      <c r="J71" s="285">
        <f t="shared" si="26"/>
        <v>12500</v>
      </c>
    </row>
    <row r="72" spans="2:14" ht="14.85" customHeight="1">
      <c r="B72" s="252" t="str">
        <f>B35</f>
        <v>Series C</v>
      </c>
      <c r="D72" s="285">
        <f>D21</f>
        <v>66738.003444880625</v>
      </c>
      <c r="E72" s="285">
        <v>0</v>
      </c>
      <c r="F72" s="285">
        <f t="shared" ref="F72:J72" si="27">F35</f>
        <v>0</v>
      </c>
      <c r="G72" s="285">
        <f t="shared" si="27"/>
        <v>0</v>
      </c>
      <c r="H72" s="285">
        <f t="shared" si="27"/>
        <v>0</v>
      </c>
      <c r="I72" s="285">
        <f t="shared" si="27"/>
        <v>27528.580999999998</v>
      </c>
      <c r="J72" s="285">
        <f t="shared" si="27"/>
        <v>27528.580999999998</v>
      </c>
    </row>
    <row r="73" spans="2:14" ht="14.85" customHeight="1">
      <c r="B73" s="313" t="str">
        <f>B36</f>
        <v>Expected Options Grant</v>
      </c>
      <c r="D73" s="285">
        <v>0</v>
      </c>
      <c r="E73" s="285">
        <v>0</v>
      </c>
      <c r="F73" s="285">
        <f t="shared" ref="F73:J73" si="28">F36</f>
        <v>0</v>
      </c>
      <c r="G73" s="285">
        <f t="shared" si="28"/>
        <v>2454.5419999999999</v>
      </c>
      <c r="H73" s="285">
        <f t="shared" si="28"/>
        <v>2454.5419999999999</v>
      </c>
      <c r="I73" s="285">
        <f t="shared" si="28"/>
        <v>2454.5419999999999</v>
      </c>
      <c r="J73" s="285">
        <f t="shared" si="28"/>
        <v>2454.5419999999999</v>
      </c>
    </row>
    <row r="74" spans="2:14" ht="14.85" customHeight="1">
      <c r="B74" s="252" t="str">
        <f>B37</f>
        <v>Common Stock</v>
      </c>
      <c r="D74" s="285">
        <v>0</v>
      </c>
      <c r="E74" s="285">
        <v>0</v>
      </c>
      <c r="F74" s="285">
        <f t="shared" ref="F74:J74" si="29">F37</f>
        <v>27759.431</v>
      </c>
      <c r="G74" s="285">
        <f t="shared" si="29"/>
        <v>27759.431</v>
      </c>
      <c r="H74" s="285">
        <f t="shared" si="29"/>
        <v>27759.431</v>
      </c>
      <c r="I74" s="285">
        <f t="shared" si="29"/>
        <v>27759.431</v>
      </c>
      <c r="J74" s="285">
        <f t="shared" si="29"/>
        <v>27759.431</v>
      </c>
    </row>
    <row r="75" spans="2:14" ht="14.85" customHeight="1">
      <c r="B75" s="264"/>
      <c r="C75" s="264"/>
      <c r="D75" s="264"/>
      <c r="E75" s="264"/>
      <c r="F75" s="264"/>
      <c r="G75" s="264"/>
      <c r="H75" s="264"/>
      <c r="I75" s="264"/>
      <c r="J75" s="264"/>
    </row>
    <row r="76" spans="2:14" ht="14.85" customHeight="1">
      <c r="B76" s="286" t="s">
        <v>2266</v>
      </c>
      <c r="D76" s="309">
        <f t="shared" ref="D76:J76" si="30">SUM(D70:D74)</f>
        <v>98280.645282770856</v>
      </c>
      <c r="E76" s="309">
        <f t="shared" si="30"/>
        <v>79192.432080178041</v>
      </c>
      <c r="F76" s="309">
        <f t="shared" si="30"/>
        <v>27759.431</v>
      </c>
      <c r="G76" s="309">
        <f t="shared" si="30"/>
        <v>30213.973000000002</v>
      </c>
      <c r="H76" s="309">
        <f t="shared" si="30"/>
        <v>87972.706999999995</v>
      </c>
      <c r="I76" s="309">
        <f t="shared" si="30"/>
        <v>115501.288</v>
      </c>
      <c r="J76" s="309">
        <f t="shared" si="30"/>
        <v>128001.288</v>
      </c>
    </row>
    <row r="77" spans="2:14" ht="14.85" customHeight="1"/>
    <row r="78" spans="2:14" ht="14.85" customHeight="1">
      <c r="B78" s="573" t="s">
        <v>2296</v>
      </c>
      <c r="C78" s="200"/>
      <c r="D78" s="574">
        <f>D$15</f>
        <v>1</v>
      </c>
      <c r="E78" s="575">
        <f t="shared" ref="E78:J78" si="31">E$15</f>
        <v>2</v>
      </c>
      <c r="F78" s="575">
        <f t="shared" si="31"/>
        <v>3</v>
      </c>
      <c r="G78" s="575">
        <f t="shared" si="31"/>
        <v>4</v>
      </c>
      <c r="H78" s="575">
        <f t="shared" si="31"/>
        <v>5</v>
      </c>
      <c r="I78" s="575">
        <f t="shared" si="31"/>
        <v>6</v>
      </c>
      <c r="J78" s="1823">
        <f t="shared" si="31"/>
        <v>7</v>
      </c>
    </row>
    <row r="79" spans="2:14" ht="14.85" customHeight="1"/>
    <row r="80" spans="2:14" ht="14.85" customHeight="1">
      <c r="B80" s="252" t="str">
        <f>B70</f>
        <v>Series A</v>
      </c>
      <c r="D80" s="310">
        <f t="shared" ref="D80:J84" si="32">D70/D$76</f>
        <v>0</v>
      </c>
      <c r="E80" s="310">
        <f t="shared" si="32"/>
        <v>1</v>
      </c>
      <c r="F80" s="310">
        <f t="shared" si="32"/>
        <v>0</v>
      </c>
      <c r="G80" s="310">
        <f t="shared" si="32"/>
        <v>0</v>
      </c>
      <c r="H80" s="310">
        <f t="shared" si="32"/>
        <v>0.65655287838306486</v>
      </c>
      <c r="I80" s="310">
        <f t="shared" si="32"/>
        <v>0.50007004250896314</v>
      </c>
      <c r="J80" s="310">
        <f t="shared" si="32"/>
        <v>0.45123556881708876</v>
      </c>
    </row>
    <row r="81" spans="2:14" ht="14.85" customHeight="1">
      <c r="B81" s="252" t="str">
        <f>B71</f>
        <v>Series B</v>
      </c>
      <c r="D81" s="310">
        <f t="shared" si="32"/>
        <v>0.32094459440245288</v>
      </c>
      <c r="E81" s="310">
        <f t="shared" si="32"/>
        <v>0</v>
      </c>
      <c r="F81" s="310">
        <f t="shared" si="32"/>
        <v>0</v>
      </c>
      <c r="G81" s="310">
        <f t="shared" si="32"/>
        <v>0</v>
      </c>
      <c r="H81" s="310">
        <f t="shared" si="32"/>
        <v>0</v>
      </c>
      <c r="I81" s="310">
        <f t="shared" si="32"/>
        <v>0</v>
      </c>
      <c r="J81" s="310">
        <f t="shared" si="32"/>
        <v>9.7655267343872351E-2</v>
      </c>
    </row>
    <row r="82" spans="2:14" ht="14.85" customHeight="1">
      <c r="B82" s="252" t="str">
        <f>B72</f>
        <v>Series C</v>
      </c>
      <c r="D82" s="310">
        <f t="shared" si="32"/>
        <v>0.67905540559754718</v>
      </c>
      <c r="E82" s="310">
        <f t="shared" si="32"/>
        <v>0</v>
      </c>
      <c r="F82" s="310">
        <f t="shared" si="32"/>
        <v>0</v>
      </c>
      <c r="G82" s="310">
        <f t="shared" si="32"/>
        <v>0</v>
      </c>
      <c r="H82" s="310">
        <f t="shared" si="32"/>
        <v>0</v>
      </c>
      <c r="I82" s="310">
        <f t="shared" si="32"/>
        <v>0.23834003478818347</v>
      </c>
      <c r="J82" s="310">
        <f t="shared" si="32"/>
        <v>0.21506487497219559</v>
      </c>
    </row>
    <row r="83" spans="2:14" ht="14.85" customHeight="1">
      <c r="B83" s="252" t="str">
        <f>B73</f>
        <v>Expected Options Grant</v>
      </c>
      <c r="D83" s="310">
        <f t="shared" si="32"/>
        <v>0</v>
      </c>
      <c r="E83" s="310">
        <f t="shared" si="32"/>
        <v>0</v>
      </c>
      <c r="F83" s="310">
        <f t="shared" si="32"/>
        <v>0</v>
      </c>
      <c r="G83" s="310">
        <f t="shared" si="32"/>
        <v>8.123863750060277E-2</v>
      </c>
      <c r="H83" s="310">
        <f t="shared" si="32"/>
        <v>2.7901176213663632E-2</v>
      </c>
      <c r="I83" s="310">
        <f t="shared" si="32"/>
        <v>2.1251208904267804E-2</v>
      </c>
      <c r="J83" s="310">
        <f t="shared" si="32"/>
        <v>1.9175916417341048E-2</v>
      </c>
    </row>
    <row r="84" spans="2:14" ht="14.85" customHeight="1">
      <c r="B84" s="252" t="str">
        <f>B74</f>
        <v>Common Stock</v>
      </c>
      <c r="D84" s="310">
        <f t="shared" si="32"/>
        <v>0</v>
      </c>
      <c r="E84" s="310">
        <f t="shared" si="32"/>
        <v>0</v>
      </c>
      <c r="F84" s="310">
        <f t="shared" si="32"/>
        <v>1</v>
      </c>
      <c r="G84" s="310">
        <f t="shared" si="32"/>
        <v>0.91876136249939722</v>
      </c>
      <c r="H84" s="310">
        <f t="shared" si="32"/>
        <v>0.31554594540327152</v>
      </c>
      <c r="I84" s="310">
        <f t="shared" si="32"/>
        <v>0.24033871379858551</v>
      </c>
      <c r="J84" s="310">
        <f t="shared" si="32"/>
        <v>0.21686837244950222</v>
      </c>
    </row>
    <row r="85" spans="2:14" ht="14.85" customHeight="1">
      <c r="B85" s="578"/>
      <c r="C85" s="578"/>
      <c r="D85" s="1843"/>
      <c r="E85" s="1843"/>
      <c r="F85" s="1843"/>
      <c r="G85" s="1843"/>
      <c r="H85" s="1843"/>
      <c r="I85" s="1843"/>
      <c r="J85" s="1843"/>
    </row>
    <row r="86" spans="2:14" ht="14.85" customHeight="1">
      <c r="B86" s="182" t="s">
        <v>2297</v>
      </c>
      <c r="D86" s="1562">
        <f t="shared" ref="D86:J86" si="33">SUM(D80:D84)</f>
        <v>1</v>
      </c>
      <c r="E86" s="1562">
        <f t="shared" si="33"/>
        <v>1</v>
      </c>
      <c r="F86" s="1562">
        <f t="shared" si="33"/>
        <v>1</v>
      </c>
      <c r="G86" s="1562">
        <f t="shared" si="33"/>
        <v>1</v>
      </c>
      <c r="H86" s="1562">
        <f t="shared" si="33"/>
        <v>1</v>
      </c>
      <c r="I86" s="1562">
        <f t="shared" si="33"/>
        <v>0.99999999999999989</v>
      </c>
      <c r="J86" s="1562">
        <f t="shared" si="33"/>
        <v>1</v>
      </c>
    </row>
    <row r="87" spans="2:14" ht="14.85" customHeight="1">
      <c r="B87" s="182"/>
      <c r="D87" s="309"/>
      <c r="E87" s="309"/>
      <c r="F87" s="309"/>
      <c r="G87" s="309"/>
      <c r="H87" s="309"/>
      <c r="I87" s="309"/>
      <c r="J87" s="309"/>
    </row>
    <row r="88" spans="2:14" s="200" customFormat="1" ht="14.85" customHeight="1">
      <c r="B88" s="573" t="s">
        <v>407</v>
      </c>
      <c r="D88" s="574">
        <f>D$15</f>
        <v>1</v>
      </c>
      <c r="E88" s="575">
        <f t="shared" ref="E88:J88" si="34">E$15</f>
        <v>2</v>
      </c>
      <c r="F88" s="575">
        <f t="shared" si="34"/>
        <v>3</v>
      </c>
      <c r="G88" s="575">
        <f t="shared" si="34"/>
        <v>4</v>
      </c>
      <c r="H88" s="575">
        <f t="shared" si="34"/>
        <v>5</v>
      </c>
      <c r="I88" s="575">
        <f t="shared" si="34"/>
        <v>6</v>
      </c>
      <c r="J88" s="1823">
        <f t="shared" si="34"/>
        <v>7</v>
      </c>
      <c r="L88" s="579" t="s">
        <v>163</v>
      </c>
      <c r="N88" s="265"/>
    </row>
    <row r="89" spans="2:14" ht="14.85" customHeight="1"/>
    <row r="90" spans="2:14" ht="14.85" customHeight="1">
      <c r="B90" s="252" t="str">
        <f>B70</f>
        <v>Series A</v>
      </c>
      <c r="D90" s="580">
        <f>D$64*D80</f>
        <v>0</v>
      </c>
      <c r="E90" s="580">
        <f t="shared" ref="E90:J90" si="35">E$64*E80</f>
        <v>27478.980881592957</v>
      </c>
      <c r="F90" s="580">
        <f t="shared" si="35"/>
        <v>0</v>
      </c>
      <c r="G90" s="580">
        <f t="shared" si="35"/>
        <v>0</v>
      </c>
      <c r="H90" s="580">
        <f t="shared" si="35"/>
        <v>10046.097278182511</v>
      </c>
      <c r="I90" s="580">
        <f t="shared" si="35"/>
        <v>725.27029385286221</v>
      </c>
      <c r="J90" s="580">
        <f t="shared" si="35"/>
        <v>17955.43642251135</v>
      </c>
      <c r="L90" s="255">
        <f>SUM(D90:J90)</f>
        <v>56205.784876139674</v>
      </c>
    </row>
    <row r="91" spans="2:14" ht="14.85" customHeight="1">
      <c r="B91" s="252" t="str">
        <f>B71</f>
        <v>Series B</v>
      </c>
      <c r="D91" s="255">
        <f t="shared" ref="D91:J91" si="36">D$64*D81</f>
        <v>21813.797176453761</v>
      </c>
      <c r="E91" s="255">
        <f t="shared" si="36"/>
        <v>0</v>
      </c>
      <c r="F91" s="255">
        <f t="shared" si="36"/>
        <v>0</v>
      </c>
      <c r="G91" s="255">
        <f t="shared" si="36"/>
        <v>0</v>
      </c>
      <c r="H91" s="255">
        <f t="shared" si="36"/>
        <v>0</v>
      </c>
      <c r="I91" s="255">
        <f t="shared" si="36"/>
        <v>0</v>
      </c>
      <c r="J91" s="255">
        <f t="shared" si="36"/>
        <v>3885.8704084717619</v>
      </c>
      <c r="L91" s="255">
        <f>SUM(D91:J91)</f>
        <v>25699.667584925523</v>
      </c>
    </row>
    <row r="92" spans="2:14" ht="14.85" customHeight="1">
      <c r="B92" s="252" t="str">
        <f>B72</f>
        <v>Series C</v>
      </c>
      <c r="D92" s="255">
        <f t="shared" ref="D92:J92" si="37">D$64*D82</f>
        <v>46153.688666601294</v>
      </c>
      <c r="E92" s="255">
        <f t="shared" si="37"/>
        <v>0</v>
      </c>
      <c r="F92" s="255">
        <f t="shared" si="37"/>
        <v>0</v>
      </c>
      <c r="G92" s="255">
        <f t="shared" si="37"/>
        <v>0</v>
      </c>
      <c r="H92" s="255">
        <f t="shared" si="37"/>
        <v>0</v>
      </c>
      <c r="I92" s="255">
        <f t="shared" si="37"/>
        <v>345.67347046114821</v>
      </c>
      <c r="J92" s="255">
        <f t="shared" si="37"/>
        <v>8557.7998636094399</v>
      </c>
      <c r="L92" s="255">
        <f>SUM(D92:J92)</f>
        <v>55057.162000671888</v>
      </c>
    </row>
    <row r="93" spans="2:14" ht="14.85" customHeight="1">
      <c r="B93" s="252" t="str">
        <f>B73</f>
        <v>Expected Options Grant</v>
      </c>
      <c r="D93" s="255">
        <f t="shared" ref="D93:J93" si="38">D$64*D83</f>
        <v>0</v>
      </c>
      <c r="E93" s="255">
        <f t="shared" si="38"/>
        <v>0</v>
      </c>
      <c r="F93" s="255">
        <f t="shared" si="38"/>
        <v>0</v>
      </c>
      <c r="G93" s="255">
        <f t="shared" si="38"/>
        <v>487.40406288125661</v>
      </c>
      <c r="H93" s="255">
        <f t="shared" si="38"/>
        <v>426.92361825978833</v>
      </c>
      <c r="I93" s="255">
        <f t="shared" si="38"/>
        <v>30.821423433799506</v>
      </c>
      <c r="J93" s="255">
        <f t="shared" si="38"/>
        <v>763.04256993208764</v>
      </c>
      <c r="L93" s="255">
        <f>SUM(D93:J93)</f>
        <v>1708.191674506932</v>
      </c>
    </row>
    <row r="94" spans="2:14" ht="14.85" customHeight="1">
      <c r="B94" s="252" t="str">
        <f>B74</f>
        <v>Common Stock</v>
      </c>
      <c r="D94" s="255">
        <f t="shared" ref="D94:J94" si="39">D$64*D84</f>
        <v>0</v>
      </c>
      <c r="E94" s="255">
        <f t="shared" si="39"/>
        <v>0</v>
      </c>
      <c r="F94" s="255">
        <f t="shared" si="39"/>
        <v>3448.1944201215956</v>
      </c>
      <c r="G94" s="255">
        <f t="shared" si="39"/>
        <v>5512.254201668542</v>
      </c>
      <c r="H94" s="255">
        <f t="shared" si="39"/>
        <v>4828.2558307631052</v>
      </c>
      <c r="I94" s="255">
        <f t="shared" si="39"/>
        <v>348.57222941483195</v>
      </c>
      <c r="J94" s="255">
        <f t="shared" si="39"/>
        <v>8629.5641183130956</v>
      </c>
      <c r="L94" s="255">
        <f>SUM(D94:J94)</f>
        <v>22766.84080028117</v>
      </c>
    </row>
    <row r="95" spans="2:14" ht="14.85" customHeight="1">
      <c r="B95" s="578"/>
      <c r="C95" s="578"/>
      <c r="D95" s="264"/>
      <c r="E95" s="264"/>
      <c r="F95" s="264"/>
      <c r="G95" s="264"/>
      <c r="H95" s="264"/>
      <c r="I95" s="264"/>
      <c r="J95" s="264"/>
      <c r="L95" s="264"/>
    </row>
    <row r="96" spans="2:14" ht="14.85" customHeight="1">
      <c r="B96" s="182" t="s">
        <v>2267</v>
      </c>
      <c r="D96" s="581">
        <f t="shared" ref="D96:J96" si="40">SUM(D90:D94)</f>
        <v>67967.485843055052</v>
      </c>
      <c r="E96" s="581">
        <f t="shared" si="40"/>
        <v>27478.980881592957</v>
      </c>
      <c r="F96" s="581">
        <f t="shared" si="40"/>
        <v>3448.1944201215956</v>
      </c>
      <c r="G96" s="581">
        <f t="shared" si="40"/>
        <v>5999.6582645497983</v>
      </c>
      <c r="H96" s="581">
        <f t="shared" si="40"/>
        <v>15301.276727205404</v>
      </c>
      <c r="I96" s="581">
        <f t="shared" si="40"/>
        <v>1450.3374171626419</v>
      </c>
      <c r="J96" s="581">
        <f t="shared" si="40"/>
        <v>39791.713382837734</v>
      </c>
      <c r="L96" s="309">
        <f>SUM(L90:L94)</f>
        <v>161437.64693652521</v>
      </c>
      <c r="N96" s="582">
        <f>L96-D9</f>
        <v>0</v>
      </c>
    </row>
    <row r="97" spans="2:10" ht="14.85" customHeight="1"/>
    <row r="98" spans="2:10" ht="14.85" customHeight="1"/>
    <row r="99" spans="2:10" ht="14.85" customHeight="1"/>
    <row r="100" spans="2:10" ht="14.85" customHeight="1">
      <c r="B100" s="179" t="s">
        <v>2298</v>
      </c>
      <c r="D100" s="583">
        <f>D47</f>
        <v>98280.645282770856</v>
      </c>
      <c r="E100" s="583">
        <f>F47-D47</f>
        <v>79192.432080178056</v>
      </c>
      <c r="F100" s="583">
        <f>G47-F47</f>
        <v>13602.121190000005</v>
      </c>
      <c r="G100" s="583">
        <f t="shared" ref="G100:I100" si="41">H47-G47</f>
        <v>26621.234429681994</v>
      </c>
      <c r="H100" s="583">
        <f t="shared" si="41"/>
        <v>92655.204781433218</v>
      </c>
      <c r="I100" s="583">
        <f t="shared" si="41"/>
        <v>11445.539229746792</v>
      </c>
      <c r="J100" s="583"/>
    </row>
    <row r="101" spans="2:10" ht="14.85" customHeight="1">
      <c r="D101" s="583"/>
      <c r="E101" s="583"/>
      <c r="F101" s="583"/>
      <c r="G101" s="583"/>
      <c r="H101" s="583"/>
      <c r="I101" s="583"/>
      <c r="J101" s="583"/>
    </row>
    <row r="102" spans="2:10" ht="14.85" customHeight="1">
      <c r="B102" s="584" t="s">
        <v>2299</v>
      </c>
      <c r="C102" s="200"/>
      <c r="D102" s="1846">
        <f t="shared" ref="D102:I102" si="42">D88</f>
        <v>1</v>
      </c>
      <c r="E102" s="1847">
        <f t="shared" si="42"/>
        <v>2</v>
      </c>
      <c r="F102" s="1847">
        <f t="shared" si="42"/>
        <v>3</v>
      </c>
      <c r="G102" s="1847">
        <f t="shared" si="42"/>
        <v>4</v>
      </c>
      <c r="H102" s="1847">
        <f t="shared" si="42"/>
        <v>5</v>
      </c>
      <c r="I102" s="1848">
        <f t="shared" si="42"/>
        <v>6</v>
      </c>
      <c r="J102" s="1845"/>
    </row>
    <row r="103" spans="2:10" ht="14.85" customHeight="1">
      <c r="D103" s="680"/>
      <c r="E103" s="680"/>
      <c r="F103" s="680"/>
      <c r="G103" s="680"/>
      <c r="H103" s="680"/>
      <c r="I103" s="680"/>
      <c r="J103" s="583"/>
    </row>
    <row r="104" spans="2:10" ht="14.85" customHeight="1">
      <c r="B104" s="179" t="str">
        <f>B90</f>
        <v>Series A</v>
      </c>
      <c r="D104" s="680">
        <f t="shared" ref="D104:I108" si="43">D70/D$76*D$100</f>
        <v>0</v>
      </c>
      <c r="E104" s="680">
        <f t="shared" si="43"/>
        <v>79192.432080178056</v>
      </c>
      <c r="F104" s="680">
        <f t="shared" si="43"/>
        <v>0</v>
      </c>
      <c r="G104" s="680">
        <f t="shared" si="43"/>
        <v>0</v>
      </c>
      <c r="H104" s="680">
        <f t="shared" si="43"/>
        <v>60833.041396422297</v>
      </c>
      <c r="I104" s="680">
        <f t="shared" si="43"/>
        <v>5723.5712891574831</v>
      </c>
    </row>
    <row r="105" spans="2:10" ht="14.85" customHeight="1">
      <c r="B105" s="179" t="str">
        <f>B91</f>
        <v>Series B</v>
      </c>
      <c r="D105" s="680">
        <f t="shared" si="43"/>
        <v>31542.641837890234</v>
      </c>
      <c r="E105" s="680">
        <f t="shared" si="43"/>
        <v>0</v>
      </c>
      <c r="F105" s="680">
        <f t="shared" si="43"/>
        <v>0</v>
      </c>
      <c r="G105" s="680">
        <f t="shared" si="43"/>
        <v>0</v>
      </c>
      <c r="H105" s="680">
        <f t="shared" si="43"/>
        <v>0</v>
      </c>
      <c r="I105" s="680">
        <f t="shared" si="43"/>
        <v>0</v>
      </c>
    </row>
    <row r="106" spans="2:10" ht="14.85" customHeight="1">
      <c r="B106" s="179" t="str">
        <f>B92</f>
        <v>Series C</v>
      </c>
      <c r="D106" s="680">
        <f t="shared" si="43"/>
        <v>66738.003444880625</v>
      </c>
      <c r="E106" s="680">
        <f t="shared" si="43"/>
        <v>0</v>
      </c>
      <c r="F106" s="680">
        <f t="shared" si="43"/>
        <v>0</v>
      </c>
      <c r="G106" s="680">
        <f t="shared" si="43"/>
        <v>0</v>
      </c>
      <c r="H106" s="680">
        <f t="shared" si="43"/>
        <v>0</v>
      </c>
      <c r="I106" s="680">
        <f t="shared" si="43"/>
        <v>2727.9302181873691</v>
      </c>
    </row>
    <row r="107" spans="2:10" ht="14.85" customHeight="1">
      <c r="B107" s="179" t="str">
        <f>B93</f>
        <v>Expected Options Grant</v>
      </c>
      <c r="D107" s="680">
        <f t="shared" si="43"/>
        <v>0</v>
      </c>
      <c r="E107" s="680">
        <f t="shared" si="43"/>
        <v>0</v>
      </c>
      <c r="F107" s="680">
        <f t="shared" si="43"/>
        <v>0</v>
      </c>
      <c r="G107" s="680">
        <f t="shared" si="43"/>
        <v>2162.6728136515012</v>
      </c>
      <c r="H107" s="680">
        <f t="shared" si="43"/>
        <v>2585.1891957198573</v>
      </c>
      <c r="I107" s="680">
        <f t="shared" si="43"/>
        <v>243.23154519334147</v>
      </c>
    </row>
    <row r="108" spans="2:10" ht="14.85" customHeight="1">
      <c r="B108" s="179" t="str">
        <f>B94</f>
        <v>Common Stock</v>
      </c>
      <c r="D108" s="680">
        <f t="shared" si="43"/>
        <v>0</v>
      </c>
      <c r="E108" s="680">
        <f t="shared" si="43"/>
        <v>0</v>
      </c>
      <c r="F108" s="680">
        <f t="shared" si="43"/>
        <v>13602.121190000005</v>
      </c>
      <c r="G108" s="680">
        <f t="shared" si="43"/>
        <v>24458.561616030493</v>
      </c>
      <c r="H108" s="680">
        <f t="shared" si="43"/>
        <v>29236.974189291068</v>
      </c>
      <c r="I108" s="680">
        <f t="shared" si="43"/>
        <v>2750.8061772085971</v>
      </c>
    </row>
    <row r="109" spans="2:10" ht="14.85" customHeight="1">
      <c r="D109" s="310"/>
      <c r="E109" s="310"/>
      <c r="F109" s="310"/>
      <c r="G109" s="310"/>
      <c r="H109" s="310"/>
      <c r="I109" s="310"/>
      <c r="J109" s="310"/>
    </row>
    <row r="110" spans="2:10" ht="14.85" customHeight="1">
      <c r="B110" s="584" t="s">
        <v>2300</v>
      </c>
      <c r="C110" s="200"/>
      <c r="D110" s="585">
        <f t="shared" ref="D110:I110" si="44">D102</f>
        <v>1</v>
      </c>
      <c r="E110" s="586">
        <f t="shared" si="44"/>
        <v>2</v>
      </c>
      <c r="F110" s="586">
        <f t="shared" si="44"/>
        <v>3</v>
      </c>
      <c r="G110" s="586">
        <f t="shared" si="44"/>
        <v>4</v>
      </c>
      <c r="H110" s="586">
        <f t="shared" si="44"/>
        <v>5</v>
      </c>
      <c r="I110" s="1823">
        <f t="shared" si="44"/>
        <v>6</v>
      </c>
      <c r="J110" s="1845"/>
    </row>
    <row r="111" spans="2:10" ht="14.85" customHeight="1">
      <c r="D111" s="310"/>
      <c r="E111" s="310"/>
      <c r="F111" s="310"/>
      <c r="G111" s="310"/>
      <c r="H111" s="310"/>
      <c r="I111" s="310"/>
      <c r="J111" s="310"/>
    </row>
    <row r="112" spans="2:10" ht="14.85" customHeight="1">
      <c r="B112" s="179" t="str">
        <f>B104</f>
        <v>Series A</v>
      </c>
      <c r="D112" s="587">
        <f>SUM($D104:D104)/$N33</f>
        <v>0</v>
      </c>
      <c r="E112" s="587">
        <f>SUM($D104:E104)/$N33</f>
        <v>1.3710901641330653</v>
      </c>
      <c r="F112" s="587">
        <f>SUM($D104:F104)/$N33</f>
        <v>1.3710901641330653</v>
      </c>
      <c r="G112" s="587">
        <f>SUM($D104:G104)/$N33</f>
        <v>1.3710901641330653</v>
      </c>
      <c r="H112" s="587">
        <f>SUM($D104:H104)/$N33</f>
        <v>2.424316874338007</v>
      </c>
      <c r="I112" s="587">
        <f>SUM($D104:I104)/$N33</f>
        <v>2.5234113470312192</v>
      </c>
      <c r="J112" s="587"/>
    </row>
    <row r="113" spans="2:10" ht="14.85" customHeight="1">
      <c r="B113" s="179" t="str">
        <f>B105</f>
        <v>Series B</v>
      </c>
      <c r="D113" s="587">
        <f>SUM($D105:D105)/$N34</f>
        <v>2.5234113470312187</v>
      </c>
      <c r="E113" s="587">
        <f>SUM($D105:E105)/$N34</f>
        <v>2.5234113470312187</v>
      </c>
      <c r="F113" s="587">
        <f>SUM($D105:F105)/$N34</f>
        <v>2.5234113470312187</v>
      </c>
      <c r="G113" s="587">
        <f>SUM($D105:G105)/$N34</f>
        <v>2.5234113470312187</v>
      </c>
      <c r="H113" s="587">
        <f>SUM($D105:H105)/$N34</f>
        <v>2.5234113470312187</v>
      </c>
      <c r="I113" s="587">
        <f>SUM($D105:I105)/$N34</f>
        <v>2.5234113470312187</v>
      </c>
      <c r="J113" s="587"/>
    </row>
    <row r="114" spans="2:10" ht="14.85" customHeight="1">
      <c r="B114" s="179" t="str">
        <f>B106</f>
        <v>Series C</v>
      </c>
      <c r="D114" s="587">
        <f>SUM($D106:D106)/$N35</f>
        <v>2.4243168743380066</v>
      </c>
      <c r="E114" s="587">
        <f>SUM($D106:E106)/$N35</f>
        <v>2.4243168743380066</v>
      </c>
      <c r="F114" s="587">
        <f>SUM($D106:F106)/$N35</f>
        <v>2.4243168743380066</v>
      </c>
      <c r="G114" s="587">
        <f>SUM($D106:G106)/$N35</f>
        <v>2.4243168743380066</v>
      </c>
      <c r="H114" s="587">
        <f>SUM($D106:H106)/$N35</f>
        <v>2.4243168743380066</v>
      </c>
      <c r="I114" s="587">
        <f>SUM($D106:I106)/$N35</f>
        <v>2.5234113470312178</v>
      </c>
      <c r="J114" s="587"/>
    </row>
    <row r="115" spans="2:10" ht="14.85" customHeight="1">
      <c r="B115" s="179" t="str">
        <f>B107</f>
        <v>Expected Options Grant</v>
      </c>
      <c r="D115" s="587">
        <f>SUM($D107:D107)/$N36</f>
        <v>0</v>
      </c>
      <c r="E115" s="587">
        <f>SUM($D107:E107)/$N36</f>
        <v>0</v>
      </c>
      <c r="F115" s="587">
        <f>SUM($D107:F107)/$N36</f>
        <v>0</v>
      </c>
      <c r="G115" s="587">
        <f>SUM($D107:G107)/$N36</f>
        <v>0.88109016413306485</v>
      </c>
      <c r="H115" s="587">
        <f>SUM($D107:H107)/$N36</f>
        <v>1.9343168743380061</v>
      </c>
      <c r="I115" s="587">
        <f>SUM($D107:I107)/$N36</f>
        <v>2.0334113470312181</v>
      </c>
      <c r="J115" s="587"/>
    </row>
    <row r="116" spans="2:10" ht="14.85" customHeight="1">
      <c r="B116" s="1809" t="str">
        <f>B108</f>
        <v>Common Stock</v>
      </c>
      <c r="C116" s="1834"/>
      <c r="D116" s="1849">
        <f>SUM($D108:D108)/$N37</f>
        <v>0</v>
      </c>
      <c r="E116" s="1849">
        <f>SUM($D108:E108)/$N37</f>
        <v>0</v>
      </c>
      <c r="F116" s="1849">
        <f>SUM($D108:F108)/$N37</f>
        <v>0.49000000000000016</v>
      </c>
      <c r="G116" s="1849">
        <f>SUM($D108:G108)/$N37</f>
        <v>1.3710901641330651</v>
      </c>
      <c r="H116" s="1849">
        <f>SUM($D108:H108)/$N37</f>
        <v>2.4243168743380066</v>
      </c>
      <c r="I116" s="1850">
        <f>SUM($D108:I108)/$N37</f>
        <v>2.5234113470312183</v>
      </c>
      <c r="J116" s="587"/>
    </row>
    <row r="117" spans="2:10" ht="14.85" customHeight="1">
      <c r="D117" s="310"/>
      <c r="E117" s="310"/>
      <c r="F117" s="310"/>
      <c r="G117" s="310"/>
      <c r="H117" s="310"/>
      <c r="I117" s="310"/>
      <c r="J117" s="310"/>
    </row>
    <row r="118" spans="2:10" ht="14.85" customHeight="1">
      <c r="D118" s="310">
        <f t="shared" ref="D118:I118" si="45">NORMSDIST(D55)</f>
        <v>1</v>
      </c>
      <c r="E118" s="310">
        <f t="shared" si="45"/>
        <v>0.85518176726690376</v>
      </c>
      <c r="F118" s="310">
        <f t="shared" si="45"/>
        <v>0.6991247682864391</v>
      </c>
      <c r="G118" s="310">
        <f t="shared" si="45"/>
        <v>0.67536590650895234</v>
      </c>
      <c r="H118" s="310">
        <f t="shared" si="45"/>
        <v>0.63166001583017006</v>
      </c>
      <c r="I118" s="310">
        <f t="shared" si="45"/>
        <v>0.5055945769688831</v>
      </c>
      <c r="J118" s="310"/>
    </row>
    <row r="119" spans="2:10" ht="14.85" customHeight="1">
      <c r="B119" s="179" t="s">
        <v>1665</v>
      </c>
      <c r="D119" s="588">
        <f>D118-F118</f>
        <v>0.3008752317135609</v>
      </c>
      <c r="E119" s="310"/>
      <c r="F119" s="310"/>
      <c r="G119" s="310"/>
      <c r="H119" s="310"/>
      <c r="I119" s="310"/>
      <c r="J119" s="310"/>
    </row>
    <row r="120" spans="2:10" ht="14.85" customHeight="1"/>
    <row r="121" spans="2:10" ht="14.85" customHeight="1">
      <c r="B121" s="1811" t="s">
        <v>3622</v>
      </c>
      <c r="C121" s="1834"/>
      <c r="D121" s="1851" t="str">
        <f>IF(ROUND(D116,8)=ROUND(E41,8),"","Check")</f>
        <v/>
      </c>
      <c r="E121" s="1851" t="str">
        <f t="shared" ref="E121:I121" si="46">IF(ROUND(E116,8)=ROUND(F41,8),"","Check")</f>
        <v/>
      </c>
      <c r="F121" s="1851" t="str">
        <f t="shared" si="46"/>
        <v/>
      </c>
      <c r="G121" s="1851" t="str">
        <f t="shared" si="46"/>
        <v/>
      </c>
      <c r="H121" s="1851" t="str">
        <f t="shared" si="46"/>
        <v/>
      </c>
      <c r="I121" s="1852" t="str">
        <f t="shared" si="46"/>
        <v/>
      </c>
    </row>
    <row r="122" spans="2:10" ht="14.85" customHeight="1">
      <c r="B122" s="179" t="s">
        <v>110</v>
      </c>
      <c r="D122" s="317" t="str">
        <f>IF(COUNTIF(D121:I121,B122)&gt;0,B122,"")</f>
        <v/>
      </c>
    </row>
    <row r="123" spans="2:10" ht="14.85" customHeight="1"/>
    <row r="124" spans="2:10" ht="14.85" customHeight="1"/>
    <row r="125" spans="2:10" ht="14.85" customHeight="1"/>
    <row r="126" spans="2:10" ht="14.85" customHeight="1"/>
    <row r="127" spans="2:10" ht="14.85" customHeight="1"/>
    <row r="128" spans="2:10"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sheetData>
  <conditionalFormatting sqref="B4:I4">
    <cfRule type="cellIs" dxfId="356" priority="13" stopIfTrue="1" operator="equal">
      <formula>"input"</formula>
    </cfRule>
  </conditionalFormatting>
  <conditionalFormatting sqref="J4">
    <cfRule type="cellIs" dxfId="355" priority="1" stopIfTrue="1" operator="equal">
      <formula>"input"</formula>
    </cfRule>
  </conditionalFormatting>
  <conditionalFormatting sqref="J4">
    <cfRule type="cellIs" dxfId="354" priority="2" stopIfTrue="1" operator="equal">
      <formula>"input"</formula>
    </cfRule>
  </conditionalFormatting>
  <pageMargins left="0.5" right="0.5" top="0.5" bottom="0.5" header="0.5" footer="0.5"/>
  <pageSetup scale="80" fitToWidth="0" fitToHeight="0" pageOrder="overThenDown" orientation="landscape" r:id="rId1"/>
  <rowBreaks count="2" manualBreakCount="2">
    <brk id="48" max="19" man="1"/>
    <brk id="76" max="19" man="1"/>
  </rowBreaks>
  <legacy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R753"/>
  <sheetViews>
    <sheetView showGridLines="0" tabSelected="1" view="pageBreakPreview" zoomScale="80" zoomScaleNormal="100" zoomScaleSheetLayoutView="80" workbookViewId="0">
      <selection activeCell="H11" sqref="H11"/>
    </sheetView>
  </sheetViews>
  <sheetFormatPr defaultRowHeight="12.75"/>
  <cols>
    <col min="1" max="1" width="4.5" style="179" customWidth="1"/>
    <col min="2" max="2" width="31.33203125" style="179" customWidth="1"/>
    <col min="3" max="3" width="2.83203125" style="179" customWidth="1"/>
    <col min="4" max="4" width="19.5" style="179" customWidth="1"/>
    <col min="5" max="5" width="2.83203125" style="179" customWidth="1"/>
    <col min="6" max="6" width="19.5" style="179" customWidth="1"/>
    <col min="7" max="7" width="3.6640625" style="179" customWidth="1"/>
    <col min="8" max="8" width="19.5" style="179" customWidth="1"/>
    <col min="9" max="9" width="3.83203125" style="179" customWidth="1"/>
    <col min="10" max="10" width="19.5" style="179" customWidth="1"/>
    <col min="11" max="11" width="3.33203125" style="179" customWidth="1"/>
    <col min="12" max="12" width="19.5" style="179" customWidth="1"/>
    <col min="13" max="13" width="4.5" style="179" customWidth="1"/>
    <col min="14" max="14" width="9.33203125" style="179"/>
    <col min="15" max="15" width="20.83203125" style="179" customWidth="1"/>
    <col min="16" max="16" width="18.33203125" style="179" customWidth="1"/>
    <col min="17" max="17" width="11.33203125" style="179" bestFit="1" customWidth="1"/>
    <col min="18" max="18" width="10.6640625" style="179" customWidth="1"/>
    <col min="19" max="16384" width="9.33203125" style="179"/>
  </cols>
  <sheetData>
    <row r="1" spans="2:17" ht="10.7" customHeight="1" thickBot="1"/>
    <row r="2" spans="2:17" ht="16.5" customHeight="1" thickTop="1">
      <c r="B2" s="187" t="str">
        <f>'MASTER PubCo Inputs'!$C$5</f>
        <v>Decibel Therapeutics, Inc.</v>
      </c>
      <c r="C2" s="187"/>
      <c r="D2" s="187"/>
      <c r="E2" s="187"/>
      <c r="F2" s="187"/>
      <c r="G2" s="187"/>
      <c r="H2" s="187"/>
      <c r="I2" s="187"/>
      <c r="J2" s="187"/>
      <c r="K2" s="187"/>
      <c r="L2" s="187"/>
      <c r="O2" s="589" t="s">
        <v>676</v>
      </c>
      <c r="P2" s="590"/>
    </row>
    <row r="3" spans="2:17" ht="15.75" customHeight="1">
      <c r="B3" s="188" t="str">
        <f>VLOOKUP(B4,Outline!$E$8:$G$75,COLUMNS(Outline!$E$8:$G$8),FALSE)</f>
        <v>Exhibit B.2</v>
      </c>
      <c r="C3" s="188"/>
      <c r="D3" s="188"/>
      <c r="E3" s="188"/>
      <c r="F3" s="188"/>
      <c r="G3" s="188"/>
      <c r="H3" s="188"/>
      <c r="I3" s="188"/>
      <c r="J3" s="188"/>
      <c r="K3" s="188"/>
      <c r="L3" s="188"/>
      <c r="O3" s="373" t="str">
        <f>'Econ Rights'!J7</f>
        <v>Series C</v>
      </c>
      <c r="P3" s="591"/>
    </row>
    <row r="4" spans="2:17" ht="16.5" customHeight="1" thickBot="1">
      <c r="B4" s="726" t="s">
        <v>411</v>
      </c>
      <c r="C4" s="726"/>
      <c r="D4" s="726"/>
      <c r="E4" s="726"/>
      <c r="F4" s="726"/>
      <c r="G4" s="726"/>
      <c r="H4" s="726"/>
      <c r="I4" s="726"/>
      <c r="J4" s="727"/>
      <c r="K4" s="727"/>
      <c r="L4" s="727" t="str">
        <f>+'MASTER PubCo Inputs'!$C$20</f>
        <v>(in thousands of USD and shares, except price per share)</v>
      </c>
      <c r="O4" s="338" t="s">
        <v>1550</v>
      </c>
      <c r="P4" s="592">
        <f>'Econ Rights'!J13</f>
        <v>2</v>
      </c>
    </row>
    <row r="5" spans="2:17" ht="14.85" customHeight="1" thickTop="1">
      <c r="O5" s="338" t="s">
        <v>1551</v>
      </c>
      <c r="P5" s="593">
        <f>H11</f>
        <v>2.0000000000244071</v>
      </c>
    </row>
    <row r="6" spans="2:17" ht="14.85" customHeight="1">
      <c r="O6" s="594" t="s">
        <v>1552</v>
      </c>
      <c r="P6" s="595">
        <f>P5-P4</f>
        <v>2.4407142973359441E-11</v>
      </c>
      <c r="Q6" s="2045" t="str">
        <f>IF(OR(P6&lt;-0.01,P6&gt;0.01),"Check","")</f>
        <v/>
      </c>
    </row>
    <row r="7" spans="2:17" ht="14.85" customHeight="1">
      <c r="B7" s="596" t="s">
        <v>408</v>
      </c>
      <c r="C7" s="597"/>
      <c r="D7" s="598" t="s">
        <v>317</v>
      </c>
      <c r="E7" s="598"/>
      <c r="F7" s="598" t="s">
        <v>315</v>
      </c>
      <c r="G7" s="598"/>
      <c r="H7" s="598" t="s">
        <v>409</v>
      </c>
      <c r="I7" s="598"/>
      <c r="J7" s="598" t="s">
        <v>860</v>
      </c>
      <c r="K7" s="598"/>
      <c r="L7" s="599" t="s">
        <v>410</v>
      </c>
      <c r="O7" s="378" t="s">
        <v>385</v>
      </c>
      <c r="P7" s="600">
        <v>161437.64693652527</v>
      </c>
    </row>
    <row r="8" spans="2:17" ht="14.85" customHeight="1"/>
    <row r="9" spans="2:17" ht="14.85" customHeight="1">
      <c r="B9" s="179" t="str">
        <f>'OPM 1'!B90</f>
        <v>Series A</v>
      </c>
      <c r="D9" s="253">
        <f>'OPM 1'!$L90</f>
        <v>56205.784876139674</v>
      </c>
      <c r="E9" s="601"/>
      <c r="F9" s="253">
        <f>'Cap Table'!$D$11</f>
        <v>57758.733999999997</v>
      </c>
      <c r="G9" s="263"/>
      <c r="H9" s="602">
        <f>D9/F9</f>
        <v>0.97311317239293504</v>
      </c>
      <c r="I9" s="602"/>
      <c r="J9" s="603"/>
      <c r="K9" s="550"/>
      <c r="L9" s="603"/>
    </row>
    <row r="10" spans="2:17" ht="14.85" customHeight="1">
      <c r="B10" s="179" t="str">
        <f>'OPM 1'!B91</f>
        <v>Series B</v>
      </c>
      <c r="D10" s="253">
        <f>'OPM 1'!$L91</f>
        <v>25699.667584925523</v>
      </c>
      <c r="E10" s="601"/>
      <c r="F10" s="253">
        <f>'Cap Table'!$E$11</f>
        <v>12500</v>
      </c>
      <c r="G10" s="263"/>
      <c r="H10" s="602">
        <f>D10/F10</f>
        <v>2.0559734067940418</v>
      </c>
      <c r="I10" s="602"/>
      <c r="J10" s="603"/>
      <c r="K10" s="550"/>
      <c r="L10" s="603"/>
    </row>
    <row r="11" spans="2:17" ht="14.85" customHeight="1">
      <c r="B11" s="179" t="str">
        <f>'OPM 1'!B92</f>
        <v>Series C</v>
      </c>
      <c r="D11" s="253">
        <f>'OPM 1'!$L92</f>
        <v>55057.162000671888</v>
      </c>
      <c r="E11" s="601"/>
      <c r="F11" s="253">
        <f>'Cap Table'!$F$11</f>
        <v>27528.580999999998</v>
      </c>
      <c r="G11" s="263"/>
      <c r="H11" s="602">
        <f>D11/F11</f>
        <v>2.0000000000244071</v>
      </c>
      <c r="I11" s="602"/>
      <c r="J11" s="603"/>
      <c r="K11" s="550"/>
      <c r="L11" s="603"/>
      <c r="O11" s="182" t="s">
        <v>3785</v>
      </c>
    </row>
    <row r="12" spans="2:17" ht="14.85" customHeight="1">
      <c r="B12" s="179" t="s">
        <v>3838</v>
      </c>
      <c r="D12" s="253">
        <f>SUM('OPM 1'!L93:L93)</f>
        <v>1708.191674506932</v>
      </c>
      <c r="E12" s="601"/>
      <c r="F12" s="253">
        <f>SUM('Cap Table'!D25:D25)</f>
        <v>2454.5419999999999</v>
      </c>
      <c r="G12" s="263"/>
      <c r="H12" s="602">
        <f>D12/F12</f>
        <v>0.69593092092412034</v>
      </c>
      <c r="I12" s="602"/>
      <c r="J12" s="603"/>
      <c r="K12" s="550"/>
      <c r="L12" s="603"/>
      <c r="O12" s="310">
        <f>L13/P4</f>
        <v>0.24604438902527759</v>
      </c>
    </row>
    <row r="13" spans="2:17" ht="14.85" customHeight="1">
      <c r="B13" s="179" t="str">
        <f>'OPM 1'!B94</f>
        <v>Common Stock</v>
      </c>
      <c r="C13" s="512"/>
      <c r="D13" s="253">
        <f>'OPM 1'!L94</f>
        <v>22766.84080028117</v>
      </c>
      <c r="E13" s="601"/>
      <c r="F13" s="253">
        <f>'Cap Table'!K11</f>
        <v>27759.431</v>
      </c>
      <c r="G13" s="263"/>
      <c r="H13" s="602">
        <f>D13/F13</f>
        <v>0.820147963417592</v>
      </c>
      <c r="I13" s="602"/>
      <c r="J13" s="555">
        <f>DLOM_OPM!D67</f>
        <v>0.4</v>
      </c>
      <c r="K13" s="550"/>
      <c r="L13" s="602">
        <f>H13*(1-J13)</f>
        <v>0.49208877805055518</v>
      </c>
    </row>
    <row r="14" spans="2:17" ht="14.85" customHeight="1">
      <c r="B14" s="264"/>
      <c r="C14" s="264"/>
      <c r="D14" s="604"/>
      <c r="E14" s="604"/>
      <c r="F14" s="604"/>
      <c r="G14" s="264"/>
      <c r="H14" s="569"/>
      <c r="I14" s="264"/>
      <c r="J14" s="569"/>
      <c r="K14" s="569"/>
      <c r="L14" s="569"/>
    </row>
    <row r="15" spans="2:17" ht="14.85" customHeight="1">
      <c r="B15" s="182" t="str">
        <f>'OPM 1'!B96</f>
        <v>Total Tranche Value</v>
      </c>
      <c r="D15" s="605">
        <f>SUM(D9:D13)</f>
        <v>161437.64693652521</v>
      </c>
      <c r="E15" s="576"/>
      <c r="F15" s="605">
        <f>SUM(F9:F13)</f>
        <v>128001.288</v>
      </c>
      <c r="H15" s="203"/>
      <c r="J15" s="203"/>
      <c r="K15" s="203"/>
      <c r="L15" s="203"/>
    </row>
    <row r="16" spans="2:17" ht="14.85" customHeight="1"/>
    <row r="17" spans="1:18" ht="14.85" customHeight="1">
      <c r="B17" s="272" t="s">
        <v>86</v>
      </c>
    </row>
    <row r="18" spans="1:18" ht="14.85" customHeight="1">
      <c r="A18" s="273" t="s">
        <v>261</v>
      </c>
      <c r="B18" s="330" t="str">
        <f>"Refer to "&amp;DLOM_OPM!B3&amp;" for DLOM calculations."</f>
        <v>Refer to Exhibit F.1 for DLOM calculations.</v>
      </c>
    </row>
    <row r="19" spans="1:18" ht="14.85" customHeight="1">
      <c r="O19" s="324"/>
    </row>
    <row r="20" spans="1:18" ht="14.85" customHeight="1">
      <c r="D20" s="606"/>
    </row>
    <row r="21" spans="1:18" ht="14.85" customHeight="1">
      <c r="B21" s="179" t="s">
        <v>2027</v>
      </c>
      <c r="D21" s="271" t="str">
        <f>IF((D15&lt;&gt;'OPM 1'!L96),"Check","")</f>
        <v/>
      </c>
      <c r="F21" s="271" t="str">
        <f>IF((F15&lt;&gt;'Cap Table'!M21),"Check","")</f>
        <v/>
      </c>
      <c r="R21" s="201"/>
    </row>
    <row r="22" spans="1:18" ht="14.85" customHeight="1">
      <c r="O22" s="257"/>
    </row>
    <row r="23" spans="1:18" ht="14.85" customHeight="1">
      <c r="O23" s="257"/>
    </row>
    <row r="24" spans="1:18" ht="14.85" customHeight="1">
      <c r="O24" s="376"/>
      <c r="R24" s="349"/>
    </row>
    <row r="25" spans="1:18" ht="14.85" customHeight="1">
      <c r="O25" s="257"/>
    </row>
    <row r="26" spans="1:18" ht="14.85" customHeight="1">
      <c r="O26" s="257"/>
    </row>
    <row r="27" spans="1:18" ht="14.85" customHeight="1"/>
    <row r="28" spans="1:18" ht="14.85" customHeight="1"/>
    <row r="29" spans="1:18" ht="14.85" customHeight="1">
      <c r="R29" s="201"/>
    </row>
    <row r="30" spans="1:18" ht="14.85" customHeight="1">
      <c r="O30" s="360"/>
    </row>
    <row r="31" spans="1:18" ht="14.85" customHeight="1">
      <c r="O31" s="360"/>
    </row>
    <row r="32" spans="1:18" ht="14.85" customHeight="1">
      <c r="O32" s="607"/>
      <c r="R32" s="349"/>
    </row>
    <row r="33" spans="15:15" ht="14.85" customHeight="1">
      <c r="O33" s="360"/>
    </row>
    <row r="34" spans="15:15" ht="14.85" customHeight="1">
      <c r="O34" s="360"/>
    </row>
    <row r="35" spans="15:15" ht="14.85" customHeight="1"/>
    <row r="36" spans="15:15" ht="14.85" customHeight="1"/>
    <row r="37" spans="15:15" ht="14.85" customHeight="1"/>
    <row r="38" spans="15:15" ht="14.85" customHeight="1"/>
    <row r="39" spans="15:15" ht="14.85" customHeight="1"/>
    <row r="40" spans="15:15" ht="14.85" customHeight="1"/>
    <row r="41" spans="15:15" ht="14.85" customHeight="1"/>
    <row r="42" spans="15:15" ht="14.85" customHeight="1"/>
    <row r="43" spans="15:15" ht="14.85" customHeight="1"/>
    <row r="44" spans="15:15" ht="14.85" customHeight="1"/>
    <row r="45" spans="15:15" ht="14.85" customHeight="1"/>
    <row r="46" spans="15:15" ht="14.85" customHeight="1"/>
    <row r="47" spans="15:15" ht="14.85" customHeight="1"/>
    <row r="48" spans="15:15"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sheetData>
  <dataConsolidate/>
  <conditionalFormatting sqref="B4:I4">
    <cfRule type="cellIs" dxfId="353" priority="9" stopIfTrue="1" operator="equal">
      <formula>"input"</formula>
    </cfRule>
  </conditionalFormatting>
  <conditionalFormatting sqref="J4">
    <cfRule type="cellIs" dxfId="352" priority="7" stopIfTrue="1" operator="equal">
      <formula>"input"</formula>
    </cfRule>
  </conditionalFormatting>
  <conditionalFormatting sqref="J4">
    <cfRule type="cellIs" dxfId="351" priority="8" stopIfTrue="1" operator="equal">
      <formula>"input"</formula>
    </cfRule>
  </conditionalFormatting>
  <conditionalFormatting sqref="K4">
    <cfRule type="cellIs" dxfId="350" priority="5" stopIfTrue="1" operator="equal">
      <formula>"input"</formula>
    </cfRule>
  </conditionalFormatting>
  <conditionalFormatting sqref="K4">
    <cfRule type="cellIs" dxfId="349" priority="6" stopIfTrue="1" operator="equal">
      <formula>"input"</formula>
    </cfRule>
  </conditionalFormatting>
  <conditionalFormatting sqref="L4">
    <cfRule type="cellIs" dxfId="348" priority="1" stopIfTrue="1" operator="equal">
      <formula>"input"</formula>
    </cfRule>
  </conditionalFormatting>
  <conditionalFormatting sqref="L4">
    <cfRule type="cellIs" dxfId="347" priority="2" stopIfTrue="1" operator="equal">
      <formula>"input"</formula>
    </cfRule>
  </conditionalFormatting>
  <pageMargins left="0.5" right="0.5" top="0.5" bottom="0.5" header="0.5" footer="0.5"/>
  <pageSetup scale="98" fitToWidth="0" fitToHeight="0" orientation="landscape" r:id="rId1"/>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theme="3" tint="-0.499984740745262"/>
    <pageSetUpPr fitToPage="1"/>
  </sheetPr>
  <dimension ref="B6:G30"/>
  <sheetViews>
    <sheetView showGridLines="0" tabSelected="1" view="pageBreakPreview" zoomScale="60" zoomScaleNormal="100" workbookViewId="0">
      <selection activeCell="H11" sqref="H11"/>
    </sheetView>
  </sheetViews>
  <sheetFormatPr defaultColWidth="9.33203125" defaultRowHeight="12.75"/>
  <cols>
    <col min="1" max="1" width="4.5" style="231" customWidth="1"/>
    <col min="2" max="2" width="2.83203125" style="231" customWidth="1"/>
    <col min="3" max="3" width="13.83203125" style="231" customWidth="1"/>
    <col min="4" max="4" width="110.83203125" style="278" customWidth="1"/>
    <col min="5" max="5" width="13.83203125" style="231" customWidth="1"/>
    <col min="6" max="6" width="2.83203125" style="231" customWidth="1"/>
    <col min="7" max="7" width="4.5" style="231" customWidth="1"/>
    <col min="8" max="8" width="2.83203125" style="231" customWidth="1"/>
    <col min="9" max="9" width="9.33203125" style="231"/>
    <col min="10" max="10" width="16.33203125" style="231" bestFit="1" customWidth="1"/>
    <col min="11" max="11" width="19" style="231" bestFit="1" customWidth="1"/>
    <col min="12" max="16384" width="9.33203125" style="231"/>
  </cols>
  <sheetData>
    <row r="6" spans="2:7">
      <c r="C6" s="724"/>
      <c r="D6" s="725"/>
      <c r="E6" s="724"/>
      <c r="F6" s="724"/>
      <c r="G6" s="724"/>
    </row>
    <row r="7" spans="2:7" ht="13.5" thickBot="1">
      <c r="C7" s="724"/>
      <c r="D7" s="725"/>
      <c r="E7" s="724"/>
      <c r="F7" s="724"/>
      <c r="G7" s="724"/>
    </row>
    <row r="8" spans="2:7" ht="15" thickTop="1">
      <c r="B8" s="967"/>
      <c r="C8" s="967"/>
      <c r="D8" s="159"/>
      <c r="E8" s="967"/>
      <c r="F8" s="967"/>
      <c r="G8" s="724"/>
    </row>
    <row r="9" spans="2:7" ht="30">
      <c r="B9" s="969"/>
      <c r="C9" s="969"/>
      <c r="D9" s="189" t="s">
        <v>3612</v>
      </c>
      <c r="E9" s="969"/>
      <c r="F9" s="969"/>
      <c r="G9" s="724"/>
    </row>
    <row r="10" spans="2:7" ht="15" thickBot="1">
      <c r="B10" s="971"/>
      <c r="C10" s="971"/>
      <c r="D10" s="172"/>
      <c r="E10" s="971"/>
      <c r="F10" s="971"/>
      <c r="G10" s="724"/>
    </row>
    <row r="11" spans="2:7" ht="13.5" thickTop="1">
      <c r="G11" s="724"/>
    </row>
    <row r="12" spans="2:7">
      <c r="G12" s="724"/>
    </row>
    <row r="13" spans="2:7" ht="18">
      <c r="D13" s="174"/>
      <c r="G13" s="724"/>
    </row>
    <row r="14" spans="2:7" ht="18">
      <c r="D14" s="175"/>
    </row>
    <row r="27" spans="4:4" ht="23.25">
      <c r="D27" s="176"/>
    </row>
    <row r="29" spans="4:4" ht="18">
      <c r="D29" s="177"/>
    </row>
    <row r="30" spans="4:4" ht="36">
      <c r="D30" s="178" t="s">
        <v>458</v>
      </c>
    </row>
  </sheetData>
  <pageMargins left="0.5" right="0.5" top="0.5" bottom="0.5" header="0.5" footer="0.5"/>
  <pageSetup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1:F767"/>
  <sheetViews>
    <sheetView showGridLines="0" tabSelected="1" view="pageBreakPreview" zoomScale="80" zoomScaleNormal="100" zoomScaleSheetLayoutView="80" workbookViewId="0">
      <selection activeCell="H11" sqref="H11"/>
    </sheetView>
  </sheetViews>
  <sheetFormatPr defaultRowHeight="12.75" outlineLevelRow="1"/>
  <cols>
    <col min="1" max="1" width="4.5" style="179" customWidth="1"/>
    <col min="2" max="2" width="89.33203125" style="179" customWidth="1"/>
    <col min="3" max="3" width="3.83203125" style="179" customWidth="1"/>
    <col min="4" max="4" width="50.83203125" style="179" customWidth="1"/>
    <col min="5" max="7" width="4.5" style="179" customWidth="1"/>
    <col min="8" max="16384" width="9.33203125" style="179"/>
  </cols>
  <sheetData>
    <row r="1" spans="2:6" ht="10.7" customHeight="1" thickBot="1"/>
    <row r="2" spans="2:6" ht="16.5" customHeight="1" thickTop="1">
      <c r="B2" s="187" t="str">
        <f>'MASTER PubCo Inputs'!$C$5</f>
        <v>Decibel Therapeutics, Inc.</v>
      </c>
      <c r="C2" s="187"/>
      <c r="D2" s="187"/>
      <c r="E2" s="186"/>
      <c r="F2" s="186"/>
    </row>
    <row r="3" spans="2:6" ht="15.75" customHeight="1">
      <c r="B3" s="188" t="str">
        <f>VLOOKUP(B4,Outline!$E$8:$G$75,COLUMNS(Outline!$E$8:$G$8),FALSE)</f>
        <v>Exhibit C.1</v>
      </c>
      <c r="C3" s="188"/>
      <c r="D3" s="188"/>
      <c r="E3" s="186"/>
      <c r="F3" s="186"/>
    </row>
    <row r="4" spans="2:6" ht="16.5" customHeight="1" thickBot="1">
      <c r="B4" s="726" t="s">
        <v>3816</v>
      </c>
      <c r="C4" s="726"/>
      <c r="D4" s="727" t="s">
        <v>0</v>
      </c>
      <c r="E4" s="186"/>
      <c r="F4" s="186"/>
    </row>
    <row r="5" spans="2:6" ht="14.85" customHeight="1" thickTop="1"/>
    <row r="6" spans="2:6" ht="14.85" customHeight="1"/>
    <row r="7" spans="2:6" ht="14.85" customHeight="1"/>
    <row r="8" spans="2:6" ht="14.85" customHeight="1">
      <c r="C8" s="2016"/>
      <c r="D8" s="2015" t="s">
        <v>707</v>
      </c>
    </row>
    <row r="9" spans="2:6" ht="14.85" customHeight="1">
      <c r="B9" s="548"/>
      <c r="D9" s="2013">
        <f>YEAR('MASTER PubCo Inputs'!$C$6)+1</f>
        <v>2019</v>
      </c>
    </row>
    <row r="10" spans="2:6" ht="14.85" customHeight="1">
      <c r="D10" s="203"/>
    </row>
    <row r="11" spans="2:6" ht="8.1" customHeight="1">
      <c r="D11" s="203"/>
    </row>
    <row r="12" spans="2:6" ht="14.85" customHeight="1">
      <c r="B12" s="179" t="s">
        <v>207</v>
      </c>
      <c r="D12" s="550" t="s">
        <v>208</v>
      </c>
    </row>
    <row r="13" spans="2:6" ht="9.9499999999999993" customHeight="1">
      <c r="D13" s="550"/>
    </row>
    <row r="14" spans="2:6" ht="14.85" customHeight="1">
      <c r="B14" s="179" t="s">
        <v>162</v>
      </c>
      <c r="D14" s="552">
        <v>0</v>
      </c>
    </row>
    <row r="15" spans="2:6" ht="14.85" customHeight="1">
      <c r="D15" s="1908"/>
    </row>
    <row r="16" spans="2:6" ht="14.85" customHeight="1">
      <c r="B16" s="252" t="s">
        <v>209</v>
      </c>
      <c r="D16" s="552">
        <v>0</v>
      </c>
    </row>
    <row r="17" spans="2:4" ht="9.9499999999999993" customHeight="1" collapsed="1">
      <c r="B17" s="264"/>
      <c r="C17" s="264"/>
      <c r="D17" s="2012"/>
    </row>
    <row r="18" spans="2:4" ht="14.85" customHeight="1">
      <c r="B18" s="179" t="s">
        <v>166</v>
      </c>
      <c r="D18" s="601">
        <f>D14+D16</f>
        <v>0</v>
      </c>
    </row>
    <row r="19" spans="2:4" ht="9.9499999999999993" customHeight="1">
      <c r="D19" s="550"/>
    </row>
    <row r="20" spans="2:4" ht="14.85" customHeight="1">
      <c r="B20" s="182" t="s">
        <v>168</v>
      </c>
      <c r="D20" s="550"/>
    </row>
    <row r="21" spans="2:4" ht="14.85" customHeight="1">
      <c r="B21" s="252" t="s">
        <v>169</v>
      </c>
      <c r="D21" s="2009">
        <v>12100</v>
      </c>
    </row>
    <row r="22" spans="2:4" ht="14.85" hidden="1" customHeight="1" outlineLevel="1">
      <c r="B22" s="252" t="s">
        <v>170</v>
      </c>
      <c r="D22" s="2009">
        <v>0</v>
      </c>
    </row>
    <row r="23" spans="2:4" ht="14.85" customHeight="1" collapsed="1">
      <c r="B23" s="252" t="s">
        <v>171</v>
      </c>
      <c r="D23" s="2009">
        <f>27800+5900+11800</f>
        <v>45500</v>
      </c>
    </row>
    <row r="24" spans="2:4" ht="14.85" hidden="1" customHeight="1" outlineLevel="1">
      <c r="B24" s="252" t="s">
        <v>172</v>
      </c>
      <c r="D24" s="2009">
        <v>0</v>
      </c>
    </row>
    <row r="25" spans="2:4" ht="14.85" hidden="1" customHeight="1" outlineLevel="1">
      <c r="B25" s="252" t="s">
        <v>173</v>
      </c>
      <c r="D25" s="2009">
        <v>0</v>
      </c>
    </row>
    <row r="26" spans="2:4" ht="9.9499999999999993" customHeight="1" collapsed="1">
      <c r="B26" s="264"/>
      <c r="C26" s="264"/>
      <c r="D26" s="2011"/>
    </row>
    <row r="27" spans="2:4" ht="14.85" customHeight="1">
      <c r="B27" s="202" t="s">
        <v>3815</v>
      </c>
      <c r="D27" s="2009">
        <f>SUM(D21:D25)</f>
        <v>57600</v>
      </c>
    </row>
    <row r="28" spans="2:4" ht="9.9499999999999993" customHeight="1">
      <c r="D28" s="2009"/>
    </row>
    <row r="29" spans="2:4" ht="14.85" hidden="1" customHeight="1" outlineLevel="1">
      <c r="B29" s="179" t="s">
        <v>210</v>
      </c>
      <c r="D29" s="2009">
        <f>D18+D27</f>
        <v>57600</v>
      </c>
    </row>
    <row r="30" spans="2:4" ht="9.9499999999999993" hidden="1" customHeight="1" outlineLevel="1">
      <c r="D30" s="2009"/>
    </row>
    <row r="31" spans="2:4" ht="14.85" hidden="1" customHeight="1" outlineLevel="1">
      <c r="B31" s="252" t="s">
        <v>211</v>
      </c>
      <c r="D31" s="2009"/>
    </row>
    <row r="32" spans="2:4" ht="14.85" hidden="1" customHeight="1" outlineLevel="1">
      <c r="B32" s="252" t="s">
        <v>212</v>
      </c>
      <c r="D32" s="2009"/>
    </row>
    <row r="33" spans="2:4" ht="14.85" hidden="1" customHeight="1" outlineLevel="1">
      <c r="B33" s="252" t="s">
        <v>213</v>
      </c>
      <c r="D33" s="2009"/>
    </row>
    <row r="34" spans="2:4" ht="9.9499999999999993" hidden="1" customHeight="1" outlineLevel="1" collapsed="1">
      <c r="B34" s="264"/>
      <c r="C34" s="264"/>
      <c r="D34" s="2011"/>
    </row>
    <row r="35" spans="2:4" ht="14.85" hidden="1" customHeight="1" outlineLevel="1">
      <c r="B35" s="202" t="s">
        <v>214</v>
      </c>
      <c r="D35" s="2009">
        <f>SUM(D29:D33)</f>
        <v>57600</v>
      </c>
    </row>
    <row r="36" spans="2:4" ht="9.9499999999999993" hidden="1" customHeight="1" outlineLevel="1">
      <c r="D36" s="2009"/>
    </row>
    <row r="37" spans="2:4" ht="14.85" hidden="1" customHeight="1" outlineLevel="1">
      <c r="B37" s="252" t="s">
        <v>215</v>
      </c>
      <c r="D37" s="2009"/>
    </row>
    <row r="38" spans="2:4" ht="9.9499999999999993" hidden="1" customHeight="1" outlineLevel="1">
      <c r="B38" s="264"/>
      <c r="C38" s="264"/>
      <c r="D38" s="2011"/>
    </row>
    <row r="39" spans="2:4" ht="14.85" hidden="1" customHeight="1" outlineLevel="1">
      <c r="B39" s="182" t="s">
        <v>216</v>
      </c>
      <c r="C39" s="182"/>
      <c r="D39" s="2010">
        <f>D35+D37</f>
        <v>57600</v>
      </c>
    </row>
    <row r="40" spans="2:4" ht="14.85" customHeight="1" collapsed="1">
      <c r="D40" s="2009"/>
    </row>
    <row r="41" spans="2:4" ht="14.85" customHeight="1">
      <c r="B41" s="182" t="s">
        <v>217</v>
      </c>
      <c r="D41" s="2009"/>
    </row>
    <row r="42" spans="2:4" ht="14.85" customHeight="1">
      <c r="B42" s="252" t="s">
        <v>218</v>
      </c>
      <c r="D42" s="2009">
        <v>2000</v>
      </c>
    </row>
    <row r="43" spans="2:4" ht="14.85" customHeight="1">
      <c r="B43" s="202"/>
      <c r="D43" s="2008"/>
    </row>
    <row r="44" spans="2:4" ht="14.85" customHeight="1">
      <c r="B44" s="202"/>
      <c r="D44" s="2008"/>
    </row>
    <row r="45" spans="2:4" ht="9.9499999999999993" customHeight="1">
      <c r="D45" s="2008"/>
    </row>
    <row r="46" spans="2:4" ht="14.85" hidden="1" customHeight="1" outlineLevel="1">
      <c r="B46" s="252" t="s">
        <v>175</v>
      </c>
      <c r="D46" s="2008">
        <f>D29-D24</f>
        <v>57600</v>
      </c>
    </row>
    <row r="47" spans="2:4" ht="14.85" customHeight="1" collapsed="1"/>
    <row r="48" spans="2:4" ht="14.85" customHeight="1">
      <c r="B48" s="272"/>
    </row>
    <row r="49" spans="2:2" ht="14.85" customHeight="1">
      <c r="B49" s="398"/>
    </row>
    <row r="50" spans="2:2" ht="14.85" customHeight="1">
      <c r="B50" s="848"/>
    </row>
    <row r="51" spans="2:2" ht="14.85" customHeight="1"/>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sheetData>
  <conditionalFormatting sqref="C4:D4">
    <cfRule type="cellIs" dxfId="346" priority="6" stopIfTrue="1" operator="equal">
      <formula>"input"</formula>
    </cfRule>
  </conditionalFormatting>
  <conditionalFormatting sqref="D4">
    <cfRule type="cellIs" dxfId="345" priority="4" stopIfTrue="1" operator="equal">
      <formula>"input"</formula>
    </cfRule>
  </conditionalFormatting>
  <conditionalFormatting sqref="D4">
    <cfRule type="cellIs" dxfId="344" priority="3" stopIfTrue="1" operator="equal">
      <formula>"input"</formula>
    </cfRule>
  </conditionalFormatting>
  <conditionalFormatting sqref="B4">
    <cfRule type="cellIs" dxfId="343" priority="2" stopIfTrue="1" operator="equal">
      <formula>"input"</formula>
    </cfRule>
  </conditionalFormatting>
  <pageMargins left="0.5" right="0.5" top="0.5" bottom="0.5" header="0.5" footer="0.5"/>
  <pageSetup orientation="landscape" r:id="rId1"/>
  <colBreaks count="1" manualBreakCount="1">
    <brk id="5" max="42" man="1"/>
  </colBreaks>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N765"/>
  <sheetViews>
    <sheetView showGridLines="0" tabSelected="1" view="pageBreakPreview" zoomScale="80" zoomScaleNormal="100" zoomScaleSheetLayoutView="80" workbookViewId="0">
      <selection activeCell="H11" sqref="H11"/>
    </sheetView>
  </sheetViews>
  <sheetFormatPr defaultRowHeight="12.75" outlineLevelRow="1"/>
  <cols>
    <col min="1" max="1" width="4.5" style="179" customWidth="1"/>
    <col min="2" max="2" width="52.83203125" style="179" customWidth="1"/>
    <col min="3" max="3" width="3.83203125" style="179" customWidth="1"/>
    <col min="4" max="5" width="29.83203125" style="179" customWidth="1"/>
    <col min="6" max="6" width="6.33203125" style="179" customWidth="1"/>
    <col min="7" max="7" width="29.83203125" style="179" customWidth="1"/>
    <col min="8" max="9" width="4.5" style="179" customWidth="1"/>
    <col min="10" max="10" width="50.83203125" style="179" customWidth="1"/>
    <col min="11" max="11" width="3.83203125" style="179" customWidth="1"/>
    <col min="12" max="14" width="24" style="179" customWidth="1"/>
    <col min="15" max="15" width="4.5" style="179" customWidth="1"/>
    <col min="16" max="16384" width="9.33203125" style="179"/>
  </cols>
  <sheetData>
    <row r="1" spans="2:14" ht="10.7" customHeight="1" thickBot="1"/>
    <row r="2" spans="2:14" ht="16.5" customHeight="1" thickTop="1">
      <c r="B2" s="187" t="str">
        <f>'MASTER PubCo Inputs'!$C$5</f>
        <v>Decibel Therapeutics, Inc.</v>
      </c>
      <c r="C2" s="187"/>
      <c r="D2" s="187"/>
      <c r="E2" s="187"/>
      <c r="F2" s="187"/>
      <c r="G2" s="187"/>
      <c r="H2" s="186"/>
      <c r="I2" s="186"/>
      <c r="J2" s="187" t="str">
        <f>'MASTER PubCo Inputs'!$C$5</f>
        <v>Decibel Therapeutics, Inc.</v>
      </c>
      <c r="K2" s="187"/>
      <c r="L2" s="187"/>
      <c r="M2" s="187"/>
      <c r="N2" s="187"/>
    </row>
    <row r="3" spans="2:14" ht="15.75" customHeight="1">
      <c r="B3" s="188" t="str">
        <f>VLOOKUP(B4,Outline!$E$8:$G$75,COLUMNS(Outline!$E$8:$G$8),FALSE)</f>
        <v>Exhibit C.2</v>
      </c>
      <c r="C3" s="188"/>
      <c r="D3" s="188"/>
      <c r="E3" s="188"/>
      <c r="F3" s="188"/>
      <c r="G3" s="188"/>
      <c r="H3" s="186"/>
      <c r="I3" s="186"/>
      <c r="J3" s="188" t="str">
        <f>B3</f>
        <v>Exhibit C.2</v>
      </c>
      <c r="K3" s="188"/>
      <c r="L3" s="188"/>
      <c r="M3" s="188"/>
      <c r="N3" s="188"/>
    </row>
    <row r="4" spans="2:14" ht="16.5" customHeight="1" thickBot="1">
      <c r="B4" s="726" t="s">
        <v>158</v>
      </c>
      <c r="C4" s="726"/>
      <c r="D4" s="726"/>
      <c r="E4" s="726"/>
      <c r="F4" s="726"/>
      <c r="G4" s="727" t="str">
        <f>+'MASTER PubCo Inputs'!$C$21</f>
        <v>(in thousands of USD)</v>
      </c>
      <c r="H4" s="186"/>
      <c r="I4" s="186"/>
      <c r="J4" s="726" t="s">
        <v>550</v>
      </c>
      <c r="K4" s="726"/>
      <c r="L4" s="726"/>
      <c r="M4" s="726"/>
      <c r="N4" s="726"/>
    </row>
    <row r="5" spans="2:14" ht="14.85" customHeight="1" thickTop="1"/>
    <row r="6" spans="2:14" ht="14.85" customHeight="1"/>
    <row r="7" spans="2:14" ht="14.85" customHeight="1">
      <c r="G7" s="368"/>
    </row>
    <row r="8" spans="2:14" ht="14.85" customHeight="1">
      <c r="C8" s="838"/>
      <c r="D8" s="839" t="s">
        <v>707</v>
      </c>
      <c r="E8" s="2018"/>
      <c r="F8" s="842"/>
      <c r="G8" s="2014" t="s">
        <v>3817</v>
      </c>
      <c r="K8" s="838"/>
      <c r="L8" s="839" t="s">
        <v>707</v>
      </c>
      <c r="M8" s="840"/>
      <c r="N8" s="841"/>
    </row>
    <row r="9" spans="2:14" ht="14.85" customHeight="1">
      <c r="B9" s="548"/>
      <c r="D9" s="843">
        <f>E9-1</f>
        <v>2016</v>
      </c>
      <c r="E9" s="2019">
        <f>YEAR('MASTER PubCo Inputs'!C7)</f>
        <v>2017</v>
      </c>
      <c r="F9" s="2017"/>
      <c r="G9" s="2020">
        <v>43251</v>
      </c>
      <c r="J9" s="548"/>
      <c r="K9" s="339"/>
      <c r="L9" s="843">
        <f>+D9</f>
        <v>2016</v>
      </c>
      <c r="M9" s="844">
        <f>+E9</f>
        <v>2017</v>
      </c>
      <c r="N9" s="845">
        <f>+G9</f>
        <v>43251</v>
      </c>
    </row>
    <row r="10" spans="2:14" ht="14.85" customHeight="1">
      <c r="D10" s="203"/>
      <c r="E10" s="203"/>
      <c r="F10" s="203"/>
      <c r="G10" s="273" t="s">
        <v>261</v>
      </c>
      <c r="L10" s="203"/>
      <c r="M10" s="203"/>
      <c r="N10" s="203"/>
    </row>
    <row r="11" spans="2:14" ht="8.1" customHeight="1">
      <c r="D11" s="203"/>
      <c r="E11" s="203"/>
      <c r="F11" s="203"/>
      <c r="G11" s="273"/>
      <c r="L11" s="203"/>
      <c r="M11" s="203"/>
      <c r="N11" s="203"/>
    </row>
    <row r="12" spans="2:14" ht="14.85" customHeight="1">
      <c r="B12" s="179" t="s">
        <v>207</v>
      </c>
      <c r="D12" s="550" t="s">
        <v>208</v>
      </c>
      <c r="E12" s="550" t="s">
        <v>208</v>
      </c>
      <c r="F12" s="550"/>
      <c r="G12" s="550" t="s">
        <v>548</v>
      </c>
      <c r="J12" s="179" t="str">
        <f>B12</f>
        <v>Time in Period</v>
      </c>
      <c r="L12" s="203" t="str">
        <f>+D12</f>
        <v>1 Year</v>
      </c>
      <c r="M12" s="203" t="str">
        <f>+E12</f>
        <v>1 Year</v>
      </c>
      <c r="N12" s="203" t="str">
        <f>+G12</f>
        <v>YTD</v>
      </c>
    </row>
    <row r="13" spans="2:14" ht="9.9499999999999993" customHeight="1">
      <c r="D13" s="549"/>
      <c r="E13" s="549"/>
      <c r="F13" s="549"/>
      <c r="G13" s="549"/>
    </row>
    <row r="14" spans="2:14" ht="14.85" customHeight="1">
      <c r="B14" s="179" t="s">
        <v>162</v>
      </c>
      <c r="D14" s="564">
        <v>0</v>
      </c>
      <c r="E14" s="564">
        <v>0</v>
      </c>
      <c r="F14" s="564"/>
      <c r="G14" s="285">
        <v>2083</v>
      </c>
      <c r="J14" s="179" t="str">
        <f>B14</f>
        <v>Revenue</v>
      </c>
      <c r="L14" s="384" t="str">
        <f>IF(ISERROR(D14/D$14), "n/a", D14/D$14)</f>
        <v>n/a</v>
      </c>
      <c r="M14" s="384" t="str">
        <f>IF(ISERROR(E14/E$14), "n/a", E14/E$14)</f>
        <v>n/a</v>
      </c>
      <c r="N14" s="384">
        <f>IF(ISERROR(G14/G$14), "n/a", G14/G$14)</f>
        <v>1</v>
      </c>
    </row>
    <row r="15" spans="2:14" ht="14.85" hidden="1" customHeight="1" outlineLevel="1">
      <c r="D15" s="201"/>
      <c r="E15" s="201"/>
      <c r="F15" s="201"/>
      <c r="G15" s="549"/>
    </row>
    <row r="16" spans="2:14" ht="14.85" hidden="1" customHeight="1" outlineLevel="1">
      <c r="B16" s="252" t="s">
        <v>209</v>
      </c>
      <c r="D16" s="564">
        <v>0</v>
      </c>
      <c r="E16" s="564">
        <v>0</v>
      </c>
      <c r="F16" s="564"/>
      <c r="G16" s="285">
        <v>0</v>
      </c>
      <c r="J16" s="252" t="str">
        <f>B16</f>
        <v>Cost of Sales (Goods Sold)</v>
      </c>
      <c r="L16" s="384" t="str">
        <f>IF(ISERROR(D16/D$14), "n/a", D16/D$14)</f>
        <v>n/a</v>
      </c>
      <c r="M16" s="384" t="str">
        <f>IF(ISERROR(E16/E$14), "n/a", E16/E$14)</f>
        <v>n/a</v>
      </c>
      <c r="N16" s="384">
        <f>IF(ISERROR(G16/G$14), "n/a", G16/G$14)</f>
        <v>0</v>
      </c>
    </row>
    <row r="17" spans="2:14" ht="9.9499999999999993" customHeight="1" collapsed="1">
      <c r="B17" s="264"/>
      <c r="C17" s="264"/>
      <c r="D17" s="578"/>
      <c r="E17" s="578"/>
      <c r="F17" s="578"/>
      <c r="G17" s="578"/>
      <c r="J17" s="264"/>
      <c r="K17" s="264"/>
      <c r="L17" s="264"/>
      <c r="M17" s="264"/>
      <c r="N17" s="264"/>
    </row>
    <row r="18" spans="2:14" ht="14.85" customHeight="1">
      <c r="B18" s="179" t="s">
        <v>166</v>
      </c>
      <c r="D18" s="285">
        <f>D14+D16</f>
        <v>0</v>
      </c>
      <c r="E18" s="285">
        <f>E14+E16</f>
        <v>0</v>
      </c>
      <c r="F18" s="285"/>
      <c r="G18" s="285">
        <f>G14+G16</f>
        <v>2083</v>
      </c>
      <c r="J18" s="179" t="str">
        <f>B18</f>
        <v>Gross Profit</v>
      </c>
      <c r="L18" s="384" t="str">
        <f>IF(ISERROR(D18/D$14), "n/a", D18/D$14)</f>
        <v>n/a</v>
      </c>
      <c r="M18" s="384" t="str">
        <f>IF(ISERROR(E18/E$14), "n/a", E18/E$14)</f>
        <v>n/a</v>
      </c>
      <c r="N18" s="384">
        <f>IF(ISERROR(G18/G$14), "n/a", G18/G$14)</f>
        <v>1</v>
      </c>
    </row>
    <row r="19" spans="2:14" ht="9.9499999999999993" customHeight="1">
      <c r="D19" s="549"/>
      <c r="E19" s="549"/>
      <c r="F19" s="549"/>
      <c r="G19" s="549"/>
    </row>
    <row r="20" spans="2:14" ht="14.85" customHeight="1">
      <c r="B20" s="179" t="s">
        <v>168</v>
      </c>
      <c r="D20" s="549"/>
      <c r="E20" s="549"/>
      <c r="F20" s="549"/>
      <c r="G20" s="549"/>
      <c r="J20" s="179" t="str">
        <f t="shared" ref="J20:J25" si="0">B20</f>
        <v>Operating Expenses</v>
      </c>
    </row>
    <row r="21" spans="2:14" ht="14.85" customHeight="1">
      <c r="B21" s="252" t="s">
        <v>169</v>
      </c>
      <c r="D21" s="285">
        <f>-IS!D8/1000</f>
        <v>-4772.1319999999996</v>
      </c>
      <c r="E21" s="285">
        <f>-IS!E8/1000</f>
        <v>-8213.732</v>
      </c>
      <c r="F21" s="285"/>
      <c r="G21" s="285">
        <f>-5785-1101-287-55-743</f>
        <v>-7971</v>
      </c>
      <c r="J21" s="252" t="str">
        <f t="shared" si="0"/>
        <v>General &amp; Administrative</v>
      </c>
      <c r="L21" s="384" t="str">
        <f t="shared" ref="L21:M25" si="1">IF(ISERROR(D21/D$14), "n/a", D21/D$14)</f>
        <v>n/a</v>
      </c>
      <c r="M21" s="384" t="str">
        <f t="shared" si="1"/>
        <v>n/a</v>
      </c>
      <c r="N21" s="384">
        <f t="shared" ref="N21:N25" si="2">IF(ISERROR(G21/G$14), "n/a", G21/G$14)</f>
        <v>-3.826692270763322</v>
      </c>
    </row>
    <row r="22" spans="2:14" ht="14.85" hidden="1" customHeight="1" outlineLevel="1">
      <c r="B22" s="252" t="s">
        <v>170</v>
      </c>
      <c r="D22" s="285">
        <v>0</v>
      </c>
      <c r="E22" s="285">
        <v>0</v>
      </c>
      <c r="F22" s="285"/>
      <c r="G22" s="285">
        <v>0</v>
      </c>
      <c r="J22" s="252" t="str">
        <f t="shared" si="0"/>
        <v>Sales &amp; Marketing</v>
      </c>
      <c r="L22" s="384" t="str">
        <f t="shared" si="1"/>
        <v>n/a</v>
      </c>
      <c r="M22" s="384" t="str">
        <f t="shared" si="1"/>
        <v>n/a</v>
      </c>
      <c r="N22" s="384">
        <f t="shared" si="2"/>
        <v>0</v>
      </c>
    </row>
    <row r="23" spans="2:14" ht="14.85" customHeight="1" collapsed="1">
      <c r="B23" s="252" t="s">
        <v>171</v>
      </c>
      <c r="D23" s="285">
        <f>-IS!D7/1000</f>
        <v>-8571.2129999999997</v>
      </c>
      <c r="E23" s="285">
        <f>-IS!E7/1000</f>
        <v>-15275.135</v>
      </c>
      <c r="F23" s="285"/>
      <c r="G23" s="285">
        <f>-(433+469+59+129+885+1796+295+440+123+49)</f>
        <v>-4678</v>
      </c>
      <c r="J23" s="252" t="str">
        <f t="shared" si="0"/>
        <v>Research &amp; Development</v>
      </c>
      <c r="L23" s="384" t="str">
        <f t="shared" si="1"/>
        <v>n/a</v>
      </c>
      <c r="M23" s="384" t="str">
        <f t="shared" si="1"/>
        <v>n/a</v>
      </c>
      <c r="N23" s="384">
        <f t="shared" si="2"/>
        <v>-2.2457993278924628</v>
      </c>
    </row>
    <row r="24" spans="2:14" ht="14.85" customHeight="1">
      <c r="B24" s="252" t="s">
        <v>172</v>
      </c>
      <c r="D24" s="285">
        <v>0</v>
      </c>
      <c r="E24" s="285">
        <v>0</v>
      </c>
      <c r="F24" s="285"/>
      <c r="G24" s="285">
        <v>-578</v>
      </c>
      <c r="J24" s="252" t="str">
        <f t="shared" si="0"/>
        <v>Depreciation &amp; Amortization</v>
      </c>
      <c r="L24" s="384" t="str">
        <f t="shared" si="1"/>
        <v>n/a</v>
      </c>
      <c r="M24" s="384" t="str">
        <f t="shared" si="1"/>
        <v>n/a</v>
      </c>
      <c r="N24" s="384">
        <f t="shared" si="2"/>
        <v>-0.2774843975036006</v>
      </c>
    </row>
    <row r="25" spans="2:14" ht="14.85" hidden="1" customHeight="1" outlineLevel="1">
      <c r="B25" s="252" t="s">
        <v>173</v>
      </c>
      <c r="D25" s="285"/>
      <c r="E25" s="285"/>
      <c r="F25" s="285"/>
      <c r="G25" s="285"/>
      <c r="J25" s="252" t="str">
        <f t="shared" si="0"/>
        <v>Other Expenses</v>
      </c>
      <c r="L25" s="384" t="str">
        <f t="shared" si="1"/>
        <v>n/a</v>
      </c>
      <c r="M25" s="384" t="str">
        <f t="shared" si="1"/>
        <v>n/a</v>
      </c>
      <c r="N25" s="384">
        <f t="shared" si="2"/>
        <v>0</v>
      </c>
    </row>
    <row r="26" spans="2:14" ht="9.9499999999999993" customHeight="1" collapsed="1">
      <c r="B26" s="264"/>
      <c r="C26" s="264"/>
      <c r="D26" s="578"/>
      <c r="E26" s="578"/>
      <c r="F26" s="578"/>
      <c r="G26" s="578"/>
      <c r="J26" s="264"/>
      <c r="K26" s="264"/>
      <c r="L26" s="264"/>
      <c r="M26" s="264"/>
      <c r="N26" s="264"/>
    </row>
    <row r="27" spans="2:14" ht="14.85" customHeight="1">
      <c r="B27" s="202" t="s">
        <v>163</v>
      </c>
      <c r="D27" s="285">
        <f>SUM(D21:D25)</f>
        <v>-13343.344999999999</v>
      </c>
      <c r="E27" s="285">
        <f>SUM(E21:E25)</f>
        <v>-23488.866999999998</v>
      </c>
      <c r="F27" s="285"/>
      <c r="G27" s="285">
        <f>SUM(G21:G25)</f>
        <v>-13227</v>
      </c>
      <c r="J27" s="202" t="str">
        <f>B27</f>
        <v>Total</v>
      </c>
      <c r="L27" s="384" t="str">
        <f>IF(ISERROR(D27/D$14), "n/a", D27/D$14)</f>
        <v>n/a</v>
      </c>
      <c r="M27" s="384" t="str">
        <f>IF(ISERROR(E27/E$14), "n/a", E27/E$14)</f>
        <v>n/a</v>
      </c>
      <c r="N27" s="384">
        <f>IF(ISERROR(G27/G$14), "n/a", G27/G$14)</f>
        <v>-6.3499759961593858</v>
      </c>
    </row>
    <row r="28" spans="2:14" ht="9.9499999999999993" customHeight="1">
      <c r="D28" s="549"/>
      <c r="E28" s="549"/>
      <c r="F28" s="549"/>
      <c r="G28" s="549"/>
    </row>
    <row r="29" spans="2:14" ht="14.85" customHeight="1">
      <c r="B29" s="179" t="s">
        <v>210</v>
      </c>
      <c r="D29" s="285">
        <f>D18+D27</f>
        <v>-13343.344999999999</v>
      </c>
      <c r="E29" s="285">
        <f>E18+E27</f>
        <v>-23488.866999999998</v>
      </c>
      <c r="F29" s="285"/>
      <c r="G29" s="285">
        <f>G18+G27</f>
        <v>-11144</v>
      </c>
      <c r="J29" s="179" t="str">
        <f>B29</f>
        <v>Operating Income</v>
      </c>
      <c r="L29" s="384" t="str">
        <f>IF(ISERROR(D29/D$14), "n/a", D29/D$14)</f>
        <v>n/a</v>
      </c>
      <c r="M29" s="384" t="str">
        <f>IF(ISERROR(E29/E$14), "n/a", E29/E$14)</f>
        <v>n/a</v>
      </c>
      <c r="N29" s="384">
        <f>IF(ISERROR(G29/G$14), "n/a", G29/G$14)</f>
        <v>-5.3499759961593858</v>
      </c>
    </row>
    <row r="30" spans="2:14" ht="9.9499999999999993" customHeight="1">
      <c r="D30" s="549"/>
      <c r="E30" s="549"/>
      <c r="F30" s="549"/>
      <c r="G30" s="549"/>
    </row>
    <row r="31" spans="2:14" ht="14.85" customHeight="1">
      <c r="B31" s="252" t="s">
        <v>211</v>
      </c>
      <c r="D31" s="285">
        <f>IS!D11/1000</f>
        <v>11.547000000000001</v>
      </c>
      <c r="E31" s="285">
        <f>IS!E11/1000</f>
        <v>177.893</v>
      </c>
      <c r="F31" s="285"/>
      <c r="G31" s="285">
        <v>286</v>
      </c>
      <c r="J31" s="252" t="str">
        <f>B31</f>
        <v>Interest Income/Expense, Net</v>
      </c>
      <c r="L31" s="384" t="str">
        <f t="shared" ref="L31:M33" si="3">IF(ISERROR(D31/D$14), "n/a", D31/D$14)</f>
        <v>n/a</v>
      </c>
      <c r="M31" s="384" t="str">
        <f t="shared" si="3"/>
        <v>n/a</v>
      </c>
      <c r="N31" s="384">
        <f t="shared" ref="N31:N33" si="4">IF(ISERROR(G31/G$14), "n/a", G31/G$14)</f>
        <v>0.13730196831493038</v>
      </c>
    </row>
    <row r="32" spans="2:14" ht="14.85" hidden="1" customHeight="1" outlineLevel="1">
      <c r="B32" s="252" t="s">
        <v>212</v>
      </c>
      <c r="D32" s="285"/>
      <c r="E32" s="285"/>
      <c r="F32" s="285"/>
      <c r="G32" s="285"/>
      <c r="J32" s="252" t="str">
        <f>B32</f>
        <v>Other Income/Expense, Net</v>
      </c>
      <c r="L32" s="384" t="str">
        <f t="shared" si="3"/>
        <v>n/a</v>
      </c>
      <c r="M32" s="384" t="str">
        <f t="shared" si="3"/>
        <v>n/a</v>
      </c>
      <c r="N32" s="384">
        <f t="shared" si="4"/>
        <v>0</v>
      </c>
    </row>
    <row r="33" spans="1:14" ht="14.85" hidden="1" customHeight="1" outlineLevel="1">
      <c r="B33" s="252" t="s">
        <v>213</v>
      </c>
      <c r="D33" s="285"/>
      <c r="E33" s="285"/>
      <c r="F33" s="285"/>
      <c r="G33" s="285"/>
      <c r="J33" s="252" t="str">
        <f>B33</f>
        <v>Nonrecurring Loss</v>
      </c>
      <c r="L33" s="384" t="str">
        <f t="shared" si="3"/>
        <v>n/a</v>
      </c>
      <c r="M33" s="384" t="str">
        <f t="shared" si="3"/>
        <v>n/a</v>
      </c>
      <c r="N33" s="384">
        <f t="shared" si="4"/>
        <v>0</v>
      </c>
    </row>
    <row r="34" spans="1:14" ht="9.9499999999999993" customHeight="1" collapsed="1">
      <c r="B34" s="264"/>
      <c r="C34" s="264"/>
      <c r="D34" s="578"/>
      <c r="E34" s="578"/>
      <c r="F34" s="578"/>
      <c r="G34" s="578"/>
      <c r="J34" s="264"/>
      <c r="K34" s="264"/>
      <c r="L34" s="264"/>
      <c r="M34" s="264"/>
      <c r="N34" s="264"/>
    </row>
    <row r="35" spans="1:14" ht="14.85" customHeight="1">
      <c r="B35" s="202" t="s">
        <v>214</v>
      </c>
      <c r="D35" s="285">
        <f>SUM(D29:D33)</f>
        <v>-13331.797999999999</v>
      </c>
      <c r="E35" s="285">
        <f>SUM(E29:E33)</f>
        <v>-23310.973999999998</v>
      </c>
      <c r="F35" s="285"/>
      <c r="G35" s="285">
        <f>SUM(G29:G33)</f>
        <v>-10858</v>
      </c>
      <c r="J35" s="202" t="str">
        <f>B35</f>
        <v>Pre-Tax Income (Loss)</v>
      </c>
      <c r="L35" s="384" t="str">
        <f>IF(ISERROR(D35/D$14), "n/a", D35/D$14)</f>
        <v>n/a</v>
      </c>
      <c r="M35" s="384" t="str">
        <f>IF(ISERROR(E35/E$14), "n/a", E35/E$14)</f>
        <v>n/a</v>
      </c>
      <c r="N35" s="384">
        <f>IF(ISERROR(G35/G$14), "n/a", G35/G$14)</f>
        <v>-5.2126740278444554</v>
      </c>
    </row>
    <row r="36" spans="1:14" ht="9.9499999999999993" customHeight="1">
      <c r="D36" s="549"/>
      <c r="E36" s="549"/>
      <c r="F36" s="549"/>
      <c r="G36" s="549"/>
    </row>
    <row r="37" spans="1:14" ht="14.85" customHeight="1">
      <c r="B37" s="252" t="s">
        <v>215</v>
      </c>
      <c r="D37" s="285">
        <v>0</v>
      </c>
      <c r="E37" s="285">
        <v>0</v>
      </c>
      <c r="F37" s="285"/>
      <c r="G37" s="285">
        <v>-5</v>
      </c>
      <c r="J37" s="252" t="str">
        <f>B37</f>
        <v>Income Taxes</v>
      </c>
      <c r="L37" s="384" t="str">
        <f>IF(ISERROR(D37/D$14), "n/a", D37/D$14)</f>
        <v>n/a</v>
      </c>
      <c r="M37" s="384" t="str">
        <f>IF(ISERROR(E37/E$14), "n/a", E37/E$14)</f>
        <v>n/a</v>
      </c>
      <c r="N37" s="384">
        <f>IF(ISERROR(G37/G$14), "n/a", G37/G$14)</f>
        <v>-2.400384061449832E-3</v>
      </c>
    </row>
    <row r="38" spans="1:14" ht="9.9499999999999993" customHeight="1">
      <c r="B38" s="264"/>
      <c r="C38" s="264"/>
      <c r="D38" s="578"/>
      <c r="E38" s="578"/>
      <c r="F38" s="578"/>
      <c r="G38" s="578"/>
      <c r="J38" s="264"/>
      <c r="K38" s="264"/>
      <c r="L38" s="264"/>
      <c r="M38" s="264"/>
      <c r="N38" s="264"/>
    </row>
    <row r="39" spans="1:14" ht="14.85" customHeight="1">
      <c r="B39" s="182" t="s">
        <v>216</v>
      </c>
      <c r="C39" s="182"/>
      <c r="D39" s="847">
        <f>D35+D37</f>
        <v>-13331.797999999999</v>
      </c>
      <c r="E39" s="847">
        <f>E35+E37</f>
        <v>-23310.973999999998</v>
      </c>
      <c r="F39" s="847"/>
      <c r="G39" s="847">
        <f>G35+G37</f>
        <v>-10863</v>
      </c>
      <c r="J39" s="182" t="str">
        <f>B39</f>
        <v>Net Income (Loss)</v>
      </c>
      <c r="K39" s="182"/>
      <c r="L39" s="384" t="str">
        <f>IF(ISERROR(D39/D$14), "n/a", D39/D$14)</f>
        <v>n/a</v>
      </c>
      <c r="M39" s="384" t="str">
        <f>IF(ISERROR(E39/E$14), "n/a", E39/E$14)</f>
        <v>n/a</v>
      </c>
      <c r="N39" s="384">
        <f>IF(ISERROR(G39/G$14), "n/a", G39/G$14)</f>
        <v>-5.2150744119059054</v>
      </c>
    </row>
    <row r="40" spans="1:14" ht="14.85" customHeight="1">
      <c r="D40" s="549"/>
      <c r="E40" s="549"/>
      <c r="F40" s="549"/>
      <c r="G40" s="549"/>
    </row>
    <row r="41" spans="1:14" ht="14.85" customHeight="1">
      <c r="B41" s="182" t="s">
        <v>217</v>
      </c>
      <c r="D41" s="549"/>
      <c r="E41" s="549"/>
      <c r="F41" s="549"/>
      <c r="G41" s="549"/>
      <c r="J41" s="182" t="str">
        <f>B41</f>
        <v>Other Items:</v>
      </c>
    </row>
    <row r="42" spans="1:14" ht="14.85" customHeight="1">
      <c r="B42" s="252" t="s">
        <v>218</v>
      </c>
      <c r="D42" s="285">
        <f>CF!D20/1000</f>
        <v>-2580.5639999999999</v>
      </c>
      <c r="E42" s="285">
        <f>CF!E20/1000</f>
        <v>-6981.5569999999998</v>
      </c>
      <c r="F42" s="261"/>
      <c r="G42" s="601" t="s">
        <v>13</v>
      </c>
      <c r="J42" s="252" t="str">
        <f>B42</f>
        <v>Capital Expenditures</v>
      </c>
      <c r="L42" s="384" t="str">
        <f>IF(ISERROR(D42/D$14), "n/a", D42/D$14)</f>
        <v>n/a</v>
      </c>
      <c r="M42" s="384" t="str">
        <f>IF(ISERROR(E42/E$14), "n/a", E42/E$14)</f>
        <v>n/a</v>
      </c>
      <c r="N42" s="384" t="str">
        <f>IF(ISERROR(G42/G$14), "n/a", G42/G$14)</f>
        <v>n/a</v>
      </c>
    </row>
    <row r="43" spans="1:14" ht="9.9499999999999993" customHeight="1">
      <c r="D43" s="549"/>
      <c r="E43" s="549"/>
      <c r="F43" s="549"/>
      <c r="G43" s="549"/>
    </row>
    <row r="44" spans="1:14" ht="14.85" customHeight="1">
      <c r="B44" s="252" t="s">
        <v>175</v>
      </c>
      <c r="D44" s="285">
        <f>D29-D24</f>
        <v>-13343.344999999999</v>
      </c>
      <c r="E44" s="285">
        <f>E29-E24</f>
        <v>-23488.866999999998</v>
      </c>
      <c r="F44" s="285"/>
      <c r="G44" s="285">
        <f>G29-G24</f>
        <v>-10566</v>
      </c>
      <c r="J44" s="252" t="str">
        <f>B44</f>
        <v>EBITDA</v>
      </c>
      <c r="L44" s="384" t="str">
        <f>IF(ISERROR(D44/D$14), "n/a", D44/D$14)</f>
        <v>n/a</v>
      </c>
      <c r="M44" s="384" t="str">
        <f>IF(ISERROR(E44/E$14), "n/a", E44/E$14)</f>
        <v>n/a</v>
      </c>
      <c r="N44" s="384">
        <f>IF(ISERROR(G44/G$14), "n/a", G44/G$14)</f>
        <v>-5.0724915986557848</v>
      </c>
    </row>
    <row r="45" spans="1:14" ht="14.85" customHeight="1"/>
    <row r="46" spans="1:14" ht="14.85" customHeight="1">
      <c r="B46" s="272" t="s">
        <v>86</v>
      </c>
    </row>
    <row r="47" spans="1:14" ht="14.85" customHeight="1">
      <c r="A47" s="512" t="s">
        <v>261</v>
      </c>
      <c r="B47" s="330" t="str">
        <f>"Reflects financial information as of "&amp;TEXT(G9,"MM/DD/YY")&amp;", which Management indicated was the latest available as of the Valuation Date."</f>
        <v>Reflects financial information as of 05/31/18, which Management indicated was the latest available as of the Valuation Date.</v>
      </c>
    </row>
    <row r="48" spans="1:14" ht="14.85" customHeight="1">
      <c r="B48" s="848"/>
    </row>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sheetData>
  <conditionalFormatting sqref="B4:F4 L4:N4">
    <cfRule type="cellIs" dxfId="342" priority="4" stopIfTrue="1" operator="equal">
      <formula>"input"</formula>
    </cfRule>
  </conditionalFormatting>
  <conditionalFormatting sqref="J4:K4">
    <cfRule type="cellIs" dxfId="341" priority="3" stopIfTrue="1" operator="equal">
      <formula>"input"</formula>
    </cfRule>
  </conditionalFormatting>
  <conditionalFormatting sqref="G4">
    <cfRule type="cellIs" dxfId="340" priority="2" stopIfTrue="1" operator="equal">
      <formula>"input"</formula>
    </cfRule>
  </conditionalFormatting>
  <conditionalFormatting sqref="G4">
    <cfRule type="cellIs" dxfId="339" priority="1" stopIfTrue="1" operator="equal">
      <formula>"input"</formula>
    </cfRule>
  </conditionalFormatting>
  <pageMargins left="0.5" right="0.5" top="0.5" bottom="0.5" header="0.5" footer="0.5"/>
  <pageSetup scale="95" fitToWidth="0" fitToHeight="0" orientation="landscape" r:id="rId1"/>
  <colBreaks count="1" manualBreakCount="1">
    <brk id="8" max="46"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O770"/>
  <sheetViews>
    <sheetView showGridLines="0" tabSelected="1" view="pageBreakPreview" zoomScale="80" zoomScaleNormal="100" zoomScaleSheetLayoutView="80" workbookViewId="0">
      <selection activeCell="H11" sqref="H11"/>
    </sheetView>
  </sheetViews>
  <sheetFormatPr defaultRowHeight="12.75" outlineLevelRow="1"/>
  <cols>
    <col min="1" max="1" width="4.5" style="179" customWidth="1"/>
    <col min="2" max="2" width="65.83203125" style="179" customWidth="1"/>
    <col min="3" max="3" width="2.83203125" style="179" customWidth="1"/>
    <col min="4" max="5" width="33" style="179" customWidth="1"/>
    <col min="6" max="6" width="2.83203125" style="179" customWidth="1"/>
    <col min="7" max="7" width="33" style="179" customWidth="1"/>
    <col min="8" max="9" width="4.5" style="179" customWidth="1"/>
    <col min="10" max="10" width="65.83203125" style="179" customWidth="1"/>
    <col min="11" max="11" width="2.83203125" style="179" customWidth="1"/>
    <col min="12" max="13" width="33" style="179" customWidth="1"/>
    <col min="14" max="14" width="2.83203125" style="179" customWidth="1"/>
    <col min="15" max="15" width="33" style="179" customWidth="1"/>
    <col min="16" max="16" width="4.5" style="179" customWidth="1"/>
    <col min="17" max="16384" width="9.33203125" style="179"/>
  </cols>
  <sheetData>
    <row r="1" spans="2:15" ht="10.7" customHeight="1" thickBot="1"/>
    <row r="2" spans="2:15" ht="16.5" customHeight="1" thickTop="1">
      <c r="B2" s="187" t="str">
        <f>'MASTER PubCo Inputs'!$C$5</f>
        <v>Decibel Therapeutics, Inc.</v>
      </c>
      <c r="C2" s="187"/>
      <c r="D2" s="187"/>
      <c r="E2" s="187"/>
      <c r="F2" s="187"/>
      <c r="G2" s="187"/>
      <c r="H2" s="186"/>
      <c r="I2" s="186"/>
      <c r="J2" s="187" t="str">
        <f>'MASTER PubCo Inputs'!$C$5</f>
        <v>Decibel Therapeutics, Inc.</v>
      </c>
      <c r="K2" s="187"/>
      <c r="L2" s="187"/>
      <c r="M2" s="187"/>
      <c r="N2" s="187"/>
      <c r="O2" s="187"/>
    </row>
    <row r="3" spans="2:15" ht="15.75" customHeight="1">
      <c r="B3" s="188" t="str">
        <f>VLOOKUP(B4,Outline!$E$8:$G$75,COLUMNS(Outline!$E$8:$G$8),FALSE)</f>
        <v>Exhibit C.3</v>
      </c>
      <c r="C3" s="188"/>
      <c r="D3" s="188"/>
      <c r="E3" s="188"/>
      <c r="F3" s="188"/>
      <c r="G3" s="188"/>
      <c r="H3" s="186"/>
      <c r="I3" s="186"/>
      <c r="J3" s="188" t="str">
        <f>B3</f>
        <v>Exhibit C.3</v>
      </c>
      <c r="K3" s="188"/>
      <c r="L3" s="188"/>
      <c r="M3" s="188"/>
      <c r="N3" s="188"/>
      <c r="O3" s="188"/>
    </row>
    <row r="4" spans="2:15" ht="16.5" customHeight="1" thickBot="1">
      <c r="B4" s="726" t="s">
        <v>159</v>
      </c>
      <c r="C4" s="726"/>
      <c r="D4" s="726"/>
      <c r="E4" s="726"/>
      <c r="F4" s="726"/>
      <c r="G4" s="727" t="str">
        <f>+'MASTER PubCo Inputs'!$C$21</f>
        <v>(in thousands of USD)</v>
      </c>
      <c r="H4" s="186"/>
      <c r="I4" s="186"/>
      <c r="J4" s="726" t="s">
        <v>709</v>
      </c>
      <c r="K4" s="726"/>
      <c r="L4" s="726"/>
      <c r="M4" s="726"/>
      <c r="N4" s="726"/>
      <c r="O4" s="726"/>
    </row>
    <row r="5" spans="2:15" ht="14.85" customHeight="1" thickTop="1"/>
    <row r="6" spans="2:15" ht="14.85" customHeight="1">
      <c r="G6" s="1826"/>
    </row>
    <row r="7" spans="2:15" ht="14.85" customHeight="1">
      <c r="D7" s="849" t="s">
        <v>708</v>
      </c>
      <c r="E7" s="850"/>
      <c r="F7" s="842"/>
      <c r="G7" s="851" t="s">
        <v>219</v>
      </c>
      <c r="L7" s="849" t="s">
        <v>708</v>
      </c>
      <c r="M7" s="850"/>
      <c r="N7" s="842"/>
      <c r="O7" s="851" t="s">
        <v>219</v>
      </c>
    </row>
    <row r="8" spans="2:15" ht="14.85" customHeight="1">
      <c r="B8" s="548"/>
      <c r="D8" s="852">
        <f>'Hist IS'!D9</f>
        <v>2016</v>
      </c>
      <c r="E8" s="853">
        <f>'Hist IS'!E9</f>
        <v>2017</v>
      </c>
      <c r="F8" s="300"/>
      <c r="G8" s="846">
        <f>'Hist IS'!G9</f>
        <v>43251</v>
      </c>
      <c r="J8" s="548"/>
      <c r="L8" s="852">
        <f>+D8</f>
        <v>2016</v>
      </c>
      <c r="M8" s="853">
        <f>+E8</f>
        <v>2017</v>
      </c>
      <c r="N8" s="300"/>
      <c r="O8" s="846">
        <f>+G8</f>
        <v>43251</v>
      </c>
    </row>
    <row r="9" spans="2:15" ht="14.85" customHeight="1">
      <c r="L9" s="203"/>
      <c r="M9" s="203"/>
      <c r="N9" s="203"/>
      <c r="O9" s="203"/>
    </row>
    <row r="10" spans="2:15" ht="14.85" customHeight="1">
      <c r="B10" s="281" t="s">
        <v>220</v>
      </c>
      <c r="C10" s="628"/>
      <c r="D10" s="628"/>
      <c r="E10" s="628"/>
      <c r="F10" s="628"/>
      <c r="G10" s="854"/>
      <c r="J10" s="281" t="s">
        <v>220</v>
      </c>
      <c r="K10" s="628"/>
      <c r="L10" s="629"/>
      <c r="M10" s="629"/>
      <c r="N10" s="629"/>
      <c r="O10" s="855"/>
    </row>
    <row r="11" spans="2:15" ht="9.9499999999999993" customHeight="1"/>
    <row r="12" spans="2:15" ht="14.85" customHeight="1">
      <c r="B12" s="179" t="s">
        <v>221</v>
      </c>
      <c r="J12" s="179" t="str">
        <f t="shared" ref="J12:J18" si="0">B12</f>
        <v>Current Assets</v>
      </c>
    </row>
    <row r="13" spans="2:15" ht="14.85" customHeight="1">
      <c r="B13" s="252" t="s">
        <v>222</v>
      </c>
      <c r="D13" s="285">
        <f>BS!D8/1000</f>
        <v>878.89</v>
      </c>
      <c r="E13" s="285">
        <v>63432.446000000004</v>
      </c>
      <c r="F13" s="285"/>
      <c r="G13" s="285">
        <v>104442</v>
      </c>
      <c r="J13" s="252" t="str">
        <f t="shared" si="0"/>
        <v>Cash &amp; Equivalents</v>
      </c>
      <c r="L13" s="384">
        <f t="shared" ref="L13:L18" si="1">IF(ISERROR(D13/D$29), "n/a", D13/D$29)</f>
        <v>0.13510202324844975</v>
      </c>
      <c r="M13" s="384">
        <f t="shared" ref="M13:O18" si="2">IF(ISERROR(E13/E$29), "n/a", E13/E$29)</f>
        <v>0.85551438479221387</v>
      </c>
      <c r="O13" s="384">
        <f t="shared" si="2"/>
        <v>0.90586755713604228</v>
      </c>
    </row>
    <row r="14" spans="2:15" ht="14.85" hidden="1" customHeight="1" outlineLevel="1">
      <c r="B14" s="252" t="s">
        <v>244</v>
      </c>
      <c r="D14" s="564">
        <v>0</v>
      </c>
      <c r="E14" s="564">
        <v>0</v>
      </c>
      <c r="F14" s="285"/>
      <c r="G14" s="285">
        <v>0</v>
      </c>
      <c r="J14" s="252" t="str">
        <f t="shared" si="0"/>
        <v>Short-Term Investments</v>
      </c>
      <c r="L14" s="384">
        <f t="shared" si="1"/>
        <v>0</v>
      </c>
      <c r="M14" s="384">
        <f t="shared" si="2"/>
        <v>0</v>
      </c>
      <c r="O14" s="384">
        <f t="shared" si="2"/>
        <v>0</v>
      </c>
    </row>
    <row r="15" spans="2:15" ht="14.85" hidden="1" customHeight="1" outlineLevel="1">
      <c r="B15" s="252" t="s">
        <v>223</v>
      </c>
      <c r="D15" s="564">
        <v>0</v>
      </c>
      <c r="E15" s="564">
        <v>0</v>
      </c>
      <c r="F15" s="285"/>
      <c r="G15" s="285">
        <v>0</v>
      </c>
      <c r="J15" s="252" t="str">
        <f t="shared" si="0"/>
        <v>Accounts Receivable</v>
      </c>
      <c r="L15" s="384">
        <f t="shared" si="1"/>
        <v>0</v>
      </c>
      <c r="M15" s="384">
        <f t="shared" si="2"/>
        <v>0</v>
      </c>
      <c r="O15" s="384">
        <f t="shared" si="2"/>
        <v>0</v>
      </c>
    </row>
    <row r="16" spans="2:15" ht="14.85" hidden="1" customHeight="1" outlineLevel="1">
      <c r="B16" s="252" t="s">
        <v>224</v>
      </c>
      <c r="D16" s="564">
        <v>0</v>
      </c>
      <c r="E16" s="564">
        <v>0</v>
      </c>
      <c r="F16" s="285"/>
      <c r="G16" s="285">
        <v>0</v>
      </c>
      <c r="J16" s="252" t="str">
        <f t="shared" si="0"/>
        <v>Inventory</v>
      </c>
      <c r="L16" s="384">
        <f t="shared" si="1"/>
        <v>0</v>
      </c>
      <c r="M16" s="384">
        <f t="shared" si="2"/>
        <v>0</v>
      </c>
      <c r="O16" s="384">
        <f t="shared" si="2"/>
        <v>0</v>
      </c>
    </row>
    <row r="17" spans="2:15" ht="14.85" customHeight="1" collapsed="1">
      <c r="B17" s="252" t="s">
        <v>225</v>
      </c>
      <c r="D17" s="285">
        <f>BS!D9/1000</f>
        <v>1819.5170000000001</v>
      </c>
      <c r="E17" s="285">
        <v>555.56299999999999</v>
      </c>
      <c r="F17" s="285"/>
      <c r="G17" s="285">
        <v>803</v>
      </c>
      <c r="J17" s="252" t="str">
        <f t="shared" si="0"/>
        <v>Prepaid Expenses</v>
      </c>
      <c r="L17" s="384">
        <f t="shared" si="1"/>
        <v>0.27969419157681796</v>
      </c>
      <c r="M17" s="384">
        <f t="shared" si="2"/>
        <v>7.492886813135295E-3</v>
      </c>
      <c r="O17" s="384">
        <f t="shared" si="2"/>
        <v>6.9647426167656883E-3</v>
      </c>
    </row>
    <row r="18" spans="2:15" ht="14.85" hidden="1" customHeight="1" outlineLevel="1">
      <c r="B18" s="252" t="s">
        <v>226</v>
      </c>
      <c r="D18" s="564">
        <v>0</v>
      </c>
      <c r="E18" s="564">
        <v>0</v>
      </c>
      <c r="F18" s="285"/>
      <c r="G18" s="285">
        <v>0</v>
      </c>
      <c r="J18" s="252" t="str">
        <f t="shared" si="0"/>
        <v>Other Current Assets</v>
      </c>
      <c r="L18" s="384">
        <f t="shared" si="1"/>
        <v>0</v>
      </c>
      <c r="M18" s="384">
        <f t="shared" si="2"/>
        <v>0</v>
      </c>
      <c r="O18" s="384">
        <f t="shared" si="2"/>
        <v>0</v>
      </c>
    </row>
    <row r="19" spans="2:15" ht="9.9499999999999993" customHeight="1" collapsed="1">
      <c r="B19" s="2050"/>
      <c r="C19" s="264"/>
      <c r="D19" s="578"/>
      <c r="E19" s="578"/>
      <c r="F19" s="549"/>
      <c r="G19" s="578"/>
      <c r="J19" s="856"/>
      <c r="K19" s="264"/>
      <c r="L19" s="264"/>
      <c r="M19" s="264"/>
      <c r="O19" s="264"/>
    </row>
    <row r="20" spans="2:15" ht="14.85" customHeight="1">
      <c r="B20" s="202" t="s">
        <v>229</v>
      </c>
      <c r="D20" s="285">
        <f>SUM(D13:D18)</f>
        <v>2698.4070000000002</v>
      </c>
      <c r="E20" s="285">
        <f>SUM(E13:E18)</f>
        <v>63988.009000000005</v>
      </c>
      <c r="F20" s="549"/>
      <c r="G20" s="285">
        <f>SUM(G13:G18)</f>
        <v>105245</v>
      </c>
      <c r="J20" s="202" t="str">
        <f>B20</f>
        <v>Total Current Assets</v>
      </c>
      <c r="L20" s="384">
        <f>IF(ISERROR(D20/D$29), "n/a", D20/D$29)</f>
        <v>0.41479621482526774</v>
      </c>
      <c r="M20" s="384">
        <f>IF(ISERROR(E20/E$29), "n/a", E20/E$29)</f>
        <v>0.86300727160534918</v>
      </c>
      <c r="O20" s="384">
        <f>IF(ISERROR(G20/G$29), "n/a", G20/G$29)</f>
        <v>0.912832299752808</v>
      </c>
    </row>
    <row r="21" spans="2:15" ht="9.9499999999999993" customHeight="1">
      <c r="D21" s="549"/>
      <c r="E21" s="549"/>
      <c r="F21" s="549"/>
      <c r="G21" s="549"/>
    </row>
    <row r="22" spans="2:15" ht="14.85" customHeight="1">
      <c r="B22" s="252" t="s">
        <v>227</v>
      </c>
      <c r="D22" s="285">
        <f>BS!D12/1000</f>
        <v>2712.4879999999998</v>
      </c>
      <c r="E22" s="285">
        <f>BS!E12/1000</f>
        <v>9062.8940000000002</v>
      </c>
      <c r="F22" s="285"/>
      <c r="G22" s="285">
        <v>8956</v>
      </c>
      <c r="J22" s="252" t="str">
        <f t="shared" ref="J22:J27" si="3">B22</f>
        <v>Net Fixed Assets</v>
      </c>
      <c r="L22" s="384">
        <f t="shared" ref="L22:L27" si="4">IF(ISERROR(D22/D$29), "n/a", D22/D$29)</f>
        <v>0.41696073096421726</v>
      </c>
      <c r="M22" s="384">
        <f t="shared" ref="M22:M27" si="5">IF(ISERROR(E22/E$29), "n/a", E22/E$29)</f>
        <v>0.12223139219394198</v>
      </c>
      <c r="O22" s="384">
        <f t="shared" ref="O22:O27" si="6">IF(ISERROR(G22/G$29), "n/a", G22/G$29)</f>
        <v>7.7678997354612075E-2</v>
      </c>
    </row>
    <row r="23" spans="2:15" ht="14.85" customHeight="1">
      <c r="B23" s="252" t="s">
        <v>3615</v>
      </c>
      <c r="D23" s="285">
        <f>BS!D13/1000</f>
        <v>1094.4849999999999</v>
      </c>
      <c r="E23" s="285">
        <f>BS!E13/1000</f>
        <v>1094.4849999999999</v>
      </c>
      <c r="F23" s="285"/>
      <c r="G23" s="285">
        <v>1094</v>
      </c>
      <c r="J23" s="252" t="str">
        <f t="shared" si="3"/>
        <v>Restricted Cash</v>
      </c>
      <c r="L23" s="384">
        <f t="shared" si="4"/>
        <v>0.16824305421051497</v>
      </c>
      <c r="M23" s="384">
        <f t="shared" si="5"/>
        <v>1.47613362007088E-2</v>
      </c>
      <c r="O23" s="384">
        <f t="shared" si="6"/>
        <v>9.488702892579904E-3</v>
      </c>
    </row>
    <row r="24" spans="2:15" ht="14.85" hidden="1" customHeight="1" outlineLevel="1">
      <c r="B24" s="252" t="s">
        <v>242</v>
      </c>
      <c r="D24" s="564">
        <v>0</v>
      </c>
      <c r="E24" s="564">
        <v>0</v>
      </c>
      <c r="F24" s="285"/>
      <c r="G24" s="285">
        <v>0</v>
      </c>
      <c r="J24" s="252" t="str">
        <f t="shared" si="3"/>
        <v>Goodwill</v>
      </c>
      <c r="L24" s="384">
        <f t="shared" si="4"/>
        <v>0</v>
      </c>
      <c r="M24" s="384">
        <f t="shared" si="5"/>
        <v>0</v>
      </c>
      <c r="O24" s="384">
        <f t="shared" si="6"/>
        <v>0</v>
      </c>
    </row>
    <row r="25" spans="2:15" ht="14.85" hidden="1" customHeight="1" outlineLevel="1">
      <c r="B25" s="252" t="s">
        <v>243</v>
      </c>
      <c r="D25" s="564">
        <v>0</v>
      </c>
      <c r="E25" s="564">
        <v>0</v>
      </c>
      <c r="F25" s="285"/>
      <c r="G25" s="285">
        <v>0</v>
      </c>
      <c r="J25" s="252" t="str">
        <f t="shared" si="3"/>
        <v>Deferred Financing Cost</v>
      </c>
      <c r="L25" s="384">
        <f t="shared" si="4"/>
        <v>0</v>
      </c>
      <c r="M25" s="384">
        <f t="shared" si="5"/>
        <v>0</v>
      </c>
      <c r="O25" s="384">
        <f t="shared" si="6"/>
        <v>0</v>
      </c>
    </row>
    <row r="26" spans="2:15" ht="14.85" hidden="1" customHeight="1" outlineLevel="1">
      <c r="B26" s="252" t="s">
        <v>245</v>
      </c>
      <c r="D26" s="564">
        <v>0</v>
      </c>
      <c r="E26" s="564">
        <v>0</v>
      </c>
      <c r="F26" s="285"/>
      <c r="G26" s="285">
        <v>0</v>
      </c>
      <c r="J26" s="252" t="str">
        <f t="shared" si="3"/>
        <v>Long-Term Investments</v>
      </c>
      <c r="L26" s="384">
        <f t="shared" si="4"/>
        <v>0</v>
      </c>
      <c r="M26" s="384">
        <f t="shared" si="5"/>
        <v>0</v>
      </c>
      <c r="O26" s="384">
        <f t="shared" si="6"/>
        <v>0</v>
      </c>
    </row>
    <row r="27" spans="2:15" ht="14.85" hidden="1" customHeight="1" outlineLevel="1">
      <c r="B27" s="252" t="s">
        <v>228</v>
      </c>
      <c r="D27" s="564">
        <v>0</v>
      </c>
      <c r="E27" s="564">
        <v>0</v>
      </c>
      <c r="F27" s="285"/>
      <c r="G27" s="285">
        <v>0</v>
      </c>
      <c r="J27" s="252" t="str">
        <f t="shared" si="3"/>
        <v>Other Assets</v>
      </c>
      <c r="L27" s="384">
        <f t="shared" si="4"/>
        <v>0</v>
      </c>
      <c r="M27" s="384">
        <f t="shared" si="5"/>
        <v>0</v>
      </c>
      <c r="O27" s="384">
        <f t="shared" si="6"/>
        <v>0</v>
      </c>
    </row>
    <row r="28" spans="2:15" ht="9.9499999999999993" customHeight="1" collapsed="1">
      <c r="B28" s="264"/>
      <c r="C28" s="264"/>
      <c r="D28" s="578"/>
      <c r="E28" s="578"/>
      <c r="F28" s="549"/>
      <c r="G28" s="578"/>
      <c r="J28" s="264"/>
      <c r="K28" s="264"/>
      <c r="L28" s="264"/>
      <c r="M28" s="264"/>
      <c r="O28" s="264"/>
    </row>
    <row r="29" spans="2:15" ht="14.85" customHeight="1">
      <c r="B29" s="286" t="s">
        <v>230</v>
      </c>
      <c r="C29" s="182"/>
      <c r="D29" s="857">
        <f>SUM(D20:D27)</f>
        <v>6505.38</v>
      </c>
      <c r="E29" s="857">
        <f>SUM(E20:E27)</f>
        <v>74145.388000000006</v>
      </c>
      <c r="F29" s="548"/>
      <c r="G29" s="857">
        <f>SUM(G20:G27)</f>
        <v>115295</v>
      </c>
      <c r="J29" s="286" t="str">
        <f>B29</f>
        <v>Total Assets</v>
      </c>
      <c r="K29" s="182"/>
      <c r="L29" s="408">
        <f>IF(ISERROR(D29/D$29), "n/a", D29/D$29)</f>
        <v>1</v>
      </c>
      <c r="M29" s="408">
        <f>IF(ISERROR(E29/E$29), "n/a", E29/E$29)</f>
        <v>1</v>
      </c>
      <c r="N29" s="182"/>
      <c r="O29" s="408">
        <f>IF(ISERROR(G29/G$29), "n/a", G29/G$29)</f>
        <v>1</v>
      </c>
    </row>
    <row r="30" spans="2:15" ht="14.85" customHeight="1">
      <c r="D30" s="549"/>
      <c r="E30" s="549"/>
      <c r="F30" s="549"/>
      <c r="G30" s="549"/>
    </row>
    <row r="31" spans="2:15" ht="14.85" customHeight="1">
      <c r="B31" s="281" t="s">
        <v>231</v>
      </c>
      <c r="C31" s="628"/>
      <c r="D31" s="282"/>
      <c r="E31" s="282"/>
      <c r="F31" s="282"/>
      <c r="G31" s="283"/>
      <c r="J31" s="281" t="s">
        <v>231</v>
      </c>
      <c r="K31" s="628"/>
      <c r="L31" s="629"/>
      <c r="M31" s="629"/>
      <c r="N31" s="629"/>
      <c r="O31" s="855"/>
    </row>
    <row r="32" spans="2:15" ht="9.9499999999999993" customHeight="1">
      <c r="D32" s="549"/>
      <c r="E32" s="549"/>
      <c r="F32" s="549"/>
      <c r="G32" s="549"/>
    </row>
    <row r="33" spans="2:15" ht="14.85" customHeight="1">
      <c r="B33" s="179" t="s">
        <v>232</v>
      </c>
      <c r="D33" s="549"/>
      <c r="E33" s="549"/>
      <c r="F33" s="549"/>
      <c r="G33" s="549"/>
      <c r="J33" s="179" t="str">
        <f t="shared" ref="J33:J39" si="7">B33</f>
        <v>Current Liabilities</v>
      </c>
    </row>
    <row r="34" spans="2:15" ht="14.85" customHeight="1">
      <c r="B34" s="252" t="s">
        <v>233</v>
      </c>
      <c r="D34" s="285">
        <f>BS!D18/1000</f>
        <v>1673.2249999999999</v>
      </c>
      <c r="E34" s="285">
        <f>BS!E18/1000</f>
        <v>458.73700000000002</v>
      </c>
      <c r="F34" s="285"/>
      <c r="G34" s="285">
        <v>811</v>
      </c>
      <c r="J34" s="252" t="str">
        <f t="shared" si="7"/>
        <v>Accounts Payable</v>
      </c>
      <c r="L34" s="384">
        <f t="shared" ref="L34:O39" si="8">IF(ISERROR(D34/D$29), "n/a", D34/D$29)</f>
        <v>0.25720634305759232</v>
      </c>
      <c r="M34" s="384">
        <f t="shared" si="8"/>
        <v>6.1869930466882175E-3</v>
      </c>
      <c r="O34" s="384">
        <f t="shared" si="8"/>
        <v>7.034129840843055E-3</v>
      </c>
    </row>
    <row r="35" spans="2:15" ht="14.85" customHeight="1">
      <c r="B35" s="252" t="s">
        <v>235</v>
      </c>
      <c r="D35" s="285">
        <f>BS!D19/1000</f>
        <v>1263.857</v>
      </c>
      <c r="E35" s="285">
        <f>BS!E19/1000</f>
        <v>4149.8779999999997</v>
      </c>
      <c r="F35" s="285"/>
      <c r="G35" s="285">
        <v>3018</v>
      </c>
      <c r="J35" s="252" t="str">
        <f t="shared" si="7"/>
        <v>Accrued Expenses</v>
      </c>
      <c r="L35" s="384">
        <f t="shared" si="8"/>
        <v>0.19427873544666108</v>
      </c>
      <c r="M35" s="384">
        <f t="shared" si="8"/>
        <v>5.596946906529101E-2</v>
      </c>
      <c r="O35" s="384">
        <f t="shared" si="8"/>
        <v>2.6176330283186607E-2</v>
      </c>
    </row>
    <row r="36" spans="2:15" ht="14.85" customHeight="1">
      <c r="B36" s="252" t="s">
        <v>3254</v>
      </c>
      <c r="D36" s="285">
        <f>BS!D20/1000</f>
        <v>0</v>
      </c>
      <c r="E36" s="285">
        <f>BS!E20/1000</f>
        <v>5000</v>
      </c>
      <c r="F36" s="285"/>
      <c r="G36" s="285">
        <v>0</v>
      </c>
      <c r="J36" s="252" t="str">
        <f t="shared" si="7"/>
        <v>Deferred collaboration liability, current</v>
      </c>
      <c r="L36" s="384">
        <f t="shared" ref="L36:L37" si="9">IF(ISERROR(D36/D$29), "n/a", D36/D$29)</f>
        <v>0</v>
      </c>
      <c r="M36" s="384">
        <f t="shared" ref="M36:M37" si="10">IF(ISERROR(E36/E$29), "n/a", E36/E$29)</f>
        <v>6.7435077688176637E-2</v>
      </c>
      <c r="O36" s="384">
        <f t="shared" ref="O36:O37" si="11">IF(ISERROR(G36/G$29), "n/a", G36/G$29)</f>
        <v>0</v>
      </c>
    </row>
    <row r="37" spans="2:15" ht="14.85" customHeight="1">
      <c r="B37" s="252" t="s">
        <v>3255</v>
      </c>
      <c r="D37" s="285">
        <f>BS!D21/1000</f>
        <v>0</v>
      </c>
      <c r="E37" s="285">
        <f>BS!E21/1000</f>
        <v>404.45600000000002</v>
      </c>
      <c r="F37" s="285"/>
      <c r="G37" s="285">
        <v>0</v>
      </c>
      <c r="J37" s="252" t="str">
        <f t="shared" si="7"/>
        <v>Deferred rent and lease incentive obligation, current</v>
      </c>
      <c r="L37" s="384">
        <f t="shared" si="9"/>
        <v>0</v>
      </c>
      <c r="M37" s="384">
        <f t="shared" si="10"/>
        <v>5.4549043562898336E-3</v>
      </c>
      <c r="O37" s="384">
        <f t="shared" si="11"/>
        <v>0</v>
      </c>
    </row>
    <row r="38" spans="2:15" ht="14.85" hidden="1" customHeight="1" outlineLevel="1">
      <c r="B38" s="252" t="s">
        <v>234</v>
      </c>
      <c r="D38" s="564">
        <v>0</v>
      </c>
      <c r="E38" s="564">
        <v>0</v>
      </c>
      <c r="F38" s="285"/>
      <c r="G38" s="285">
        <v>0</v>
      </c>
      <c r="J38" s="252" t="str">
        <f t="shared" si="7"/>
        <v>Current Maturities</v>
      </c>
      <c r="L38" s="384">
        <f t="shared" si="8"/>
        <v>0</v>
      </c>
      <c r="M38" s="384">
        <f t="shared" si="8"/>
        <v>0</v>
      </c>
      <c r="O38" s="384">
        <f t="shared" si="8"/>
        <v>0</v>
      </c>
    </row>
    <row r="39" spans="2:15" ht="14.85" hidden="1" customHeight="1" outlineLevel="1">
      <c r="B39" s="252" t="s">
        <v>236</v>
      </c>
      <c r="D39" s="564">
        <v>0</v>
      </c>
      <c r="E39" s="564">
        <v>0</v>
      </c>
      <c r="F39" s="285"/>
      <c r="G39" s="285">
        <v>0</v>
      </c>
      <c r="J39" s="252" t="str">
        <f t="shared" si="7"/>
        <v>Other Current Liabilities</v>
      </c>
      <c r="L39" s="384">
        <f t="shared" si="8"/>
        <v>0</v>
      </c>
      <c r="M39" s="384">
        <f t="shared" si="8"/>
        <v>0</v>
      </c>
      <c r="O39" s="384">
        <f t="shared" si="8"/>
        <v>0</v>
      </c>
    </row>
    <row r="40" spans="2:15" ht="9.9499999999999993" customHeight="1" collapsed="1">
      <c r="B40" s="264"/>
      <c r="C40" s="264"/>
      <c r="D40" s="578"/>
      <c r="E40" s="578"/>
      <c r="F40" s="549"/>
      <c r="G40" s="578"/>
      <c r="J40" s="264"/>
      <c r="K40" s="264"/>
      <c r="L40" s="264"/>
      <c r="M40" s="264"/>
      <c r="O40" s="264"/>
    </row>
    <row r="41" spans="2:15" ht="14.85" customHeight="1">
      <c r="B41" s="202" t="s">
        <v>237</v>
      </c>
      <c r="D41" s="285">
        <f>SUM(D34:D39)</f>
        <v>2937.0819999999999</v>
      </c>
      <c r="E41" s="285">
        <f>SUM(E34:E39)</f>
        <v>10013.071</v>
      </c>
      <c r="F41" s="549"/>
      <c r="G41" s="285">
        <f>SUM(G34:G39)</f>
        <v>3829</v>
      </c>
      <c r="J41" s="202" t="str">
        <f>B41</f>
        <v>Total Current Liabilities</v>
      </c>
      <c r="L41" s="384">
        <f>IF(ISERROR(D41/D$29), "n/a", D41/D$29)</f>
        <v>0.4514850785042534</v>
      </c>
      <c r="M41" s="384">
        <f>IF(ISERROR(E41/E$29), "n/a", E41/E$29)</f>
        <v>0.13504644415644571</v>
      </c>
      <c r="O41" s="384">
        <f>IF(ISERROR(G41/G$29), "n/a", G41/G$29)</f>
        <v>3.3210460124029666E-2</v>
      </c>
    </row>
    <row r="42" spans="2:15" ht="9.9499999999999993" customHeight="1">
      <c r="D42" s="549"/>
      <c r="E42" s="549"/>
      <c r="F42" s="549"/>
      <c r="G42" s="549"/>
    </row>
    <row r="43" spans="2:15" ht="14.85" hidden="1" customHeight="1" outlineLevel="1">
      <c r="B43" s="252" t="s">
        <v>238</v>
      </c>
      <c r="D43" s="564">
        <v>0</v>
      </c>
      <c r="E43" s="564">
        <v>0</v>
      </c>
      <c r="F43" s="285"/>
      <c r="G43" s="285">
        <v>0</v>
      </c>
      <c r="J43" s="252" t="str">
        <f>B43</f>
        <v>Long-Term Debt, Net of Current Portion</v>
      </c>
      <c r="L43" s="384">
        <f t="shared" ref="L43:O45" si="12">IF(ISERROR(D43/D$29), "n/a", D43/D$29)</f>
        <v>0</v>
      </c>
      <c r="M43" s="384">
        <f t="shared" si="12"/>
        <v>0</v>
      </c>
      <c r="O43" s="384">
        <f t="shared" si="12"/>
        <v>0</v>
      </c>
    </row>
    <row r="44" spans="2:15" ht="14.85" customHeight="1" collapsed="1">
      <c r="B44" s="252" t="s">
        <v>239</v>
      </c>
      <c r="D44" s="285">
        <f>(BS!D24+BS!D25)/1000</f>
        <v>2126.1120000000001</v>
      </c>
      <c r="E44" s="285">
        <f>(BS!E24+BS!E25)/1000</f>
        <v>25574.165000000001</v>
      </c>
      <c r="F44" s="285"/>
      <c r="G44" s="285">
        <v>28742</v>
      </c>
      <c r="J44" s="252" t="str">
        <f>B44</f>
        <v>Deferred Liabilities</v>
      </c>
      <c r="L44" s="384">
        <f t="shared" si="12"/>
        <v>0.32682364442968742</v>
      </c>
      <c r="M44" s="384">
        <f t="shared" si="12"/>
        <v>0.34491916071704959</v>
      </c>
      <c r="O44" s="384">
        <f t="shared" si="12"/>
        <v>0.2492909493039594</v>
      </c>
    </row>
    <row r="45" spans="2:15" ht="14.85" hidden="1" customHeight="1" outlineLevel="1">
      <c r="B45" s="252" t="s">
        <v>240</v>
      </c>
      <c r="D45" s="564">
        <v>0</v>
      </c>
      <c r="E45" s="564">
        <v>0</v>
      </c>
      <c r="F45" s="285"/>
      <c r="G45" s="285">
        <v>0</v>
      </c>
      <c r="J45" s="252" t="str">
        <f>B45</f>
        <v>Other Long-Term Liabilities</v>
      </c>
      <c r="L45" s="384">
        <f t="shared" si="12"/>
        <v>0</v>
      </c>
      <c r="M45" s="384">
        <f t="shared" si="12"/>
        <v>0</v>
      </c>
      <c r="O45" s="384">
        <f t="shared" si="12"/>
        <v>0</v>
      </c>
    </row>
    <row r="46" spans="2:15" ht="9.9499999999999993" customHeight="1" collapsed="1">
      <c r="B46" s="264"/>
      <c r="C46" s="264"/>
      <c r="D46" s="578"/>
      <c r="E46" s="578"/>
      <c r="F46" s="549"/>
      <c r="G46" s="578"/>
      <c r="J46" s="264"/>
      <c r="K46" s="264"/>
      <c r="L46" s="264"/>
      <c r="M46" s="264"/>
      <c r="O46" s="264"/>
    </row>
    <row r="47" spans="2:15" ht="14.85" customHeight="1">
      <c r="B47" s="202" t="s">
        <v>241</v>
      </c>
      <c r="D47" s="285">
        <f>SUM(D41:D45)</f>
        <v>5063.1939999999995</v>
      </c>
      <c r="E47" s="285">
        <f>SUM(E41:E45)</f>
        <v>35587.236000000004</v>
      </c>
      <c r="F47" s="549"/>
      <c r="G47" s="285">
        <f>SUM(G41:G45)</f>
        <v>32571</v>
      </c>
      <c r="J47" s="202" t="str">
        <f>B47</f>
        <v>Total Liabilities</v>
      </c>
      <c r="L47" s="384">
        <f>IF(ISERROR(D47/D$29), "n/a", D47/D$29)</f>
        <v>0.77830872293394071</v>
      </c>
      <c r="M47" s="384">
        <f>IF(ISERROR(E47/E$29), "n/a", E47/E$29)</f>
        <v>0.47996560487349532</v>
      </c>
      <c r="O47" s="384">
        <f>IF(ISERROR(G47/G$29), "n/a", G47/G$29)</f>
        <v>0.28250140942798907</v>
      </c>
    </row>
    <row r="48" spans="2:15" ht="9.9499999999999993" customHeight="1">
      <c r="D48" s="549"/>
      <c r="E48" s="549"/>
      <c r="F48" s="549"/>
      <c r="G48" s="549"/>
    </row>
    <row r="49" spans="1:15" ht="14.85" customHeight="1">
      <c r="B49" s="179" t="s">
        <v>251</v>
      </c>
      <c r="D49" s="549"/>
      <c r="E49" s="549"/>
      <c r="F49" s="549"/>
      <c r="G49" s="549"/>
      <c r="J49" s="179" t="str">
        <f t="shared" ref="J49:J54" si="13">B49</f>
        <v>Shareholders' Equity</v>
      </c>
    </row>
    <row r="50" spans="1:15" ht="14.85" customHeight="1">
      <c r="B50" s="252" t="s">
        <v>246</v>
      </c>
      <c r="D50" s="285">
        <f>BS!D33/1000</f>
        <v>4.681</v>
      </c>
      <c r="E50" s="285">
        <f>BS!E33/1000</f>
        <v>9.8719999999999999</v>
      </c>
      <c r="F50" s="285"/>
      <c r="G50" s="285">
        <v>122</v>
      </c>
      <c r="J50" s="252" t="str">
        <f t="shared" si="13"/>
        <v>Common</v>
      </c>
      <c r="L50" s="384">
        <f>IF(ISERROR(D50/D$29), "n/a", D50/D$29)</f>
        <v>7.1955827330609436E-4</v>
      </c>
      <c r="M50" s="384">
        <f t="shared" ref="M50:O54" si="14">IF(ISERROR(E50/E$29), "n/a", E50/E$29)</f>
        <v>1.3314381738753595E-4</v>
      </c>
      <c r="O50" s="384">
        <f t="shared" si="14"/>
        <v>1.058155167179843E-3</v>
      </c>
    </row>
    <row r="51" spans="1:15" ht="14.85" customHeight="1">
      <c r="B51" s="252" t="s">
        <v>247</v>
      </c>
      <c r="D51" s="285">
        <f>(BS!D31+BS!D32)/1000</f>
        <v>22231.986000000001</v>
      </c>
      <c r="E51" s="285">
        <f>(BS!E31+BS!E32)/1000</f>
        <v>82638.983999999997</v>
      </c>
      <c r="F51" s="285"/>
      <c r="G51" s="285">
        <v>137626</v>
      </c>
      <c r="J51" s="252" t="str">
        <f t="shared" si="13"/>
        <v xml:space="preserve">Preferred </v>
      </c>
      <c r="L51" s="384">
        <f>IF(ISERROR(D51/D$29), "n/a", D51/D$29)</f>
        <v>3.4174769191038803</v>
      </c>
      <c r="M51" s="384">
        <f t="shared" si="14"/>
        <v>1.1145532612223972</v>
      </c>
      <c r="O51" s="384">
        <f t="shared" si="14"/>
        <v>1.1936857626089596</v>
      </c>
    </row>
    <row r="52" spans="1:15" ht="14.85" customHeight="1">
      <c r="B52" s="252" t="s">
        <v>248</v>
      </c>
      <c r="D52" s="285">
        <f>BS!D34/1000</f>
        <v>6.0940000000000003</v>
      </c>
      <c r="E52" s="285">
        <f>BS!E34/1000</f>
        <v>20.844999999999999</v>
      </c>
      <c r="F52" s="285"/>
      <c r="G52" s="285">
        <v>0</v>
      </c>
      <c r="J52" s="252" t="str">
        <f t="shared" si="13"/>
        <v>Additional Paid In Capital</v>
      </c>
      <c r="L52" s="384">
        <f>IF(ISERROR(D52/D$29), "n/a", D52/D$29)</f>
        <v>9.367631099182523E-4</v>
      </c>
      <c r="M52" s="384">
        <f t="shared" si="14"/>
        <v>2.8113683888200837E-4</v>
      </c>
      <c r="O52" s="384">
        <f t="shared" si="14"/>
        <v>0</v>
      </c>
    </row>
    <row r="53" spans="1:15" ht="14.85" hidden="1" customHeight="1" outlineLevel="1">
      <c r="B53" s="252" t="s">
        <v>250</v>
      </c>
      <c r="D53" s="564">
        <v>0</v>
      </c>
      <c r="E53" s="564">
        <v>0</v>
      </c>
      <c r="F53" s="285"/>
      <c r="G53" s="285">
        <v>0</v>
      </c>
      <c r="J53" s="252" t="str">
        <f t="shared" si="13"/>
        <v>Treasury Stock</v>
      </c>
      <c r="L53" s="384">
        <f>IF(ISERROR(D53/D$29), "n/a", D53/D$29)</f>
        <v>0</v>
      </c>
      <c r="M53" s="384">
        <f t="shared" si="14"/>
        <v>0</v>
      </c>
      <c r="O53" s="384">
        <f t="shared" si="14"/>
        <v>0</v>
      </c>
    </row>
    <row r="54" spans="1:15" ht="14.85" customHeight="1" collapsed="1">
      <c r="B54" s="252" t="s">
        <v>249</v>
      </c>
      <c r="D54" s="285">
        <f>BS!D35/1000</f>
        <v>-20800.575000000001</v>
      </c>
      <c r="E54" s="285">
        <f>BS!E35/1000</f>
        <v>-44111.548999999999</v>
      </c>
      <c r="F54" s="285"/>
      <c r="G54" s="285">
        <v>-55024</v>
      </c>
      <c r="J54" s="252" t="str">
        <f t="shared" si="13"/>
        <v>Retained Earnings</v>
      </c>
      <c r="L54" s="384">
        <f>IF(ISERROR(D54/D$29), "n/a", D54/D$29)</f>
        <v>-3.1974419634210456</v>
      </c>
      <c r="M54" s="384">
        <f t="shared" si="14"/>
        <v>-0.59493314675216202</v>
      </c>
      <c r="O54" s="384">
        <f t="shared" si="14"/>
        <v>-0.47724532720412854</v>
      </c>
    </row>
    <row r="55" spans="1:15" ht="9.9499999999999993" customHeight="1">
      <c r="B55" s="264"/>
      <c r="C55" s="264"/>
      <c r="D55" s="578"/>
      <c r="E55" s="578"/>
      <c r="F55" s="549"/>
      <c r="G55" s="578"/>
      <c r="J55" s="264"/>
      <c r="K55" s="264"/>
      <c r="L55" s="264"/>
      <c r="M55" s="264"/>
      <c r="O55" s="264"/>
    </row>
    <row r="56" spans="1:15" ht="14.85" customHeight="1">
      <c r="B56" s="202" t="s">
        <v>253</v>
      </c>
      <c r="D56" s="285">
        <f>SUM(D50:D54)</f>
        <v>1442.1860000000015</v>
      </c>
      <c r="E56" s="285">
        <f>SUM(E50:E54)</f>
        <v>38558.152000000002</v>
      </c>
      <c r="F56" s="549"/>
      <c r="G56" s="285">
        <f>SUM(G50:G54)</f>
        <v>82724</v>
      </c>
      <c r="J56" s="202" t="str">
        <f>B56</f>
        <v>Total Shareholders' Equity</v>
      </c>
      <c r="L56" s="384">
        <f>IF(ISERROR(D56/D$29), "n/a", D56/D$29)</f>
        <v>0.2216912770660594</v>
      </c>
      <c r="M56" s="384">
        <f>IF(ISERROR(E56/E$29), "n/a", E56/E$29)</f>
        <v>0.52003439512650473</v>
      </c>
      <c r="O56" s="384">
        <f>IF(ISERROR(G56/G$29), "n/a", G56/G$29)</f>
        <v>0.71749859057201093</v>
      </c>
    </row>
    <row r="57" spans="1:15" ht="9.9499999999999993" customHeight="1">
      <c r="D57" s="549"/>
      <c r="E57" s="549"/>
      <c r="F57" s="549"/>
      <c r="G57" s="549"/>
      <c r="L57" s="264"/>
      <c r="M57" s="264"/>
      <c r="O57" s="264"/>
    </row>
    <row r="58" spans="1:15" ht="14.85" customHeight="1">
      <c r="B58" s="858" t="s">
        <v>252</v>
      </c>
      <c r="C58" s="858"/>
      <c r="D58" s="859">
        <f>D56+D47</f>
        <v>6505.380000000001</v>
      </c>
      <c r="E58" s="859">
        <f>E56+E47</f>
        <v>74145.388000000006</v>
      </c>
      <c r="F58" s="548"/>
      <c r="G58" s="859">
        <f>G56+G47</f>
        <v>115295</v>
      </c>
      <c r="J58" s="858" t="str">
        <f>B58</f>
        <v>Total Liabilities &amp; Shareholders' Equity</v>
      </c>
      <c r="K58" s="858"/>
      <c r="L58" s="408">
        <f>IF(ISERROR(D58/D$29), "n/a", D58/D$29)</f>
        <v>1.0000000000000002</v>
      </c>
      <c r="M58" s="408">
        <f>IF(ISERROR(E58/E$29), "n/a", E58/E$29)</f>
        <v>1</v>
      </c>
      <c r="N58" s="182"/>
      <c r="O58" s="408">
        <f>IF(ISERROR(G58/G$29), "n/a", G58/G$29)</f>
        <v>1</v>
      </c>
    </row>
    <row r="59" spans="1:15" ht="14.85" customHeight="1"/>
    <row r="60" spans="1:15" ht="14.85" customHeight="1">
      <c r="B60" s="272" t="s">
        <v>86</v>
      </c>
    </row>
    <row r="61" spans="1:15" ht="14.85" customHeight="1">
      <c r="A61" s="273" t="s">
        <v>261</v>
      </c>
      <c r="B61" s="330" t="str">
        <f>"Reflects financial information as of "&amp;TEXT(G8,"MM/DD/YY")&amp;", which Management indicated was the latest available as of the Valuation Date."</f>
        <v>Reflects financial information as of 05/31/18, which Management indicated was the latest available as of the Valuation Date.</v>
      </c>
    </row>
    <row r="62" spans="1:15" ht="14.85" customHeight="1"/>
    <row r="63" spans="1:15" ht="14.85" customHeight="1"/>
    <row r="64" spans="1:15" ht="14.85" customHeight="1">
      <c r="B64" s="267" t="s">
        <v>255</v>
      </c>
      <c r="C64" s="268"/>
      <c r="D64" s="268"/>
      <c r="E64" s="268"/>
      <c r="F64" s="268"/>
      <c r="G64" s="860"/>
    </row>
    <row r="65" spans="1:15" ht="14.85" customHeight="1"/>
    <row r="66" spans="1:15" ht="14.85" customHeight="1">
      <c r="B66" s="179" t="s">
        <v>258</v>
      </c>
      <c r="D66" s="255">
        <f>D13</f>
        <v>878.89</v>
      </c>
      <c r="E66" s="255">
        <f>E13</f>
        <v>63432.446000000004</v>
      </c>
      <c r="F66" s="255"/>
      <c r="G66" s="255">
        <f>G13</f>
        <v>104442</v>
      </c>
    </row>
    <row r="67" spans="1:15" ht="14.85" customHeight="1">
      <c r="B67" s="252" t="s">
        <v>257</v>
      </c>
      <c r="C67" s="254" t="s">
        <v>260</v>
      </c>
      <c r="D67" s="285">
        <f>-D66</f>
        <v>-878.89</v>
      </c>
      <c r="E67" s="285">
        <f>-E66</f>
        <v>-63432.446000000004</v>
      </c>
      <c r="F67" s="285"/>
      <c r="G67" s="285">
        <f>-G66</f>
        <v>-104442</v>
      </c>
    </row>
    <row r="68" spans="1:15" s="549" customFormat="1" ht="14.85" customHeight="1">
      <c r="B68" s="861"/>
      <c r="C68" s="578"/>
      <c r="D68" s="862"/>
      <c r="E68" s="862"/>
      <c r="F68" s="285"/>
      <c r="G68" s="862"/>
      <c r="J68" s="179"/>
      <c r="K68" s="179"/>
      <c r="L68" s="179"/>
      <c r="M68" s="179"/>
      <c r="N68" s="179"/>
      <c r="O68" s="179"/>
    </row>
    <row r="69" spans="1:15" ht="14.85" customHeight="1">
      <c r="B69" s="182" t="s">
        <v>256</v>
      </c>
      <c r="C69" s="182"/>
      <c r="D69" s="309">
        <f>SUM(D66:D67)</f>
        <v>0</v>
      </c>
      <c r="E69" s="309">
        <f>SUM(E66:E67)</f>
        <v>0</v>
      </c>
      <c r="F69" s="182"/>
      <c r="G69" s="309">
        <f>SUM(G66:G67)</f>
        <v>0</v>
      </c>
    </row>
    <row r="70" spans="1:15" ht="14.85" customHeight="1"/>
    <row r="71" spans="1:15" ht="14.85" customHeight="1">
      <c r="B71" s="182" t="s">
        <v>259</v>
      </c>
      <c r="C71" s="182"/>
      <c r="D71" s="309">
        <f>D43+D38</f>
        <v>0</v>
      </c>
      <c r="E71" s="309">
        <f>E43+E38</f>
        <v>0</v>
      </c>
      <c r="F71" s="182"/>
      <c r="G71" s="309">
        <f>G43+G38</f>
        <v>0</v>
      </c>
    </row>
    <row r="72" spans="1:15" ht="14.85" customHeight="1"/>
    <row r="73" spans="1:15" ht="14.85" customHeight="1">
      <c r="B73" s="272" t="s">
        <v>86</v>
      </c>
    </row>
    <row r="74" spans="1:15" ht="14.85" customHeight="1">
      <c r="A74" s="273" t="s">
        <v>3840</v>
      </c>
      <c r="B74" s="2049" t="s">
        <v>3839</v>
      </c>
    </row>
    <row r="75" spans="1:15" ht="14.85" customHeight="1">
      <c r="B75" s="848"/>
    </row>
    <row r="76" spans="1:15" ht="14.85" customHeight="1"/>
    <row r="77" spans="1:15" ht="14.85" customHeight="1"/>
    <row r="78" spans="1:15" ht="14.85" customHeight="1">
      <c r="A78" s="179">
        <v>0</v>
      </c>
      <c r="B78" s="281" t="s">
        <v>254</v>
      </c>
      <c r="C78" s="628"/>
      <c r="D78" s="863">
        <f>D58-D29</f>
        <v>0</v>
      </c>
      <c r="E78" s="863">
        <f>E58-E29</f>
        <v>0</v>
      </c>
      <c r="F78" s="628"/>
      <c r="G78" s="864">
        <f>G58-G29</f>
        <v>0</v>
      </c>
      <c r="J78" s="182"/>
      <c r="K78" s="182"/>
    </row>
    <row r="79" spans="1:15" ht="14.85" customHeight="1">
      <c r="B79" s="865" t="s">
        <v>2032</v>
      </c>
      <c r="G79" s="2051" t="str">
        <f>IF(AND(D78=$A$78,E78=$A$78,G78=$A$78),"","Check")</f>
        <v/>
      </c>
    </row>
    <row r="80" spans="1:15"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row r="768" ht="14.85" customHeight="1"/>
    <row r="769" ht="14.85" customHeight="1"/>
    <row r="770" ht="14.85" customHeight="1"/>
  </sheetData>
  <conditionalFormatting sqref="B4:F4 J4:O4">
    <cfRule type="cellIs" dxfId="338" priority="3" stopIfTrue="1" operator="equal">
      <formula>"input"</formula>
    </cfRule>
  </conditionalFormatting>
  <conditionalFormatting sqref="G4">
    <cfRule type="cellIs" dxfId="337" priority="2" stopIfTrue="1" operator="equal">
      <formula>"input"</formula>
    </cfRule>
  </conditionalFormatting>
  <conditionalFormatting sqref="G4">
    <cfRule type="cellIs" dxfId="336" priority="1" stopIfTrue="1" operator="equal">
      <formula>"input"</formula>
    </cfRule>
  </conditionalFormatting>
  <pageMargins left="0.5" right="0.5" top="0.5" bottom="0.5" header="0.5" footer="0.5"/>
  <pageSetup scale="85" fitToWidth="0" fitToHeight="0" orientation="landscape" r:id="rId1"/>
  <colBreaks count="1" manualBreakCount="1">
    <brk id="8" max="60" man="1"/>
  </colBreaks>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tabColor theme="3" tint="-0.499984740745262"/>
    <pageSetUpPr fitToPage="1"/>
  </sheetPr>
  <dimension ref="B6:F30"/>
  <sheetViews>
    <sheetView showGridLines="0" tabSelected="1" view="pageBreakPreview" zoomScale="60" zoomScaleNormal="100" workbookViewId="0">
      <selection activeCell="H11" sqref="H11"/>
    </sheetView>
  </sheetViews>
  <sheetFormatPr defaultColWidth="9.33203125" defaultRowHeight="12.75"/>
  <cols>
    <col min="1" max="1" width="4.5" style="231" customWidth="1"/>
    <col min="2" max="2" width="3.83203125" style="231" customWidth="1"/>
    <col min="3" max="3" width="15.83203125" style="231" customWidth="1"/>
    <col min="4" max="4" width="107.1640625" style="278" customWidth="1"/>
    <col min="5" max="5" width="15.83203125" style="231" customWidth="1"/>
    <col min="6" max="6" width="3.83203125" style="231" customWidth="1"/>
    <col min="7" max="7" width="4.5" style="231" customWidth="1"/>
    <col min="8" max="8" width="9.33203125" style="231"/>
    <col min="9" max="9" width="16.33203125" style="231" bestFit="1" customWidth="1"/>
    <col min="10" max="10" width="19" style="231" bestFit="1" customWidth="1"/>
    <col min="11" max="16384" width="9.33203125" style="231"/>
  </cols>
  <sheetData>
    <row r="6" spans="2:6">
      <c r="C6" s="724"/>
      <c r="D6" s="725"/>
      <c r="E6" s="724"/>
      <c r="F6" s="724"/>
    </row>
    <row r="7" spans="2:6" ht="13.5" thickBot="1">
      <c r="C7" s="724"/>
      <c r="D7" s="725"/>
      <c r="E7" s="724"/>
      <c r="F7" s="724"/>
    </row>
    <row r="8" spans="2:6" ht="15" thickTop="1">
      <c r="B8" s="966"/>
      <c r="C8" s="967"/>
      <c r="D8" s="159"/>
      <c r="E8" s="158"/>
      <c r="F8" s="158"/>
    </row>
    <row r="9" spans="2:6" ht="39.75">
      <c r="B9" s="968"/>
      <c r="C9" s="969"/>
      <c r="D9" s="189" t="s">
        <v>3608</v>
      </c>
      <c r="E9" s="162"/>
      <c r="F9" s="162"/>
    </row>
    <row r="10" spans="2:6" ht="15" thickBot="1">
      <c r="B10" s="970"/>
      <c r="C10" s="971"/>
      <c r="D10" s="172"/>
      <c r="E10" s="171"/>
      <c r="F10" s="171"/>
    </row>
    <row r="11" spans="2:6" ht="13.5" thickTop="1"/>
    <row r="13" spans="2:6" ht="18">
      <c r="D13" s="174"/>
    </row>
    <row r="14" spans="2:6" ht="18">
      <c r="D14" s="175"/>
    </row>
    <row r="27" spans="4:4" ht="23.25">
      <c r="D27" s="176"/>
    </row>
    <row r="29" spans="4:4" ht="18">
      <c r="D29" s="177"/>
    </row>
    <row r="30" spans="4:4" ht="36">
      <c r="D30" s="178" t="s">
        <v>458</v>
      </c>
    </row>
  </sheetData>
  <pageMargins left="0.5" right="0.5" top="0.5" bottom="0.5" header="0.5" footer="0.5"/>
  <pageSetup scale="98"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dimension ref="B1:AL764"/>
  <sheetViews>
    <sheetView showGridLines="0" tabSelected="1" view="pageBreakPreview" zoomScale="80" zoomScaleNormal="100" zoomScaleSheetLayoutView="80" workbookViewId="0">
      <selection activeCell="H11" sqref="H11"/>
    </sheetView>
  </sheetViews>
  <sheetFormatPr defaultRowHeight="12.75" outlineLevelRow="1" outlineLevelCol="1"/>
  <cols>
    <col min="1" max="1" width="4.5" style="179" customWidth="1"/>
    <col min="2" max="2" width="36.1640625" style="179" customWidth="1"/>
    <col min="3" max="3" width="17" style="179" customWidth="1"/>
    <col min="4" max="4" width="2.83203125" style="179" customWidth="1"/>
    <col min="5" max="5" width="33.6640625" style="179" customWidth="1"/>
    <col min="6" max="6" width="18.33203125" style="179" customWidth="1"/>
    <col min="7" max="7" width="2.83203125" style="179" customWidth="1"/>
    <col min="8" max="9" width="15.1640625" style="179" hidden="1" customWidth="1" outlineLevel="1"/>
    <col min="10" max="10" width="11.83203125" style="179" customWidth="1" collapsed="1"/>
    <col min="11" max="11" width="2.83203125" style="179" customWidth="1"/>
    <col min="12" max="13" width="18.83203125" style="179" hidden="1" customWidth="1" outlineLevel="1"/>
    <col min="14" max="14" width="15.33203125" style="179" customWidth="1" collapsed="1"/>
    <col min="15" max="16" width="15.33203125" style="179" customWidth="1"/>
    <col min="17" max="17" width="2.83203125" style="179" customWidth="1"/>
    <col min="18" max="19" width="12.83203125" style="179" hidden="1" customWidth="1" outlineLevel="1"/>
    <col min="20" max="20" width="16.6640625" style="179" customWidth="1" collapsed="1"/>
    <col min="21" max="21" width="2.83203125" style="179" customWidth="1"/>
    <col min="22" max="23" width="12.83203125" style="179" hidden="1" customWidth="1" outlineLevel="1"/>
    <col min="24" max="24" width="13.6640625" style="179" customWidth="1" collapsed="1"/>
    <col min="25" max="26" width="13.6640625" style="179" customWidth="1"/>
    <col min="27" max="27" width="4.5" style="179" customWidth="1"/>
    <col min="28" max="32" width="13.6640625" style="179" customWidth="1"/>
    <col min="33" max="33" width="13.6640625" style="275" customWidth="1"/>
    <col min="34" max="35" width="13.6640625" style="179" customWidth="1"/>
    <col min="36" max="36" width="1.83203125" style="179" customWidth="1"/>
    <col min="37" max="37" width="15.33203125" style="179" bestFit="1" customWidth="1"/>
    <col min="38" max="38" width="12.5" style="179" customWidth="1"/>
    <col min="39" max="39" width="1.83203125" style="179" customWidth="1"/>
    <col min="40" max="16384" width="9.33203125" style="179"/>
  </cols>
  <sheetData>
    <row r="1" spans="2:38" ht="10.7" customHeight="1" thickBot="1">
      <c r="AB1" s="991"/>
      <c r="AC1" s="992" t="s">
        <v>870</v>
      </c>
      <c r="AD1" s="992" t="s">
        <v>871</v>
      </c>
      <c r="AE1" s="993" t="s">
        <v>110</v>
      </c>
    </row>
    <row r="2" spans="2:38"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Z2" s="187"/>
      <c r="AB2" s="492" t="str">
        <f>+C8</f>
        <v>Enterprise Value</v>
      </c>
      <c r="AC2" s="698" t="e">
        <f ca="1">SUM('GPC Linked'!H13:H42)</f>
        <v>#NAME?</v>
      </c>
      <c r="AD2" s="698">
        <f>+SUM('Capital IQ Sheet-GPC'!H13:H42)</f>
        <v>2632.3535799999995</v>
      </c>
      <c r="AE2" s="339" t="e">
        <f ca="1">AC2=AD2</f>
        <v>#NAME?</v>
      </c>
      <c r="AK2" s="909" t="s">
        <v>87</v>
      </c>
      <c r="AL2" s="910">
        <f>'MASTER PubCo Inputs'!$C$6</f>
        <v>43245</v>
      </c>
    </row>
    <row r="3" spans="2:38" ht="15.75" customHeight="1">
      <c r="B3" s="188" t="str">
        <f>VLOOKUP(B4,Outline!$E$8:$G$75,COLUMNS(Outline!$E$8:$G$8),FALSE)</f>
        <v>Exhibit D.1</v>
      </c>
      <c r="C3" s="188"/>
      <c r="D3" s="188"/>
      <c r="E3" s="188"/>
      <c r="F3" s="188"/>
      <c r="G3" s="188"/>
      <c r="H3" s="188"/>
      <c r="I3" s="188"/>
      <c r="J3" s="188"/>
      <c r="K3" s="188"/>
      <c r="L3" s="188"/>
      <c r="M3" s="188"/>
      <c r="N3" s="188"/>
      <c r="O3" s="188"/>
      <c r="P3" s="188"/>
      <c r="Q3" s="188"/>
      <c r="R3" s="188"/>
      <c r="S3" s="188"/>
      <c r="T3" s="188"/>
      <c r="U3" s="188"/>
      <c r="V3" s="188"/>
      <c r="W3" s="188"/>
      <c r="X3" s="188"/>
      <c r="Y3" s="188"/>
      <c r="Z3" s="188"/>
      <c r="AB3" s="492" t="str">
        <f>+J8</f>
        <v>LTM</v>
      </c>
      <c r="AC3" s="698" t="e">
        <f ca="1">+SUM('GPC Linked'!Q13:Q42)</f>
        <v>#NAME?</v>
      </c>
      <c r="AD3" s="698">
        <f>+SUM('Capital IQ Sheet-GPC'!Q13:Q42)</f>
        <v>70.062489999999997</v>
      </c>
      <c r="AE3" s="339" t="e">
        <f ca="1">AC3=AD3</f>
        <v>#NAME?</v>
      </c>
      <c r="AK3" s="911" t="s">
        <v>462</v>
      </c>
      <c r="AL3" s="994" t="s">
        <v>464</v>
      </c>
    </row>
    <row r="4" spans="2:38" ht="16.5" customHeight="1" thickBot="1">
      <c r="B4" s="726" t="s">
        <v>738</v>
      </c>
      <c r="C4" s="726"/>
      <c r="D4" s="726"/>
      <c r="E4" s="726"/>
      <c r="F4" s="726"/>
      <c r="G4" s="726"/>
      <c r="H4" s="726"/>
      <c r="I4" s="726"/>
      <c r="J4" s="726"/>
      <c r="K4" s="726"/>
      <c r="L4" s="726"/>
      <c r="M4" s="727"/>
      <c r="N4" s="727"/>
      <c r="O4" s="727"/>
      <c r="P4" s="727" t="str">
        <f>+'MASTER PubCo Inputs'!$C$24</f>
        <v>(in millions of USD)</v>
      </c>
      <c r="Q4" s="727"/>
      <c r="R4" s="727"/>
      <c r="S4" s="727"/>
      <c r="T4" s="727"/>
      <c r="U4" s="727"/>
      <c r="V4" s="727"/>
      <c r="W4" s="727"/>
      <c r="X4" s="727"/>
      <c r="Y4" s="727"/>
      <c r="Z4" s="727" t="str">
        <f>P4</f>
        <v>(in millions of USD)</v>
      </c>
      <c r="AB4" s="995">
        <f>+N8</f>
        <v>2018</v>
      </c>
      <c r="AC4" s="996" t="e">
        <f ca="1">+SUM('GPC Linked'!T13:T42)</f>
        <v>#NAME?</v>
      </c>
      <c r="AD4" s="996">
        <f>+SUM('Capital IQ Sheet-GPC'!T13:T42)</f>
        <v>97.35687999999999</v>
      </c>
      <c r="AE4" s="701" t="e">
        <f ca="1">AC4=AD4</f>
        <v>#NAME?</v>
      </c>
      <c r="AK4" s="911" t="s">
        <v>463</v>
      </c>
      <c r="AL4" s="994" t="s">
        <v>465</v>
      </c>
    </row>
    <row r="5" spans="2:38" ht="14.85" customHeight="1" thickTop="1">
      <c r="B5" s="963"/>
      <c r="C5" s="963"/>
      <c r="AK5" s="378" t="s">
        <v>89</v>
      </c>
      <c r="AL5" s="997" t="s">
        <v>90</v>
      </c>
    </row>
    <row r="6" spans="2:38" ht="14.85" customHeight="1">
      <c r="H6" s="998" t="s">
        <v>331</v>
      </c>
      <c r="I6" s="999"/>
      <c r="J6" s="635"/>
      <c r="L6" s="998" t="s">
        <v>331</v>
      </c>
      <c r="M6" s="1000"/>
      <c r="N6" s="1922" t="s">
        <v>331</v>
      </c>
      <c r="O6" s="1923"/>
      <c r="P6" s="1924"/>
      <c r="R6" s="1002" t="s">
        <v>331</v>
      </c>
      <c r="S6" s="1003"/>
      <c r="T6" s="976"/>
      <c r="V6" s="1002" t="s">
        <v>331</v>
      </c>
      <c r="W6" s="1004"/>
      <c r="X6" s="1922" t="s">
        <v>331</v>
      </c>
      <c r="Y6" s="1923"/>
      <c r="Z6" s="1924"/>
      <c r="AB6" s="1005" t="s">
        <v>958</v>
      </c>
      <c r="AC6" s="1006">
        <v>100</v>
      </c>
      <c r="AD6" s="1005" t="s">
        <v>959</v>
      </c>
      <c r="AE6" s="1006">
        <v>0</v>
      </c>
    </row>
    <row r="7" spans="2:38" ht="30.75" customHeight="1">
      <c r="H7" s="1007" t="s">
        <v>713</v>
      </c>
      <c r="I7" s="1007"/>
      <c r="J7" s="1926" t="s">
        <v>712</v>
      </c>
      <c r="K7" s="842"/>
      <c r="L7" s="1007" t="s">
        <v>711</v>
      </c>
      <c r="M7" s="840"/>
      <c r="N7" s="2054" t="s">
        <v>711</v>
      </c>
      <c r="O7" s="2055"/>
      <c r="P7" s="2056"/>
      <c r="R7" s="1007" t="s">
        <v>332</v>
      </c>
      <c r="S7" s="840"/>
      <c r="T7" s="1926" t="s">
        <v>332</v>
      </c>
      <c r="U7" s="842"/>
      <c r="V7" s="1007" t="s">
        <v>332</v>
      </c>
      <c r="W7" s="840"/>
      <c r="X7" s="1928" t="s">
        <v>332</v>
      </c>
      <c r="Y7" s="1929"/>
      <c r="Z7" s="1869"/>
      <c r="AB7" s="972" t="s">
        <v>91</v>
      </c>
      <c r="AC7" s="973"/>
      <c r="AD7" s="973"/>
      <c r="AE7" s="973"/>
      <c r="AF7" s="973"/>
      <c r="AG7" s="1009"/>
      <c r="AH7" s="973"/>
      <c r="AI7" s="974"/>
    </row>
    <row r="8" spans="2:38" s="200" customFormat="1" ht="46.5" customHeight="1">
      <c r="B8" s="1010" t="s">
        <v>733</v>
      </c>
      <c r="C8" s="924" t="s">
        <v>147</v>
      </c>
      <c r="D8" s="265"/>
      <c r="E8" s="1921" t="s">
        <v>2251</v>
      </c>
      <c r="F8" s="1012" t="s">
        <v>2252</v>
      </c>
      <c r="G8" s="265"/>
      <c r="H8" s="1013" t="s">
        <v>353</v>
      </c>
      <c r="I8" s="1014" t="s">
        <v>329</v>
      </c>
      <c r="J8" s="1806" t="s">
        <v>330</v>
      </c>
      <c r="K8" s="1016"/>
      <c r="L8" s="1013">
        <f>M8-1</f>
        <v>2016</v>
      </c>
      <c r="M8" s="1014">
        <f>N8-1</f>
        <v>2017</v>
      </c>
      <c r="N8" s="1804">
        <f>YEAR($AL$2)</f>
        <v>2018</v>
      </c>
      <c r="O8" s="1805">
        <f>N8+1</f>
        <v>2019</v>
      </c>
      <c r="P8" s="1925">
        <f>O8+1</f>
        <v>2020</v>
      </c>
      <c r="Q8" s="265"/>
      <c r="R8" s="1013" t="str">
        <f>H8</f>
        <v>LTM-2</v>
      </c>
      <c r="S8" s="1014" t="str">
        <f>I8</f>
        <v>LTM-1</v>
      </c>
      <c r="T8" s="1806" t="str">
        <f>J8</f>
        <v>LTM</v>
      </c>
      <c r="U8" s="1016"/>
      <c r="V8" s="1017">
        <f>L8</f>
        <v>2016</v>
      </c>
      <c r="W8" s="1014">
        <f>M8</f>
        <v>2017</v>
      </c>
      <c r="X8" s="1804">
        <f>N8</f>
        <v>2018</v>
      </c>
      <c r="Y8" s="1805">
        <f>O8</f>
        <v>2019</v>
      </c>
      <c r="Z8" s="1925">
        <f>P8</f>
        <v>2020</v>
      </c>
      <c r="AB8" s="1020" t="s">
        <v>94</v>
      </c>
      <c r="AC8" s="1021" t="s">
        <v>95</v>
      </c>
      <c r="AD8" s="1021" t="s">
        <v>96</v>
      </c>
      <c r="AE8" s="1021" t="s">
        <v>97</v>
      </c>
      <c r="AF8" s="1021" t="s">
        <v>98</v>
      </c>
      <c r="AG8" s="1022" t="s">
        <v>99</v>
      </c>
      <c r="AH8" s="1021" t="s">
        <v>100</v>
      </c>
      <c r="AI8" s="1023" t="s">
        <v>101</v>
      </c>
      <c r="AK8" s="562" t="s">
        <v>108</v>
      </c>
    </row>
    <row r="9" spans="2:38" ht="14.85" customHeight="1"/>
    <row r="10" spans="2:38" ht="14.85" customHeight="1">
      <c r="B10" s="410" t="s">
        <v>466</v>
      </c>
      <c r="C10" s="548"/>
      <c r="D10" s="548"/>
      <c r="E10" s="548"/>
      <c r="F10" s="548"/>
      <c r="G10" s="548"/>
      <c r="H10" s="548"/>
      <c r="I10" s="548"/>
      <c r="J10" s="548"/>
      <c r="K10" s="548"/>
      <c r="L10" s="548"/>
      <c r="M10" s="548"/>
      <c r="N10" s="548"/>
      <c r="O10" s="548"/>
      <c r="P10" s="548"/>
      <c r="Q10" s="549"/>
      <c r="R10" s="548"/>
      <c r="S10" s="548"/>
      <c r="T10" s="548"/>
      <c r="U10" s="548"/>
      <c r="V10" s="548"/>
      <c r="W10" s="548"/>
      <c r="X10" s="548"/>
      <c r="Y10" s="548"/>
      <c r="Z10" s="548"/>
      <c r="AK10" s="934"/>
    </row>
    <row r="11" spans="2:38" s="549" customFormat="1" ht="14.85" customHeight="1">
      <c r="B11" s="548"/>
      <c r="C11" s="548"/>
      <c r="D11" s="548"/>
      <c r="E11" s="548"/>
      <c r="F11" s="548"/>
      <c r="G11" s="548"/>
      <c r="H11" s="548"/>
      <c r="I11" s="548"/>
      <c r="J11" s="548"/>
      <c r="K11" s="548"/>
      <c r="L11" s="548"/>
      <c r="M11" s="548"/>
      <c r="N11" s="548"/>
      <c r="O11" s="548"/>
      <c r="P11" s="548"/>
      <c r="R11" s="548"/>
      <c r="S11" s="548"/>
      <c r="T11" s="548"/>
      <c r="U11" s="548"/>
      <c r="V11" s="548"/>
      <c r="W11" s="548"/>
      <c r="X11" s="548"/>
      <c r="Y11" s="548"/>
      <c r="Z11" s="548"/>
      <c r="AB11" s="179"/>
      <c r="AC11" s="179"/>
      <c r="AD11" s="179"/>
      <c r="AE11" s="179"/>
      <c r="AF11" s="179"/>
      <c r="AG11" s="275"/>
      <c r="AH11" s="179"/>
      <c r="AI11" s="179"/>
    </row>
    <row r="12" spans="2:38" ht="27" customHeight="1">
      <c r="B12" s="961" t="str">
        <f>'Capital IQ Sheet-GPC'!C13</f>
        <v>Editas Medicine, Inc.</v>
      </c>
      <c r="C12" s="1087">
        <f>'Beta Calc'!R10</f>
        <v>1379.6794800000002</v>
      </c>
      <c r="D12" s="961"/>
      <c r="E12" s="1086" t="s">
        <v>3810</v>
      </c>
      <c r="F12" s="1086" t="s">
        <v>3765</v>
      </c>
      <c r="G12" s="961"/>
      <c r="H12" s="1087">
        <f>'Capital IQ Sheet-GPC'!O13</f>
        <v>2.4340000000000002</v>
      </c>
      <c r="I12" s="1087">
        <f>'Capital IQ Sheet-GPC'!P13</f>
        <v>5.93</v>
      </c>
      <c r="J12" s="1087">
        <f>'Capital IQ Sheet-GPC'!Q13</f>
        <v>16.972999999999999</v>
      </c>
      <c r="K12" s="2053"/>
      <c r="L12" s="1087">
        <f>'Capital IQ Sheet-GPC'!R13</f>
        <v>6.0529999999999999</v>
      </c>
      <c r="M12" s="1087">
        <f>'Capital IQ Sheet-GPC'!S13</f>
        <v>13.728</v>
      </c>
      <c r="N12" s="1087">
        <f>'Capital IQ Sheet-GPC'!T13</f>
        <v>22.7866</v>
      </c>
      <c r="O12" s="1087">
        <f>'Capital IQ Sheet-GPC'!U13</f>
        <v>33.422170000000001</v>
      </c>
      <c r="P12" s="1087">
        <f>'Capital IQ Sheet-GPC'!V13</f>
        <v>41.15</v>
      </c>
      <c r="Q12" s="961"/>
      <c r="R12" s="1089">
        <f>IF(ISERROR($C12/H12), "n/a", $C12/H12)</f>
        <v>566.83626951520137</v>
      </c>
      <c r="S12" s="1089">
        <f>IF(ISERROR($C12/I12), "n/a", $C12/I12)</f>
        <v>232.66095784148402</v>
      </c>
      <c r="T12" s="1089">
        <f>IFERROR(IF(($C12/J12)&gt;$AC$6, "NM", IF(($C12/J12)&lt;$AE$6, "NM", $C12/J12)),"n/a")</f>
        <v>81.286718906498578</v>
      </c>
      <c r="U12" s="961"/>
      <c r="V12" s="1089" t="str">
        <f>IFERROR(IF(($C12/L12)&gt;$AC$6, "NM", IF(($C12/L12)&lt;$AE$6, "NM", $C12/L12)),"n/a")</f>
        <v>NM</v>
      </c>
      <c r="W12" s="1089" t="str">
        <f>IFERROR(IF(($C12/M12)&gt;$AC$6, "NM", IF(($C12/M12)&lt;$AE$6, "NM", $C12/M12)),"n/a")</f>
        <v>NM</v>
      </c>
      <c r="X12" s="1089">
        <f>IFERROR(IF(($C12/N12)&gt;$AC$6, "NM", IF(($C12/N12)&lt;$AE$6, "NM", $C12/N12)),"n/a")</f>
        <v>60.547843030553054</v>
      </c>
      <c r="Y12" s="1089">
        <f>IFERROR(IF(($C12/O12)&gt;$AC$6, "NM", IF(($C12/O12)&lt;$AE$6, "NM", $C12/O12)),"n/a")</f>
        <v>41.280368091000682</v>
      </c>
      <c r="Z12" s="1089">
        <f>IFERROR(IF(($C12/P12)&gt;$AC$6, "NM", IF(($C12/P12)&lt;$AE$6, "NM", $C12/P12)),"n/a")</f>
        <v>33.528055407047397</v>
      </c>
      <c r="AB12" s="255">
        <f>'Beta Calc'!K10</f>
        <v>1705.3104800000001</v>
      </c>
      <c r="AC12" s="255">
        <f>'Beta Calc'!L10</f>
        <v>33.19</v>
      </c>
      <c r="AD12" s="255" t="str">
        <f>'Beta Calc'!M10</f>
        <v>n/a</v>
      </c>
      <c r="AE12" s="255" t="str">
        <f>'Beta Calc'!N10</f>
        <v>n/a</v>
      </c>
      <c r="AF12" s="255">
        <f>SUM(AC12:AE12)</f>
        <v>33.19</v>
      </c>
      <c r="AG12" s="1024">
        <f>SUM(AB12:AE12)</f>
        <v>1738.5004800000002</v>
      </c>
      <c r="AH12" s="255">
        <f>'Beta Calc'!Q10</f>
        <v>358.82100000000003</v>
      </c>
      <c r="AI12" s="576">
        <f>IF(ISERROR(AG12-AH12), "n/a", AG12-AH12)</f>
        <v>1379.6794800000002</v>
      </c>
      <c r="AK12" s="932" t="str">
        <f>IF('MASTER PubCo Inputs'!C28="","",'MASTER PubCo Inputs'!C28)</f>
        <v>IQ252050056</v>
      </c>
      <c r="AL12" s="179" t="str">
        <f>'Capital IQ Sheet-GPC'!AP13</f>
        <v>Editas Medicine, Inc. operates as a genome editing company. It focuses on treating patients with genetically defined diseases by correcting their disease causing genes. The company develops a proprietary genome editing platform based on CRISPR technology to target genetically defined diseases with an initial focus on debilitating illnesses where there are no approved treatments. It develops EDIT-101 for Leber Congenital Amaurosis type 10, a genetic form of vision loss that leads to blindness in childhood. The company also develops other therapies for eye diseases, such as Herpes Simplex Virus 1 that causes lifelong infections primarily leading to ocular and oral disease; and Usher Syndrome 2A, which is a form of retinitis pigmentosa that also includes hearing loss. In addition, it develops hematopoietic stem cells for treating sickle cell disease and beta thalassemia. Editas Medicine, Inc. has a collaboration and license agreement with Juno Therapeutics, Inc. for the research and development of engineered T cells with chimeric antigen receptors and T cell receptors; and strategic alliance and option agreement with Allergan Pharmaceuticals International Limited for the research and development of medicines for ocular diseases. The company was formerly known as Gengine, Inc. and changed its name to Editas Medicine Inc. in November 2013. Editas Medicine, Inc. was founded in 2013 and is based in Cambridge, Massachusetts.</v>
      </c>
    </row>
    <row r="13" spans="2:38" ht="27" customHeight="1">
      <c r="B13" s="961" t="str">
        <f>'Capital IQ Sheet-GPC'!C14</f>
        <v>Oxford BioMedica plc</v>
      </c>
      <c r="C13" s="1087">
        <f>'Beta Calc'!R11</f>
        <v>686.14873999999998</v>
      </c>
      <c r="D13" s="961"/>
      <c r="E13" s="1086" t="s">
        <v>3811</v>
      </c>
      <c r="F13" s="1086" t="s">
        <v>3812</v>
      </c>
      <c r="G13" s="961"/>
      <c r="H13" s="1087">
        <f>'Capital IQ Sheet-GPC'!O14</f>
        <v>23.46114</v>
      </c>
      <c r="I13" s="1087">
        <f>'Capital IQ Sheet-GPC'!P14</f>
        <v>34.294750000000001</v>
      </c>
      <c r="J13" s="1087">
        <f>'Capital IQ Sheet-GPC'!Q14</f>
        <v>50.807600000000001</v>
      </c>
      <c r="K13" s="2053"/>
      <c r="L13" s="1087">
        <f>'Capital IQ Sheet-GPC'!R14</f>
        <v>34.294750000000001</v>
      </c>
      <c r="M13" s="1087">
        <f>'Capital IQ Sheet-GPC'!S14</f>
        <v>50.807600000000001</v>
      </c>
      <c r="N13" s="1087">
        <f>'Capital IQ Sheet-GPC'!T14</f>
        <v>67.411730000000006</v>
      </c>
      <c r="O13" s="1087">
        <f>'Capital IQ Sheet-GPC'!U14</f>
        <v>83.334149999999994</v>
      </c>
      <c r="P13" s="1087">
        <f>'Capital IQ Sheet-GPC'!V14</f>
        <v>110.53583999999999</v>
      </c>
      <c r="Q13" s="961"/>
      <c r="R13" s="1089">
        <f t="shared" ref="R13:R41" si="0">IF(ISERROR($C13/H13), "n/a", $C13/H13)</f>
        <v>29.246180705626408</v>
      </c>
      <c r="S13" s="1089">
        <f t="shared" ref="S13:S41" si="1">IF(ISERROR($C13/I13), "n/a", $C13/I13)</f>
        <v>20.007398800107886</v>
      </c>
      <c r="T13" s="1089">
        <f t="shared" ref="T13:T41" si="2">IFERROR(IF(($C13/J13)&gt;$AC$6, "NM", IF(($C13/J13)&lt;$AE$6, "NM", $C13/J13)),"n/a")</f>
        <v>13.504844550815232</v>
      </c>
      <c r="U13" s="961"/>
      <c r="V13" s="1089">
        <f t="shared" ref="V13:V27" si="3">IFERROR(IF(($C13/L13)&gt;$AC$6, "NM", IF(($C13/L13)&lt;$AE$6, "NM", $C13/L13)),"n/a")</f>
        <v>20.007398800107886</v>
      </c>
      <c r="W13" s="1089">
        <f t="shared" ref="W13:W27" si="4">IFERROR(IF(($C13/M13)&gt;$AC$6, "NM", IF(($C13/M13)&lt;$AE$6, "NM", $C13/M13)),"n/a")</f>
        <v>13.504844550815232</v>
      </c>
      <c r="X13" s="1089">
        <f t="shared" ref="X13:X41" si="5">IFERROR(IF(($C13/N13)&gt;$AC$6, "NM", IF(($C13/N13)&lt;$AE$6, "NM", $C13/N13)),"n/a")</f>
        <v>10.178476950524781</v>
      </c>
      <c r="Y13" s="1089">
        <f t="shared" ref="Y13:Y41" si="6">IFERROR(IF(($C13/O13)&gt;$AC$6, "NM", IF(($C13/O13)&lt;$AE$6, "NM", $C13/O13)),"n/a")</f>
        <v>8.2337041896989405</v>
      </c>
      <c r="Z13" s="1089">
        <f t="shared" ref="Z13:Z41" si="7">IFERROR(IF(($C13/P13)&gt;$AC$6, "NM", IF(($C13/P13)&lt;$AE$6, "NM", $C13/P13)),"n/a")</f>
        <v>6.2074775023196098</v>
      </c>
      <c r="AB13" s="255">
        <f>'Beta Calc'!K11</f>
        <v>655.68985999999995</v>
      </c>
      <c r="AC13" s="255">
        <f>'Beta Calc'!L11</f>
        <v>49.826320000000003</v>
      </c>
      <c r="AD13" s="255" t="str">
        <f>'Beta Calc'!M11</f>
        <v>n/a</v>
      </c>
      <c r="AE13" s="255" t="str">
        <f>'Beta Calc'!N11</f>
        <v>n/a</v>
      </c>
      <c r="AF13" s="255">
        <f t="shared" ref="AF13:AF41" si="8">SUM(AC13:AE13)</f>
        <v>49.826320000000003</v>
      </c>
      <c r="AG13" s="1024">
        <f t="shared" ref="AG13:AG41" si="9">SUM(AB13:AE13)</f>
        <v>705.51617999999996</v>
      </c>
      <c r="AH13" s="255">
        <f>'Beta Calc'!Q11</f>
        <v>19.367439999999998</v>
      </c>
      <c r="AI13" s="576">
        <f t="shared" ref="AI13:AI41" si="10">IF(ISERROR(AG13-AH13), "n/a", AG13-AH13)</f>
        <v>686.14873999999998</v>
      </c>
      <c r="AK13" s="932" t="str">
        <f>IF('MASTER PubCo Inputs'!C29="","",'MASTER PubCo Inputs'!C29)</f>
        <v>IQ613227</v>
      </c>
      <c r="AL13" s="179" t="str">
        <f>'Capital IQ Sheet-GPC'!AP14</f>
        <v>Oxford BioMedica plc, a biopharmaceutical company, engages in the research, development, and bioprocessing of lentiviral vector and cell therapy products for the treatment of various cancers, Parkinson’s, central nervous system disorders, and ocular conditions in Europe and internationally. The company operates through Platform and Product segments. Its LentiVector platform technology integrates genes into non-dividing cells in the brain and retinal cells in the eye, as well as accommodates multiple therapeutic genes. The company’s products under development include OXB-102 that is in Phase I/IIa study preparation for the treatment of Parkinson's disease; OXB-202, which is in a Phase I/IIa trial preparation for the prevention of corneal graft rejection; and OXB-302, a gene-based cancer immunotherapy product that has completed pre-clinical development for use in the treatment of a range of cancers, as well as OXB-201 that has completed Phase I trial for the treatment of wet age-related macular degeneration and diabetic retinopathy. It is also developing gene-based therapies, such as SAR 422459 that is in a Phase II trial for the treatment of Stargardt disease; and SAR 421869, which is in Phase I/II trial for the treatment of Usher syndrome 1B. The company has partnerships with Novartis, Sanofi, GlaxoSmithKline, Bioverativ, Orchard Therapeutics, GC LabCell, the UK Cystic Fibrosis Gene Therapy Consortium, Imperial Innovations, and Immune Design. Oxford BioMedica plc was founded in 1995 and is headquartered in Oxford, the United Kingdom.</v>
      </c>
    </row>
    <row r="14" spans="2:38" ht="14.45" customHeight="1">
      <c r="B14" s="961" t="str">
        <f>'Capital IQ Sheet-GPC'!C15</f>
        <v>Fennec Pharmaceuticals Inc.</v>
      </c>
      <c r="C14" s="1087">
        <f>'Beta Calc'!R12</f>
        <v>178.94606000000002</v>
      </c>
      <c r="D14" s="961"/>
      <c r="E14" s="1086" t="s">
        <v>3813</v>
      </c>
      <c r="F14" s="1086" t="s">
        <v>611</v>
      </c>
      <c r="G14" s="961"/>
      <c r="H14" s="1087" t="str">
        <f>'Capital IQ Sheet-GPC'!O15</f>
        <v>n/a</v>
      </c>
      <c r="I14" s="1087" t="str">
        <f>'Capital IQ Sheet-GPC'!P15</f>
        <v>n/a</v>
      </c>
      <c r="J14" s="1087" t="str">
        <f>'Capital IQ Sheet-GPC'!Q15</f>
        <v>n/a</v>
      </c>
      <c r="K14" s="2053"/>
      <c r="L14" s="1087" t="str">
        <f>'Capital IQ Sheet-GPC'!R15</f>
        <v>n/a</v>
      </c>
      <c r="M14" s="1087" t="str">
        <f>'Capital IQ Sheet-GPC'!S15</f>
        <v>n/a</v>
      </c>
      <c r="N14" s="1087" t="str">
        <f>'Capital IQ Sheet-GPC'!T15</f>
        <v>n/a</v>
      </c>
      <c r="O14" s="1087">
        <f>'Capital IQ Sheet-GPC'!U15</f>
        <v>48.361330000000002</v>
      </c>
      <c r="P14" s="1087">
        <f>'Capital IQ Sheet-GPC'!V15</f>
        <v>51.17933</v>
      </c>
      <c r="Q14" s="961"/>
      <c r="R14" s="1089" t="str">
        <f t="shared" si="0"/>
        <v>n/a</v>
      </c>
      <c r="S14" s="1089" t="str">
        <f t="shared" si="1"/>
        <v>n/a</v>
      </c>
      <c r="T14" s="1089" t="str">
        <f t="shared" si="2"/>
        <v>n/a</v>
      </c>
      <c r="U14" s="961"/>
      <c r="V14" s="1089" t="str">
        <f t="shared" si="3"/>
        <v>n/a</v>
      </c>
      <c r="W14" s="1089" t="str">
        <f t="shared" si="4"/>
        <v>n/a</v>
      </c>
      <c r="X14" s="1089" t="str">
        <f t="shared" si="5"/>
        <v>n/a</v>
      </c>
      <c r="Y14" s="1089">
        <f t="shared" si="6"/>
        <v>3.7001889732974673</v>
      </c>
      <c r="Z14" s="1089">
        <f t="shared" si="7"/>
        <v>3.4964517902051475</v>
      </c>
      <c r="AB14" s="255">
        <f>'Beta Calc'!K12</f>
        <v>205.66506000000001</v>
      </c>
      <c r="AC14" s="255">
        <f>'Beta Calc'!L12</f>
        <v>0</v>
      </c>
      <c r="AD14" s="255" t="str">
        <f>'Beta Calc'!M12</f>
        <v>n/a</v>
      </c>
      <c r="AE14" s="255" t="str">
        <f>'Beta Calc'!N12</f>
        <v>n/a</v>
      </c>
      <c r="AF14" s="255">
        <f t="shared" si="8"/>
        <v>0</v>
      </c>
      <c r="AG14" s="1024">
        <f t="shared" si="9"/>
        <v>205.66506000000001</v>
      </c>
      <c r="AH14" s="255">
        <f>'Beta Calc'!Q12</f>
        <v>26.719000000000001</v>
      </c>
      <c r="AI14" s="576">
        <f t="shared" si="10"/>
        <v>178.94606000000002</v>
      </c>
      <c r="AK14" s="932" t="str">
        <f>IF('MASTER PubCo Inputs'!C30="","",'MASTER PubCo Inputs'!C30)</f>
        <v>IQ1455350</v>
      </c>
      <c r="AL14" s="179" t="str">
        <f>'Capital IQ Sheet-GPC'!AP15</f>
        <v>Fennec Pharmaceuticals Inc., a biopharmaceutical company, develops product candidates for use in the treatment of cancer in the United States. Its lead product candidate is the Sodium Thiosulfate, which has completed the Phase III clinical trial for the prevention of cisplatin induced hearing loss or ototoxicity in children. The company was formerly known as Adherex Technologies Inc. and changed its name to Fennec Pharmaceuticals Inc. in September 2014. Fennec Pharmaceuticals Inc. was founded in 1996 and is based in Research Triangle Park, North Carolina.</v>
      </c>
    </row>
    <row r="15" spans="2:38" ht="14.45" customHeight="1">
      <c r="B15" s="961" t="str">
        <f>'Capital IQ Sheet-GPC'!C16</f>
        <v>ProQR Therapeutics N.V.</v>
      </c>
      <c r="C15" s="1087">
        <f>'Beta Calc'!R13</f>
        <v>139.23598000000001</v>
      </c>
      <c r="D15" s="961"/>
      <c r="E15" s="1086" t="s">
        <v>3814</v>
      </c>
      <c r="F15" s="1086" t="s">
        <v>885</v>
      </c>
      <c r="G15" s="961"/>
      <c r="H15" s="1087">
        <f>'Capital IQ Sheet-GPC'!O16</f>
        <v>3.4624000000000001</v>
      </c>
      <c r="I15" s="1087">
        <f>'Capital IQ Sheet-GPC'!P16</f>
        <v>1.72279</v>
      </c>
      <c r="J15" s="1087">
        <f>'Capital IQ Sheet-GPC'!Q16</f>
        <v>1.04467</v>
      </c>
      <c r="K15" s="2053"/>
      <c r="L15" s="1087">
        <f>'Capital IQ Sheet-GPC'!R16</f>
        <v>1.72279</v>
      </c>
      <c r="M15" s="1087">
        <f>'Capital IQ Sheet-GPC'!S16</f>
        <v>1.04467</v>
      </c>
      <c r="N15" s="1087">
        <f>'Capital IQ Sheet-GPC'!T16</f>
        <v>3.6</v>
      </c>
      <c r="O15" s="1087">
        <f>'Capital IQ Sheet-GPC'!U16</f>
        <v>4.6950000000000003</v>
      </c>
      <c r="P15" s="1087" t="str">
        <f>'Capital IQ Sheet-GPC'!V16</f>
        <v>n/a</v>
      </c>
      <c r="Q15" s="961"/>
      <c r="R15" s="1089">
        <f t="shared" si="0"/>
        <v>40.213718807763406</v>
      </c>
      <c r="S15" s="1089">
        <f t="shared" si="1"/>
        <v>80.82005351784025</v>
      </c>
      <c r="T15" s="1089" t="str">
        <f t="shared" si="2"/>
        <v>NM</v>
      </c>
      <c r="U15" s="961"/>
      <c r="V15" s="1089">
        <f t="shared" si="3"/>
        <v>80.82005351784025</v>
      </c>
      <c r="W15" s="1089" t="str">
        <f t="shared" si="4"/>
        <v>NM</v>
      </c>
      <c r="X15" s="1089">
        <f t="shared" si="5"/>
        <v>38.676661111111116</v>
      </c>
      <c r="Y15" s="1089">
        <f t="shared" si="6"/>
        <v>29.656225772097976</v>
      </c>
      <c r="Z15" s="1089" t="str">
        <f t="shared" si="7"/>
        <v>n/a</v>
      </c>
      <c r="AB15" s="255">
        <f>'Beta Calc'!K13</f>
        <v>188.339</v>
      </c>
      <c r="AC15" s="255">
        <f>'Beta Calc'!L13</f>
        <v>8.6983700000000006</v>
      </c>
      <c r="AD15" s="255" t="str">
        <f>'Beta Calc'!M13</f>
        <v>n/a</v>
      </c>
      <c r="AE15" s="255">
        <f>'Beta Calc'!N13</f>
        <v>-4.5629999999999997E-2</v>
      </c>
      <c r="AF15" s="255">
        <f t="shared" si="8"/>
        <v>8.6527400000000014</v>
      </c>
      <c r="AG15" s="1024">
        <f t="shared" si="9"/>
        <v>196.99174000000002</v>
      </c>
      <c r="AH15" s="255">
        <f>'Beta Calc'!Q13</f>
        <v>57.755760000000002</v>
      </c>
      <c r="AI15" s="576">
        <f t="shared" si="10"/>
        <v>139.23598000000001</v>
      </c>
      <c r="AK15" s="932" t="str">
        <f>IF('MASTER PubCo Inputs'!C31="","",'MASTER PubCo Inputs'!C31)</f>
        <v>IQ224193775</v>
      </c>
      <c r="AL15" s="179" t="str">
        <f>'Capital IQ Sheet-GPC'!AP16</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16" spans="2:38" ht="27" customHeight="1">
      <c r="B16" s="961" t="str">
        <f>'Capital IQ Sheet-GPC'!C17</f>
        <v>Genkyotex SA</v>
      </c>
      <c r="C16" s="1087">
        <f>'Beta Calc'!R14</f>
        <v>125.38888000000001</v>
      </c>
      <c r="D16" s="961"/>
      <c r="E16" s="1086" t="s">
        <v>3764</v>
      </c>
      <c r="F16" s="1086" t="s">
        <v>3765</v>
      </c>
      <c r="G16" s="961"/>
      <c r="H16" s="1087" t="str">
        <f>'Capital IQ Sheet-GPC'!O17</f>
        <v>n/a</v>
      </c>
      <c r="I16" s="1087" t="str">
        <f>'Capital IQ Sheet-GPC'!P17</f>
        <v>n/a</v>
      </c>
      <c r="J16" s="1087" t="str">
        <f>'Capital IQ Sheet-GPC'!Q17</f>
        <v>n/a</v>
      </c>
      <c r="K16" s="2053"/>
      <c r="L16" s="1087" t="str">
        <f>'Capital IQ Sheet-GPC'!R17</f>
        <v>n/a</v>
      </c>
      <c r="M16" s="1087" t="str">
        <f>'Capital IQ Sheet-GPC'!S17</f>
        <v>n/a</v>
      </c>
      <c r="N16" s="1087" t="str">
        <f>'Capital IQ Sheet-GPC'!T17</f>
        <v>n/a</v>
      </c>
      <c r="O16" s="1087" t="str">
        <f>'Capital IQ Sheet-GPC'!U17</f>
        <v>n/a</v>
      </c>
      <c r="P16" s="1087" t="str">
        <f>'Capital IQ Sheet-GPC'!V17</f>
        <v>n/a</v>
      </c>
      <c r="Q16" s="961"/>
      <c r="R16" s="1089" t="str">
        <f t="shared" si="0"/>
        <v>n/a</v>
      </c>
      <c r="S16" s="1089" t="str">
        <f t="shared" si="1"/>
        <v>n/a</v>
      </c>
      <c r="T16" s="1089" t="str">
        <f t="shared" si="2"/>
        <v>n/a</v>
      </c>
      <c r="U16" s="961"/>
      <c r="V16" s="1089" t="str">
        <f t="shared" si="3"/>
        <v>n/a</v>
      </c>
      <c r="W16" s="1089" t="str">
        <f t="shared" si="4"/>
        <v>n/a</v>
      </c>
      <c r="X16" s="1089" t="str">
        <f t="shared" si="5"/>
        <v>n/a</v>
      </c>
      <c r="Y16" s="1089" t="str">
        <f t="shared" si="6"/>
        <v>n/a</v>
      </c>
      <c r="Z16" s="1089" t="str">
        <f t="shared" si="7"/>
        <v>n/a</v>
      </c>
      <c r="AB16" s="255">
        <f>'Beta Calc'!K14</f>
        <v>138.52769000000001</v>
      </c>
      <c r="AC16" s="255">
        <f>'Beta Calc'!L14</f>
        <v>0.48391000000000001</v>
      </c>
      <c r="AD16" s="255" t="str">
        <f>'Beta Calc'!M14</f>
        <v>n/a</v>
      </c>
      <c r="AE16" s="255" t="str">
        <f>'Beta Calc'!N14</f>
        <v>n/a</v>
      </c>
      <c r="AF16" s="255">
        <f t="shared" si="8"/>
        <v>0.48391000000000001</v>
      </c>
      <c r="AG16" s="1024">
        <f t="shared" si="9"/>
        <v>139.01160000000002</v>
      </c>
      <c r="AH16" s="255">
        <f>'Beta Calc'!Q14</f>
        <v>13.622719999999999</v>
      </c>
      <c r="AI16" s="576">
        <f t="shared" si="10"/>
        <v>125.38888000000001</v>
      </c>
      <c r="AK16" s="932" t="str">
        <f>IF('MASTER PubCo Inputs'!C32="","",'MASTER PubCo Inputs'!C32)</f>
        <v>IQ25750031</v>
      </c>
      <c r="AL16" s="179" t="str">
        <f>'Capital IQ Sheet-GPC'!AP17</f>
        <v>Genkyotex S.A., a biopharmaceutical company, develops oral small molecule NOX therapeutics. Its platform enables the identification of orally available small-molecules that selectively inhibit NOX enzymes amplifying various disease processes, such as fibrosis, inflammation, pain processing, cancer development, and neurodegeneration. The company’s lead product candidate is GKT831, a NOX1 and NOX4 inhibitor, which is evaluated in a Phase II clinical trial in primary biliary cholangitis a fibrotic orphan disease and in an investigator-initiated Phase II clinical trial in type 1 diabetes and kidney disease. Its preclinical stage product candidate is GKT771, a NOX1 inhibitor targeting various pathways in angiogenesis, pain processing, and inflammation. The company’s research programs include brain penetrant NOX inhibitors to address CNS disorders; NOX inhibitors to address hearing loss; and NOX inhibitors in oncology. Genkyotex S.A. has a partnership with Serum Institute of India Ltd for the development of prophylactic vaccines. The company was founded in 2006 and is based in Saint Julien En Genevois, France.</v>
      </c>
    </row>
    <row r="17" spans="2:38" ht="14.45" customHeight="1">
      <c r="B17" s="961" t="str">
        <f>'Capital IQ Sheet-GPC'!C18</f>
        <v>Novus Therapeutics, Inc.</v>
      </c>
      <c r="C17" s="1087">
        <f>'Beta Calc'!R15</f>
        <v>51.510280000000009</v>
      </c>
      <c r="D17" s="961"/>
      <c r="E17" s="1086" t="s">
        <v>3766</v>
      </c>
      <c r="F17" s="1086" t="s">
        <v>610</v>
      </c>
      <c r="G17" s="961"/>
      <c r="H17" s="1087" t="str">
        <f>'Capital IQ Sheet-GPC'!O18</f>
        <v>n/a</v>
      </c>
      <c r="I17" s="1087" t="str">
        <f>'Capital IQ Sheet-GPC'!P18</f>
        <v>n/a</v>
      </c>
      <c r="J17" s="1087" t="str">
        <f>'Capital IQ Sheet-GPC'!Q18</f>
        <v>n/a</v>
      </c>
      <c r="K17" s="2053"/>
      <c r="L17" s="1087" t="str">
        <f>'Capital IQ Sheet-GPC'!R18</f>
        <v>n/a</v>
      </c>
      <c r="M17" s="1087" t="str">
        <f>'Capital IQ Sheet-GPC'!S18</f>
        <v>n/a</v>
      </c>
      <c r="N17" s="1087" t="str">
        <f>'Capital IQ Sheet-GPC'!T18</f>
        <v>n/a</v>
      </c>
      <c r="O17" s="1087" t="str">
        <f>'Capital IQ Sheet-GPC'!U18</f>
        <v>n/a</v>
      </c>
      <c r="P17" s="1087" t="str">
        <f>'Capital IQ Sheet-GPC'!V18</f>
        <v>n/a</v>
      </c>
      <c r="Q17" s="961"/>
      <c r="R17" s="1089" t="str">
        <f t="shared" si="0"/>
        <v>n/a</v>
      </c>
      <c r="S17" s="1089" t="str">
        <f t="shared" si="1"/>
        <v>n/a</v>
      </c>
      <c r="T17" s="1089" t="str">
        <f t="shared" si="2"/>
        <v>n/a</v>
      </c>
      <c r="U17" s="961"/>
      <c r="V17" s="1089" t="str">
        <f t="shared" si="3"/>
        <v>n/a</v>
      </c>
      <c r="W17" s="1089" t="str">
        <f t="shared" si="4"/>
        <v>n/a</v>
      </c>
      <c r="X17" s="1089" t="str">
        <f t="shared" si="5"/>
        <v>n/a</v>
      </c>
      <c r="Y17" s="1089" t="str">
        <f t="shared" si="6"/>
        <v>n/a</v>
      </c>
      <c r="Z17" s="1089" t="str">
        <f t="shared" si="7"/>
        <v>n/a</v>
      </c>
      <c r="AB17" s="255">
        <f>'Beta Calc'!K15</f>
        <v>74.033280000000005</v>
      </c>
      <c r="AC17" s="255">
        <f>'Beta Calc'!L15</f>
        <v>0</v>
      </c>
      <c r="AD17" s="255" t="str">
        <f>'Beta Calc'!M15</f>
        <v>n/a</v>
      </c>
      <c r="AE17" s="255" t="str">
        <f>'Beta Calc'!N15</f>
        <v>n/a</v>
      </c>
      <c r="AF17" s="255">
        <f t="shared" si="8"/>
        <v>0</v>
      </c>
      <c r="AG17" s="1024">
        <f t="shared" si="9"/>
        <v>74.033280000000005</v>
      </c>
      <c r="AH17" s="255">
        <f>'Beta Calc'!Q15</f>
        <v>22.523</v>
      </c>
      <c r="AI17" s="576">
        <f t="shared" si="10"/>
        <v>51.510280000000009</v>
      </c>
      <c r="AK17" s="932" t="str">
        <f>IF('MASTER PubCo Inputs'!C33="","",'MASTER PubCo Inputs'!C33)</f>
        <v>IQ62494905</v>
      </c>
      <c r="AL17" s="179" t="str">
        <f>'Capital IQ Sheet-GPC'!AP18</f>
        <v>Novus Therapeutics, Inc., a pharmaceutical company, focuses on developing products for patients with disorders of ear, nose, and throat. Its lead product is (OP-02), a surfactant-based combination drug product for patients at risk for, or with, otitis media (OM) (middle ear inflammation with or without infection). The company also has a foam-based drug delivery technology (OP-01) that could be used to deliver drugs into the ear, nose, and sinus cavities. Novus Therapeutics, Inc. is headquartered in Irvine, California.</v>
      </c>
    </row>
    <row r="18" spans="2:38" ht="27" customHeight="1">
      <c r="B18" s="961" t="str">
        <f>'Capital IQ Sheet-GPC'!C19</f>
        <v>Sensorion SA</v>
      </c>
      <c r="C18" s="1087">
        <f>'Beta Calc'!R16</f>
        <v>30.731609999999996</v>
      </c>
      <c r="D18" s="961"/>
      <c r="E18" s="1086" t="s">
        <v>3767</v>
      </c>
      <c r="F18" s="1086" t="s">
        <v>3768</v>
      </c>
      <c r="G18" s="961"/>
      <c r="H18" s="1087">
        <f>'Capital IQ Sheet-GPC'!O19</f>
        <v>0.17107</v>
      </c>
      <c r="I18" s="1087">
        <f>'Capital IQ Sheet-GPC'!P19</f>
        <v>1.847E-2</v>
      </c>
      <c r="J18" s="1087">
        <f>'Capital IQ Sheet-GPC'!Q19</f>
        <v>5.8220000000000001E-2</v>
      </c>
      <c r="K18" s="2053"/>
      <c r="L18" s="1087">
        <f>'Capital IQ Sheet-GPC'!R19</f>
        <v>1.847E-2</v>
      </c>
      <c r="M18" s="1087">
        <f>'Capital IQ Sheet-GPC'!S19</f>
        <v>5.8220000000000001E-2</v>
      </c>
      <c r="N18" s="1087">
        <f>'Capital IQ Sheet-GPC'!T19</f>
        <v>2.2147100000000002</v>
      </c>
      <c r="O18" s="1087">
        <f>'Capital IQ Sheet-GPC'!U19</f>
        <v>16.085789999999999</v>
      </c>
      <c r="P18" s="1087" t="str">
        <f>'Capital IQ Sheet-GPC'!V19</f>
        <v>n/a</v>
      </c>
      <c r="Q18" s="961"/>
      <c r="R18" s="1089">
        <f t="shared" si="0"/>
        <v>179.64347927748872</v>
      </c>
      <c r="S18" s="1089">
        <f t="shared" si="1"/>
        <v>1663.8662696264209</v>
      </c>
      <c r="T18" s="1089" t="str">
        <f t="shared" si="2"/>
        <v>NM</v>
      </c>
      <c r="U18" s="961"/>
      <c r="V18" s="1089" t="str">
        <f t="shared" si="3"/>
        <v>NM</v>
      </c>
      <c r="W18" s="1089" t="str">
        <f t="shared" si="4"/>
        <v>NM</v>
      </c>
      <c r="X18" s="1089">
        <f t="shared" si="5"/>
        <v>13.876132766818227</v>
      </c>
      <c r="Y18" s="1089">
        <f t="shared" si="6"/>
        <v>1.9104818600765021</v>
      </c>
      <c r="Z18" s="1089" t="str">
        <f t="shared" si="7"/>
        <v>n/a</v>
      </c>
      <c r="AB18" s="255">
        <f>'Beta Calc'!K16</f>
        <v>37.159999999999997</v>
      </c>
      <c r="AC18" s="255">
        <f>'Beta Calc'!L16</f>
        <v>2.6891699999999998</v>
      </c>
      <c r="AD18" s="255">
        <f>'Beta Calc'!M16</f>
        <v>0</v>
      </c>
      <c r="AE18" s="255">
        <f>'Beta Calc'!N16</f>
        <v>0</v>
      </c>
      <c r="AF18" s="255">
        <f t="shared" si="8"/>
        <v>2.6891699999999998</v>
      </c>
      <c r="AG18" s="1024">
        <f t="shared" si="9"/>
        <v>39.849169999999994</v>
      </c>
      <c r="AH18" s="255">
        <f>'Beta Calc'!Q16</f>
        <v>9.1175599999999992</v>
      </c>
      <c r="AI18" s="576">
        <f t="shared" si="10"/>
        <v>30.731609999999996</v>
      </c>
      <c r="AK18" s="932" t="str">
        <f>IF('MASTER PubCo Inputs'!C34="","",'MASTER PubCo Inputs'!C34)</f>
        <v>IQ201049094</v>
      </c>
      <c r="AL18" s="179" t="str">
        <f>'Capital IQ Sheet-GPC'!AP19</f>
        <v>Sensorion SA, a biopharmaceutical company, develops therapies for the treatment of inner ear disorders. The company develops SENS-111, which is in phase II clinical trials to treat acute unilateral vestibulopathy; and SENS-401 that is in phase I clinical trials to treat sudden sensorineural hearing loss. It also develops SENS-300, which is under the pre-clinical stage for use in inner ear toxicity treatment. The company has a strategic collaboration with Cochlear Limited to study combination therapies for cochlear implant patients. Sensorion SA was founded in 2009 and is headquartered in Montpellier, France.</v>
      </c>
    </row>
    <row r="19" spans="2:38" ht="15" customHeight="1">
      <c r="B19" s="961" t="str">
        <f>'Capital IQ Sheet-GPC'!C20</f>
        <v>Otonomy, Inc.</v>
      </c>
      <c r="C19" s="1087">
        <f>'Beta Calc'!R17</f>
        <v>25.845989999999986</v>
      </c>
      <c r="D19" s="961"/>
      <c r="E19" s="1086" t="s">
        <v>3769</v>
      </c>
      <c r="F19" s="1086" t="s">
        <v>3770</v>
      </c>
      <c r="G19" s="961"/>
      <c r="H19" s="1087">
        <f>'Capital IQ Sheet-GPC'!O20</f>
        <v>1.2999999999999999E-2</v>
      </c>
      <c r="I19" s="1087">
        <f>'Capital IQ Sheet-GPC'!P20</f>
        <v>1.028</v>
      </c>
      <c r="J19" s="1087">
        <f>'Capital IQ Sheet-GPC'!Q20</f>
        <v>1.179</v>
      </c>
      <c r="K19" s="2053"/>
      <c r="L19" s="1087">
        <f>'Capital IQ Sheet-GPC'!R20</f>
        <v>0.68300000000000005</v>
      </c>
      <c r="M19" s="1087">
        <f>'Capital IQ Sheet-GPC'!S20</f>
        <v>1.236</v>
      </c>
      <c r="N19" s="1087">
        <f>'Capital IQ Sheet-GPC'!T20</f>
        <v>1.3438399999999999</v>
      </c>
      <c r="O19" s="1087">
        <f>'Capital IQ Sheet-GPC'!U20</f>
        <v>1.29383</v>
      </c>
      <c r="P19" s="1087">
        <f>'Capital IQ Sheet-GPC'!V20</f>
        <v>18.167660000000001</v>
      </c>
      <c r="Q19" s="961"/>
      <c r="R19" s="1089">
        <f t="shared" si="0"/>
        <v>1988.153076923076</v>
      </c>
      <c r="S19" s="1089">
        <f t="shared" si="1"/>
        <v>25.14201361867703</v>
      </c>
      <c r="T19" s="1089">
        <f t="shared" si="2"/>
        <v>21.921959287531795</v>
      </c>
      <c r="U19" s="961"/>
      <c r="V19" s="1089">
        <f t="shared" si="3"/>
        <v>37.841859443631016</v>
      </c>
      <c r="W19" s="1089">
        <f t="shared" si="4"/>
        <v>20.910995145631055</v>
      </c>
      <c r="X19" s="1089">
        <f t="shared" si="5"/>
        <v>19.232936956780559</v>
      </c>
      <c r="Y19" s="1089">
        <f t="shared" si="6"/>
        <v>19.976341559555728</v>
      </c>
      <c r="Z19" s="1089">
        <f t="shared" si="7"/>
        <v>1.4226372576325175</v>
      </c>
      <c r="AB19" s="255">
        <f>'Beta Calc'!K17</f>
        <v>136.06998999999999</v>
      </c>
      <c r="AC19" s="255">
        <f>'Beta Calc'!L17</f>
        <v>0</v>
      </c>
      <c r="AD19" s="255">
        <f>'Beta Calc'!M17</f>
        <v>0</v>
      </c>
      <c r="AE19" s="255">
        <f>'Beta Calc'!N17</f>
        <v>0</v>
      </c>
      <c r="AF19" s="255">
        <f t="shared" si="8"/>
        <v>0</v>
      </c>
      <c r="AG19" s="1024">
        <f t="shared" si="9"/>
        <v>136.06998999999999</v>
      </c>
      <c r="AH19" s="255">
        <f>'Beta Calc'!Q17</f>
        <v>110.224</v>
      </c>
      <c r="AI19" s="576">
        <f t="shared" si="10"/>
        <v>25.845989999999986</v>
      </c>
      <c r="AK19" s="932" t="str">
        <f>IF('MASTER PubCo Inputs'!C35="","",'MASTER PubCo Inputs'!C35)</f>
        <v>IQ60978778</v>
      </c>
      <c r="AL19" s="179" t="str">
        <f>'Capital IQ Sheet-GPC'!AP20</f>
        <v>Otonomy, Inc., a biopharmaceutical company, engages in the development and commercialization of therapeutics for otology in the United States. It offers OTIPRIO, a ciprofloxacin otic suspension for use during tympanostomy tube placement surgery in pediatric patients. The company also develops OTIVIDEX, a sustained-exposure formulation of the steroid dexamethasone in Phase III clinical trial for the treatment of Ménière’s disease; and OTO- 313, a sustained-exposure formulation of N-methyl-D-aspartate receptor antagonist gacyclidine, which has completed a Phase 1 clinical safety trial for the treatment of tinnitus. In addition, it develops OTO-413, a sustained exposure formulation of brain-derived neurotrophic factor for the repair of cochlear synaptopathy and the treatment of speech-in-noise hearing difficulties; OTO-5XX, an otoprotectant for the prevention of cisplatin-induced hearing loss; and OTO-6XX induces hair cell regeneration for the treatment of severe hearing loss. The company has license agreements with University of California and DURECT Corporation. Otonomy, Inc. was founded in 2008 and is headquartered in San Diego, California.</v>
      </c>
    </row>
    <row r="20" spans="2:38" ht="14.45" customHeight="1">
      <c r="B20" s="961" t="str">
        <f>'Capital IQ Sheet-GPC'!C21</f>
        <v>Auris Medical Holding AG</v>
      </c>
      <c r="C20" s="1087">
        <f>'Beta Calc'!R18</f>
        <v>3.072160000000002</v>
      </c>
      <c r="D20" s="961"/>
      <c r="E20" s="1086" t="s">
        <v>3771</v>
      </c>
      <c r="F20" s="1086" t="s">
        <v>611</v>
      </c>
      <c r="G20" s="961"/>
      <c r="H20" s="1087">
        <f>'Capital IQ Sheet-GPC'!O21</f>
        <v>0</v>
      </c>
      <c r="I20" s="1087">
        <f>'Capital IQ Sheet-GPC'!P21</f>
        <v>0</v>
      </c>
      <c r="J20" s="1087">
        <f>'Capital IQ Sheet-GPC'!Q21</f>
        <v>0</v>
      </c>
      <c r="K20" s="2053"/>
      <c r="L20" s="1087">
        <f>'Capital IQ Sheet-GPC'!R21</f>
        <v>0</v>
      </c>
      <c r="M20" s="1087">
        <f>'Capital IQ Sheet-GPC'!S21</f>
        <v>0</v>
      </c>
      <c r="N20" s="1087" t="str">
        <f>'Capital IQ Sheet-GPC'!T21</f>
        <v>n/a</v>
      </c>
      <c r="O20" s="1087" t="str">
        <f>'Capital IQ Sheet-GPC'!U21</f>
        <v>n/a</v>
      </c>
      <c r="P20" s="1087" t="str">
        <f>'Capital IQ Sheet-GPC'!V21</f>
        <v>n/a</v>
      </c>
      <c r="Q20" s="961"/>
      <c r="R20" s="1089" t="str">
        <f t="shared" si="0"/>
        <v>n/a</v>
      </c>
      <c r="S20" s="1089" t="str">
        <f t="shared" si="1"/>
        <v>n/a</v>
      </c>
      <c r="T20" s="1089" t="str">
        <f t="shared" si="2"/>
        <v>n/a</v>
      </c>
      <c r="U20" s="961"/>
      <c r="V20" s="1089" t="str">
        <f t="shared" si="3"/>
        <v>n/a</v>
      </c>
      <c r="W20" s="1089" t="str">
        <f t="shared" si="4"/>
        <v>n/a</v>
      </c>
      <c r="X20" s="1089" t="str">
        <f t="shared" si="5"/>
        <v>n/a</v>
      </c>
      <c r="Y20" s="1089" t="str">
        <f t="shared" si="6"/>
        <v>n/a</v>
      </c>
      <c r="Z20" s="1089" t="str">
        <f t="shared" si="7"/>
        <v>n/a</v>
      </c>
      <c r="AB20" s="255">
        <f>'Beta Calc'!K18</f>
        <v>7.2796900000000004</v>
      </c>
      <c r="AC20" s="255">
        <f>'Beta Calc'!L18</f>
        <v>9.06297</v>
      </c>
      <c r="AD20" s="255">
        <f>'Beta Calc'!M18</f>
        <v>0</v>
      </c>
      <c r="AE20" s="255">
        <f>'Beta Calc'!N18</f>
        <v>0</v>
      </c>
      <c r="AF20" s="255">
        <f t="shared" si="8"/>
        <v>9.06297</v>
      </c>
      <c r="AG20" s="1024">
        <f t="shared" si="9"/>
        <v>16.342660000000002</v>
      </c>
      <c r="AH20" s="255">
        <f>'Beta Calc'!Q18</f>
        <v>13.2705</v>
      </c>
      <c r="AI20" s="576">
        <f t="shared" si="10"/>
        <v>3.072160000000002</v>
      </c>
      <c r="AK20" s="932" t="str">
        <f>IF('MASTER PubCo Inputs'!C36="","",'MASTER PubCo Inputs'!C36)</f>
        <v>IQ42726152</v>
      </c>
      <c r="AL20" s="179" t="str">
        <f>'Capital IQ Sheet-GPC'!AP21</f>
        <v>Auris Medical Holding AG, a clinical-stage biopharmaceutical company, focuses on the development of novel products for the treatment of inner ear disorders. Its product candidates include AM-101, which is in phase III clinical development for the treatment of acute inner ear tinnitus; and AM-111 that is in phase III clinical development for the treatment of acute inner ear hearing loss. The company is also developing AM-125 for the treatment of vestibular disorders; and other pre-clinical stage products comprising AM-102 and AM-123. It has a collaboration and license agreement with Xigen S.A. to develop, manufacture, and commercialize pharmaceutical products, as well as drug delivery devices and formulations for local administration of therapeutic substances to the inner ear for the treatment of ear disorders. The company was formerly known as Auris Medical AG and changed its name to Auris Medical Holding AG in April 2014. Auris Medical Holding AG was founded in 1998 and is headquartered in Zug, Switzerland.</v>
      </c>
    </row>
    <row r="21" spans="2:38" ht="14.85" hidden="1" customHeight="1" outlineLevel="1">
      <c r="B21" s="179" t="str">
        <f>'Capital IQ Sheet-GPC'!C22</f>
        <v>(Invalid Identifier)</v>
      </c>
      <c r="C21" s="576" t="str">
        <f>'Beta Calc'!R19</f>
        <v>n/a</v>
      </c>
      <c r="H21" s="576" t="str">
        <f>'Capital IQ Sheet-GPC'!O22</f>
        <v>(Invalid Identifier)</v>
      </c>
      <c r="I21" s="576" t="str">
        <f>'Capital IQ Sheet-GPC'!P22</f>
        <v>(Invalid Identifier)</v>
      </c>
      <c r="J21" s="576" t="str">
        <f>'Capital IQ Sheet-GPC'!Q22</f>
        <v>(Invalid Identifier)</v>
      </c>
      <c r="K21" s="255"/>
      <c r="L21" s="576" t="str">
        <f>'Capital IQ Sheet-GPC'!R22</f>
        <v>(Invalid Identifier)</v>
      </c>
      <c r="M21" s="576" t="str">
        <f>'Capital IQ Sheet-GPC'!S22</f>
        <v>(Invalid Identifier)</v>
      </c>
      <c r="N21" s="576" t="str">
        <f>'Capital IQ Sheet-GPC'!T22</f>
        <v>(Invalid Identifier)</v>
      </c>
      <c r="O21" s="576" t="str">
        <f>'Capital IQ Sheet-GPC'!U22</f>
        <v>(Invalid Identifier)</v>
      </c>
      <c r="P21" s="576" t="str">
        <f>'Capital IQ Sheet-GPC'!V22</f>
        <v>(Invalid Identifier)</v>
      </c>
      <c r="R21" s="930" t="str">
        <f t="shared" si="0"/>
        <v>n/a</v>
      </c>
      <c r="S21" s="930" t="str">
        <f t="shared" si="1"/>
        <v>n/a</v>
      </c>
      <c r="T21" s="930" t="str">
        <f t="shared" si="2"/>
        <v>n/a</v>
      </c>
      <c r="V21" s="930" t="str">
        <f t="shared" si="3"/>
        <v>n/a</v>
      </c>
      <c r="W21" s="930" t="str">
        <f t="shared" si="4"/>
        <v>n/a</v>
      </c>
      <c r="X21" s="930" t="str">
        <f t="shared" si="5"/>
        <v>n/a</v>
      </c>
      <c r="Y21" s="930" t="str">
        <f t="shared" si="6"/>
        <v>n/a</v>
      </c>
      <c r="Z21" s="930" t="str">
        <f t="shared" si="7"/>
        <v>n/a</v>
      </c>
      <c r="AB21" s="255" t="str">
        <f>'Beta Calc'!K19</f>
        <v>(Invalid Identifier)</v>
      </c>
      <c r="AC21" s="255" t="str">
        <f>'Beta Calc'!L19</f>
        <v>(Invalid Identifier)</v>
      </c>
      <c r="AD21" s="255" t="str">
        <f>'Beta Calc'!M19</f>
        <v>(Invalid Identifier)</v>
      </c>
      <c r="AE21" s="255" t="str">
        <f>'Beta Calc'!N19</f>
        <v>(Invalid Identifier)</v>
      </c>
      <c r="AF21" s="255">
        <f t="shared" si="8"/>
        <v>0</v>
      </c>
      <c r="AG21" s="1024">
        <f t="shared" si="9"/>
        <v>0</v>
      </c>
      <c r="AH21" s="255" t="str">
        <f>'Beta Calc'!Q19</f>
        <v>(Invalid Identifier)</v>
      </c>
      <c r="AI21" s="576" t="str">
        <f t="shared" si="10"/>
        <v>n/a</v>
      </c>
      <c r="AK21" s="932" t="str">
        <f>IF('MASTER PubCo Inputs'!C37="","",'MASTER PubCo Inputs'!C37)</f>
        <v>(Invalid Identifier)</v>
      </c>
      <c r="AL21" s="179" t="str">
        <f>'Capital IQ Sheet-GPC'!AP22</f>
        <v>(Invalid Identifier)</v>
      </c>
    </row>
    <row r="22" spans="2:38" ht="14.85" hidden="1" customHeight="1" outlineLevel="1">
      <c r="B22" s="179" t="str">
        <f>'Capital IQ Sheet-GPC'!C23</f>
        <v>(Invalid Identifier)</v>
      </c>
      <c r="C22" s="576" t="str">
        <f>'Beta Calc'!R20</f>
        <v>n/a</v>
      </c>
      <c r="H22" s="576" t="str">
        <f>'Capital IQ Sheet-GPC'!O23</f>
        <v>(Invalid Identifier)</v>
      </c>
      <c r="I22" s="576" t="str">
        <f>'Capital IQ Sheet-GPC'!P23</f>
        <v>(Invalid Identifier)</v>
      </c>
      <c r="J22" s="576" t="str">
        <f>'Capital IQ Sheet-GPC'!Q23</f>
        <v>(Invalid Identifier)</v>
      </c>
      <c r="K22" s="255"/>
      <c r="L22" s="576" t="str">
        <f>'Capital IQ Sheet-GPC'!R23</f>
        <v>(Invalid Identifier)</v>
      </c>
      <c r="M22" s="576" t="str">
        <f>'Capital IQ Sheet-GPC'!S23</f>
        <v>(Invalid Identifier)</v>
      </c>
      <c r="N22" s="576" t="str">
        <f>'Capital IQ Sheet-GPC'!T23</f>
        <v>(Invalid Identifier)</v>
      </c>
      <c r="O22" s="576" t="str">
        <f>'Capital IQ Sheet-GPC'!U23</f>
        <v>(Invalid Identifier)</v>
      </c>
      <c r="P22" s="576" t="str">
        <f>'Capital IQ Sheet-GPC'!V23</f>
        <v>(Invalid Identifier)</v>
      </c>
      <c r="R22" s="930" t="str">
        <f t="shared" si="0"/>
        <v>n/a</v>
      </c>
      <c r="S22" s="930" t="str">
        <f t="shared" si="1"/>
        <v>n/a</v>
      </c>
      <c r="T22" s="930" t="str">
        <f t="shared" si="2"/>
        <v>n/a</v>
      </c>
      <c r="V22" s="930" t="str">
        <f t="shared" si="3"/>
        <v>n/a</v>
      </c>
      <c r="W22" s="930" t="str">
        <f t="shared" si="4"/>
        <v>n/a</v>
      </c>
      <c r="X22" s="930" t="str">
        <f t="shared" si="5"/>
        <v>n/a</v>
      </c>
      <c r="Y22" s="930" t="str">
        <f t="shared" si="6"/>
        <v>n/a</v>
      </c>
      <c r="Z22" s="930" t="str">
        <f t="shared" si="7"/>
        <v>n/a</v>
      </c>
      <c r="AB22" s="255" t="str">
        <f>'Beta Calc'!K20</f>
        <v>(Invalid Identifier)</v>
      </c>
      <c r="AC22" s="255" t="str">
        <f>'Beta Calc'!L20</f>
        <v>(Invalid Identifier)</v>
      </c>
      <c r="AD22" s="255" t="str">
        <f>'Beta Calc'!M20</f>
        <v>(Invalid Identifier)</v>
      </c>
      <c r="AE22" s="255" t="str">
        <f>'Beta Calc'!N20</f>
        <v>(Invalid Identifier)</v>
      </c>
      <c r="AF22" s="255">
        <f t="shared" si="8"/>
        <v>0</v>
      </c>
      <c r="AG22" s="1024">
        <f t="shared" si="9"/>
        <v>0</v>
      </c>
      <c r="AH22" s="255" t="str">
        <f>'Beta Calc'!Q20</f>
        <v>(Invalid Identifier)</v>
      </c>
      <c r="AI22" s="576" t="str">
        <f t="shared" si="10"/>
        <v>n/a</v>
      </c>
      <c r="AK22" s="932" t="str">
        <f>IF('MASTER PubCo Inputs'!C38="","",'MASTER PubCo Inputs'!C38)</f>
        <v>(Invalid Identifier)</v>
      </c>
      <c r="AL22" s="179" t="str">
        <f>'Capital IQ Sheet-GPC'!AP23</f>
        <v>(Invalid Identifier)</v>
      </c>
    </row>
    <row r="23" spans="2:38" ht="14.85" hidden="1" customHeight="1" outlineLevel="1">
      <c r="B23" s="179" t="str">
        <f>'Capital IQ Sheet-GPC'!C24</f>
        <v>(Invalid Identifier)</v>
      </c>
      <c r="C23" s="576" t="str">
        <f>'Beta Calc'!R21</f>
        <v>n/a</v>
      </c>
      <c r="H23" s="576" t="str">
        <f>'Capital IQ Sheet-GPC'!O24</f>
        <v>(Invalid Identifier)</v>
      </c>
      <c r="I23" s="576" t="str">
        <f>'Capital IQ Sheet-GPC'!P24</f>
        <v>(Invalid Identifier)</v>
      </c>
      <c r="J23" s="576" t="str">
        <f>'Capital IQ Sheet-GPC'!Q24</f>
        <v>(Invalid Identifier)</v>
      </c>
      <c r="K23" s="255"/>
      <c r="L23" s="576" t="str">
        <f>'Capital IQ Sheet-GPC'!R24</f>
        <v>(Invalid Identifier)</v>
      </c>
      <c r="M23" s="576" t="str">
        <f>'Capital IQ Sheet-GPC'!S24</f>
        <v>(Invalid Identifier)</v>
      </c>
      <c r="N23" s="576" t="str">
        <f>'Capital IQ Sheet-GPC'!T24</f>
        <v>(Invalid Identifier)</v>
      </c>
      <c r="O23" s="576" t="str">
        <f>'Capital IQ Sheet-GPC'!U24</f>
        <v>(Invalid Identifier)</v>
      </c>
      <c r="P23" s="576" t="str">
        <f>'Capital IQ Sheet-GPC'!V24</f>
        <v>(Invalid Identifier)</v>
      </c>
      <c r="R23" s="930" t="str">
        <f t="shared" si="0"/>
        <v>n/a</v>
      </c>
      <c r="S23" s="930" t="str">
        <f t="shared" si="1"/>
        <v>n/a</v>
      </c>
      <c r="T23" s="930" t="str">
        <f t="shared" si="2"/>
        <v>n/a</v>
      </c>
      <c r="V23" s="930" t="str">
        <f t="shared" si="3"/>
        <v>n/a</v>
      </c>
      <c r="W23" s="930" t="str">
        <f t="shared" si="4"/>
        <v>n/a</v>
      </c>
      <c r="X23" s="930" t="str">
        <f t="shared" si="5"/>
        <v>n/a</v>
      </c>
      <c r="Y23" s="930" t="str">
        <f t="shared" si="6"/>
        <v>n/a</v>
      </c>
      <c r="Z23" s="930" t="str">
        <f t="shared" si="7"/>
        <v>n/a</v>
      </c>
      <c r="AB23" s="255" t="str">
        <f>'Beta Calc'!K21</f>
        <v>(Invalid Identifier)</v>
      </c>
      <c r="AC23" s="255" t="str">
        <f>'Beta Calc'!L21</f>
        <v>(Invalid Identifier)</v>
      </c>
      <c r="AD23" s="255" t="str">
        <f>'Beta Calc'!M21</f>
        <v>(Invalid Identifier)</v>
      </c>
      <c r="AE23" s="255" t="str">
        <f>'Beta Calc'!N21</f>
        <v>(Invalid Identifier)</v>
      </c>
      <c r="AF23" s="255">
        <f t="shared" si="8"/>
        <v>0</v>
      </c>
      <c r="AG23" s="1024">
        <f t="shared" si="9"/>
        <v>0</v>
      </c>
      <c r="AH23" s="255" t="str">
        <f>'Beta Calc'!Q21</f>
        <v>(Invalid Identifier)</v>
      </c>
      <c r="AI23" s="576" t="str">
        <f t="shared" si="10"/>
        <v>n/a</v>
      </c>
      <c r="AK23" s="932" t="str">
        <f>IF('MASTER PubCo Inputs'!C39="","",'MASTER PubCo Inputs'!C39)</f>
        <v>(Invalid Identifier)</v>
      </c>
      <c r="AL23" s="179" t="str">
        <f>'Capital IQ Sheet-GPC'!AP24</f>
        <v>(Invalid Identifier)</v>
      </c>
    </row>
    <row r="24" spans="2:38" ht="14.85" hidden="1" customHeight="1" outlineLevel="1">
      <c r="B24" s="179" t="str">
        <f>'Capital IQ Sheet-GPC'!C25</f>
        <v>(Invalid Identifier)</v>
      </c>
      <c r="C24" s="576" t="str">
        <f>'Beta Calc'!R22</f>
        <v>n/a</v>
      </c>
      <c r="H24" s="576" t="str">
        <f>'Capital IQ Sheet-GPC'!O25</f>
        <v>(Invalid Identifier)</v>
      </c>
      <c r="I24" s="576" t="str">
        <f>'Capital IQ Sheet-GPC'!P25</f>
        <v>(Invalid Identifier)</v>
      </c>
      <c r="J24" s="576" t="str">
        <f>'Capital IQ Sheet-GPC'!Q25</f>
        <v>(Invalid Identifier)</v>
      </c>
      <c r="K24" s="255"/>
      <c r="L24" s="576" t="str">
        <f>'Capital IQ Sheet-GPC'!R25</f>
        <v>(Invalid Identifier)</v>
      </c>
      <c r="M24" s="576" t="str">
        <f>'Capital IQ Sheet-GPC'!S25</f>
        <v>(Invalid Identifier)</v>
      </c>
      <c r="N24" s="576" t="str">
        <f>'Capital IQ Sheet-GPC'!T25</f>
        <v>(Invalid Identifier)</v>
      </c>
      <c r="O24" s="576" t="str">
        <f>'Capital IQ Sheet-GPC'!U25</f>
        <v>(Invalid Identifier)</v>
      </c>
      <c r="P24" s="576" t="str">
        <f>'Capital IQ Sheet-GPC'!V25</f>
        <v>(Invalid Identifier)</v>
      </c>
      <c r="R24" s="930" t="str">
        <f t="shared" si="0"/>
        <v>n/a</v>
      </c>
      <c r="S24" s="930" t="str">
        <f t="shared" si="1"/>
        <v>n/a</v>
      </c>
      <c r="T24" s="930" t="str">
        <f t="shared" si="2"/>
        <v>n/a</v>
      </c>
      <c r="V24" s="930" t="str">
        <f t="shared" si="3"/>
        <v>n/a</v>
      </c>
      <c r="W24" s="930" t="str">
        <f t="shared" si="4"/>
        <v>n/a</v>
      </c>
      <c r="X24" s="930" t="str">
        <f t="shared" si="5"/>
        <v>n/a</v>
      </c>
      <c r="Y24" s="930" t="str">
        <f t="shared" si="6"/>
        <v>n/a</v>
      </c>
      <c r="Z24" s="930" t="str">
        <f t="shared" si="7"/>
        <v>n/a</v>
      </c>
      <c r="AB24" s="255" t="str">
        <f>'Beta Calc'!K22</f>
        <v>(Invalid Identifier)</v>
      </c>
      <c r="AC24" s="255" t="str">
        <f>'Beta Calc'!L22</f>
        <v>(Invalid Identifier)</v>
      </c>
      <c r="AD24" s="255" t="str">
        <f>'Beta Calc'!M22</f>
        <v>(Invalid Identifier)</v>
      </c>
      <c r="AE24" s="255" t="str">
        <f>'Beta Calc'!N22</f>
        <v>(Invalid Identifier)</v>
      </c>
      <c r="AF24" s="255">
        <f t="shared" si="8"/>
        <v>0</v>
      </c>
      <c r="AG24" s="1024">
        <f t="shared" si="9"/>
        <v>0</v>
      </c>
      <c r="AH24" s="255" t="str">
        <f>'Beta Calc'!Q22</f>
        <v>(Invalid Identifier)</v>
      </c>
      <c r="AI24" s="576" t="str">
        <f t="shared" si="10"/>
        <v>n/a</v>
      </c>
      <c r="AK24" s="932" t="str">
        <f>IF('MASTER PubCo Inputs'!C40="","",'MASTER PubCo Inputs'!C40)</f>
        <v>(Invalid Identifier)</v>
      </c>
      <c r="AL24" s="179" t="str">
        <f>'Capital IQ Sheet-GPC'!AP25</f>
        <v>(Invalid Identifier)</v>
      </c>
    </row>
    <row r="25" spans="2:38" ht="14.85" hidden="1" customHeight="1" outlineLevel="1">
      <c r="B25" s="179" t="str">
        <f>'Capital IQ Sheet-GPC'!C26</f>
        <v>(Invalid Identifier)</v>
      </c>
      <c r="C25" s="576" t="str">
        <f>'Beta Calc'!R23</f>
        <v>n/a</v>
      </c>
      <c r="H25" s="576" t="str">
        <f>'Capital IQ Sheet-GPC'!O26</f>
        <v>(Invalid Identifier)</v>
      </c>
      <c r="I25" s="576" t="str">
        <f>'Capital IQ Sheet-GPC'!P26</f>
        <v>(Invalid Identifier)</v>
      </c>
      <c r="J25" s="576" t="str">
        <f>'Capital IQ Sheet-GPC'!Q26</f>
        <v>(Invalid Identifier)</v>
      </c>
      <c r="K25" s="255"/>
      <c r="L25" s="576" t="str">
        <f>'Capital IQ Sheet-GPC'!R26</f>
        <v>(Invalid Identifier)</v>
      </c>
      <c r="M25" s="576" t="str">
        <f>'Capital IQ Sheet-GPC'!S26</f>
        <v>(Invalid Identifier)</v>
      </c>
      <c r="N25" s="576" t="str">
        <f>'Capital IQ Sheet-GPC'!T26</f>
        <v>(Invalid Identifier)</v>
      </c>
      <c r="O25" s="576" t="str">
        <f>'Capital IQ Sheet-GPC'!U26</f>
        <v>(Invalid Identifier)</v>
      </c>
      <c r="P25" s="576" t="str">
        <f>'Capital IQ Sheet-GPC'!V26</f>
        <v>(Invalid Identifier)</v>
      </c>
      <c r="R25" s="930" t="str">
        <f t="shared" si="0"/>
        <v>n/a</v>
      </c>
      <c r="S25" s="930" t="str">
        <f t="shared" si="1"/>
        <v>n/a</v>
      </c>
      <c r="T25" s="930" t="str">
        <f t="shared" si="2"/>
        <v>n/a</v>
      </c>
      <c r="V25" s="930" t="str">
        <f t="shared" si="3"/>
        <v>n/a</v>
      </c>
      <c r="W25" s="930" t="str">
        <f t="shared" si="4"/>
        <v>n/a</v>
      </c>
      <c r="X25" s="930" t="str">
        <f t="shared" si="5"/>
        <v>n/a</v>
      </c>
      <c r="Y25" s="930" t="str">
        <f t="shared" si="6"/>
        <v>n/a</v>
      </c>
      <c r="Z25" s="930" t="str">
        <f t="shared" si="7"/>
        <v>n/a</v>
      </c>
      <c r="AB25" s="255" t="str">
        <f>'Beta Calc'!K23</f>
        <v>(Invalid Identifier)</v>
      </c>
      <c r="AC25" s="255" t="str">
        <f>'Beta Calc'!L23</f>
        <v>(Invalid Identifier)</v>
      </c>
      <c r="AD25" s="255" t="str">
        <f>'Beta Calc'!M23</f>
        <v>(Invalid Identifier)</v>
      </c>
      <c r="AE25" s="255" t="str">
        <f>'Beta Calc'!N23</f>
        <v>(Invalid Identifier)</v>
      </c>
      <c r="AF25" s="255">
        <f t="shared" si="8"/>
        <v>0</v>
      </c>
      <c r="AG25" s="1024">
        <f t="shared" si="9"/>
        <v>0</v>
      </c>
      <c r="AH25" s="255" t="str">
        <f>'Beta Calc'!Q23</f>
        <v>(Invalid Identifier)</v>
      </c>
      <c r="AI25" s="576" t="str">
        <f t="shared" si="10"/>
        <v>n/a</v>
      </c>
      <c r="AK25" s="932" t="str">
        <f>IF('MASTER PubCo Inputs'!C41="","",'MASTER PubCo Inputs'!C41)</f>
        <v>(Invalid Identifier)</v>
      </c>
      <c r="AL25" s="179" t="str">
        <f>'Capital IQ Sheet-GPC'!AP26</f>
        <v>(Invalid Identifier)</v>
      </c>
    </row>
    <row r="26" spans="2:38" ht="14.85" hidden="1" customHeight="1" outlineLevel="1">
      <c r="B26" s="179" t="str">
        <f>'Capital IQ Sheet-GPC'!C27</f>
        <v>(Invalid Identifier)</v>
      </c>
      <c r="C26" s="576" t="str">
        <f>'Beta Calc'!R24</f>
        <v>n/a</v>
      </c>
      <c r="H26" s="576" t="str">
        <f>'Capital IQ Sheet-GPC'!O27</f>
        <v>(Invalid Identifier)</v>
      </c>
      <c r="I26" s="576" t="str">
        <f>'Capital IQ Sheet-GPC'!P27</f>
        <v>(Invalid Identifier)</v>
      </c>
      <c r="J26" s="576" t="str">
        <f>'Capital IQ Sheet-GPC'!Q27</f>
        <v>(Invalid Identifier)</v>
      </c>
      <c r="K26" s="255"/>
      <c r="L26" s="576" t="str">
        <f>'Capital IQ Sheet-GPC'!R27</f>
        <v>(Invalid Identifier)</v>
      </c>
      <c r="M26" s="576" t="str">
        <f>'Capital IQ Sheet-GPC'!S27</f>
        <v>(Invalid Identifier)</v>
      </c>
      <c r="N26" s="576" t="str">
        <f>'Capital IQ Sheet-GPC'!T27</f>
        <v>(Invalid Identifier)</v>
      </c>
      <c r="O26" s="576" t="str">
        <f>'Capital IQ Sheet-GPC'!U27</f>
        <v>(Invalid Identifier)</v>
      </c>
      <c r="P26" s="576" t="str">
        <f>'Capital IQ Sheet-GPC'!V27</f>
        <v>(Invalid Identifier)</v>
      </c>
      <c r="R26" s="930" t="str">
        <f t="shared" si="0"/>
        <v>n/a</v>
      </c>
      <c r="S26" s="930" t="str">
        <f t="shared" si="1"/>
        <v>n/a</v>
      </c>
      <c r="T26" s="930" t="str">
        <f t="shared" si="2"/>
        <v>n/a</v>
      </c>
      <c r="V26" s="930" t="str">
        <f t="shared" si="3"/>
        <v>n/a</v>
      </c>
      <c r="W26" s="930" t="str">
        <f t="shared" si="4"/>
        <v>n/a</v>
      </c>
      <c r="X26" s="930" t="str">
        <f t="shared" si="5"/>
        <v>n/a</v>
      </c>
      <c r="Y26" s="930" t="str">
        <f t="shared" si="6"/>
        <v>n/a</v>
      </c>
      <c r="Z26" s="930" t="str">
        <f t="shared" si="7"/>
        <v>n/a</v>
      </c>
      <c r="AB26" s="255" t="str">
        <f>'Beta Calc'!K24</f>
        <v>(Invalid Identifier)</v>
      </c>
      <c r="AC26" s="255" t="str">
        <f>'Beta Calc'!L24</f>
        <v>(Invalid Identifier)</v>
      </c>
      <c r="AD26" s="255" t="str">
        <f>'Beta Calc'!M24</f>
        <v>(Invalid Identifier)</v>
      </c>
      <c r="AE26" s="255" t="str">
        <f>'Beta Calc'!N24</f>
        <v>(Invalid Identifier)</v>
      </c>
      <c r="AF26" s="255">
        <f t="shared" si="8"/>
        <v>0</v>
      </c>
      <c r="AG26" s="1024">
        <f t="shared" si="9"/>
        <v>0</v>
      </c>
      <c r="AH26" s="255" t="str">
        <f>'Beta Calc'!Q24</f>
        <v>(Invalid Identifier)</v>
      </c>
      <c r="AI26" s="576" t="str">
        <f t="shared" si="10"/>
        <v>n/a</v>
      </c>
      <c r="AK26" s="932" t="str">
        <f>IF('MASTER PubCo Inputs'!C42="","",'MASTER PubCo Inputs'!C42)</f>
        <v>(Invalid Identifier)</v>
      </c>
      <c r="AL26" s="179" t="str">
        <f>'Capital IQ Sheet-GPC'!AP27</f>
        <v>(Invalid Identifier)</v>
      </c>
    </row>
    <row r="27" spans="2:38" ht="14.85" hidden="1" customHeight="1" outlineLevel="1">
      <c r="B27" s="179" t="str">
        <f>'Capital IQ Sheet-GPC'!C28</f>
        <v>(Invalid Identifier)</v>
      </c>
      <c r="C27" s="576" t="str">
        <f>'Beta Calc'!R25</f>
        <v>n/a</v>
      </c>
      <c r="H27" s="576" t="str">
        <f>'Capital IQ Sheet-GPC'!O28</f>
        <v>(Invalid Identifier)</v>
      </c>
      <c r="I27" s="576" t="str">
        <f>'Capital IQ Sheet-GPC'!P28</f>
        <v>(Invalid Identifier)</v>
      </c>
      <c r="J27" s="576" t="str">
        <f>'Capital IQ Sheet-GPC'!Q28</f>
        <v>(Invalid Identifier)</v>
      </c>
      <c r="K27" s="255"/>
      <c r="L27" s="576" t="str">
        <f>'Capital IQ Sheet-GPC'!R28</f>
        <v>(Invalid Identifier)</v>
      </c>
      <c r="M27" s="576" t="str">
        <f>'Capital IQ Sheet-GPC'!S28</f>
        <v>(Invalid Identifier)</v>
      </c>
      <c r="N27" s="576" t="str">
        <f>'Capital IQ Sheet-GPC'!T28</f>
        <v>(Invalid Identifier)</v>
      </c>
      <c r="O27" s="576" t="str">
        <f>'Capital IQ Sheet-GPC'!U28</f>
        <v>(Invalid Identifier)</v>
      </c>
      <c r="P27" s="576" t="str">
        <f>'Capital IQ Sheet-GPC'!V28</f>
        <v>(Invalid Identifier)</v>
      </c>
      <c r="R27" s="930" t="str">
        <f t="shared" si="0"/>
        <v>n/a</v>
      </c>
      <c r="S27" s="930" t="str">
        <f t="shared" si="1"/>
        <v>n/a</v>
      </c>
      <c r="T27" s="930" t="str">
        <f t="shared" si="2"/>
        <v>n/a</v>
      </c>
      <c r="V27" s="930" t="str">
        <f t="shared" si="3"/>
        <v>n/a</v>
      </c>
      <c r="W27" s="930" t="str">
        <f t="shared" si="4"/>
        <v>n/a</v>
      </c>
      <c r="X27" s="930" t="str">
        <f t="shared" si="5"/>
        <v>n/a</v>
      </c>
      <c r="Y27" s="930" t="str">
        <f t="shared" si="6"/>
        <v>n/a</v>
      </c>
      <c r="Z27" s="930" t="str">
        <f t="shared" si="7"/>
        <v>n/a</v>
      </c>
      <c r="AB27" s="255" t="str">
        <f>'Beta Calc'!K25</f>
        <v>(Invalid Identifier)</v>
      </c>
      <c r="AC27" s="255" t="str">
        <f>'Beta Calc'!L25</f>
        <v>(Invalid Identifier)</v>
      </c>
      <c r="AD27" s="255" t="str">
        <f>'Beta Calc'!M25</f>
        <v>(Invalid Identifier)</v>
      </c>
      <c r="AE27" s="255" t="str">
        <f>'Beta Calc'!N25</f>
        <v>(Invalid Identifier)</v>
      </c>
      <c r="AF27" s="255">
        <f t="shared" si="8"/>
        <v>0</v>
      </c>
      <c r="AG27" s="1024">
        <f t="shared" si="9"/>
        <v>0</v>
      </c>
      <c r="AH27" s="255" t="str">
        <f>'Beta Calc'!Q25</f>
        <v>(Invalid Identifier)</v>
      </c>
      <c r="AI27" s="576" t="str">
        <f t="shared" si="10"/>
        <v>n/a</v>
      </c>
      <c r="AK27" s="932" t="str">
        <f>IF('MASTER PubCo Inputs'!C43="","",'MASTER PubCo Inputs'!C43)</f>
        <v>(Invalid Identifier)</v>
      </c>
      <c r="AL27" s="179" t="str">
        <f>'Capital IQ Sheet-GPC'!AP28</f>
        <v>(Invalid Identifier)</v>
      </c>
    </row>
    <row r="28" spans="2:38" ht="14.85" hidden="1" customHeight="1" outlineLevel="1">
      <c r="B28" s="179" t="str">
        <f>'Capital IQ Sheet-GPC'!C29</f>
        <v>(Invalid Identifier)</v>
      </c>
      <c r="C28" s="576" t="str">
        <f>'Beta Calc'!R26</f>
        <v>n/a</v>
      </c>
      <c r="H28" s="576" t="str">
        <f>'Capital IQ Sheet-GPC'!O29</f>
        <v>(Invalid Identifier)</v>
      </c>
      <c r="I28" s="576" t="str">
        <f>'Capital IQ Sheet-GPC'!P29</f>
        <v>(Invalid Identifier)</v>
      </c>
      <c r="J28" s="576" t="str">
        <f>'Capital IQ Sheet-GPC'!Q29</f>
        <v>(Invalid Identifier)</v>
      </c>
      <c r="K28" s="255"/>
      <c r="L28" s="576" t="str">
        <f>'Capital IQ Sheet-GPC'!R29</f>
        <v>(Invalid Identifier)</v>
      </c>
      <c r="M28" s="576" t="str">
        <f>'Capital IQ Sheet-GPC'!S29</f>
        <v>(Invalid Identifier)</v>
      </c>
      <c r="N28" s="576" t="str">
        <f>'Capital IQ Sheet-GPC'!T29</f>
        <v>(Invalid Identifier)</v>
      </c>
      <c r="O28" s="576" t="str">
        <f>'Capital IQ Sheet-GPC'!U29</f>
        <v>(Invalid Identifier)</v>
      </c>
      <c r="P28" s="576" t="str">
        <f>'Capital IQ Sheet-GPC'!V29</f>
        <v>(Invalid Identifier)</v>
      </c>
      <c r="R28" s="930" t="str">
        <f t="shared" si="0"/>
        <v>n/a</v>
      </c>
      <c r="S28" s="930" t="str">
        <f t="shared" si="1"/>
        <v>n/a</v>
      </c>
      <c r="T28" s="930" t="str">
        <f t="shared" si="2"/>
        <v>n/a</v>
      </c>
      <c r="V28" s="930" t="str">
        <f t="shared" ref="V28:V41" si="11">IFERROR(IF(($C28/L28)&gt;$AC$6, "NM", IF(($C28/L28)&lt;$AE$6, "NM", $C28/L28)),"n/a")</f>
        <v>n/a</v>
      </c>
      <c r="W28" s="930" t="str">
        <f t="shared" ref="W28:W41" si="12">IFERROR(IF(($C28/M28)&gt;$AC$6, "NM", IF(($C28/M28)&lt;$AE$6, "NM", $C28/M28)),"n/a")</f>
        <v>n/a</v>
      </c>
      <c r="X28" s="930" t="str">
        <f t="shared" si="5"/>
        <v>n/a</v>
      </c>
      <c r="Y28" s="930" t="str">
        <f t="shared" si="6"/>
        <v>n/a</v>
      </c>
      <c r="Z28" s="930" t="str">
        <f t="shared" si="7"/>
        <v>n/a</v>
      </c>
      <c r="AB28" s="255" t="str">
        <f>'Beta Calc'!K26</f>
        <v>(Invalid Identifier)</v>
      </c>
      <c r="AC28" s="255" t="str">
        <f>'Beta Calc'!L26</f>
        <v>(Invalid Identifier)</v>
      </c>
      <c r="AD28" s="255" t="str">
        <f>'Beta Calc'!M26</f>
        <v>(Invalid Identifier)</v>
      </c>
      <c r="AE28" s="255" t="str">
        <f>'Beta Calc'!N26</f>
        <v>(Invalid Identifier)</v>
      </c>
      <c r="AF28" s="255">
        <f t="shared" si="8"/>
        <v>0</v>
      </c>
      <c r="AG28" s="1024">
        <f t="shared" si="9"/>
        <v>0</v>
      </c>
      <c r="AH28" s="255" t="str">
        <f>'Beta Calc'!Q26</f>
        <v>(Invalid Identifier)</v>
      </c>
      <c r="AI28" s="576" t="str">
        <f t="shared" si="10"/>
        <v>n/a</v>
      </c>
      <c r="AK28" s="932" t="str">
        <f>IF('MASTER PubCo Inputs'!C44="","",'MASTER PubCo Inputs'!C44)</f>
        <v>(Invalid Identifier)</v>
      </c>
      <c r="AL28" s="179" t="str">
        <f>'Capital IQ Sheet-GPC'!AP29</f>
        <v>(Invalid Identifier)</v>
      </c>
    </row>
    <row r="29" spans="2:38" ht="14.85" hidden="1" customHeight="1" outlineLevel="1">
      <c r="B29" s="179" t="str">
        <f>'Capital IQ Sheet-GPC'!C30</f>
        <v>(Invalid Identifier)</v>
      </c>
      <c r="C29" s="576" t="str">
        <f>'Beta Calc'!R27</f>
        <v>n/a</v>
      </c>
      <c r="H29" s="576" t="str">
        <f>'Capital IQ Sheet-GPC'!O30</f>
        <v>(Invalid Identifier)</v>
      </c>
      <c r="I29" s="576" t="str">
        <f>'Capital IQ Sheet-GPC'!P30</f>
        <v>(Invalid Identifier)</v>
      </c>
      <c r="J29" s="576" t="str">
        <f>'Capital IQ Sheet-GPC'!Q30</f>
        <v>(Invalid Identifier)</v>
      </c>
      <c r="K29" s="255"/>
      <c r="L29" s="576" t="str">
        <f>'Capital IQ Sheet-GPC'!R30</f>
        <v>(Invalid Identifier)</v>
      </c>
      <c r="M29" s="576" t="str">
        <f>'Capital IQ Sheet-GPC'!S30</f>
        <v>(Invalid Identifier)</v>
      </c>
      <c r="N29" s="576" t="str">
        <f>'Capital IQ Sheet-GPC'!T30</f>
        <v>(Invalid Identifier)</v>
      </c>
      <c r="O29" s="576" t="str">
        <f>'Capital IQ Sheet-GPC'!U30</f>
        <v>(Invalid Identifier)</v>
      </c>
      <c r="P29" s="576" t="str">
        <f>'Capital IQ Sheet-GPC'!V30</f>
        <v>(Invalid Identifier)</v>
      </c>
      <c r="R29" s="930" t="str">
        <f t="shared" si="0"/>
        <v>n/a</v>
      </c>
      <c r="S29" s="930" t="str">
        <f t="shared" si="1"/>
        <v>n/a</v>
      </c>
      <c r="T29" s="930" t="str">
        <f t="shared" si="2"/>
        <v>n/a</v>
      </c>
      <c r="V29" s="930" t="str">
        <f t="shared" si="11"/>
        <v>n/a</v>
      </c>
      <c r="W29" s="930" t="str">
        <f t="shared" si="12"/>
        <v>n/a</v>
      </c>
      <c r="X29" s="930" t="str">
        <f t="shared" si="5"/>
        <v>n/a</v>
      </c>
      <c r="Y29" s="930" t="str">
        <f t="shared" si="6"/>
        <v>n/a</v>
      </c>
      <c r="Z29" s="930" t="str">
        <f t="shared" si="7"/>
        <v>n/a</v>
      </c>
      <c r="AB29" s="255" t="str">
        <f>'Beta Calc'!K27</f>
        <v>(Invalid Identifier)</v>
      </c>
      <c r="AC29" s="255" t="str">
        <f>'Beta Calc'!L27</f>
        <v>(Invalid Identifier)</v>
      </c>
      <c r="AD29" s="255" t="str">
        <f>'Beta Calc'!M27</f>
        <v>(Invalid Identifier)</v>
      </c>
      <c r="AE29" s="255" t="str">
        <f>'Beta Calc'!N27</f>
        <v>(Invalid Identifier)</v>
      </c>
      <c r="AF29" s="255">
        <f t="shared" si="8"/>
        <v>0</v>
      </c>
      <c r="AG29" s="1024">
        <f t="shared" si="9"/>
        <v>0</v>
      </c>
      <c r="AH29" s="255" t="str">
        <f>'Beta Calc'!Q27</f>
        <v>(Invalid Identifier)</v>
      </c>
      <c r="AI29" s="576" t="str">
        <f t="shared" si="10"/>
        <v>n/a</v>
      </c>
      <c r="AK29" s="932" t="str">
        <f>IF('MASTER PubCo Inputs'!C45="","",'MASTER PubCo Inputs'!C45)</f>
        <v>(Invalid Identifier)</v>
      </c>
      <c r="AL29" s="179" t="str">
        <f>'Capital IQ Sheet-GPC'!AP30</f>
        <v>(Invalid Identifier)</v>
      </c>
    </row>
    <row r="30" spans="2:38" ht="14.85" hidden="1" customHeight="1" outlineLevel="1">
      <c r="B30" s="179" t="str">
        <f>'Capital IQ Sheet-GPC'!C31</f>
        <v>(Invalid Identifier)</v>
      </c>
      <c r="C30" s="576" t="str">
        <f>'Beta Calc'!R28</f>
        <v>n/a</v>
      </c>
      <c r="H30" s="576" t="str">
        <f>'Capital IQ Sheet-GPC'!O31</f>
        <v>(Invalid Identifier)</v>
      </c>
      <c r="I30" s="576" t="str">
        <f>'Capital IQ Sheet-GPC'!P31</f>
        <v>(Invalid Identifier)</v>
      </c>
      <c r="J30" s="576" t="str">
        <f>'Capital IQ Sheet-GPC'!Q31</f>
        <v>(Invalid Identifier)</v>
      </c>
      <c r="K30" s="255"/>
      <c r="L30" s="576" t="str">
        <f>'Capital IQ Sheet-GPC'!R31</f>
        <v>(Invalid Identifier)</v>
      </c>
      <c r="M30" s="576" t="str">
        <f>'Capital IQ Sheet-GPC'!S31</f>
        <v>(Invalid Identifier)</v>
      </c>
      <c r="N30" s="576" t="str">
        <f>'Capital IQ Sheet-GPC'!T31</f>
        <v>(Invalid Identifier)</v>
      </c>
      <c r="O30" s="576" t="str">
        <f>'Capital IQ Sheet-GPC'!U31</f>
        <v>(Invalid Identifier)</v>
      </c>
      <c r="P30" s="576" t="str">
        <f>'Capital IQ Sheet-GPC'!V31</f>
        <v>(Invalid Identifier)</v>
      </c>
      <c r="R30" s="930" t="str">
        <f t="shared" si="0"/>
        <v>n/a</v>
      </c>
      <c r="S30" s="930" t="str">
        <f t="shared" si="1"/>
        <v>n/a</v>
      </c>
      <c r="T30" s="930" t="str">
        <f t="shared" si="2"/>
        <v>n/a</v>
      </c>
      <c r="V30" s="930" t="str">
        <f t="shared" si="11"/>
        <v>n/a</v>
      </c>
      <c r="W30" s="930" t="str">
        <f t="shared" si="12"/>
        <v>n/a</v>
      </c>
      <c r="X30" s="930" t="str">
        <f t="shared" si="5"/>
        <v>n/a</v>
      </c>
      <c r="Y30" s="930" t="str">
        <f t="shared" si="6"/>
        <v>n/a</v>
      </c>
      <c r="Z30" s="930" t="str">
        <f t="shared" si="7"/>
        <v>n/a</v>
      </c>
      <c r="AB30" s="255" t="str">
        <f>'Beta Calc'!K28</f>
        <v>(Invalid Identifier)</v>
      </c>
      <c r="AC30" s="255" t="str">
        <f>'Beta Calc'!L28</f>
        <v>(Invalid Identifier)</v>
      </c>
      <c r="AD30" s="255" t="str">
        <f>'Beta Calc'!M28</f>
        <v>(Invalid Identifier)</v>
      </c>
      <c r="AE30" s="255" t="str">
        <f>'Beta Calc'!N28</f>
        <v>(Invalid Identifier)</v>
      </c>
      <c r="AF30" s="255">
        <f t="shared" si="8"/>
        <v>0</v>
      </c>
      <c r="AG30" s="1024">
        <f t="shared" si="9"/>
        <v>0</v>
      </c>
      <c r="AH30" s="255" t="str">
        <f>'Beta Calc'!Q28</f>
        <v>(Invalid Identifier)</v>
      </c>
      <c r="AI30" s="576" t="str">
        <f t="shared" si="10"/>
        <v>n/a</v>
      </c>
      <c r="AK30" s="932" t="str">
        <f>IF('MASTER PubCo Inputs'!C46="","",'MASTER PubCo Inputs'!C46)</f>
        <v>(Invalid Identifier)</v>
      </c>
      <c r="AL30" s="179" t="str">
        <f>'Capital IQ Sheet-GPC'!AP31</f>
        <v>(Invalid Identifier)</v>
      </c>
    </row>
    <row r="31" spans="2:38" ht="14.85" hidden="1" customHeight="1" outlineLevel="1">
      <c r="B31" s="179" t="str">
        <f>'Capital IQ Sheet-GPC'!C32</f>
        <v>(Invalid Identifier)</v>
      </c>
      <c r="C31" s="576" t="str">
        <f>'Beta Calc'!R29</f>
        <v>n/a</v>
      </c>
      <c r="H31" s="576" t="str">
        <f>'Capital IQ Sheet-GPC'!O32</f>
        <v>(Invalid Identifier)</v>
      </c>
      <c r="I31" s="576" t="str">
        <f>'Capital IQ Sheet-GPC'!P32</f>
        <v>(Invalid Identifier)</v>
      </c>
      <c r="J31" s="576" t="str">
        <f>'Capital IQ Sheet-GPC'!Q32</f>
        <v>(Invalid Identifier)</v>
      </c>
      <c r="K31" s="255"/>
      <c r="L31" s="576" t="str">
        <f>'Capital IQ Sheet-GPC'!R32</f>
        <v>(Invalid Identifier)</v>
      </c>
      <c r="M31" s="576" t="str">
        <f>'Capital IQ Sheet-GPC'!S32</f>
        <v>(Invalid Identifier)</v>
      </c>
      <c r="N31" s="576" t="str">
        <f>'Capital IQ Sheet-GPC'!T32</f>
        <v>(Invalid Identifier)</v>
      </c>
      <c r="O31" s="576" t="str">
        <f>'Capital IQ Sheet-GPC'!U32</f>
        <v>(Invalid Identifier)</v>
      </c>
      <c r="P31" s="576" t="str">
        <f>'Capital IQ Sheet-GPC'!V32</f>
        <v>(Invalid Identifier)</v>
      </c>
      <c r="R31" s="930" t="str">
        <f t="shared" si="0"/>
        <v>n/a</v>
      </c>
      <c r="S31" s="930" t="str">
        <f t="shared" si="1"/>
        <v>n/a</v>
      </c>
      <c r="T31" s="930" t="str">
        <f t="shared" si="2"/>
        <v>n/a</v>
      </c>
      <c r="V31" s="930" t="str">
        <f t="shared" si="11"/>
        <v>n/a</v>
      </c>
      <c r="W31" s="930" t="str">
        <f t="shared" si="12"/>
        <v>n/a</v>
      </c>
      <c r="X31" s="930" t="str">
        <f t="shared" si="5"/>
        <v>n/a</v>
      </c>
      <c r="Y31" s="930" t="str">
        <f t="shared" si="6"/>
        <v>n/a</v>
      </c>
      <c r="Z31" s="930" t="str">
        <f t="shared" si="7"/>
        <v>n/a</v>
      </c>
      <c r="AB31" s="255" t="str">
        <f>'Beta Calc'!K29</f>
        <v>(Invalid Identifier)</v>
      </c>
      <c r="AC31" s="255" t="str">
        <f>'Beta Calc'!L29</f>
        <v>(Invalid Identifier)</v>
      </c>
      <c r="AD31" s="255" t="str">
        <f>'Beta Calc'!M29</f>
        <v>(Invalid Identifier)</v>
      </c>
      <c r="AE31" s="255" t="str">
        <f>'Beta Calc'!N29</f>
        <v>(Invalid Identifier)</v>
      </c>
      <c r="AF31" s="255">
        <f t="shared" si="8"/>
        <v>0</v>
      </c>
      <c r="AG31" s="1024">
        <f t="shared" si="9"/>
        <v>0</v>
      </c>
      <c r="AH31" s="255" t="str">
        <f>'Beta Calc'!Q29</f>
        <v>(Invalid Identifier)</v>
      </c>
      <c r="AI31" s="576" t="str">
        <f t="shared" si="10"/>
        <v>n/a</v>
      </c>
      <c r="AK31" s="932" t="str">
        <f>IF('MASTER PubCo Inputs'!C47="","",'MASTER PubCo Inputs'!C47)</f>
        <v>(Invalid Identifier)</v>
      </c>
      <c r="AL31" s="179" t="str">
        <f>'Capital IQ Sheet-GPC'!AP32</f>
        <v>(Invalid Identifier)</v>
      </c>
    </row>
    <row r="32" spans="2:38" ht="14.85" hidden="1" customHeight="1" outlineLevel="1">
      <c r="B32" s="179" t="str">
        <f>'Capital IQ Sheet-GPC'!C33</f>
        <v>(Invalid Identifier)</v>
      </c>
      <c r="C32" s="576" t="str">
        <f>'Beta Calc'!R30</f>
        <v>n/a</v>
      </c>
      <c r="H32" s="576" t="str">
        <f>'Capital IQ Sheet-GPC'!O33</f>
        <v>(Invalid Identifier)</v>
      </c>
      <c r="I32" s="576" t="str">
        <f>'Capital IQ Sheet-GPC'!P33</f>
        <v>(Invalid Identifier)</v>
      </c>
      <c r="J32" s="576" t="str">
        <f>'Capital IQ Sheet-GPC'!Q33</f>
        <v>(Invalid Identifier)</v>
      </c>
      <c r="K32" s="255"/>
      <c r="L32" s="576" t="str">
        <f>'Capital IQ Sheet-GPC'!R33</f>
        <v>(Invalid Identifier)</v>
      </c>
      <c r="M32" s="576" t="str">
        <f>'Capital IQ Sheet-GPC'!S33</f>
        <v>(Invalid Identifier)</v>
      </c>
      <c r="N32" s="576" t="str">
        <f>'Capital IQ Sheet-GPC'!T33</f>
        <v>(Invalid Identifier)</v>
      </c>
      <c r="O32" s="576" t="str">
        <f>'Capital IQ Sheet-GPC'!U33</f>
        <v>(Invalid Identifier)</v>
      </c>
      <c r="P32" s="576" t="str">
        <f>'Capital IQ Sheet-GPC'!V33</f>
        <v>(Invalid Identifier)</v>
      </c>
      <c r="R32" s="930" t="str">
        <f t="shared" si="0"/>
        <v>n/a</v>
      </c>
      <c r="S32" s="930" t="str">
        <f t="shared" si="1"/>
        <v>n/a</v>
      </c>
      <c r="T32" s="930" t="str">
        <f t="shared" si="2"/>
        <v>n/a</v>
      </c>
      <c r="V32" s="930" t="str">
        <f t="shared" si="11"/>
        <v>n/a</v>
      </c>
      <c r="W32" s="930" t="str">
        <f t="shared" si="12"/>
        <v>n/a</v>
      </c>
      <c r="X32" s="930" t="str">
        <f t="shared" si="5"/>
        <v>n/a</v>
      </c>
      <c r="Y32" s="930" t="str">
        <f t="shared" si="6"/>
        <v>n/a</v>
      </c>
      <c r="Z32" s="930" t="str">
        <f t="shared" si="7"/>
        <v>n/a</v>
      </c>
      <c r="AB32" s="255" t="str">
        <f>'Beta Calc'!K30</f>
        <v>(Invalid Identifier)</v>
      </c>
      <c r="AC32" s="255" t="str">
        <f>'Beta Calc'!L30</f>
        <v>(Invalid Identifier)</v>
      </c>
      <c r="AD32" s="255" t="str">
        <f>'Beta Calc'!M30</f>
        <v>(Invalid Identifier)</v>
      </c>
      <c r="AE32" s="255" t="str">
        <f>'Beta Calc'!N30</f>
        <v>(Invalid Identifier)</v>
      </c>
      <c r="AF32" s="255">
        <f t="shared" si="8"/>
        <v>0</v>
      </c>
      <c r="AG32" s="1024">
        <f t="shared" si="9"/>
        <v>0</v>
      </c>
      <c r="AH32" s="255" t="str">
        <f>'Beta Calc'!Q30</f>
        <v>(Invalid Identifier)</v>
      </c>
      <c r="AI32" s="576" t="str">
        <f t="shared" si="10"/>
        <v>n/a</v>
      </c>
      <c r="AK32" s="932" t="str">
        <f>IF('MASTER PubCo Inputs'!C48="","",'MASTER PubCo Inputs'!C48)</f>
        <v>(Invalid Identifier)</v>
      </c>
      <c r="AL32" s="179" t="str">
        <f>'Capital IQ Sheet-GPC'!AP33</f>
        <v>(Invalid Identifier)</v>
      </c>
    </row>
    <row r="33" spans="2:38" ht="14.85" hidden="1" customHeight="1" outlineLevel="1">
      <c r="B33" s="179" t="str">
        <f>'Capital IQ Sheet-GPC'!C34</f>
        <v>(Invalid Identifier)</v>
      </c>
      <c r="C33" s="576" t="str">
        <f>'Beta Calc'!R31</f>
        <v>n/a</v>
      </c>
      <c r="H33" s="576" t="str">
        <f>'Capital IQ Sheet-GPC'!O34</f>
        <v>(Invalid Identifier)</v>
      </c>
      <c r="I33" s="576" t="str">
        <f>'Capital IQ Sheet-GPC'!P34</f>
        <v>(Invalid Identifier)</v>
      </c>
      <c r="J33" s="576" t="str">
        <f>'Capital IQ Sheet-GPC'!Q34</f>
        <v>(Invalid Identifier)</v>
      </c>
      <c r="K33" s="255"/>
      <c r="L33" s="576" t="str">
        <f>'Capital IQ Sheet-GPC'!R34</f>
        <v>(Invalid Identifier)</v>
      </c>
      <c r="M33" s="576" t="str">
        <f>'Capital IQ Sheet-GPC'!S34</f>
        <v>(Invalid Identifier)</v>
      </c>
      <c r="N33" s="576" t="str">
        <f>'Capital IQ Sheet-GPC'!T34</f>
        <v>(Invalid Identifier)</v>
      </c>
      <c r="O33" s="576" t="str">
        <f>'Capital IQ Sheet-GPC'!U34</f>
        <v>(Invalid Identifier)</v>
      </c>
      <c r="P33" s="576" t="str">
        <f>'Capital IQ Sheet-GPC'!V34</f>
        <v>(Invalid Identifier)</v>
      </c>
      <c r="R33" s="930" t="str">
        <f t="shared" si="0"/>
        <v>n/a</v>
      </c>
      <c r="S33" s="930" t="str">
        <f t="shared" si="1"/>
        <v>n/a</v>
      </c>
      <c r="T33" s="930" t="str">
        <f t="shared" si="2"/>
        <v>n/a</v>
      </c>
      <c r="V33" s="930" t="str">
        <f t="shared" si="11"/>
        <v>n/a</v>
      </c>
      <c r="W33" s="930" t="str">
        <f t="shared" si="12"/>
        <v>n/a</v>
      </c>
      <c r="X33" s="930" t="str">
        <f t="shared" si="5"/>
        <v>n/a</v>
      </c>
      <c r="Y33" s="930" t="str">
        <f t="shared" si="6"/>
        <v>n/a</v>
      </c>
      <c r="Z33" s="930" t="str">
        <f t="shared" si="7"/>
        <v>n/a</v>
      </c>
      <c r="AB33" s="255" t="str">
        <f>'Beta Calc'!K31</f>
        <v>(Invalid Identifier)</v>
      </c>
      <c r="AC33" s="255" t="str">
        <f>'Beta Calc'!L31</f>
        <v>(Invalid Identifier)</v>
      </c>
      <c r="AD33" s="255" t="str">
        <f>'Beta Calc'!M31</f>
        <v>(Invalid Identifier)</v>
      </c>
      <c r="AE33" s="255" t="str">
        <f>'Beta Calc'!N31</f>
        <v>(Invalid Identifier)</v>
      </c>
      <c r="AF33" s="255">
        <f t="shared" si="8"/>
        <v>0</v>
      </c>
      <c r="AG33" s="1024">
        <f t="shared" si="9"/>
        <v>0</v>
      </c>
      <c r="AH33" s="255" t="str">
        <f>'Beta Calc'!Q31</f>
        <v>(Invalid Identifier)</v>
      </c>
      <c r="AI33" s="576" t="str">
        <f t="shared" si="10"/>
        <v>n/a</v>
      </c>
      <c r="AK33" s="932" t="str">
        <f>IF('MASTER PubCo Inputs'!C49="","",'MASTER PubCo Inputs'!C49)</f>
        <v>(Invalid Identifier)</v>
      </c>
      <c r="AL33" s="179" t="str">
        <f>'Capital IQ Sheet-GPC'!AP34</f>
        <v>(Invalid Identifier)</v>
      </c>
    </row>
    <row r="34" spans="2:38" ht="14.85" hidden="1" customHeight="1" outlineLevel="1">
      <c r="B34" s="179" t="str">
        <f>'Capital IQ Sheet-GPC'!C35</f>
        <v>(Invalid Identifier)</v>
      </c>
      <c r="C34" s="576" t="str">
        <f>'Beta Calc'!R32</f>
        <v>n/a</v>
      </c>
      <c r="H34" s="576" t="str">
        <f>'Capital IQ Sheet-GPC'!O35</f>
        <v>(Invalid Identifier)</v>
      </c>
      <c r="I34" s="576" t="str">
        <f>'Capital IQ Sheet-GPC'!P35</f>
        <v>(Invalid Identifier)</v>
      </c>
      <c r="J34" s="576" t="str">
        <f>'Capital IQ Sheet-GPC'!Q35</f>
        <v>(Invalid Identifier)</v>
      </c>
      <c r="K34" s="255"/>
      <c r="L34" s="576" t="str">
        <f>'Capital IQ Sheet-GPC'!R35</f>
        <v>(Invalid Identifier)</v>
      </c>
      <c r="M34" s="576" t="str">
        <f>'Capital IQ Sheet-GPC'!S35</f>
        <v>(Invalid Identifier)</v>
      </c>
      <c r="N34" s="576" t="str">
        <f>'Capital IQ Sheet-GPC'!T35</f>
        <v>(Invalid Identifier)</v>
      </c>
      <c r="O34" s="576" t="str">
        <f>'Capital IQ Sheet-GPC'!U35</f>
        <v>(Invalid Identifier)</v>
      </c>
      <c r="P34" s="576" t="str">
        <f>'Capital IQ Sheet-GPC'!V35</f>
        <v>(Invalid Identifier)</v>
      </c>
      <c r="R34" s="930" t="str">
        <f t="shared" si="0"/>
        <v>n/a</v>
      </c>
      <c r="S34" s="930" t="str">
        <f t="shared" si="1"/>
        <v>n/a</v>
      </c>
      <c r="T34" s="930" t="str">
        <f t="shared" si="2"/>
        <v>n/a</v>
      </c>
      <c r="V34" s="930" t="str">
        <f t="shared" si="11"/>
        <v>n/a</v>
      </c>
      <c r="W34" s="930" t="str">
        <f t="shared" si="12"/>
        <v>n/a</v>
      </c>
      <c r="X34" s="930" t="str">
        <f t="shared" si="5"/>
        <v>n/a</v>
      </c>
      <c r="Y34" s="930" t="str">
        <f t="shared" si="6"/>
        <v>n/a</v>
      </c>
      <c r="Z34" s="930" t="str">
        <f t="shared" si="7"/>
        <v>n/a</v>
      </c>
      <c r="AB34" s="255" t="str">
        <f>'Beta Calc'!K32</f>
        <v>(Invalid Identifier)</v>
      </c>
      <c r="AC34" s="255" t="str">
        <f>'Beta Calc'!L32</f>
        <v>(Invalid Identifier)</v>
      </c>
      <c r="AD34" s="255" t="str">
        <f>'Beta Calc'!M32</f>
        <v>(Invalid Identifier)</v>
      </c>
      <c r="AE34" s="255" t="str">
        <f>'Beta Calc'!N32</f>
        <v>(Invalid Identifier)</v>
      </c>
      <c r="AF34" s="255">
        <f t="shared" si="8"/>
        <v>0</v>
      </c>
      <c r="AG34" s="1024">
        <f t="shared" si="9"/>
        <v>0</v>
      </c>
      <c r="AH34" s="255" t="str">
        <f>'Beta Calc'!Q32</f>
        <v>(Invalid Identifier)</v>
      </c>
      <c r="AI34" s="576" t="str">
        <f t="shared" si="10"/>
        <v>n/a</v>
      </c>
      <c r="AK34" s="932" t="str">
        <f>IF('MASTER PubCo Inputs'!C50="","",'MASTER PubCo Inputs'!C50)</f>
        <v>(Invalid Identifier)</v>
      </c>
      <c r="AL34" s="179" t="str">
        <f>'Capital IQ Sheet-GPC'!AP35</f>
        <v>(Invalid Identifier)</v>
      </c>
    </row>
    <row r="35" spans="2:38" ht="14.85" hidden="1" customHeight="1" outlineLevel="1">
      <c r="B35" s="179" t="str">
        <f>'Capital IQ Sheet-GPC'!C36</f>
        <v>(Invalid Identifier)</v>
      </c>
      <c r="C35" s="576" t="str">
        <f>'Beta Calc'!R33</f>
        <v>n/a</v>
      </c>
      <c r="H35" s="576" t="str">
        <f>'Capital IQ Sheet-GPC'!O36</f>
        <v>(Invalid Identifier)</v>
      </c>
      <c r="I35" s="576" t="str">
        <f>'Capital IQ Sheet-GPC'!P36</f>
        <v>(Invalid Identifier)</v>
      </c>
      <c r="J35" s="576" t="str">
        <f>'Capital IQ Sheet-GPC'!Q36</f>
        <v>(Invalid Identifier)</v>
      </c>
      <c r="K35" s="255"/>
      <c r="L35" s="576" t="str">
        <f>'Capital IQ Sheet-GPC'!R36</f>
        <v>(Invalid Identifier)</v>
      </c>
      <c r="M35" s="576" t="str">
        <f>'Capital IQ Sheet-GPC'!S36</f>
        <v>(Invalid Identifier)</v>
      </c>
      <c r="N35" s="576" t="str">
        <f>'Capital IQ Sheet-GPC'!T36</f>
        <v>(Invalid Identifier)</v>
      </c>
      <c r="O35" s="576" t="str">
        <f>'Capital IQ Sheet-GPC'!U36</f>
        <v>(Invalid Identifier)</v>
      </c>
      <c r="P35" s="576" t="str">
        <f>'Capital IQ Sheet-GPC'!V36</f>
        <v>(Invalid Identifier)</v>
      </c>
      <c r="R35" s="930" t="str">
        <f t="shared" si="0"/>
        <v>n/a</v>
      </c>
      <c r="S35" s="930" t="str">
        <f t="shared" si="1"/>
        <v>n/a</v>
      </c>
      <c r="T35" s="930" t="str">
        <f t="shared" si="2"/>
        <v>n/a</v>
      </c>
      <c r="V35" s="930" t="str">
        <f t="shared" si="11"/>
        <v>n/a</v>
      </c>
      <c r="W35" s="930" t="str">
        <f t="shared" si="12"/>
        <v>n/a</v>
      </c>
      <c r="X35" s="930" t="str">
        <f t="shared" si="5"/>
        <v>n/a</v>
      </c>
      <c r="Y35" s="930" t="str">
        <f t="shared" si="6"/>
        <v>n/a</v>
      </c>
      <c r="Z35" s="930" t="str">
        <f t="shared" si="7"/>
        <v>n/a</v>
      </c>
      <c r="AB35" s="255" t="str">
        <f>'Beta Calc'!K33</f>
        <v>(Invalid Identifier)</v>
      </c>
      <c r="AC35" s="255" t="str">
        <f>'Beta Calc'!L33</f>
        <v>(Invalid Identifier)</v>
      </c>
      <c r="AD35" s="255" t="str">
        <f>'Beta Calc'!M33</f>
        <v>(Invalid Identifier)</v>
      </c>
      <c r="AE35" s="255" t="str">
        <f>'Beta Calc'!N33</f>
        <v>(Invalid Identifier)</v>
      </c>
      <c r="AF35" s="255">
        <f t="shared" si="8"/>
        <v>0</v>
      </c>
      <c r="AG35" s="1024">
        <f t="shared" si="9"/>
        <v>0</v>
      </c>
      <c r="AH35" s="255" t="str">
        <f>'Beta Calc'!Q33</f>
        <v>(Invalid Identifier)</v>
      </c>
      <c r="AI35" s="576" t="str">
        <f t="shared" si="10"/>
        <v>n/a</v>
      </c>
      <c r="AK35" s="932" t="str">
        <f>IF('MASTER PubCo Inputs'!C51="","",'MASTER PubCo Inputs'!C51)</f>
        <v>(Invalid Identifier)</v>
      </c>
      <c r="AL35" s="179" t="str">
        <f>'Capital IQ Sheet-GPC'!AP36</f>
        <v>(Invalid Identifier)</v>
      </c>
    </row>
    <row r="36" spans="2:38" ht="14.85" hidden="1" customHeight="1" outlineLevel="1">
      <c r="B36" s="179" t="str">
        <f>'Capital IQ Sheet-GPC'!C37</f>
        <v>(Invalid Identifier)</v>
      </c>
      <c r="C36" s="576" t="str">
        <f>'Beta Calc'!R34</f>
        <v>n/a</v>
      </c>
      <c r="H36" s="576" t="str">
        <f>'Capital IQ Sheet-GPC'!O37</f>
        <v>(Invalid Identifier)</v>
      </c>
      <c r="I36" s="576" t="str">
        <f>'Capital IQ Sheet-GPC'!P37</f>
        <v>(Invalid Identifier)</v>
      </c>
      <c r="J36" s="576" t="str">
        <f>'Capital IQ Sheet-GPC'!Q37</f>
        <v>(Invalid Identifier)</v>
      </c>
      <c r="K36" s="255"/>
      <c r="L36" s="576" t="str">
        <f>'Capital IQ Sheet-GPC'!R37</f>
        <v>(Invalid Identifier)</v>
      </c>
      <c r="M36" s="576" t="str">
        <f>'Capital IQ Sheet-GPC'!S37</f>
        <v>(Invalid Identifier)</v>
      </c>
      <c r="N36" s="576" t="str">
        <f>'Capital IQ Sheet-GPC'!T37</f>
        <v>(Invalid Identifier)</v>
      </c>
      <c r="O36" s="576" t="str">
        <f>'Capital IQ Sheet-GPC'!U37</f>
        <v>(Invalid Identifier)</v>
      </c>
      <c r="P36" s="576" t="str">
        <f>'Capital IQ Sheet-GPC'!V37</f>
        <v>(Invalid Identifier)</v>
      </c>
      <c r="R36" s="930" t="str">
        <f t="shared" si="0"/>
        <v>n/a</v>
      </c>
      <c r="S36" s="930" t="str">
        <f t="shared" si="1"/>
        <v>n/a</v>
      </c>
      <c r="T36" s="930" t="str">
        <f t="shared" si="2"/>
        <v>n/a</v>
      </c>
      <c r="V36" s="930" t="str">
        <f t="shared" si="11"/>
        <v>n/a</v>
      </c>
      <c r="W36" s="930" t="str">
        <f t="shared" si="12"/>
        <v>n/a</v>
      </c>
      <c r="X36" s="930" t="str">
        <f t="shared" si="5"/>
        <v>n/a</v>
      </c>
      <c r="Y36" s="930" t="str">
        <f t="shared" si="6"/>
        <v>n/a</v>
      </c>
      <c r="Z36" s="930" t="str">
        <f t="shared" si="7"/>
        <v>n/a</v>
      </c>
      <c r="AB36" s="255" t="str">
        <f>'Beta Calc'!K34</f>
        <v>(Invalid Identifier)</v>
      </c>
      <c r="AC36" s="255" t="str">
        <f>'Beta Calc'!L34</f>
        <v>(Invalid Identifier)</v>
      </c>
      <c r="AD36" s="255" t="str">
        <f>'Beta Calc'!M34</f>
        <v>(Invalid Identifier)</v>
      </c>
      <c r="AE36" s="255" t="str">
        <f>'Beta Calc'!N34</f>
        <v>(Invalid Identifier)</v>
      </c>
      <c r="AF36" s="255">
        <f t="shared" si="8"/>
        <v>0</v>
      </c>
      <c r="AG36" s="1024">
        <f t="shared" si="9"/>
        <v>0</v>
      </c>
      <c r="AH36" s="255" t="str">
        <f>'Beta Calc'!Q34</f>
        <v>(Invalid Identifier)</v>
      </c>
      <c r="AI36" s="576" t="str">
        <f t="shared" si="10"/>
        <v>n/a</v>
      </c>
      <c r="AK36" s="932" t="str">
        <f>IF('MASTER PubCo Inputs'!C52="","",'MASTER PubCo Inputs'!C52)</f>
        <v>(Invalid Identifier)</v>
      </c>
      <c r="AL36" s="179" t="str">
        <f>'Capital IQ Sheet-GPC'!AP37</f>
        <v>(Invalid Identifier)</v>
      </c>
    </row>
    <row r="37" spans="2:38" ht="14.85" hidden="1" customHeight="1" outlineLevel="1">
      <c r="B37" s="179" t="str">
        <f>'Capital IQ Sheet-GPC'!C38</f>
        <v>(Invalid Identifier)</v>
      </c>
      <c r="C37" s="576" t="str">
        <f>'Beta Calc'!R35</f>
        <v>n/a</v>
      </c>
      <c r="H37" s="576" t="str">
        <f>'Capital IQ Sheet-GPC'!O38</f>
        <v>(Invalid Identifier)</v>
      </c>
      <c r="I37" s="576" t="str">
        <f>'Capital IQ Sheet-GPC'!P38</f>
        <v>(Invalid Identifier)</v>
      </c>
      <c r="J37" s="576" t="str">
        <f>'Capital IQ Sheet-GPC'!Q38</f>
        <v>(Invalid Identifier)</v>
      </c>
      <c r="K37" s="255"/>
      <c r="L37" s="576" t="str">
        <f>'Capital IQ Sheet-GPC'!R38</f>
        <v>(Invalid Identifier)</v>
      </c>
      <c r="M37" s="576" t="str">
        <f>'Capital IQ Sheet-GPC'!S38</f>
        <v>(Invalid Identifier)</v>
      </c>
      <c r="N37" s="576" t="str">
        <f>'Capital IQ Sheet-GPC'!T38</f>
        <v>(Invalid Identifier)</v>
      </c>
      <c r="O37" s="576" t="str">
        <f>'Capital IQ Sheet-GPC'!U38</f>
        <v>(Invalid Identifier)</v>
      </c>
      <c r="P37" s="576" t="str">
        <f>'Capital IQ Sheet-GPC'!V38</f>
        <v>(Invalid Identifier)</v>
      </c>
      <c r="R37" s="930" t="str">
        <f t="shared" si="0"/>
        <v>n/a</v>
      </c>
      <c r="S37" s="930" t="str">
        <f t="shared" si="1"/>
        <v>n/a</v>
      </c>
      <c r="T37" s="930" t="str">
        <f t="shared" si="2"/>
        <v>n/a</v>
      </c>
      <c r="V37" s="930" t="str">
        <f t="shared" si="11"/>
        <v>n/a</v>
      </c>
      <c r="W37" s="930" t="str">
        <f t="shared" si="12"/>
        <v>n/a</v>
      </c>
      <c r="X37" s="930" t="str">
        <f t="shared" si="5"/>
        <v>n/a</v>
      </c>
      <c r="Y37" s="930" t="str">
        <f t="shared" si="6"/>
        <v>n/a</v>
      </c>
      <c r="Z37" s="930" t="str">
        <f t="shared" si="7"/>
        <v>n/a</v>
      </c>
      <c r="AB37" s="255" t="str">
        <f>'Beta Calc'!K35</f>
        <v>(Invalid Identifier)</v>
      </c>
      <c r="AC37" s="255" t="str">
        <f>'Beta Calc'!L35</f>
        <v>(Invalid Identifier)</v>
      </c>
      <c r="AD37" s="255" t="str">
        <f>'Beta Calc'!M35</f>
        <v>(Invalid Identifier)</v>
      </c>
      <c r="AE37" s="255" t="str">
        <f>'Beta Calc'!N35</f>
        <v>(Invalid Identifier)</v>
      </c>
      <c r="AF37" s="255">
        <f t="shared" si="8"/>
        <v>0</v>
      </c>
      <c r="AG37" s="1024">
        <f t="shared" si="9"/>
        <v>0</v>
      </c>
      <c r="AH37" s="255" t="str">
        <f>'Beta Calc'!Q35</f>
        <v>(Invalid Identifier)</v>
      </c>
      <c r="AI37" s="576" t="str">
        <f t="shared" si="10"/>
        <v>n/a</v>
      </c>
      <c r="AK37" s="932" t="str">
        <f>IF('MASTER PubCo Inputs'!C53="","",'MASTER PubCo Inputs'!C53)</f>
        <v>(Invalid Identifier)</v>
      </c>
      <c r="AL37" s="179" t="str">
        <f>'Capital IQ Sheet-GPC'!AP38</f>
        <v>(Invalid Identifier)</v>
      </c>
    </row>
    <row r="38" spans="2:38" ht="14.85" hidden="1" customHeight="1" outlineLevel="1">
      <c r="B38" s="179" t="str">
        <f>'Capital IQ Sheet-GPC'!C39</f>
        <v>(Invalid Identifier)</v>
      </c>
      <c r="C38" s="576" t="str">
        <f>'Beta Calc'!R36</f>
        <v>n/a</v>
      </c>
      <c r="H38" s="576" t="str">
        <f>'Capital IQ Sheet-GPC'!O39</f>
        <v>(Invalid Identifier)</v>
      </c>
      <c r="I38" s="576" t="str">
        <f>'Capital IQ Sheet-GPC'!P39</f>
        <v>(Invalid Identifier)</v>
      </c>
      <c r="J38" s="576" t="str">
        <f>'Capital IQ Sheet-GPC'!Q39</f>
        <v>(Invalid Identifier)</v>
      </c>
      <c r="K38" s="255"/>
      <c r="L38" s="576" t="str">
        <f>'Capital IQ Sheet-GPC'!R39</f>
        <v>(Invalid Identifier)</v>
      </c>
      <c r="M38" s="576" t="str">
        <f>'Capital IQ Sheet-GPC'!S39</f>
        <v>(Invalid Identifier)</v>
      </c>
      <c r="N38" s="576" t="str">
        <f>'Capital IQ Sheet-GPC'!T39</f>
        <v>(Invalid Identifier)</v>
      </c>
      <c r="O38" s="576" t="str">
        <f>'Capital IQ Sheet-GPC'!U39</f>
        <v>(Invalid Identifier)</v>
      </c>
      <c r="P38" s="576" t="str">
        <f>'Capital IQ Sheet-GPC'!V39</f>
        <v>(Invalid Identifier)</v>
      </c>
      <c r="R38" s="930" t="str">
        <f t="shared" si="0"/>
        <v>n/a</v>
      </c>
      <c r="S38" s="930" t="str">
        <f t="shared" si="1"/>
        <v>n/a</v>
      </c>
      <c r="T38" s="930" t="str">
        <f t="shared" si="2"/>
        <v>n/a</v>
      </c>
      <c r="V38" s="930" t="str">
        <f t="shared" si="11"/>
        <v>n/a</v>
      </c>
      <c r="W38" s="930" t="str">
        <f t="shared" si="12"/>
        <v>n/a</v>
      </c>
      <c r="X38" s="930" t="str">
        <f t="shared" si="5"/>
        <v>n/a</v>
      </c>
      <c r="Y38" s="930" t="str">
        <f t="shared" si="6"/>
        <v>n/a</v>
      </c>
      <c r="Z38" s="930" t="str">
        <f t="shared" si="7"/>
        <v>n/a</v>
      </c>
      <c r="AB38" s="255" t="str">
        <f>'Beta Calc'!K36</f>
        <v>(Invalid Identifier)</v>
      </c>
      <c r="AC38" s="255" t="str">
        <f>'Beta Calc'!L36</f>
        <v>(Invalid Identifier)</v>
      </c>
      <c r="AD38" s="255" t="str">
        <f>'Beta Calc'!M36</f>
        <v>(Invalid Identifier)</v>
      </c>
      <c r="AE38" s="255" t="str">
        <f>'Beta Calc'!N36</f>
        <v>(Invalid Identifier)</v>
      </c>
      <c r="AF38" s="255">
        <f t="shared" si="8"/>
        <v>0</v>
      </c>
      <c r="AG38" s="1024">
        <f t="shared" si="9"/>
        <v>0</v>
      </c>
      <c r="AH38" s="255" t="str">
        <f>'Beta Calc'!Q36</f>
        <v>(Invalid Identifier)</v>
      </c>
      <c r="AI38" s="576" t="str">
        <f t="shared" si="10"/>
        <v>n/a</v>
      </c>
      <c r="AK38" s="932" t="str">
        <f>IF('MASTER PubCo Inputs'!C54="","",'MASTER PubCo Inputs'!C54)</f>
        <v>(Invalid Identifier)</v>
      </c>
      <c r="AL38" s="179" t="str">
        <f>'Capital IQ Sheet-GPC'!AP39</f>
        <v>(Invalid Identifier)</v>
      </c>
    </row>
    <row r="39" spans="2:38" ht="14.85" hidden="1" customHeight="1" outlineLevel="1">
      <c r="B39" s="179" t="str">
        <f>'Capital IQ Sheet-GPC'!C40</f>
        <v>(Invalid Identifier)</v>
      </c>
      <c r="C39" s="576" t="str">
        <f>'Beta Calc'!R37</f>
        <v>n/a</v>
      </c>
      <c r="H39" s="576" t="str">
        <f>'Capital IQ Sheet-GPC'!O40</f>
        <v>(Invalid Identifier)</v>
      </c>
      <c r="I39" s="576" t="str">
        <f>'Capital IQ Sheet-GPC'!P40</f>
        <v>(Invalid Identifier)</v>
      </c>
      <c r="J39" s="576" t="str">
        <f>'Capital IQ Sheet-GPC'!Q40</f>
        <v>(Invalid Identifier)</v>
      </c>
      <c r="K39" s="255"/>
      <c r="L39" s="576" t="str">
        <f>'Capital IQ Sheet-GPC'!R40</f>
        <v>(Invalid Identifier)</v>
      </c>
      <c r="M39" s="576" t="str">
        <f>'Capital IQ Sheet-GPC'!S40</f>
        <v>(Invalid Identifier)</v>
      </c>
      <c r="N39" s="576" t="str">
        <f>'Capital IQ Sheet-GPC'!T40</f>
        <v>(Invalid Identifier)</v>
      </c>
      <c r="O39" s="576" t="str">
        <f>'Capital IQ Sheet-GPC'!U40</f>
        <v>(Invalid Identifier)</v>
      </c>
      <c r="P39" s="576" t="str">
        <f>'Capital IQ Sheet-GPC'!V40</f>
        <v>(Invalid Identifier)</v>
      </c>
      <c r="R39" s="930" t="str">
        <f t="shared" si="0"/>
        <v>n/a</v>
      </c>
      <c r="S39" s="930" t="str">
        <f t="shared" si="1"/>
        <v>n/a</v>
      </c>
      <c r="T39" s="930" t="str">
        <f t="shared" si="2"/>
        <v>n/a</v>
      </c>
      <c r="V39" s="930" t="str">
        <f t="shared" si="11"/>
        <v>n/a</v>
      </c>
      <c r="W39" s="930" t="str">
        <f t="shared" si="12"/>
        <v>n/a</v>
      </c>
      <c r="X39" s="930" t="str">
        <f t="shared" si="5"/>
        <v>n/a</v>
      </c>
      <c r="Y39" s="930" t="str">
        <f t="shared" si="6"/>
        <v>n/a</v>
      </c>
      <c r="Z39" s="930" t="str">
        <f t="shared" si="7"/>
        <v>n/a</v>
      </c>
      <c r="AB39" s="255" t="str">
        <f>'Beta Calc'!K37</f>
        <v>(Invalid Identifier)</v>
      </c>
      <c r="AC39" s="255" t="str">
        <f>'Beta Calc'!L37</f>
        <v>(Invalid Identifier)</v>
      </c>
      <c r="AD39" s="255" t="str">
        <f>'Beta Calc'!M37</f>
        <v>(Invalid Identifier)</v>
      </c>
      <c r="AE39" s="255" t="str">
        <f>'Beta Calc'!N37</f>
        <v>(Invalid Identifier)</v>
      </c>
      <c r="AF39" s="255">
        <f t="shared" si="8"/>
        <v>0</v>
      </c>
      <c r="AG39" s="1024">
        <f t="shared" si="9"/>
        <v>0</v>
      </c>
      <c r="AH39" s="255" t="str">
        <f>'Beta Calc'!Q37</f>
        <v>(Invalid Identifier)</v>
      </c>
      <c r="AI39" s="576" t="str">
        <f t="shared" si="10"/>
        <v>n/a</v>
      </c>
      <c r="AK39" s="932" t="str">
        <f>IF('MASTER PubCo Inputs'!C55="","",'MASTER PubCo Inputs'!C55)</f>
        <v>(Invalid Identifier)</v>
      </c>
      <c r="AL39" s="179" t="str">
        <f>'Capital IQ Sheet-GPC'!AP40</f>
        <v>(Invalid Identifier)</v>
      </c>
    </row>
    <row r="40" spans="2:38" ht="14.85" hidden="1" customHeight="1" outlineLevel="1">
      <c r="B40" s="179" t="str">
        <f>'Capital IQ Sheet-GPC'!C41</f>
        <v>(Invalid Identifier)</v>
      </c>
      <c r="C40" s="576" t="str">
        <f>'Beta Calc'!R38</f>
        <v>n/a</v>
      </c>
      <c r="H40" s="576" t="str">
        <f>'Capital IQ Sheet-GPC'!O41</f>
        <v>(Invalid Identifier)</v>
      </c>
      <c r="I40" s="576" t="str">
        <f>'Capital IQ Sheet-GPC'!P41</f>
        <v>(Invalid Identifier)</v>
      </c>
      <c r="J40" s="576" t="str">
        <f>'Capital IQ Sheet-GPC'!Q41</f>
        <v>(Invalid Identifier)</v>
      </c>
      <c r="K40" s="255"/>
      <c r="L40" s="576" t="str">
        <f>'Capital IQ Sheet-GPC'!R41</f>
        <v>(Invalid Identifier)</v>
      </c>
      <c r="M40" s="576" t="str">
        <f>'Capital IQ Sheet-GPC'!S41</f>
        <v>(Invalid Identifier)</v>
      </c>
      <c r="N40" s="576" t="str">
        <f>'Capital IQ Sheet-GPC'!T41</f>
        <v>(Invalid Identifier)</v>
      </c>
      <c r="O40" s="576" t="str">
        <f>'Capital IQ Sheet-GPC'!U41</f>
        <v>(Invalid Identifier)</v>
      </c>
      <c r="P40" s="576" t="str">
        <f>'Capital IQ Sheet-GPC'!V41</f>
        <v>(Invalid Identifier)</v>
      </c>
      <c r="R40" s="930" t="str">
        <f t="shared" si="0"/>
        <v>n/a</v>
      </c>
      <c r="S40" s="930" t="str">
        <f t="shared" si="1"/>
        <v>n/a</v>
      </c>
      <c r="T40" s="930" t="str">
        <f t="shared" si="2"/>
        <v>n/a</v>
      </c>
      <c r="V40" s="930" t="str">
        <f t="shared" si="11"/>
        <v>n/a</v>
      </c>
      <c r="W40" s="930" t="str">
        <f t="shared" si="12"/>
        <v>n/a</v>
      </c>
      <c r="X40" s="930" t="str">
        <f t="shared" si="5"/>
        <v>n/a</v>
      </c>
      <c r="Y40" s="930" t="str">
        <f t="shared" si="6"/>
        <v>n/a</v>
      </c>
      <c r="Z40" s="930" t="str">
        <f t="shared" si="7"/>
        <v>n/a</v>
      </c>
      <c r="AB40" s="255" t="str">
        <f>'Beta Calc'!K38</f>
        <v>(Invalid Identifier)</v>
      </c>
      <c r="AC40" s="255" t="str">
        <f>'Beta Calc'!L38</f>
        <v>(Invalid Identifier)</v>
      </c>
      <c r="AD40" s="255" t="str">
        <f>'Beta Calc'!M38</f>
        <v>(Invalid Identifier)</v>
      </c>
      <c r="AE40" s="255" t="str">
        <f>'Beta Calc'!N38</f>
        <v>(Invalid Identifier)</v>
      </c>
      <c r="AF40" s="255">
        <f t="shared" si="8"/>
        <v>0</v>
      </c>
      <c r="AG40" s="1024">
        <f t="shared" si="9"/>
        <v>0</v>
      </c>
      <c r="AH40" s="255" t="str">
        <f>'Beta Calc'!Q38</f>
        <v>(Invalid Identifier)</v>
      </c>
      <c r="AI40" s="576" t="str">
        <f t="shared" si="10"/>
        <v>n/a</v>
      </c>
      <c r="AK40" s="932" t="str">
        <f>IF('MASTER PubCo Inputs'!C56="","",'MASTER PubCo Inputs'!C56)</f>
        <v>(Invalid Identifier)</v>
      </c>
      <c r="AL40" s="179" t="str">
        <f>'Capital IQ Sheet-GPC'!AP41</f>
        <v>(Invalid Identifier)</v>
      </c>
    </row>
    <row r="41" spans="2:38" ht="14.85" hidden="1" customHeight="1" outlineLevel="1">
      <c r="B41" s="179" t="str">
        <f>'Capital IQ Sheet-GPC'!C42</f>
        <v>(Invalid Identifier)</v>
      </c>
      <c r="C41" s="576" t="str">
        <f>'Beta Calc'!R39</f>
        <v>n/a</v>
      </c>
      <c r="H41" s="576" t="str">
        <f>'Capital IQ Sheet-GPC'!O42</f>
        <v>(Invalid Identifier)</v>
      </c>
      <c r="I41" s="576" t="str">
        <f>'Capital IQ Sheet-GPC'!P42</f>
        <v>(Invalid Identifier)</v>
      </c>
      <c r="J41" s="576" t="str">
        <f>'Capital IQ Sheet-GPC'!Q42</f>
        <v>(Invalid Identifier)</v>
      </c>
      <c r="K41" s="255"/>
      <c r="L41" s="576" t="str">
        <f>'Capital IQ Sheet-GPC'!R42</f>
        <v>(Invalid Identifier)</v>
      </c>
      <c r="M41" s="576" t="str">
        <f>'Capital IQ Sheet-GPC'!S42</f>
        <v>(Invalid Identifier)</v>
      </c>
      <c r="N41" s="576" t="str">
        <f>'Capital IQ Sheet-GPC'!T42</f>
        <v>(Invalid Identifier)</v>
      </c>
      <c r="O41" s="576" t="str">
        <f>'Capital IQ Sheet-GPC'!U42</f>
        <v>(Invalid Identifier)</v>
      </c>
      <c r="P41" s="576" t="str">
        <f>'Capital IQ Sheet-GPC'!V42</f>
        <v>(Invalid Identifier)</v>
      </c>
      <c r="R41" s="930" t="str">
        <f t="shared" si="0"/>
        <v>n/a</v>
      </c>
      <c r="S41" s="930" t="str">
        <f t="shared" si="1"/>
        <v>n/a</v>
      </c>
      <c r="T41" s="930" t="str">
        <f t="shared" si="2"/>
        <v>n/a</v>
      </c>
      <c r="V41" s="930" t="str">
        <f t="shared" si="11"/>
        <v>n/a</v>
      </c>
      <c r="W41" s="930" t="str">
        <f t="shared" si="12"/>
        <v>n/a</v>
      </c>
      <c r="X41" s="930" t="str">
        <f t="shared" si="5"/>
        <v>n/a</v>
      </c>
      <c r="Y41" s="930" t="str">
        <f t="shared" si="6"/>
        <v>n/a</v>
      </c>
      <c r="Z41" s="930" t="str">
        <f t="shared" si="7"/>
        <v>n/a</v>
      </c>
      <c r="AB41" s="255" t="str">
        <f>'Beta Calc'!K39</f>
        <v>(Invalid Identifier)</v>
      </c>
      <c r="AC41" s="255" t="str">
        <f>'Beta Calc'!L39</f>
        <v>(Invalid Identifier)</v>
      </c>
      <c r="AD41" s="255" t="str">
        <f>'Beta Calc'!M39</f>
        <v>(Invalid Identifier)</v>
      </c>
      <c r="AE41" s="255" t="str">
        <f>'Beta Calc'!N39</f>
        <v>(Invalid Identifier)</v>
      </c>
      <c r="AF41" s="255">
        <f t="shared" si="8"/>
        <v>0</v>
      </c>
      <c r="AG41" s="1024">
        <f t="shared" si="9"/>
        <v>0</v>
      </c>
      <c r="AH41" s="255" t="str">
        <f>'Beta Calc'!Q39</f>
        <v>(Invalid Identifier)</v>
      </c>
      <c r="AI41" s="576" t="str">
        <f t="shared" si="10"/>
        <v>n/a</v>
      </c>
      <c r="AK41" s="932" t="str">
        <f>IF('MASTER PubCo Inputs'!C57="","",'MASTER PubCo Inputs'!C57)</f>
        <v>(Invalid Identifier)</v>
      </c>
      <c r="AL41" s="179" t="str">
        <f>'Capital IQ Sheet-GPC'!AP42</f>
        <v>(Invalid Identifier)</v>
      </c>
    </row>
    <row r="42" spans="2:38" ht="14.85" customHeight="1" collapsed="1">
      <c r="C42" s="255"/>
      <c r="H42" s="255"/>
      <c r="I42" s="255"/>
      <c r="J42" s="255"/>
      <c r="K42" s="255"/>
      <c r="L42" s="255"/>
      <c r="M42" s="255"/>
      <c r="N42" s="255"/>
      <c r="O42" s="255"/>
      <c r="P42" s="255"/>
    </row>
    <row r="43" spans="2:38" ht="14.85" customHeight="1">
      <c r="B43" s="665" t="s">
        <v>111</v>
      </c>
      <c r="C43" s="1025">
        <f>MAX(C12:C41)</f>
        <v>1379.6794800000002</v>
      </c>
      <c r="D43" s="666"/>
      <c r="E43" s="1026"/>
      <c r="F43" s="1026"/>
      <c r="G43" s="1026"/>
      <c r="H43" s="1025">
        <f>MAX(H12:H41)</f>
        <v>23.46114</v>
      </c>
      <c r="I43" s="1025">
        <f>MAX(I12:I41)</f>
        <v>34.294750000000001</v>
      </c>
      <c r="J43" s="1025">
        <f>MAX(J12:J41)</f>
        <v>50.807600000000001</v>
      </c>
      <c r="K43" s="1025"/>
      <c r="L43" s="1025">
        <f>MAX(L12:L41)</f>
        <v>34.294750000000001</v>
      </c>
      <c r="M43" s="1025">
        <f>MAX(M12:M41)</f>
        <v>50.807600000000001</v>
      </c>
      <c r="N43" s="1025">
        <f>MAX(N12:N41)</f>
        <v>67.411730000000006</v>
      </c>
      <c r="O43" s="1025">
        <f>MAX(O12:O41)</f>
        <v>83.334149999999994</v>
      </c>
      <c r="P43" s="1927">
        <f>MAX(P12:P41)</f>
        <v>110.53583999999999</v>
      </c>
      <c r="Q43" s="1027"/>
      <c r="R43" s="1028">
        <f>MAX(R12:R41)</f>
        <v>1988.153076923076</v>
      </c>
      <c r="S43" s="1028">
        <f>MAX(S12:S41)</f>
        <v>1663.8662696264209</v>
      </c>
      <c r="T43" s="1028">
        <f>MAX(T12:T41)</f>
        <v>81.286718906498578</v>
      </c>
      <c r="U43" s="1027"/>
      <c r="V43" s="1028">
        <f>MAX(V12:V41)</f>
        <v>80.82005351784025</v>
      </c>
      <c r="W43" s="1028">
        <f>MAX(W12:W41)</f>
        <v>20.910995145631055</v>
      </c>
      <c r="X43" s="1028">
        <f>MAX(X12:X41)</f>
        <v>60.547843030553054</v>
      </c>
      <c r="Y43" s="1028">
        <f>MAX(Y12:Y41)</f>
        <v>41.280368091000682</v>
      </c>
      <c r="Z43" s="1029">
        <f>MAX(Z12:Z41)</f>
        <v>33.528055407047397</v>
      </c>
      <c r="AA43" s="548"/>
      <c r="AB43" s="548"/>
    </row>
    <row r="44" spans="2:38" ht="14.85" customHeight="1">
      <c r="B44" s="1030" t="s">
        <v>115</v>
      </c>
      <c r="C44" s="944">
        <f>QUARTILE(C12:C41,3)</f>
        <v>178.94606000000002</v>
      </c>
      <c r="D44" s="942"/>
      <c r="E44" s="942"/>
      <c r="F44" s="942"/>
      <c r="G44" s="942"/>
      <c r="H44" s="944">
        <f>QUARTILE(H12:H41,3)</f>
        <v>3.2053000000000003</v>
      </c>
      <c r="I44" s="944">
        <f>QUARTILE(I12:I41,3)</f>
        <v>4.8781974999999997</v>
      </c>
      <c r="J44" s="944">
        <f>QUARTILE(J12:J41,3)</f>
        <v>13.0245</v>
      </c>
      <c r="K44" s="944"/>
      <c r="L44" s="944">
        <f>QUARTILE(L12:L41,3)</f>
        <v>4.9704474999999997</v>
      </c>
      <c r="M44" s="944">
        <f>QUARTILE(M12:M41,3)</f>
        <v>10.605</v>
      </c>
      <c r="N44" s="944">
        <f>QUARTILE(N12:N41,3)</f>
        <v>22.7866</v>
      </c>
      <c r="O44" s="944">
        <f>QUARTILE(O12:O41,3)</f>
        <v>44.626540000000006</v>
      </c>
      <c r="P44" s="945">
        <f>QUARTILE(P12:P41,3)</f>
        <v>66.018457499999997</v>
      </c>
      <c r="Q44" s="1031"/>
      <c r="R44" s="943">
        <f>QUARTILE(R12:R41,3)</f>
        <v>566.83626951520137</v>
      </c>
      <c r="S44" s="943">
        <f>QUARTILE(S12:S41,3)</f>
        <v>232.66095784148402</v>
      </c>
      <c r="T44" s="943">
        <f>QUARTILE(T12:T41,3)</f>
        <v>51.604339097015185</v>
      </c>
      <c r="U44" s="1031"/>
      <c r="V44" s="943">
        <f>QUARTILE(V12:V41,3)</f>
        <v>59.330956480735637</v>
      </c>
      <c r="W44" s="943">
        <f>QUARTILE(W12:W41,3)</f>
        <v>19.059457496927099</v>
      </c>
      <c r="X44" s="943">
        <f>QUARTILE(X12:X41,3)</f>
        <v>38.676661111111116</v>
      </c>
      <c r="Y44" s="943">
        <f>QUARTILE(Y12:Y41,3)</f>
        <v>27.236254718962414</v>
      </c>
      <c r="Z44" s="1032">
        <f>QUARTILE(Z12:Z41,3)</f>
        <v>13.037621978501557</v>
      </c>
      <c r="AA44" s="548"/>
      <c r="AB44" s="548"/>
    </row>
    <row r="45" spans="2:38" ht="14.85" customHeight="1">
      <c r="B45" s="1030" t="s">
        <v>113</v>
      </c>
      <c r="C45" s="944">
        <f>AVERAGE(C12:C41)</f>
        <v>291.17324222222226</v>
      </c>
      <c r="D45" s="942"/>
      <c r="E45" s="942"/>
      <c r="F45" s="942"/>
      <c r="G45" s="942"/>
      <c r="H45" s="944">
        <f>AVERAGE(H12:H41)</f>
        <v>4.9236016666666673</v>
      </c>
      <c r="I45" s="944">
        <f>AVERAGE(I12:I41)</f>
        <v>7.1656683333333335</v>
      </c>
      <c r="J45" s="944">
        <f>AVERAGE(J12:J41)</f>
        <v>11.677081666666666</v>
      </c>
      <c r="K45" s="944"/>
      <c r="L45" s="944">
        <f>AVERAGE(L12:L41)</f>
        <v>7.1286683333333336</v>
      </c>
      <c r="M45" s="944">
        <f>AVERAGE(M12:M41)</f>
        <v>11.145748333333335</v>
      </c>
      <c r="N45" s="944">
        <f>AVERAGE(N12:N41)</f>
        <v>19.471375999999999</v>
      </c>
      <c r="O45" s="944">
        <f>AVERAGE(O12:O41)</f>
        <v>31.198711666666668</v>
      </c>
      <c r="P45" s="945">
        <f>AVERAGE(P12:P41)</f>
        <v>55.258207499999997</v>
      </c>
      <c r="Q45" s="1031"/>
      <c r="R45" s="943">
        <f>AVERAGE(R12:R41)</f>
        <v>560.81854504583112</v>
      </c>
      <c r="S45" s="943">
        <f>AVERAGE(S12:S41)</f>
        <v>404.49933868090602</v>
      </c>
      <c r="T45" s="943">
        <f>AVERAGE(T12:T41)</f>
        <v>38.904507581615199</v>
      </c>
      <c r="U45" s="1031"/>
      <c r="V45" s="943">
        <f>AVERAGE(V12:V41)</f>
        <v>46.223103920526391</v>
      </c>
      <c r="W45" s="943">
        <f>AVERAGE(W12:W41)</f>
        <v>17.207919848223142</v>
      </c>
      <c r="X45" s="943">
        <f>AVERAGE(X12:X41)</f>
        <v>28.502410163157549</v>
      </c>
      <c r="Y45" s="943">
        <f>AVERAGE(Y12:Y41)</f>
        <v>17.459551740954549</v>
      </c>
      <c r="Z45" s="1032">
        <f>AVERAGE(Z12:Z41)</f>
        <v>11.163655489301169</v>
      </c>
      <c r="AA45" s="548"/>
      <c r="AB45" s="548"/>
    </row>
    <row r="46" spans="2:38" ht="14.85" customHeight="1">
      <c r="B46" s="1030" t="s">
        <v>44</v>
      </c>
      <c r="C46" s="944">
        <f>MEDIAN(C12:C41)</f>
        <v>125.38888000000001</v>
      </c>
      <c r="D46" s="942"/>
      <c r="E46" s="942"/>
      <c r="F46" s="942"/>
      <c r="G46" s="942"/>
      <c r="H46" s="944">
        <f>MEDIAN(H12:H41)</f>
        <v>1.3025350000000002</v>
      </c>
      <c r="I46" s="944">
        <f>MEDIAN(I12:I41)</f>
        <v>1.3753950000000001</v>
      </c>
      <c r="J46" s="944">
        <f>MEDIAN(J12:J41)</f>
        <v>1.1118350000000001</v>
      </c>
      <c r="K46" s="944"/>
      <c r="L46" s="944">
        <f>MEDIAN(L12:L41)</f>
        <v>1.202895</v>
      </c>
      <c r="M46" s="944">
        <f>MEDIAN(M12:M41)</f>
        <v>1.1403349999999999</v>
      </c>
      <c r="N46" s="944">
        <f>MEDIAN(N12:N41)</f>
        <v>3.6</v>
      </c>
      <c r="O46" s="944">
        <f>MEDIAN(O12:O41)</f>
        <v>24.753979999999999</v>
      </c>
      <c r="P46" s="945">
        <f>MEDIAN(P12:P41)</f>
        <v>46.164664999999999</v>
      </c>
      <c r="Q46" s="1031"/>
      <c r="R46" s="943">
        <f>MEDIAN(R12:R41)</f>
        <v>179.64347927748872</v>
      </c>
      <c r="S46" s="943">
        <f>MEDIAN(S12:S41)</f>
        <v>80.82005351784025</v>
      </c>
      <c r="T46" s="943">
        <f>MEDIAN(T12:T41)</f>
        <v>21.921959287531795</v>
      </c>
      <c r="U46" s="1031"/>
      <c r="V46" s="943">
        <f>MEDIAN(V12:V41)</f>
        <v>37.841859443631016</v>
      </c>
      <c r="W46" s="943">
        <f>MEDIAN(W12:W41)</f>
        <v>17.207919848223142</v>
      </c>
      <c r="X46" s="943">
        <f>MEDIAN(X12:X41)</f>
        <v>19.232936956780559</v>
      </c>
      <c r="Y46" s="943">
        <f>MEDIAN(Y12:Y41)</f>
        <v>14.105022874627334</v>
      </c>
      <c r="Z46" s="1032">
        <f>MEDIAN(Z12:Z41)</f>
        <v>4.8519646462623784</v>
      </c>
      <c r="AA46" s="548"/>
      <c r="AB46" s="548"/>
    </row>
    <row r="47" spans="2:38" ht="14.85" customHeight="1">
      <c r="B47" s="1030" t="s">
        <v>114</v>
      </c>
      <c r="C47" s="944">
        <f>QUARTILE(C12:C41,1)</f>
        <v>30.731609999999996</v>
      </c>
      <c r="D47" s="942"/>
      <c r="E47" s="942"/>
      <c r="F47" s="942"/>
      <c r="G47" s="942"/>
      <c r="H47" s="944">
        <f>QUARTILE(H12:H41,1)</f>
        <v>5.2517499999999995E-2</v>
      </c>
      <c r="I47" s="944">
        <f>QUARTILE(I12:I41,1)</f>
        <v>0.2708525</v>
      </c>
      <c r="J47" s="944">
        <f>QUARTILE(J12:J41,1)</f>
        <v>0.30483250000000001</v>
      </c>
      <c r="K47" s="944"/>
      <c r="L47" s="944">
        <f>QUARTILE(L12:L41,1)</f>
        <v>0.1846025</v>
      </c>
      <c r="M47" s="944">
        <f>QUARTILE(M12:M41,1)</f>
        <v>0.30483250000000001</v>
      </c>
      <c r="N47" s="944">
        <f>QUARTILE(N12:N41,1)</f>
        <v>2.2147100000000002</v>
      </c>
      <c r="O47" s="944">
        <f>QUARTILE(O12:O41,1)</f>
        <v>7.5426975000000001</v>
      </c>
      <c r="P47" s="945">
        <f>QUARTILE(P12:P41,1)</f>
        <v>35.404415</v>
      </c>
      <c r="Q47" s="1031"/>
      <c r="R47" s="943">
        <f>QUARTILE(R12:R41,1)</f>
        <v>40.213718807763406</v>
      </c>
      <c r="S47" s="943">
        <f>QUARTILE(S12:S41,1)</f>
        <v>25.14201361867703</v>
      </c>
      <c r="T47" s="943">
        <f>QUARTILE(T12:T41,1)</f>
        <v>17.713401919173513</v>
      </c>
      <c r="U47" s="1031"/>
      <c r="V47" s="943">
        <f>QUARTILE(V12:V41,1)</f>
        <v>28.924629121869451</v>
      </c>
      <c r="W47" s="943">
        <f>QUARTILE(W12:W41,1)</f>
        <v>15.356382199519189</v>
      </c>
      <c r="X47" s="943">
        <f>QUARTILE(X12:X41,1)</f>
        <v>13.876132766818227</v>
      </c>
      <c r="Y47" s="943">
        <f>QUARTILE(Y12:Y41,1)</f>
        <v>4.8335677773978354</v>
      </c>
      <c r="Z47" s="1032">
        <f>QUARTILE(Z12:Z41,1)</f>
        <v>2.97799815706199</v>
      </c>
      <c r="AA47" s="548"/>
      <c r="AB47" s="548"/>
    </row>
    <row r="48" spans="2:38" ht="14.85" customHeight="1">
      <c r="B48" s="946" t="s">
        <v>112</v>
      </c>
      <c r="C48" s="672">
        <f>MIN(C12:C41)</f>
        <v>3.072160000000002</v>
      </c>
      <c r="D48" s="663"/>
      <c r="E48" s="663"/>
      <c r="F48" s="663"/>
      <c r="G48" s="663"/>
      <c r="H48" s="672">
        <f>MIN(H12:H41)</f>
        <v>0</v>
      </c>
      <c r="I48" s="672">
        <f>MIN(I12:I41)</f>
        <v>0</v>
      </c>
      <c r="J48" s="672">
        <f>MIN(J12:J41)</f>
        <v>0</v>
      </c>
      <c r="K48" s="672"/>
      <c r="L48" s="672">
        <f>MIN(L12:L41)</f>
        <v>0</v>
      </c>
      <c r="M48" s="672">
        <f>MIN(M12:M41)</f>
        <v>0</v>
      </c>
      <c r="N48" s="672">
        <f>MIN(N12:N41)</f>
        <v>1.3438399999999999</v>
      </c>
      <c r="O48" s="672">
        <f>MIN(O12:O41)</f>
        <v>1.29383</v>
      </c>
      <c r="P48" s="948">
        <f>MIN(P12:P41)</f>
        <v>18.167660000000001</v>
      </c>
      <c r="Q48" s="1033"/>
      <c r="R48" s="947">
        <f>MIN(R12:R41)</f>
        <v>29.246180705626408</v>
      </c>
      <c r="S48" s="947">
        <f>MIN(S12:S41)</f>
        <v>20.007398800107886</v>
      </c>
      <c r="T48" s="947">
        <f>MIN(T12:T41)</f>
        <v>13.504844550815232</v>
      </c>
      <c r="U48" s="1033"/>
      <c r="V48" s="947">
        <f>MIN(V12:V41)</f>
        <v>20.007398800107886</v>
      </c>
      <c r="W48" s="947">
        <f>MIN(W12:W41)</f>
        <v>13.504844550815232</v>
      </c>
      <c r="X48" s="947">
        <f>MIN(X12:X41)</f>
        <v>10.178476950524781</v>
      </c>
      <c r="Y48" s="947">
        <f>MIN(Y12:Y41)</f>
        <v>1.9104818600765021</v>
      </c>
      <c r="Z48" s="1034">
        <f>MIN(Z12:Z41)</f>
        <v>1.4226372576325175</v>
      </c>
      <c r="AA48" s="548"/>
      <c r="AB48" s="548"/>
    </row>
    <row r="49" spans="2:16" ht="14.85" customHeight="1">
      <c r="C49" s="255"/>
      <c r="H49" s="255"/>
      <c r="I49" s="255"/>
      <c r="J49" s="255"/>
      <c r="K49" s="255"/>
      <c r="L49" s="255"/>
      <c r="M49" s="255"/>
      <c r="N49" s="255"/>
      <c r="O49" s="255"/>
      <c r="P49" s="255"/>
    </row>
    <row r="50" spans="2:16" ht="14.85" customHeight="1">
      <c r="B50" s="272" t="s">
        <v>116</v>
      </c>
    </row>
    <row r="51" spans="2:16" ht="14.85" customHeight="1">
      <c r="B51" s="272"/>
    </row>
    <row r="52" spans="2:16" ht="14.85" customHeight="1"/>
    <row r="53" spans="2:16" ht="14.85" customHeight="1"/>
    <row r="54" spans="2:16" ht="14.85" customHeight="1"/>
    <row r="55" spans="2:16" ht="14.85" customHeight="1"/>
    <row r="56" spans="2:16" ht="14.85" customHeight="1"/>
    <row r="57" spans="2:16" ht="14.85" customHeight="1">
      <c r="B57" s="182"/>
    </row>
    <row r="58" spans="2:16" ht="14.85" customHeight="1"/>
    <row r="59" spans="2:16" ht="14.85" customHeight="1"/>
    <row r="60" spans="2:16" ht="14.85" customHeight="1"/>
    <row r="61" spans="2:16" ht="14.85" customHeight="1"/>
    <row r="62" spans="2:16" ht="14.85" customHeight="1"/>
    <row r="63" spans="2:16" ht="14.85" customHeight="1"/>
    <row r="64" spans="2:16"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N7:P7"/>
  </mergeCells>
  <conditionalFormatting sqref="B12:C41">
    <cfRule type="cellIs" dxfId="335" priority="19" operator="equal">
      <formula>"(Invalid Identifier)"</formula>
    </cfRule>
  </conditionalFormatting>
  <conditionalFormatting sqref="B4:L4">
    <cfRule type="cellIs" dxfId="334" priority="16" stopIfTrue="1" operator="equal">
      <formula>"input"</formula>
    </cfRule>
  </conditionalFormatting>
  <conditionalFormatting sqref="M4">
    <cfRule type="cellIs" dxfId="333" priority="14" stopIfTrue="1" operator="equal">
      <formula>"input"</formula>
    </cfRule>
  </conditionalFormatting>
  <conditionalFormatting sqref="M4">
    <cfRule type="cellIs" dxfId="332" priority="15" stopIfTrue="1" operator="equal">
      <formula>"input"</formula>
    </cfRule>
  </conditionalFormatting>
  <conditionalFormatting sqref="N4:P4">
    <cfRule type="cellIs" dxfId="331" priority="12" stopIfTrue="1" operator="equal">
      <formula>"input"</formula>
    </cfRule>
  </conditionalFormatting>
  <conditionalFormatting sqref="N4:P4">
    <cfRule type="cellIs" dxfId="330" priority="13" stopIfTrue="1" operator="equal">
      <formula>"input"</formula>
    </cfRule>
  </conditionalFormatting>
  <conditionalFormatting sqref="Q4">
    <cfRule type="cellIs" dxfId="329" priority="10" stopIfTrue="1" operator="equal">
      <formula>"input"</formula>
    </cfRule>
  </conditionalFormatting>
  <conditionalFormatting sqref="Q4">
    <cfRule type="cellIs" dxfId="328" priority="11" stopIfTrue="1" operator="equal">
      <formula>"input"</formula>
    </cfRule>
  </conditionalFormatting>
  <conditionalFormatting sqref="R4:Y4">
    <cfRule type="cellIs" dxfId="327" priority="8" stopIfTrue="1" operator="equal">
      <formula>"input"</formula>
    </cfRule>
  </conditionalFormatting>
  <conditionalFormatting sqref="R4:Y4">
    <cfRule type="cellIs" dxfId="326" priority="9" stopIfTrue="1" operator="equal">
      <formula>"input"</formula>
    </cfRule>
  </conditionalFormatting>
  <conditionalFormatting sqref="Z4">
    <cfRule type="cellIs" dxfId="325" priority="1" stopIfTrue="1" operator="equal">
      <formula>"input"</formula>
    </cfRule>
  </conditionalFormatting>
  <conditionalFormatting sqref="Z4">
    <cfRule type="cellIs" dxfId="324" priority="2" stopIfTrue="1" operator="equal">
      <formula>"input"</formula>
    </cfRule>
  </conditionalFormatting>
  <pageMargins left="0.5" right="0.5" top="0.5" bottom="0.5" header="0.5" footer="0.5"/>
  <pageSetup scale="84" fitToWidth="0" fitToHeight="0" orientation="landscape" r:id="rId1"/>
  <colBreaks count="1" manualBreakCount="1">
    <brk id="16" max="49" man="1"/>
  </colBreaks>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0"/>
  <dimension ref="B1:D764"/>
  <sheetViews>
    <sheetView showGridLines="0" tabSelected="1" view="pageBreakPreview" zoomScale="85" zoomScaleNormal="100" zoomScaleSheetLayoutView="85" workbookViewId="0">
      <selection activeCell="H11" sqref="H11"/>
    </sheetView>
  </sheetViews>
  <sheetFormatPr defaultRowHeight="12.75" outlineLevelRow="1"/>
  <cols>
    <col min="1" max="1" width="4.5" style="179" customWidth="1"/>
    <col min="2" max="2" width="36.1640625" style="179" customWidth="1"/>
    <col min="3" max="3" width="2.83203125" style="179" customWidth="1"/>
    <col min="4" max="4" width="104.83203125" style="179" customWidth="1"/>
    <col min="5" max="5" width="4.5" style="179" customWidth="1"/>
    <col min="6" max="16384" width="9.33203125" style="179"/>
  </cols>
  <sheetData>
    <row r="1" spans="2:4" ht="10.7" customHeight="1" thickBot="1"/>
    <row r="2" spans="2:4" ht="16.5" customHeight="1" thickTop="1">
      <c r="B2" s="187" t="str">
        <f>'MASTER PubCo Inputs'!$C$5</f>
        <v>Decibel Therapeutics, Inc.</v>
      </c>
      <c r="C2" s="187"/>
      <c r="D2" s="187"/>
    </row>
    <row r="3" spans="2:4" ht="15.75" customHeight="1">
      <c r="B3" s="188" t="str">
        <f>VLOOKUP(B4,Outline!$E$8:$G$75,COLUMNS(Outline!$E$8:$G$8),FALSE)</f>
        <v>Exhibit D.2</v>
      </c>
      <c r="C3" s="188"/>
      <c r="D3" s="188"/>
    </row>
    <row r="4" spans="2:4" ht="16.5" customHeight="1" thickBot="1">
      <c r="B4" s="726" t="s">
        <v>742</v>
      </c>
      <c r="C4" s="726"/>
      <c r="D4" s="726"/>
    </row>
    <row r="5" spans="2:4" ht="14.85" customHeight="1" thickTop="1"/>
    <row r="6" spans="2:4" ht="14.85" customHeight="1"/>
    <row r="7" spans="2:4" ht="14.85" customHeight="1">
      <c r="B7" s="1054" t="s">
        <v>461</v>
      </c>
      <c r="D7" s="1055" t="s">
        <v>127</v>
      </c>
    </row>
    <row r="8" spans="2:4" ht="14.85" customHeight="1"/>
    <row r="9" spans="2:4" ht="204">
      <c r="B9" s="1056" t="str">
        <f>'Comp.1'!$B12</f>
        <v>Editas Medicine, Inc.</v>
      </c>
      <c r="C9" s="1057"/>
      <c r="D9" s="1056" t="str">
        <f>'Capital IQ Sheet-GPC'!AP13</f>
        <v>Editas Medicine, Inc. operates as a genome editing company. It focuses on treating patients with genetically defined diseases by correcting their disease causing genes. The company develops a proprietary genome editing platform based on CRISPR technology to target genetically defined diseases with an initial focus on debilitating illnesses where there are no approved treatments. It develops EDIT-101 for Leber Congenital Amaurosis type 10, a genetic form of vision loss that leads to blindness in childhood. The company also develops other therapies for eye diseases, such as Herpes Simplex Virus 1 that causes lifelong infections primarily leading to ocular and oral disease; and Usher Syndrome 2A, which is a form of retinitis pigmentosa that also includes hearing loss. In addition, it develops hematopoietic stem cells for treating sickle cell disease and beta thalassemia. Editas Medicine, Inc. has a collaboration and license agreement with Juno Therapeutics, Inc. for the research and development of engineered T cells with chimeric antigen receptors and T cell receptors; and strategic alliance and option agreement with Allergan Pharmaceuticals International Limited for the research and development of medicines for ocular diseases. The company was formerly known as Gengine, Inc. and changed its name to Editas Medicine Inc. in November 2013. Editas Medicine, Inc. was founded in 2013 and is based in Cambridge, Massachusetts.</v>
      </c>
    </row>
    <row r="10" spans="2:4" ht="217.5" customHeight="1">
      <c r="B10" s="1056" t="str">
        <f>'Comp.1'!$B13</f>
        <v>Oxford BioMedica plc</v>
      </c>
      <c r="C10" s="1057"/>
      <c r="D10" s="1814" t="str">
        <f>'Capital IQ Sheet-GPC'!AP14</f>
        <v>Oxford BioMedica plc, a biopharmaceutical company, engages in the research, development, and bioprocessing of lentiviral vector and cell therapy products for the treatment of various cancers, Parkinson’s, central nervous system disorders, and ocular conditions in Europe and internationally. The company operates through Platform and Product segments. Its LentiVector platform technology integrates genes into non-dividing cells in the brain and retinal cells in the eye, as well as accommodates multiple therapeutic genes. The company’s products under development include OXB-102 that is in Phase I/IIa study preparation for the treatment of Parkinson's disease; OXB-202, which is in a Phase I/IIa trial preparation for the prevention of corneal graft rejection; and OXB-302, a gene-based cancer immunotherapy product that has completed pre-clinical development for use in the treatment of a range of cancers, as well as OXB-201 that has completed Phase I trial for the treatment of wet age-related macular degeneration and diabetic retinopathy. It is also developing gene-based therapies, such as SAR 422459 that is in a Phase II trial for the treatment of Stargardt disease; and SAR 421869, which is in Phase I/II trial for the treatment of Usher syndrome 1B. The company has partnerships with Novartis, Sanofi, GlaxoSmithKline, Bioverativ, Orchard Therapeutics, GC LabCell, the UK Cystic Fibrosis Gene Therapy Consortium, Imperial Innovations, and Immune Design. Oxford BioMedica plc was founded in 1995 and is headquartered in Oxford, the United Kingdom.</v>
      </c>
    </row>
    <row r="11" spans="2:4" ht="89.25">
      <c r="B11" s="1056" t="str">
        <f>'Comp.1'!$B14</f>
        <v>Fennec Pharmaceuticals Inc.</v>
      </c>
      <c r="C11" s="1057"/>
      <c r="D11" s="1814" t="str">
        <f>'Capital IQ Sheet-GPC'!AP15</f>
        <v>Fennec Pharmaceuticals Inc., a biopharmaceutical company, develops product candidates for use in the treatment of cancer in the United States. Its lead product candidate is the Sodium Thiosulfate, which has completed the Phase III clinical trial for the prevention of cisplatin induced hearing loss or ototoxicity in children. The company was formerly known as Adherex Technologies Inc. and changed its name to Fennec Pharmaceuticals Inc. in September 2014. Fennec Pharmaceuticals Inc. was founded in 1996 and is based in Research Triangle Park, North Carolina.</v>
      </c>
    </row>
    <row r="12" spans="2:4" ht="167.25" customHeight="1">
      <c r="B12" s="1056" t="str">
        <f>'Comp.1'!$B15</f>
        <v>ProQR Therapeutics N.V.</v>
      </c>
      <c r="C12" s="1058"/>
      <c r="D12" s="1814" t="str">
        <f>'Capital IQ Sheet-GPC'!AP16</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13" spans="2:4" ht="154.5" customHeight="1">
      <c r="B13" s="1056" t="str">
        <f>'Comp.1'!$B16</f>
        <v>Genkyotex SA</v>
      </c>
      <c r="C13" s="1058"/>
      <c r="D13" s="1814" t="str">
        <f>'Capital IQ Sheet-GPC'!AP17</f>
        <v>Genkyotex S.A., a biopharmaceutical company, develops oral small molecule NOX therapeutics. Its platform enables the identification of orally available small-molecules that selectively inhibit NOX enzymes amplifying various disease processes, such as fibrosis, inflammation, pain processing, cancer development, and neurodegeneration. The company’s lead product candidate is GKT831, a NOX1 and NOX4 inhibitor, which is evaluated in a Phase II clinical trial in primary biliary cholangitis a fibrotic orphan disease and in an investigator-initiated Phase II clinical trial in type 1 diabetes and kidney disease. Its preclinical stage product candidate is GKT771, a NOX1 inhibitor targeting various pathways in angiogenesis, pain processing, and inflammation. The company’s research programs include brain penetrant NOX inhibitors to address CNS disorders; NOX inhibitors to address hearing loss; and NOX inhibitors in oncology. Genkyotex S.A. has a partnership with Serum Institute of India Ltd for the development of prophylactic vaccines. The company was founded in 2006 and is based in Saint Julien En Genevois, France.</v>
      </c>
    </row>
    <row r="14" spans="2:4" ht="76.5">
      <c r="B14" s="1056" t="str">
        <f>'Comp.1'!$B17</f>
        <v>Novus Therapeutics, Inc.</v>
      </c>
      <c r="C14" s="1058"/>
      <c r="D14" s="1814" t="str">
        <f>'Capital IQ Sheet-GPC'!AP18</f>
        <v>Novus Therapeutics, Inc., a pharmaceutical company, focuses on developing products for patients with disorders of ear, nose, and throat. Its lead product is (OP-02), a surfactant-based combination drug product for patients at risk for, or with, otitis media (OM) (middle ear inflammation with or without infection). The company also has a foam-based drug delivery technology (OP-01) that could be used to deliver drugs into the ear, nose, and sinus cavities. Novus Therapeutics, Inc. is headquartered in Irvine, California.</v>
      </c>
    </row>
    <row r="15" spans="2:4" ht="89.25">
      <c r="B15" s="1056" t="str">
        <f>'Comp.1'!$B18</f>
        <v>Sensorion SA</v>
      </c>
      <c r="C15" s="1058"/>
      <c r="D15" s="1814" t="str">
        <f>'Capital IQ Sheet-GPC'!AP19</f>
        <v>Sensorion SA, a biopharmaceutical company, develops therapies for the treatment of inner ear disorders. The company develops SENS-111, which is in phase II clinical trials to treat acute unilateral vestibulopathy; and SENS-401 that is in phase I clinical trials to treat sudden sensorineural hearing loss. It also develops SENS-300, which is under the pre-clinical stage for use in inner ear toxicity treatment. The company has a strategic collaboration with Cochlear Limited to study combination therapies for cochlear implant patients. Sensorion SA was founded in 2009 and is headquartered in Montpellier, France.</v>
      </c>
    </row>
    <row r="16" spans="2:4" ht="165.75">
      <c r="B16" s="1056" t="str">
        <f>'Comp.1'!$B19</f>
        <v>Otonomy, Inc.</v>
      </c>
      <c r="C16" s="1058"/>
      <c r="D16" s="1814" t="str">
        <f>'Capital IQ Sheet-GPC'!AP20</f>
        <v>Otonomy, Inc., a biopharmaceutical company, engages in the development and commercialization of therapeutics for otology in the United States. It offers OTIPRIO, a ciprofloxacin otic suspension for use during tympanostomy tube placement surgery in pediatric patients. The company also develops OTIVIDEX, a sustained-exposure formulation of the steroid dexamethasone in Phase III clinical trial for the treatment of Ménière’s disease; and OTO- 313, a sustained-exposure formulation of N-methyl-D-aspartate receptor antagonist gacyclidine, which has completed a Phase 1 clinical safety trial for the treatment of tinnitus. In addition, it develops OTO-413, a sustained exposure formulation of brain-derived neurotrophic factor for the repair of cochlear synaptopathy and the treatment of speech-in-noise hearing difficulties; OTO-5XX, an otoprotectant for the prevention of cisplatin-induced hearing loss; and OTO-6XX induces hair cell regeneration for the treatment of severe hearing loss. The company has license agreements with University of California and DURECT Corporation. Otonomy, Inc. was founded in 2008 and is headquartered in San Diego, California.</v>
      </c>
    </row>
    <row r="17" spans="2:4" ht="153">
      <c r="B17" s="1056" t="str">
        <f>'Comp.1'!$B20</f>
        <v>Auris Medical Holding AG</v>
      </c>
      <c r="C17" s="1058"/>
      <c r="D17" s="1814" t="str">
        <f>'Capital IQ Sheet-GPC'!AP21</f>
        <v>Auris Medical Holding AG, a clinical-stage biopharmaceutical company, focuses on the development of novel products for the treatment of inner ear disorders. Its product candidates include AM-101, which is in phase III clinical development for the treatment of acute inner ear tinnitus; and AM-111 that is in phase III clinical development for the treatment of acute inner ear hearing loss. The company is also developing AM-125 for the treatment of vestibular disorders; and other pre-clinical stage products comprising AM-102 and AM-123. It has a collaboration and license agreement with Xigen S.A. to develop, manufacture, and commercialize pharmaceutical products, as well as drug delivery devices and formulations for local administration of therapeutic substances to the inner ear for the treatment of ear disorders. The company was formerly known as Auris Medical AG and changed its name to Auris Medical Holding AG in April 2014. Auris Medical Holding AG was founded in 1998 and is headquartered in Zug, Switzerland.</v>
      </c>
    </row>
    <row r="18" spans="2:4" ht="12" hidden="1" customHeight="1" outlineLevel="1">
      <c r="B18" s="1056"/>
      <c r="C18" s="1058"/>
      <c r="D18" s="1056"/>
    </row>
    <row r="19" spans="2:4" ht="12" hidden="1" customHeight="1" outlineLevel="1">
      <c r="B19" s="1056"/>
      <c r="C19" s="1058"/>
      <c r="D19" s="1056"/>
    </row>
    <row r="20" spans="2:4" ht="12" hidden="1" customHeight="1" outlineLevel="1">
      <c r="B20" s="1056"/>
      <c r="C20" s="1058"/>
      <c r="D20" s="1056"/>
    </row>
    <row r="21" spans="2:4" ht="12" hidden="1" customHeight="1" outlineLevel="1">
      <c r="B21" s="1056"/>
      <c r="C21" s="1058"/>
      <c r="D21" s="1056"/>
    </row>
    <row r="22" spans="2:4" ht="12" hidden="1" customHeight="1" outlineLevel="1">
      <c r="B22" s="1056"/>
      <c r="C22" s="1057"/>
      <c r="D22" s="1056"/>
    </row>
    <row r="23" spans="2:4" ht="12" hidden="1" customHeight="1" outlineLevel="1">
      <c r="B23" s="1056"/>
      <c r="C23" s="1057"/>
      <c r="D23" s="1056"/>
    </row>
    <row r="24" spans="2:4" ht="12" hidden="1" customHeight="1" outlineLevel="1">
      <c r="B24" s="1056"/>
      <c r="C24" s="1057"/>
      <c r="D24" s="1056"/>
    </row>
    <row r="25" spans="2:4" ht="12" hidden="1" customHeight="1" outlineLevel="1">
      <c r="B25" s="1056"/>
      <c r="C25" s="1057"/>
      <c r="D25" s="1056"/>
    </row>
    <row r="26" spans="2:4" ht="12" hidden="1" customHeight="1" outlineLevel="1">
      <c r="B26" s="1056"/>
      <c r="C26" s="1057"/>
      <c r="D26" s="1056"/>
    </row>
    <row r="27" spans="2:4" ht="12" hidden="1" customHeight="1" outlineLevel="1">
      <c r="B27" s="1056"/>
      <c r="C27" s="1057"/>
      <c r="D27" s="1056"/>
    </row>
    <row r="28" spans="2:4" ht="12" hidden="1" customHeight="1" outlineLevel="1">
      <c r="B28" s="1056"/>
      <c r="C28" s="1057"/>
      <c r="D28" s="1056"/>
    </row>
    <row r="29" spans="2:4" ht="12" hidden="1" customHeight="1" outlineLevel="1">
      <c r="B29" s="1056"/>
      <c r="C29" s="1057"/>
      <c r="D29" s="1056"/>
    </row>
    <row r="30" spans="2:4" ht="12" hidden="1" customHeight="1" outlineLevel="1">
      <c r="B30" s="1056"/>
      <c r="C30" s="1057"/>
      <c r="D30" s="1056"/>
    </row>
    <row r="31" spans="2:4" ht="12" hidden="1" customHeight="1" outlineLevel="1">
      <c r="B31" s="1056"/>
      <c r="C31" s="1057"/>
      <c r="D31" s="1056"/>
    </row>
    <row r="32" spans="2:4" ht="12" hidden="1" customHeight="1" outlineLevel="1">
      <c r="B32" s="1056"/>
      <c r="C32" s="1057"/>
      <c r="D32" s="1056"/>
    </row>
    <row r="33" spans="2:4" ht="12" hidden="1" customHeight="1" outlineLevel="1">
      <c r="B33" s="1056"/>
      <c r="C33" s="1057"/>
      <c r="D33" s="1056"/>
    </row>
    <row r="34" spans="2:4" ht="12" hidden="1" customHeight="1" outlineLevel="1">
      <c r="B34" s="1056"/>
      <c r="C34" s="1057"/>
      <c r="D34" s="1056"/>
    </row>
    <row r="35" spans="2:4" ht="12" hidden="1" customHeight="1" outlineLevel="1">
      <c r="B35" s="1056"/>
      <c r="C35" s="1057"/>
      <c r="D35" s="1056"/>
    </row>
    <row r="36" spans="2:4" ht="12" hidden="1" customHeight="1" outlineLevel="1">
      <c r="B36" s="1056"/>
      <c r="C36" s="1057"/>
      <c r="D36" s="1056"/>
    </row>
    <row r="37" spans="2:4" ht="12" hidden="1" customHeight="1" outlineLevel="1">
      <c r="B37" s="1056"/>
      <c r="C37" s="1057"/>
      <c r="D37" s="1056"/>
    </row>
    <row r="38" spans="2:4" ht="12" hidden="1" customHeight="1" outlineLevel="1">
      <c r="B38" s="1056"/>
      <c r="C38" s="1057"/>
      <c r="D38" s="1056"/>
    </row>
    <row r="39" spans="2:4" ht="14.85" customHeight="1" collapsed="1">
      <c r="D39" s="1059"/>
    </row>
    <row r="40" spans="2:4" ht="14.85" customHeight="1">
      <c r="B40" s="272" t="s">
        <v>116</v>
      </c>
      <c r="D40" s="1059"/>
    </row>
    <row r="41" spans="2:4" ht="14.85" customHeight="1">
      <c r="D41" s="1059"/>
    </row>
    <row r="42" spans="2:4" ht="14.85" customHeight="1"/>
    <row r="43" spans="2:4" ht="14.85" customHeight="1"/>
    <row r="44" spans="2:4" ht="14.85" customHeight="1"/>
    <row r="45" spans="2:4" ht="14.85" customHeight="1"/>
    <row r="46" spans="2:4" ht="14.85" customHeight="1"/>
    <row r="47" spans="2:4" ht="14.85" customHeight="1"/>
    <row r="48" spans="2:4"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D4">
    <cfRule type="cellIs" dxfId="323" priority="2" stopIfTrue="1" operator="equal">
      <formula>"input"</formula>
    </cfRule>
  </conditionalFormatting>
  <conditionalFormatting sqref="B4">
    <cfRule type="cellIs" dxfId="322" priority="1" stopIfTrue="1" operator="equal">
      <formula>"input"</formula>
    </cfRule>
  </conditionalFormatting>
  <pageMargins left="0.5" right="0.5" top="0.5" bottom="0.5" header="0.5" footer="0.5"/>
  <pageSetup fitToWidth="0" fitToHeight="0" orientation="landscape" r:id="rId1"/>
  <rowBreaks count="2" manualBreakCount="2">
    <brk id="10" max="4" man="1"/>
    <brk id="13" max="4" man="1"/>
  </rowBreaks>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5">
    <tabColor theme="3" tint="-0.499984740745262"/>
    <pageSetUpPr fitToPage="1"/>
  </sheetPr>
  <dimension ref="A6:G30"/>
  <sheetViews>
    <sheetView showGridLines="0" tabSelected="1" view="pageBreakPreview" zoomScale="70" zoomScaleNormal="100" zoomScaleSheetLayoutView="70" workbookViewId="0">
      <selection activeCell="H11" sqref="H11"/>
    </sheetView>
  </sheetViews>
  <sheetFormatPr defaultColWidth="9.33203125" defaultRowHeight="12.75"/>
  <cols>
    <col min="1" max="1" width="4.5" style="231" customWidth="1"/>
    <col min="2" max="2" width="3.83203125" style="231" customWidth="1"/>
    <col min="3" max="3" width="15.83203125" style="231" customWidth="1"/>
    <col min="4" max="4" width="104.5" style="278" customWidth="1"/>
    <col min="5" max="5" width="15.83203125" style="231" customWidth="1"/>
    <col min="6" max="6" width="3.83203125" style="231" customWidth="1"/>
    <col min="7" max="7" width="4.5" style="231" customWidth="1"/>
    <col min="8" max="8" width="9.33203125" style="231"/>
    <col min="9" max="9" width="16.33203125" style="231" bestFit="1" customWidth="1"/>
    <col min="10" max="10" width="19" style="231" bestFit="1" customWidth="1"/>
    <col min="11" max="16384" width="9.33203125" style="231"/>
  </cols>
  <sheetData>
    <row r="6" spans="1:7">
      <c r="C6" s="279"/>
      <c r="D6" s="280"/>
      <c r="E6" s="279"/>
      <c r="F6" s="279"/>
    </row>
    <row r="7" spans="1:7" ht="13.5" thickBot="1">
      <c r="C7" s="279"/>
      <c r="D7" s="280"/>
      <c r="E7" s="279"/>
      <c r="F7" s="279"/>
    </row>
    <row r="8" spans="1:7" s="155" customFormat="1" ht="15" thickTop="1">
      <c r="A8" s="231"/>
      <c r="B8" s="157"/>
      <c r="C8" s="967"/>
      <c r="D8" s="1639"/>
      <c r="E8" s="967"/>
      <c r="F8" s="967"/>
      <c r="G8" s="231"/>
    </row>
    <row r="9" spans="1:7" s="163" customFormat="1" ht="39.75">
      <c r="A9" s="231"/>
      <c r="B9" s="160"/>
      <c r="C9" s="969"/>
      <c r="D9" s="189" t="s">
        <v>469</v>
      </c>
      <c r="E9" s="969"/>
      <c r="F9" s="969"/>
      <c r="G9" s="231"/>
    </row>
    <row r="10" spans="1:7" s="155" customFormat="1" ht="15" thickBot="1">
      <c r="A10" s="231"/>
      <c r="B10" s="170"/>
      <c r="C10" s="971"/>
      <c r="D10" s="1643"/>
      <c r="E10" s="971"/>
      <c r="F10" s="971"/>
      <c r="G10" s="231"/>
    </row>
    <row r="11" spans="1:7" s="155" customFormat="1" ht="15" thickTop="1">
      <c r="A11" s="231"/>
      <c r="C11" s="231"/>
      <c r="D11" s="278"/>
      <c r="E11" s="231"/>
      <c r="F11" s="231"/>
      <c r="G11" s="231"/>
    </row>
    <row r="12" spans="1:7" s="155" customFormat="1" ht="14.25">
      <c r="A12" s="231"/>
      <c r="C12" s="231"/>
      <c r="D12" s="278"/>
      <c r="E12" s="231"/>
      <c r="F12" s="231"/>
      <c r="G12" s="231"/>
    </row>
    <row r="13" spans="1:7" s="155" customFormat="1" ht="18">
      <c r="A13" s="231"/>
      <c r="C13" s="231"/>
      <c r="D13" s="174"/>
      <c r="E13" s="231"/>
      <c r="F13" s="231"/>
      <c r="G13" s="231"/>
    </row>
    <row r="14" spans="1:7" s="155" customFormat="1" ht="18">
      <c r="A14" s="231"/>
      <c r="C14" s="231"/>
      <c r="D14" s="175"/>
      <c r="E14" s="231"/>
      <c r="F14" s="231"/>
      <c r="G14" s="231"/>
    </row>
    <row r="15" spans="1:7" s="155" customFormat="1" ht="14.25">
      <c r="A15" s="231"/>
      <c r="C15" s="231"/>
      <c r="D15" s="278"/>
      <c r="E15" s="231"/>
      <c r="F15" s="231"/>
      <c r="G15" s="231"/>
    </row>
    <row r="16" spans="1:7" s="155" customFormat="1" ht="14.25">
      <c r="A16" s="231"/>
      <c r="C16" s="231"/>
      <c r="D16" s="278"/>
      <c r="E16" s="231"/>
      <c r="F16" s="231"/>
      <c r="G16" s="231"/>
    </row>
    <row r="17" spans="1:7" s="155" customFormat="1" ht="14.25">
      <c r="A17" s="231"/>
      <c r="C17" s="231"/>
      <c r="D17" s="278"/>
      <c r="E17" s="231"/>
      <c r="F17" s="231"/>
      <c r="G17" s="231"/>
    </row>
    <row r="18" spans="1:7" s="155" customFormat="1" ht="14.25">
      <c r="A18" s="231"/>
      <c r="C18" s="231"/>
      <c r="D18" s="278"/>
      <c r="E18" s="231"/>
      <c r="F18" s="231"/>
      <c r="G18" s="231"/>
    </row>
    <row r="19" spans="1:7" s="155" customFormat="1" ht="14.25">
      <c r="A19" s="231"/>
      <c r="C19" s="231"/>
      <c r="D19" s="278"/>
      <c r="E19" s="231"/>
      <c r="F19" s="231"/>
      <c r="G19" s="231"/>
    </row>
    <row r="20" spans="1:7" s="155" customFormat="1" ht="14.25">
      <c r="A20" s="231"/>
      <c r="C20" s="231"/>
      <c r="D20" s="278"/>
      <c r="E20" s="231"/>
      <c r="F20" s="231"/>
      <c r="G20" s="231"/>
    </row>
    <row r="21" spans="1:7" s="155" customFormat="1" ht="14.25">
      <c r="A21" s="231"/>
      <c r="C21" s="231"/>
      <c r="D21" s="278"/>
      <c r="E21" s="231"/>
      <c r="F21" s="231"/>
      <c r="G21" s="231"/>
    </row>
    <row r="22" spans="1:7" s="155" customFormat="1" ht="14.25">
      <c r="A22" s="231"/>
      <c r="C22" s="231"/>
      <c r="D22" s="278"/>
      <c r="E22" s="231"/>
      <c r="F22" s="231"/>
      <c r="G22" s="231"/>
    </row>
    <row r="23" spans="1:7" s="155" customFormat="1" ht="14.25">
      <c r="A23" s="231"/>
      <c r="C23" s="231"/>
      <c r="D23" s="278"/>
      <c r="E23" s="231"/>
      <c r="F23" s="231"/>
      <c r="G23" s="231"/>
    </row>
    <row r="24" spans="1:7" s="155" customFormat="1" ht="14.25">
      <c r="A24" s="231"/>
      <c r="C24" s="231"/>
      <c r="D24" s="278"/>
      <c r="E24" s="231"/>
      <c r="F24" s="231"/>
      <c r="G24" s="231"/>
    </row>
    <row r="25" spans="1:7" s="155" customFormat="1" ht="14.25">
      <c r="A25" s="231"/>
      <c r="C25" s="231"/>
      <c r="D25" s="278"/>
      <c r="E25" s="231"/>
      <c r="F25" s="231"/>
      <c r="G25" s="231"/>
    </row>
    <row r="26" spans="1:7" s="155" customFormat="1" ht="14.25">
      <c r="A26" s="231"/>
      <c r="C26" s="231"/>
      <c r="D26" s="278"/>
      <c r="E26" s="231"/>
      <c r="F26" s="231"/>
      <c r="G26" s="231"/>
    </row>
    <row r="27" spans="1:7" s="155" customFormat="1" ht="23.25">
      <c r="A27" s="231"/>
      <c r="C27" s="231"/>
      <c r="D27" s="176"/>
      <c r="E27" s="231"/>
      <c r="F27" s="231"/>
      <c r="G27" s="231"/>
    </row>
    <row r="28" spans="1:7" s="155" customFormat="1" ht="14.25">
      <c r="A28" s="231"/>
      <c r="C28" s="231"/>
      <c r="D28" s="173"/>
      <c r="E28" s="231"/>
      <c r="F28" s="231"/>
      <c r="G28" s="231"/>
    </row>
    <row r="29" spans="1:7" s="155" customFormat="1" ht="18">
      <c r="A29" s="231"/>
      <c r="C29" s="231"/>
      <c r="D29" s="177"/>
      <c r="E29" s="231"/>
      <c r="F29" s="231"/>
      <c r="G29" s="231"/>
    </row>
    <row r="30" spans="1:7" s="155" customFormat="1" ht="36">
      <c r="A30" s="231"/>
      <c r="C30" s="231"/>
      <c r="D30" s="178" t="s">
        <v>458</v>
      </c>
      <c r="E30" s="231"/>
      <c r="F30" s="231"/>
      <c r="G30" s="231"/>
    </row>
  </sheetData>
  <pageMargins left="0.5" right="0.5" top="0.5" bottom="0.5" header="0.5" footer="0.5"/>
  <pageSetup orientation="landscape"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6">
    <pageSetUpPr fitToPage="1"/>
  </sheetPr>
  <dimension ref="A1:Q741"/>
  <sheetViews>
    <sheetView showGridLines="0" tabSelected="1" view="pageBreakPreview" topLeftCell="A4" zoomScale="80" zoomScaleNormal="100" zoomScaleSheetLayoutView="80" workbookViewId="0">
      <selection activeCell="H11" sqref="H11"/>
    </sheetView>
  </sheetViews>
  <sheetFormatPr defaultRowHeight="12.75" outlineLevelRow="1" outlineLevelCol="1"/>
  <cols>
    <col min="1" max="1" width="4.5" style="179" customWidth="1"/>
    <col min="2" max="2" width="45" style="179" customWidth="1"/>
    <col min="3" max="3" width="4.1640625" style="179" customWidth="1"/>
    <col min="4" max="6" width="20.83203125" style="179" customWidth="1"/>
    <col min="7" max="10" width="15.83203125" style="179" hidden="1" customWidth="1" outlineLevel="1"/>
    <col min="11" max="11" width="20.83203125" style="179" customWidth="1" collapsed="1"/>
    <col min="12" max="12" width="2.83203125" style="179" customWidth="1"/>
    <col min="13" max="13" width="20.83203125" style="179" customWidth="1"/>
    <col min="14" max="14" width="4.5" style="179" customWidth="1"/>
    <col min="15" max="15" width="9.33203125" style="179"/>
    <col min="16" max="17" width="20.83203125" style="179" customWidth="1"/>
    <col min="18" max="16384" width="9.33203125" style="179"/>
  </cols>
  <sheetData>
    <row r="1" spans="2:13" ht="10.7" customHeight="1" thickBot="1"/>
    <row r="2" spans="2:13" ht="16.5" customHeight="1" thickTop="1">
      <c r="B2" s="187" t="str">
        <f>'MASTER PubCo Inputs'!$C$5</f>
        <v>Decibel Therapeutics, Inc.</v>
      </c>
      <c r="C2" s="187"/>
      <c r="D2" s="187"/>
      <c r="E2" s="187"/>
      <c r="F2" s="187"/>
      <c r="G2" s="187"/>
      <c r="H2" s="187"/>
      <c r="I2" s="187"/>
      <c r="J2" s="187"/>
      <c r="K2" s="187"/>
      <c r="L2" s="187"/>
      <c r="M2" s="187"/>
    </row>
    <row r="3" spans="2:13" ht="15.75" customHeight="1">
      <c r="B3" s="188" t="str">
        <f>VLOOKUP(B4,Outline!$E$8:$G$75,COLUMNS(Outline!$E$8:$G$8),FALSE)</f>
        <v>Exhibit E.1</v>
      </c>
      <c r="C3" s="188"/>
      <c r="D3" s="188"/>
      <c r="E3" s="188"/>
      <c r="F3" s="188"/>
      <c r="G3" s="188"/>
      <c r="H3" s="188"/>
      <c r="I3" s="188"/>
      <c r="J3" s="188"/>
      <c r="K3" s="188"/>
      <c r="L3" s="188"/>
      <c r="M3" s="188"/>
    </row>
    <row r="4" spans="2:13" ht="16.5" customHeight="1" thickBot="1">
      <c r="B4" s="726" t="s">
        <v>694</v>
      </c>
      <c r="C4" s="726"/>
      <c r="D4" s="726"/>
      <c r="E4" s="726"/>
      <c r="F4" s="726"/>
      <c r="G4" s="726"/>
      <c r="H4" s="726"/>
      <c r="I4" s="726"/>
      <c r="J4" s="726"/>
      <c r="K4" s="726"/>
      <c r="L4" s="727"/>
      <c r="M4" s="727" t="str">
        <f>+'MASTER PubCo Inputs'!$C$20</f>
        <v>(in thousands of USD and shares, except price per share)</v>
      </c>
    </row>
    <row r="5" spans="2:13" ht="14.85" customHeight="1" thickTop="1"/>
    <row r="6" spans="2:13" ht="14.85" customHeight="1"/>
    <row r="7" spans="2:13" s="200" customFormat="1" ht="14.85" customHeight="1">
      <c r="B7" s="1107" t="s">
        <v>3227</v>
      </c>
      <c r="D7" s="1108" t="s">
        <v>495</v>
      </c>
      <c r="E7" s="365" t="s">
        <v>501</v>
      </c>
      <c r="F7" s="365" t="s">
        <v>505</v>
      </c>
      <c r="G7" s="365"/>
      <c r="H7" s="365"/>
      <c r="I7" s="365"/>
      <c r="J7" s="365"/>
      <c r="K7" s="399" t="s">
        <v>246</v>
      </c>
      <c r="L7" s="265"/>
      <c r="M7" s="1109" t="s">
        <v>163</v>
      </c>
    </row>
    <row r="8" spans="2:13" ht="14.85" customHeight="1"/>
    <row r="9" spans="2:13" ht="14.85" customHeight="1">
      <c r="B9" s="179" t="s">
        <v>3552</v>
      </c>
      <c r="D9" s="2048">
        <f>SUM('Series C CT - All entities.0518'!F44)/1000</f>
        <v>57758.733999999997</v>
      </c>
      <c r="E9" s="2048">
        <f>'Series C CT - All entities.0518'!H44/1000</f>
        <v>12500</v>
      </c>
      <c r="F9" s="2048">
        <f>'Series C CT - All entities.0518'!N44/1000</f>
        <v>27528.580999999998</v>
      </c>
      <c r="G9" s="2048"/>
      <c r="H9" s="2048"/>
      <c r="I9" s="2048"/>
      <c r="J9" s="2048"/>
      <c r="K9" s="2048">
        <f>SUM('Series C CT - All entities.0518'!D44)/1000</f>
        <v>27759.431</v>
      </c>
      <c r="M9" s="255">
        <f>SUM(D9:K9)</f>
        <v>125546.746</v>
      </c>
    </row>
    <row r="10" spans="2:13" ht="14.85" customHeight="1">
      <c r="B10" s="264"/>
      <c r="C10" s="264"/>
      <c r="D10" s="264"/>
      <c r="E10" s="264"/>
      <c r="F10" s="264"/>
      <c r="G10" s="264"/>
      <c r="H10" s="264"/>
      <c r="I10" s="264"/>
      <c r="J10" s="264"/>
      <c r="K10" s="264"/>
      <c r="M10" s="264"/>
    </row>
    <row r="11" spans="2:13" ht="14.85" customHeight="1">
      <c r="B11" s="548" t="s">
        <v>163</v>
      </c>
      <c r="D11" s="309">
        <f>SUM(D9:D9)</f>
        <v>57758.733999999997</v>
      </c>
      <c r="E11" s="309">
        <f>SUM(E9:E9)</f>
        <v>12500</v>
      </c>
      <c r="F11" s="309">
        <f>SUM(F9:F9)</f>
        <v>27528.580999999998</v>
      </c>
      <c r="G11" s="309"/>
      <c r="H11" s="309"/>
      <c r="I11" s="309"/>
      <c r="J11" s="309"/>
      <c r="K11" s="309">
        <f>SUM(K9:K9)</f>
        <v>27759.431</v>
      </c>
      <c r="M11" s="309">
        <f>SUM(M9:M9)</f>
        <v>125546.746</v>
      </c>
    </row>
    <row r="12" spans="2:13" ht="14.85" customHeight="1"/>
    <row r="13" spans="2:13" ht="14.85" hidden="1" customHeight="1" outlineLevel="1">
      <c r="B13" s="314" t="s">
        <v>369</v>
      </c>
      <c r="D13" s="1110">
        <v>0</v>
      </c>
      <c r="E13" s="1110">
        <v>0</v>
      </c>
      <c r="F13" s="1110">
        <v>0</v>
      </c>
      <c r="G13" s="1110">
        <v>0</v>
      </c>
      <c r="H13" s="1110">
        <v>0</v>
      </c>
      <c r="I13" s="1110">
        <v>0</v>
      </c>
      <c r="J13" s="1110">
        <v>0</v>
      </c>
      <c r="K13" s="1110">
        <v>0</v>
      </c>
      <c r="M13" s="255">
        <f>SUM(D13:K13)</f>
        <v>0</v>
      </c>
    </row>
    <row r="14" spans="2:13" ht="14.85" hidden="1" customHeight="1" outlineLevel="1">
      <c r="B14" s="252" t="s">
        <v>370</v>
      </c>
      <c r="D14" s="1110">
        <v>0</v>
      </c>
      <c r="E14" s="1110">
        <v>0</v>
      </c>
      <c r="F14" s="1110">
        <v>0</v>
      </c>
      <c r="G14" s="1110">
        <v>0</v>
      </c>
      <c r="H14" s="1110">
        <v>0</v>
      </c>
      <c r="I14" s="1110">
        <v>0</v>
      </c>
      <c r="J14" s="1110">
        <v>0</v>
      </c>
      <c r="K14" s="1110">
        <v>0</v>
      </c>
      <c r="M14" s="255">
        <f>K14</f>
        <v>0</v>
      </c>
    </row>
    <row r="15" spans="2:13" ht="14.85" customHeight="1" collapsed="1">
      <c r="B15" s="252" t="s">
        <v>371</v>
      </c>
      <c r="D15" s="1110">
        <v>0</v>
      </c>
      <c r="E15" s="1110">
        <v>0</v>
      </c>
      <c r="F15" s="1110">
        <v>0</v>
      </c>
      <c r="K15" s="285">
        <f>SUM('Series C CT - All entities.0518'!V42)/1000</f>
        <v>2454.5419999999999</v>
      </c>
      <c r="M15" s="255">
        <f>K15</f>
        <v>2454.5419999999999</v>
      </c>
    </row>
    <row r="16" spans="2:13" ht="14.85" customHeight="1">
      <c r="B16" s="264"/>
      <c r="C16" s="264"/>
      <c r="D16" s="264"/>
      <c r="E16" s="264"/>
      <c r="F16" s="264"/>
      <c r="G16" s="264"/>
      <c r="H16" s="264"/>
      <c r="I16" s="264"/>
      <c r="J16" s="264"/>
      <c r="K16" s="264"/>
      <c r="M16" s="264"/>
    </row>
    <row r="17" spans="1:17" ht="14.85" customHeight="1">
      <c r="B17" s="548" t="s">
        <v>372</v>
      </c>
      <c r="D17" s="309">
        <f>SUM(D11:D15)</f>
        <v>57758.733999999997</v>
      </c>
      <c r="E17" s="309">
        <f>SUM(E11:E15)</f>
        <v>12500</v>
      </c>
      <c r="F17" s="309">
        <f>SUM(F11:F15)</f>
        <v>27528.580999999998</v>
      </c>
      <c r="G17" s="309"/>
      <c r="H17" s="309"/>
      <c r="I17" s="309"/>
      <c r="J17" s="309"/>
      <c r="K17" s="309">
        <f>SUM(K11:K15)</f>
        <v>30213.973000000002</v>
      </c>
      <c r="M17" s="309">
        <f>SUM(M11:M15)</f>
        <v>128001.288</v>
      </c>
    </row>
    <row r="18" spans="1:17" ht="14.85" customHeight="1"/>
    <row r="19" spans="1:17" ht="14.85" customHeight="1">
      <c r="B19" s="318" t="s">
        <v>373</v>
      </c>
      <c r="D19" s="1111">
        <v>1</v>
      </c>
      <c r="E19" s="1111">
        <v>1</v>
      </c>
      <c r="F19" s="1111">
        <v>1</v>
      </c>
      <c r="G19" s="1111"/>
      <c r="H19" s="1111"/>
      <c r="I19" s="1111"/>
      <c r="J19" s="1111"/>
      <c r="K19" s="1111">
        <v>1</v>
      </c>
    </row>
    <row r="20" spans="1:17" ht="14.85" customHeight="1">
      <c r="P20" s="1811" t="s">
        <v>3610</v>
      </c>
      <c r="Q20" s="1813">
        <f>'Econ Rights'!J13*M21</f>
        <v>256002.576</v>
      </c>
    </row>
    <row r="21" spans="1:17" ht="14.85" customHeight="1">
      <c r="B21" s="1112" t="s">
        <v>374</v>
      </c>
      <c r="C21" s="1113"/>
      <c r="D21" s="1114">
        <f t="shared" ref="D21:K21" si="0">D17*D19</f>
        <v>57758.733999999997</v>
      </c>
      <c r="E21" s="1114">
        <f t="shared" si="0"/>
        <v>12500</v>
      </c>
      <c r="F21" s="1114">
        <f t="shared" si="0"/>
        <v>27528.580999999998</v>
      </c>
      <c r="G21" s="1114"/>
      <c r="H21" s="1114"/>
      <c r="I21" s="1114"/>
      <c r="J21" s="1114"/>
      <c r="K21" s="1115">
        <f t="shared" si="0"/>
        <v>30213.973000000002</v>
      </c>
      <c r="M21" s="1116">
        <f>SUM(D21:K21)</f>
        <v>128001.288</v>
      </c>
      <c r="P21" s="182"/>
      <c r="Q21" s="182"/>
    </row>
    <row r="22" spans="1:17" ht="14.85" customHeight="1">
      <c r="P22" s="1811" t="str">
        <f>IF('Series C CT - All entities.0518'!X44&lt;&gt;M21*1000,"Check","")</f>
        <v/>
      </c>
      <c r="Q22" s="1812" t="s">
        <v>3611</v>
      </c>
    </row>
    <row r="23" spans="1:17" ht="14.85" customHeight="1">
      <c r="B23" s="1117" t="s">
        <v>3551</v>
      </c>
      <c r="C23" s="1118"/>
      <c r="D23" s="1118"/>
      <c r="E23" s="1119"/>
      <c r="L23" s="602"/>
      <c r="M23" s="255"/>
    </row>
    <row r="24" spans="1:17" ht="14.85" customHeight="1">
      <c r="B24" s="1120"/>
      <c r="D24" s="1121" t="s">
        <v>880</v>
      </c>
      <c r="E24" s="1121" t="s">
        <v>82</v>
      </c>
      <c r="L24" s="602"/>
    </row>
    <row r="25" spans="1:17" ht="14.85" customHeight="1">
      <c r="B25" s="1122" t="s">
        <v>531</v>
      </c>
      <c r="C25" s="512" t="s">
        <v>260</v>
      </c>
      <c r="D25" s="1808">
        <f>K15</f>
        <v>2454.5419999999999</v>
      </c>
      <c r="E25" s="1123">
        <f>Val_Summary!M8</f>
        <v>0.49</v>
      </c>
      <c r="L25" s="602"/>
    </row>
    <row r="26" spans="1:17" ht="14.85" customHeight="1">
      <c r="B26" s="1124"/>
      <c r="C26" s="264"/>
      <c r="D26" s="1125"/>
      <c r="E26" s="569"/>
      <c r="L26" s="602"/>
    </row>
    <row r="27" spans="1:17" ht="14.85" customHeight="1">
      <c r="B27" s="1126" t="s">
        <v>163</v>
      </c>
      <c r="D27" s="309">
        <f>SUM(D25:D25)</f>
        <v>2454.5419999999999</v>
      </c>
      <c r="E27" s="203"/>
      <c r="F27" s="203"/>
      <c r="G27" s="203"/>
      <c r="L27" s="602"/>
    </row>
    <row r="28" spans="1:17" ht="14.85" customHeight="1">
      <c r="D28" s="203"/>
      <c r="E28" s="203"/>
      <c r="F28" s="203"/>
      <c r="G28" s="203"/>
      <c r="L28" s="602"/>
    </row>
    <row r="29" spans="1:17" ht="14.85" customHeight="1">
      <c r="B29" s="272" t="s">
        <v>86</v>
      </c>
    </row>
    <row r="30" spans="1:17" ht="14.85" customHeight="1">
      <c r="A30" s="273" t="s">
        <v>261</v>
      </c>
      <c r="B30" s="889" t="s">
        <v>973</v>
      </c>
    </row>
    <row r="31" spans="1:17" ht="14.85" customHeight="1">
      <c r="A31" s="273" t="s">
        <v>260</v>
      </c>
      <c r="B31" s="889" t="s">
        <v>3841</v>
      </c>
    </row>
    <row r="32" spans="1:17" ht="14.85" customHeight="1">
      <c r="B32" s="1128" t="s">
        <v>3842</v>
      </c>
    </row>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sheetData>
  <conditionalFormatting sqref="B4:K4">
    <cfRule type="cellIs" dxfId="321" priority="7" stopIfTrue="1" operator="equal">
      <formula>"input"</formula>
    </cfRule>
  </conditionalFormatting>
  <conditionalFormatting sqref="L4">
    <cfRule type="cellIs" dxfId="320" priority="5" stopIfTrue="1" operator="equal">
      <formula>"input"</formula>
    </cfRule>
  </conditionalFormatting>
  <conditionalFormatting sqref="L4">
    <cfRule type="cellIs" dxfId="319" priority="6" stopIfTrue="1" operator="equal">
      <formula>"input"</formula>
    </cfRule>
  </conditionalFormatting>
  <conditionalFormatting sqref="M4">
    <cfRule type="cellIs" dxfId="318" priority="1" stopIfTrue="1" operator="equal">
      <formula>"input"</formula>
    </cfRule>
  </conditionalFormatting>
  <conditionalFormatting sqref="M4">
    <cfRule type="cellIs" dxfId="317" priority="2" stopIfTrue="1" operator="equal">
      <formula>"input"</formula>
    </cfRule>
  </conditionalFormatting>
  <pageMargins left="0.5" right="0.5" top="0.5" bottom="0.5" header="0.5" footer="0.5"/>
  <pageSetup scale="91" orientation="landscape" r:id="rId1"/>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0000000}">
          <x14:formula1>
            <xm:f>'List Data'!$B$3:$B$49</xm:f>
          </x14:formula1>
          <xm:sqref>D7:K7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7"/>
  <dimension ref="A1:X777"/>
  <sheetViews>
    <sheetView showGridLines="0" tabSelected="1" view="pageBreakPreview" zoomScale="80" zoomScaleNormal="145" zoomScaleSheetLayoutView="80" workbookViewId="0">
      <selection activeCell="H11" sqref="H11"/>
    </sheetView>
  </sheetViews>
  <sheetFormatPr defaultRowHeight="12.75" outlineLevelRow="1"/>
  <cols>
    <col min="1" max="1" width="4.5" style="179" customWidth="1"/>
    <col min="2" max="2" width="45.1640625" style="179" customWidth="1"/>
    <col min="3" max="3" width="4.33203125" style="179" customWidth="1"/>
    <col min="4" max="10" width="17.33203125" style="179" customWidth="1"/>
    <col min="11" max="11" width="4.5" style="179" customWidth="1"/>
    <col min="12" max="12" width="9.33203125" style="179"/>
    <col min="13" max="13" width="40.83203125" style="179" customWidth="1"/>
    <col min="14" max="14" width="16.6640625" style="179" customWidth="1"/>
    <col min="15" max="16384" width="9.33203125" style="179"/>
  </cols>
  <sheetData>
    <row r="1" spans="2:24" ht="10.7" customHeight="1" thickBot="1"/>
    <row r="2" spans="2:24" ht="16.5" customHeight="1" thickTop="1">
      <c r="B2" s="187" t="str">
        <f>'MASTER PubCo Inputs'!$C$5</f>
        <v>Decibel Therapeutics, Inc.</v>
      </c>
      <c r="C2" s="187"/>
      <c r="D2" s="187"/>
      <c r="E2" s="187"/>
      <c r="F2" s="187"/>
      <c r="G2" s="187"/>
      <c r="H2" s="187"/>
      <c r="I2" s="187"/>
      <c r="J2" s="187"/>
    </row>
    <row r="3" spans="2:24" ht="15.75" customHeight="1">
      <c r="B3" s="188" t="str">
        <f>VLOOKUP(B4,Outline!$E$8:$G$75,COLUMNS(Outline!$E$8:$G$8),FALSE)</f>
        <v>Exhibit E.2</v>
      </c>
      <c r="C3" s="188"/>
      <c r="D3" s="188"/>
      <c r="E3" s="188"/>
      <c r="F3" s="188"/>
      <c r="G3" s="188"/>
      <c r="H3" s="188"/>
      <c r="I3" s="188"/>
      <c r="J3" s="188"/>
    </row>
    <row r="4" spans="2:24" ht="16.5" customHeight="1" thickBot="1">
      <c r="B4" s="726" t="s">
        <v>695</v>
      </c>
      <c r="C4" s="726"/>
      <c r="D4" s="726"/>
      <c r="E4" s="726"/>
      <c r="F4" s="726"/>
      <c r="G4" s="726"/>
      <c r="H4" s="726"/>
      <c r="I4" s="726"/>
      <c r="J4" s="727" t="str">
        <f>+'MASTER PubCo Inputs'!$C$20</f>
        <v>(in thousands of USD and shares, except price per share)</v>
      </c>
    </row>
    <row r="5" spans="2:24" ht="14.85" customHeight="1" thickTop="1"/>
    <row r="6" spans="2:24" ht="14.85" customHeight="1"/>
    <row r="7" spans="2:24" s="200" customFormat="1" ht="14.85" customHeight="1">
      <c r="D7" s="1815" t="s">
        <v>495</v>
      </c>
      <c r="E7" s="1816"/>
      <c r="F7" s="1816"/>
      <c r="G7" s="1816"/>
      <c r="H7" s="1816"/>
      <c r="I7" s="2058" t="s">
        <v>501</v>
      </c>
      <c r="J7" s="2058" t="s">
        <v>505</v>
      </c>
    </row>
    <row r="8" spans="2:24" s="200" customFormat="1" ht="54.95" customHeight="1">
      <c r="D8" s="1804" t="s">
        <v>3371</v>
      </c>
      <c r="E8" s="1805" t="s">
        <v>3372</v>
      </c>
      <c r="F8" s="1805" t="s">
        <v>3373</v>
      </c>
      <c r="G8" s="1805" t="s">
        <v>3374</v>
      </c>
      <c r="H8" s="1805" t="s">
        <v>3533</v>
      </c>
      <c r="I8" s="2059" t="s">
        <v>501</v>
      </c>
      <c r="J8" s="2059" t="s">
        <v>505</v>
      </c>
    </row>
    <row r="9" spans="2:24" ht="14.85" customHeight="1">
      <c r="H9" s="512" t="s">
        <v>260</v>
      </c>
      <c r="M9" s="202" t="s">
        <v>3535</v>
      </c>
      <c r="N9" s="1466">
        <f>D41</f>
        <v>1.3710901641330651</v>
      </c>
    </row>
    <row r="10" spans="2:24" ht="14.85" customHeight="1">
      <c r="B10" s="281" t="s">
        <v>3228</v>
      </c>
      <c r="C10" s="629"/>
      <c r="D10" s="629"/>
      <c r="E10" s="629"/>
      <c r="F10" s="629"/>
      <c r="G10" s="629"/>
      <c r="H10" s="629"/>
      <c r="I10" s="629"/>
      <c r="J10" s="855"/>
      <c r="M10" s="202" t="s">
        <v>3536</v>
      </c>
      <c r="N10" s="1466">
        <f>I41</f>
        <v>2.5234113470312187</v>
      </c>
    </row>
    <row r="11" spans="2:24" ht="14.85" customHeight="1">
      <c r="B11" s="252" t="s">
        <v>381</v>
      </c>
      <c r="D11" s="446">
        <f t="array" ref="D11:I11">TRANSPOSE('Series A detail'!C30:C35)</f>
        <v>42290</v>
      </c>
      <c r="E11" s="446">
        <v>42493</v>
      </c>
      <c r="F11" s="446">
        <v>42709</v>
      </c>
      <c r="G11" s="446">
        <v>42741</v>
      </c>
      <c r="H11" s="446">
        <v>42870</v>
      </c>
      <c r="I11" s="446">
        <v>43055</v>
      </c>
      <c r="J11" s="446">
        <v>43245</v>
      </c>
      <c r="M11" s="202" t="s">
        <v>3537</v>
      </c>
      <c r="N11" s="1466">
        <f>J41</f>
        <v>2.4243168743380066</v>
      </c>
      <c r="V11" s="349"/>
      <c r="W11" s="349"/>
    </row>
    <row r="12" spans="2:24" ht="14.85" customHeight="1">
      <c r="B12" s="252" t="s">
        <v>392</v>
      </c>
      <c r="D12" s="2047">
        <f t="array" ref="D12:H12">TRANSPOSE('Series A detail'!E30:E34)/1000</f>
        <v>12286.027</v>
      </c>
      <c r="E12" s="2047">
        <v>8000</v>
      </c>
      <c r="F12" s="2047">
        <v>2000</v>
      </c>
      <c r="G12" s="2047">
        <v>10046.557000000001</v>
      </c>
      <c r="H12" s="2047">
        <v>25426.15</v>
      </c>
      <c r="I12" s="2047">
        <f>'Cap Table'!E9</f>
        <v>12500</v>
      </c>
      <c r="J12" s="2047">
        <f>'Cap Table'!F9</f>
        <v>27528.580999999998</v>
      </c>
    </row>
    <row r="13" spans="2:24" ht="14.85" customHeight="1">
      <c r="B13" s="252" t="s">
        <v>442</v>
      </c>
      <c r="D13" s="1130">
        <v>1</v>
      </c>
      <c r="E13" s="1130">
        <v>1</v>
      </c>
      <c r="F13" s="1130">
        <v>1</v>
      </c>
      <c r="G13" s="1130">
        <v>1</v>
      </c>
      <c r="H13" s="1130">
        <v>1</v>
      </c>
      <c r="I13" s="1130">
        <v>2</v>
      </c>
      <c r="J13" s="1130">
        <v>2</v>
      </c>
      <c r="M13" s="351">
        <f>SUM(D12:H12)</f>
        <v>57758.734000000004</v>
      </c>
      <c r="R13" s="349"/>
      <c r="S13" s="349"/>
      <c r="T13" s="349"/>
      <c r="U13" s="349"/>
      <c r="V13" s="349"/>
      <c r="W13" s="349"/>
      <c r="X13" s="349"/>
    </row>
    <row r="14" spans="2:24" ht="14.85" customHeight="1">
      <c r="B14" s="252" t="s">
        <v>541</v>
      </c>
      <c r="D14" s="1131">
        <f>D12*D13</f>
        <v>12286.027</v>
      </c>
      <c r="E14" s="1131">
        <f t="shared" ref="E14:J14" si="0">E12*E13</f>
        <v>8000</v>
      </c>
      <c r="F14" s="1131">
        <f t="shared" si="0"/>
        <v>2000</v>
      </c>
      <c r="G14" s="1131">
        <f t="shared" si="0"/>
        <v>10046.557000000001</v>
      </c>
      <c r="H14" s="1131">
        <f t="shared" si="0"/>
        <v>25426.15</v>
      </c>
      <c r="I14" s="1131">
        <f t="shared" si="0"/>
        <v>25000</v>
      </c>
      <c r="J14" s="1131">
        <f t="shared" si="0"/>
        <v>55057.161999999997</v>
      </c>
      <c r="N14" s="202" t="s">
        <v>3547</v>
      </c>
      <c r="R14" s="349"/>
      <c r="S14" s="349"/>
      <c r="T14" s="349"/>
      <c r="U14" s="349"/>
      <c r="V14" s="349"/>
      <c r="W14" s="349"/>
      <c r="X14" s="349"/>
    </row>
    <row r="15" spans="2:24" ht="14.85" customHeight="1">
      <c r="B15" s="252"/>
      <c r="D15" s="1132"/>
      <c r="E15" s="1132"/>
      <c r="F15" s="1132"/>
      <c r="G15" s="1132"/>
      <c r="H15" s="1132"/>
      <c r="I15" s="1132"/>
      <c r="J15" s="1132"/>
      <c r="M15" s="1515">
        <v>0</v>
      </c>
      <c r="N15" s="956" t="s">
        <v>3538</v>
      </c>
      <c r="O15" s="179" t="s">
        <v>3544</v>
      </c>
      <c r="R15" s="349"/>
      <c r="S15" s="349"/>
      <c r="T15" s="349"/>
      <c r="U15" s="349"/>
      <c r="V15" s="349"/>
      <c r="W15" s="349"/>
      <c r="X15" s="349"/>
    </row>
    <row r="16" spans="2:24" ht="14.85" customHeight="1">
      <c r="B16" s="252" t="s">
        <v>545</v>
      </c>
      <c r="D16" s="1133">
        <v>1</v>
      </c>
      <c r="E16" s="1133">
        <v>1</v>
      </c>
      <c r="F16" s="1133">
        <v>1</v>
      </c>
      <c r="G16" s="1133">
        <v>1</v>
      </c>
      <c r="H16" s="1133">
        <v>1</v>
      </c>
      <c r="I16" s="1133">
        <v>1</v>
      </c>
      <c r="J16" s="1133">
        <v>1</v>
      </c>
      <c r="M16" s="1515">
        <v>0</v>
      </c>
      <c r="N16" s="956" t="s">
        <v>3539</v>
      </c>
      <c r="O16" s="179" t="s">
        <v>3545</v>
      </c>
      <c r="R16" s="349"/>
      <c r="S16" s="349"/>
      <c r="T16" s="349"/>
      <c r="U16" s="349"/>
      <c r="V16" s="349"/>
      <c r="W16" s="349"/>
      <c r="X16" s="349"/>
    </row>
    <row r="17" spans="2:24" ht="14.85" customHeight="1">
      <c r="B17" s="252" t="s">
        <v>544</v>
      </c>
      <c r="D17" s="1131">
        <f>D14*D16</f>
        <v>12286.027</v>
      </c>
      <c r="E17" s="1131">
        <f t="shared" ref="E17:J17" si="1">E14*E16</f>
        <v>8000</v>
      </c>
      <c r="F17" s="1131">
        <f t="shared" si="1"/>
        <v>2000</v>
      </c>
      <c r="G17" s="1131">
        <f t="shared" si="1"/>
        <v>10046.557000000001</v>
      </c>
      <c r="H17" s="1131">
        <f t="shared" si="1"/>
        <v>25426.15</v>
      </c>
      <c r="I17" s="1131">
        <f t="shared" si="1"/>
        <v>25000</v>
      </c>
      <c r="J17" s="1131">
        <f t="shared" si="1"/>
        <v>55057.161999999997</v>
      </c>
      <c r="K17" s="1134"/>
      <c r="M17" s="1515">
        <v>0</v>
      </c>
      <c r="N17" s="956" t="s">
        <v>3540</v>
      </c>
      <c r="O17" s="179" t="s">
        <v>3546</v>
      </c>
      <c r="R17" s="349"/>
      <c r="S17" s="349"/>
      <c r="T17" s="349"/>
      <c r="U17" s="349"/>
      <c r="V17" s="349"/>
      <c r="W17" s="349"/>
      <c r="X17" s="349"/>
    </row>
    <row r="18" spans="2:24" ht="14.85" customHeight="1">
      <c r="B18" s="252" t="s">
        <v>389</v>
      </c>
      <c r="D18" s="1135">
        <v>2</v>
      </c>
      <c r="E18" s="1135">
        <v>2</v>
      </c>
      <c r="F18" s="1135">
        <v>2</v>
      </c>
      <c r="G18" s="1135">
        <v>2</v>
      </c>
      <c r="H18" s="1135">
        <v>2</v>
      </c>
      <c r="I18" s="1135">
        <v>1</v>
      </c>
      <c r="J18" s="1135">
        <v>1</v>
      </c>
      <c r="M18" s="266">
        <f>'Cap Table'!E25</f>
        <v>0.49</v>
      </c>
      <c r="N18" s="956" t="s">
        <v>3541</v>
      </c>
      <c r="O18" s="179" t="str">
        <f>"Expected Options Grant Exercise at "&amp;TEXT(M18,"$0.00")</f>
        <v>Expected Options Grant Exercise at $0.49</v>
      </c>
      <c r="R18" s="349"/>
      <c r="S18" s="349"/>
      <c r="T18" s="349"/>
      <c r="U18" s="349"/>
      <c r="V18" s="349"/>
      <c r="W18" s="349"/>
      <c r="X18" s="349"/>
    </row>
    <row r="19" spans="2:24" ht="14.85" customHeight="1">
      <c r="B19" s="252"/>
      <c r="D19" s="1135"/>
      <c r="E19" s="1135"/>
      <c r="F19" s="1135"/>
      <c r="G19" s="1135"/>
      <c r="H19" s="1135"/>
      <c r="I19" s="1135"/>
      <c r="J19" s="1135"/>
      <c r="M19" s="1515">
        <f>N9</f>
        <v>1.3710901641330651</v>
      </c>
      <c r="N19" s="956" t="s">
        <v>3542</v>
      </c>
      <c r="O19" s="179" t="s">
        <v>3548</v>
      </c>
      <c r="R19" s="349"/>
      <c r="S19" s="349"/>
      <c r="T19" s="349"/>
      <c r="U19" s="349"/>
      <c r="V19" s="349"/>
      <c r="W19" s="349"/>
      <c r="X19" s="349"/>
    </row>
    <row r="20" spans="2:24" ht="14.85" customHeight="1">
      <c r="B20" s="252" t="s">
        <v>377</v>
      </c>
      <c r="D20" s="1135" t="s">
        <v>379</v>
      </c>
      <c r="E20" s="1135" t="s">
        <v>379</v>
      </c>
      <c r="F20" s="1135" t="s">
        <v>379</v>
      </c>
      <c r="G20" s="1135" t="s">
        <v>379</v>
      </c>
      <c r="H20" s="1135" t="s">
        <v>379</v>
      </c>
      <c r="I20" s="1135" t="s">
        <v>379</v>
      </c>
      <c r="J20" s="1135" t="s">
        <v>379</v>
      </c>
      <c r="M20" s="1515">
        <f>N11</f>
        <v>2.4243168743380066</v>
      </c>
      <c r="N20" s="956" t="s">
        <v>3543</v>
      </c>
      <c r="O20" s="179" t="s">
        <v>3549</v>
      </c>
    </row>
    <row r="21" spans="2:24" ht="14.85" customHeight="1">
      <c r="B21" s="252" t="s">
        <v>382</v>
      </c>
      <c r="D21" s="1133" t="s">
        <v>13</v>
      </c>
      <c r="E21" s="1133" t="s">
        <v>13</v>
      </c>
      <c r="F21" s="1133" t="s">
        <v>13</v>
      </c>
      <c r="G21" s="1133" t="s">
        <v>13</v>
      </c>
      <c r="H21" s="1133" t="s">
        <v>13</v>
      </c>
      <c r="I21" s="1133" t="s">
        <v>13</v>
      </c>
      <c r="J21" s="1133" t="s">
        <v>13</v>
      </c>
      <c r="M21" s="1515">
        <f>N10</f>
        <v>2.5234113470312187</v>
      </c>
      <c r="N21" s="956" t="s">
        <v>3613</v>
      </c>
      <c r="O21" s="179" t="s">
        <v>3550</v>
      </c>
    </row>
    <row r="22" spans="2:24" ht="9.9499999999999993" customHeight="1">
      <c r="B22" s="252"/>
      <c r="D22" s="1133"/>
      <c r="E22" s="1133"/>
      <c r="F22" s="1133"/>
      <c r="G22" s="1133"/>
      <c r="H22" s="1133"/>
      <c r="I22" s="1133"/>
      <c r="J22" s="1133"/>
    </row>
    <row r="23" spans="2:24" ht="14.85" customHeight="1">
      <c r="B23" s="252" t="s">
        <v>376</v>
      </c>
      <c r="D23" s="447">
        <v>0.08</v>
      </c>
      <c r="E23" s="447">
        <v>0.08</v>
      </c>
      <c r="F23" s="447">
        <v>0.08</v>
      </c>
      <c r="G23" s="447">
        <v>0.08</v>
      </c>
      <c r="H23" s="447">
        <v>0.08</v>
      </c>
      <c r="I23" s="447">
        <v>0.08</v>
      </c>
      <c r="J23" s="447">
        <v>0.08</v>
      </c>
      <c r="N23" s="1969">
        <f>EDATE('MASTER PubCo Inputs'!C6,'OPM 1'!D10*12)</f>
        <v>44160</v>
      </c>
    </row>
    <row r="24" spans="2:24" ht="14.85" customHeight="1">
      <c r="B24" s="252" t="s">
        <v>534</v>
      </c>
      <c r="D24" s="1136" t="s">
        <v>536</v>
      </c>
      <c r="E24" s="1136" t="s">
        <v>536</v>
      </c>
      <c r="F24" s="1136" t="s">
        <v>536</v>
      </c>
      <c r="G24" s="1136" t="s">
        <v>536</v>
      </c>
      <c r="H24" s="1136" t="s">
        <v>536</v>
      </c>
      <c r="I24" s="1136" t="s">
        <v>536</v>
      </c>
      <c r="J24" s="1136" t="s">
        <v>536</v>
      </c>
      <c r="N24" s="1969">
        <f>EDATE(N23,-N26*12)</f>
        <v>42668</v>
      </c>
      <c r="R24" s="349"/>
      <c r="S24" s="349"/>
      <c r="T24" s="349"/>
      <c r="U24" s="349"/>
      <c r="V24" s="349"/>
      <c r="W24" s="349"/>
      <c r="X24" s="349"/>
    </row>
    <row r="25" spans="2:24" ht="14.85" customHeight="1">
      <c r="B25" s="252" t="s">
        <v>535</v>
      </c>
      <c r="D25" s="1136" t="s">
        <v>540</v>
      </c>
      <c r="E25" s="1136" t="s">
        <v>540</v>
      </c>
      <c r="F25" s="1136" t="s">
        <v>540</v>
      </c>
      <c r="G25" s="1136" t="s">
        <v>540</v>
      </c>
      <c r="H25" s="1136" t="s">
        <v>540</v>
      </c>
      <c r="I25" s="1136" t="s">
        <v>540</v>
      </c>
      <c r="J25" s="1136" t="s">
        <v>540</v>
      </c>
      <c r="S25" s="349"/>
      <c r="T25" s="349"/>
      <c r="U25" s="349"/>
      <c r="V25" s="349"/>
      <c r="W25" s="349"/>
      <c r="X25" s="349"/>
    </row>
    <row r="26" spans="2:24" ht="14.85" customHeight="1">
      <c r="B26" s="252" t="s">
        <v>533</v>
      </c>
      <c r="D26" s="1807">
        <f>YEARFRAC(D11,'MASTER PubCo Inputs'!$C$6,3)</f>
        <v>2.6164383561643834</v>
      </c>
      <c r="E26" s="1807">
        <f>YEARFRAC(E11,'MASTER PubCo Inputs'!$C$6,3)</f>
        <v>2.0602739726027397</v>
      </c>
      <c r="F26" s="1807">
        <f>YEARFRAC(F11,'MASTER PubCo Inputs'!$C$6,3)</f>
        <v>1.4684931506849315</v>
      </c>
      <c r="G26" s="1807">
        <f>YEARFRAC(G11,'MASTER PubCo Inputs'!$C$6,3)</f>
        <v>1.3808219178082193</v>
      </c>
      <c r="H26" s="1807">
        <f>YEARFRAC(H11,'MASTER PubCo Inputs'!$C$6,3)</f>
        <v>1.0273972602739727</v>
      </c>
      <c r="I26" s="1807">
        <f>YEARFRAC(I11,'MASTER PubCo Inputs'!$C$6,3)</f>
        <v>0.52054794520547942</v>
      </c>
      <c r="J26" s="1807">
        <f>YEARFRAC(J11,'MASTER PubCo Inputs'!$C$6,3)</f>
        <v>0</v>
      </c>
      <c r="M26" s="179" t="s">
        <v>3786</v>
      </c>
      <c r="N26" s="276">
        <f>SUMPRODUCT(D28:H28,D14:H14)/SUM(D14:H14)</f>
        <v>4.085216070062887</v>
      </c>
      <c r="T26" s="349"/>
      <c r="U26" s="349"/>
      <c r="V26" s="349"/>
      <c r="W26" s="349"/>
      <c r="X26" s="349"/>
    </row>
    <row r="27" spans="2:24" ht="14.85" customHeight="1">
      <c r="B27" s="252" t="s">
        <v>383</v>
      </c>
      <c r="D27" s="1129">
        <f t="shared" ref="D27:J27" si="2">IF(D24="Non-Cumulative","NA",IF(D25="Simple",D13*D23*D26*D12,(D13*((1+D23)^D26-1))*D12))</f>
        <v>2740.6399644663129</v>
      </c>
      <c r="E27" s="1129">
        <f t="shared" si="2"/>
        <v>1374.5856321001638</v>
      </c>
      <c r="F27" s="1129">
        <f t="shared" si="2"/>
        <v>239.30140025551427</v>
      </c>
      <c r="G27" s="1129">
        <f t="shared" si="2"/>
        <v>1126.4354872433469</v>
      </c>
      <c r="H27" s="1129">
        <f t="shared" si="2"/>
        <v>2092.0536006282241</v>
      </c>
      <c r="I27" s="1129">
        <f t="shared" si="2"/>
        <v>1021.8803670237143</v>
      </c>
      <c r="J27" s="1129">
        <f t="shared" si="2"/>
        <v>0</v>
      </c>
      <c r="M27" s="179" t="s">
        <v>3787</v>
      </c>
      <c r="N27" s="179">
        <f>IF(H24="Non-Cumulative","NA",IF(H25="Simple",H13*H23*N26*M13,(H13*((1+H23)^N26-1))*M13))</f>
        <v>21338.432950262901</v>
      </c>
      <c r="U27" s="349"/>
      <c r="V27" s="349"/>
      <c r="W27" s="349"/>
      <c r="X27" s="349"/>
    </row>
    <row r="28" spans="2:24" ht="14.85" hidden="1" customHeight="1" outlineLevel="1">
      <c r="B28" s="252" t="s">
        <v>542</v>
      </c>
      <c r="D28" s="1807">
        <f>D26+'OPM 1'!$D$10</f>
        <v>5.1164383561643838</v>
      </c>
      <c r="E28" s="1807">
        <f>E26+'OPM 1'!$D$10</f>
        <v>4.5602739726027401</v>
      </c>
      <c r="F28" s="1807">
        <f>F26+'OPM 1'!$D$10</f>
        <v>3.9684931506849317</v>
      </c>
      <c r="G28" s="1807">
        <f>G26+'OPM 1'!$D$10</f>
        <v>3.8808219178082193</v>
      </c>
      <c r="H28" s="1807">
        <f>H26+'OPM 1'!$D$10</f>
        <v>3.5273972602739727</v>
      </c>
      <c r="I28" s="1807">
        <f>I26+'OPM 1'!$D$10</f>
        <v>3.0205479452054793</v>
      </c>
      <c r="J28" s="1807">
        <f>J26+'OPM 1'!$D$10</f>
        <v>2.5</v>
      </c>
      <c r="V28" s="349"/>
      <c r="W28" s="349"/>
      <c r="X28" s="349"/>
    </row>
    <row r="29" spans="2:24" ht="14.85" hidden="1" customHeight="1" outlineLevel="1">
      <c r="B29" s="252" t="s">
        <v>543</v>
      </c>
      <c r="D29" s="1131">
        <f>IF(D24="Non-Cumulative","NA",IF(D25="Simple",D13*D23*D28*D12,(D13*((1+D23)^D28-1))*D12))</f>
        <v>5928.6741435065778</v>
      </c>
      <c r="E29" s="1131">
        <f t="shared" ref="E29:J29" si="3">IF(E24="Non-Cumulative","NA",IF(E25="Simple",E13*E23*E28*E12,(E13*((1+E23)^E28-1))*E12))</f>
        <v>3363.4830689135279</v>
      </c>
      <c r="F29" s="1131">
        <f t="shared" si="3"/>
        <v>714.38808568408479</v>
      </c>
      <c r="G29" s="1131">
        <f t="shared" si="3"/>
        <v>3496.8801118379097</v>
      </c>
      <c r="H29" s="1131">
        <f t="shared" si="3"/>
        <v>7930.2726702359441</v>
      </c>
      <c r="I29" s="1131">
        <f t="shared" si="3"/>
        <v>6542.6418378902345</v>
      </c>
      <c r="J29" s="1131">
        <f t="shared" si="3"/>
        <v>11680.841444880634</v>
      </c>
      <c r="W29" s="349"/>
      <c r="X29" s="349"/>
    </row>
    <row r="30" spans="2:24" ht="9.9499999999999993" hidden="1" customHeight="1" outlineLevel="1">
      <c r="B30" s="252"/>
      <c r="D30" s="1131"/>
      <c r="E30" s="1131"/>
      <c r="F30" s="1131"/>
      <c r="G30" s="1131"/>
      <c r="H30" s="1131"/>
      <c r="I30" s="1131"/>
      <c r="J30" s="1131"/>
      <c r="W30" s="349"/>
      <c r="X30" s="349"/>
    </row>
    <row r="31" spans="2:24" ht="14.85" customHeight="1" collapsed="1">
      <c r="B31" s="252" t="s">
        <v>542</v>
      </c>
      <c r="D31" s="1807">
        <f>D26+'OPM 1'!$D$10</f>
        <v>5.1164383561643838</v>
      </c>
      <c r="E31" s="1807">
        <f>E26+'OPM 1'!$D$10</f>
        <v>4.5602739726027401</v>
      </c>
      <c r="F31" s="1807">
        <f>F26+'OPM 1'!$D$10</f>
        <v>3.9684931506849317</v>
      </c>
      <c r="G31" s="1807">
        <f>G26+'OPM 1'!$D$10</f>
        <v>3.8808219178082193</v>
      </c>
      <c r="H31" s="1807">
        <f>H26+'OPM 1'!$D$10</f>
        <v>3.5273972602739727</v>
      </c>
      <c r="I31" s="1807">
        <f>I26+'OPM 1'!$D$10</f>
        <v>3.0205479452054793</v>
      </c>
      <c r="J31" s="1807">
        <f>J26+'OPM 1'!$D$10</f>
        <v>2.5</v>
      </c>
      <c r="M31" s="179" t="s">
        <v>3788</v>
      </c>
      <c r="N31" s="698">
        <f>SUM(D32:H32)</f>
        <v>21433.698080178041</v>
      </c>
      <c r="U31" s="349"/>
      <c r="V31" s="349"/>
      <c r="W31" s="349"/>
    </row>
    <row r="32" spans="2:24" ht="14.85" customHeight="1">
      <c r="B32" s="252" t="s">
        <v>543</v>
      </c>
      <c r="D32" s="1131">
        <f>IF(D24="Non-Cumulative","NA",IF(D25="Simple",D13*D23*D31*D12,(D13*((1+D23)^D31-1))*D12))</f>
        <v>5928.6741435065778</v>
      </c>
      <c r="E32" s="1131">
        <f t="shared" ref="E32:J32" si="4">IF(E24="Non-Cumulative","NA",IF(E25="Simple",E13*E23*E31*E12,(E13*((1+E23)^E31-1))*E12))</f>
        <v>3363.4830689135279</v>
      </c>
      <c r="F32" s="1131">
        <f t="shared" si="4"/>
        <v>714.38808568408479</v>
      </c>
      <c r="G32" s="1131">
        <f t="shared" si="4"/>
        <v>3496.8801118379097</v>
      </c>
      <c r="H32" s="1131">
        <f t="shared" si="4"/>
        <v>7930.2726702359441</v>
      </c>
      <c r="I32" s="1131">
        <f t="shared" si="4"/>
        <v>6542.6418378902345</v>
      </c>
      <c r="J32" s="1131">
        <f t="shared" si="4"/>
        <v>11680.841444880634</v>
      </c>
      <c r="M32" s="179" t="s">
        <v>652</v>
      </c>
      <c r="N32" s="276">
        <f>N31-N27</f>
        <v>95.265129915140278</v>
      </c>
      <c r="V32" s="349"/>
      <c r="W32" s="349"/>
    </row>
    <row r="33" spans="1:24" ht="14.85" hidden="1" customHeight="1" outlineLevel="1">
      <c r="B33" s="252"/>
      <c r="D33" s="1131"/>
      <c r="E33" s="1131"/>
      <c r="F33" s="1131"/>
      <c r="G33" s="1131"/>
      <c r="H33" s="1131"/>
      <c r="I33" s="1131"/>
      <c r="V33" s="349"/>
      <c r="W33" s="349"/>
    </row>
    <row r="34" spans="1:24" hidden="1" outlineLevel="1">
      <c r="B34" s="252" t="s">
        <v>3774</v>
      </c>
      <c r="D34" s="1807">
        <f>D26+'IPO Waterfall'!$D$12</f>
        <v>4.2191780821917808</v>
      </c>
      <c r="E34" s="1807">
        <f>E26+'IPO Waterfall'!$D$12</f>
        <v>3.6630136986301371</v>
      </c>
      <c r="F34" s="1807">
        <f>F26+'IPO Waterfall'!$D$12</f>
        <v>3.0712328767123287</v>
      </c>
      <c r="G34" s="1807">
        <f>G26+'IPO Waterfall'!$D$12</f>
        <v>2.9835616438356167</v>
      </c>
      <c r="H34" s="1807">
        <f>H26+'IPO Waterfall'!$D$12</f>
        <v>2.6301369863013697</v>
      </c>
      <c r="I34" s="1807">
        <f>I26+'IPO Waterfall'!$D$12</f>
        <v>2.1232876712328768</v>
      </c>
      <c r="J34" s="1807">
        <f>J26+'IPO Waterfall'!$D$12</f>
        <v>1.6027397260273972</v>
      </c>
      <c r="W34" s="349"/>
      <c r="X34" s="349"/>
    </row>
    <row r="35" spans="1:24" hidden="1" outlineLevel="1">
      <c r="B35" s="252" t="s">
        <v>3775</v>
      </c>
      <c r="D35" s="1131">
        <f>IF(D24="Non-Cumulative","NA",IF(D25="Simple",D13*D23*D34*D12,(D13*((1+D23)^D34-1))*D12))</f>
        <v>4713.3201147980444</v>
      </c>
      <c r="E35" s="1131">
        <f t="shared" ref="E35:J35" si="5">IF(E24="Non-Cumulative","NA",IF(E25="Simple",E13*E23*E34*E12,(E13*((1+E23)^E34-1))*E12))</f>
        <v>2605.2683269226245</v>
      </c>
      <c r="F35" s="1131">
        <f t="shared" si="5"/>
        <v>533.27380500368804</v>
      </c>
      <c r="G35" s="1131">
        <f t="shared" si="5"/>
        <v>2593.210557956661</v>
      </c>
      <c r="H35" s="1131">
        <f t="shared" si="5"/>
        <v>5704.6054821674688</v>
      </c>
      <c r="I35" s="1131">
        <f t="shared" si="5"/>
        <v>4437.9969945980038</v>
      </c>
      <c r="J35" s="1131">
        <f t="shared" si="5"/>
        <v>7227.8284244822798</v>
      </c>
      <c r="W35" s="349"/>
      <c r="X35" s="349"/>
    </row>
    <row r="36" spans="1:24" ht="14.85" hidden="1" customHeight="1" outlineLevel="1">
      <c r="B36" s="252" t="s">
        <v>3772</v>
      </c>
      <c r="D36" s="1807">
        <f>D26+'IPO Waterfall'!$E$12</f>
        <v>6.2219178082191782</v>
      </c>
      <c r="E36" s="1807">
        <f>E26+'IPO Waterfall'!$E$12</f>
        <v>5.6657534246575345</v>
      </c>
      <c r="F36" s="1807">
        <f>F26+'IPO Waterfall'!$E$12</f>
        <v>5.0739726027397261</v>
      </c>
      <c r="G36" s="1807">
        <f>G26+'IPO Waterfall'!$E$12</f>
        <v>4.9863013698630141</v>
      </c>
      <c r="H36" s="1807">
        <f>H26+'IPO Waterfall'!$E$12</f>
        <v>4.6328767123287671</v>
      </c>
      <c r="I36" s="1807">
        <f>I26+'IPO Waterfall'!$E$12</f>
        <v>4.1260273972602741</v>
      </c>
      <c r="J36" s="1807">
        <f>J26+'IPO Waterfall'!$E$12</f>
        <v>3.6054794520547944</v>
      </c>
      <c r="W36" s="349"/>
      <c r="X36" s="349"/>
    </row>
    <row r="37" spans="1:24" ht="14.85" hidden="1" customHeight="1" outlineLevel="1">
      <c r="B37" s="252" t="s">
        <v>3773</v>
      </c>
      <c r="D37" s="1131">
        <f>IF(D24="Non-Cumulative","NA",IF(D25="Simple",D13*D23*D36*D12,(D13*((1+D23)^D36-1))*D12))</f>
        <v>7546.1927003847886</v>
      </c>
      <c r="E37" s="1131">
        <f t="shared" ref="E37:J37" si="6">IF(E24="Non-Cumulative","NA",IF(E25="Simple",E13*E23*E36*E12,(E13*((1+E23)^E36-1))*E12))</f>
        <v>4372.5934896624067</v>
      </c>
      <c r="F37" s="1131">
        <f t="shared" si="6"/>
        <v>955.4336600567583</v>
      </c>
      <c r="G37" s="1131">
        <f t="shared" si="6"/>
        <v>4699.5768061023946</v>
      </c>
      <c r="H37" s="1131">
        <f t="shared" si="6"/>
        <v>10892.420236374533</v>
      </c>
      <c r="I37" s="1131">
        <f t="shared" si="6"/>
        <v>9343.7203789970772</v>
      </c>
      <c r="J37" s="1131">
        <f t="shared" si="6"/>
        <v>17607.370690164458</v>
      </c>
      <c r="W37" s="349"/>
      <c r="X37" s="349"/>
    </row>
    <row r="38" spans="1:24" ht="9.9499999999999993" customHeight="1" collapsed="1">
      <c r="B38" s="252"/>
      <c r="D38" s="1131"/>
      <c r="E38" s="1131"/>
      <c r="F38" s="1131"/>
      <c r="G38" s="1131"/>
      <c r="H38" s="1131"/>
      <c r="I38" s="1131"/>
      <c r="J38" s="1131"/>
      <c r="W38" s="349"/>
      <c r="X38" s="349"/>
    </row>
    <row r="39" spans="1:24" ht="14.85" customHeight="1">
      <c r="B39" s="252" t="s">
        <v>544</v>
      </c>
      <c r="D39" s="1131">
        <f>(D17+D32)</f>
        <v>18214.70114350658</v>
      </c>
      <c r="E39" s="1131">
        <f t="shared" ref="E39:J39" si="7">(E17+E32)</f>
        <v>11363.483068913527</v>
      </c>
      <c r="F39" s="1131">
        <f t="shared" si="7"/>
        <v>2714.3880856840847</v>
      </c>
      <c r="G39" s="1131">
        <f t="shared" si="7"/>
        <v>13543.437111837909</v>
      </c>
      <c r="H39" s="1131">
        <f t="shared" si="7"/>
        <v>33356.422670235945</v>
      </c>
      <c r="I39" s="1131">
        <f t="shared" si="7"/>
        <v>31542.641837890234</v>
      </c>
      <c r="J39" s="1131">
        <f t="shared" si="7"/>
        <v>66738.003444880625</v>
      </c>
      <c r="W39" s="349"/>
      <c r="X39" s="349"/>
    </row>
    <row r="40" spans="1:24" ht="14.85" customHeight="1">
      <c r="B40" s="252" t="s">
        <v>3776</v>
      </c>
      <c r="C40" s="512" t="s">
        <v>299</v>
      </c>
      <c r="D40" s="2046">
        <f>(D39)/D12</f>
        <v>1.4825542173647006</v>
      </c>
      <c r="E40" s="2046">
        <f t="shared" ref="E40:J40" si="8">(E39)/E12</f>
        <v>1.420435383614191</v>
      </c>
      <c r="F40" s="2046">
        <f t="shared" si="8"/>
        <v>1.3571940428420424</v>
      </c>
      <c r="G40" s="2046">
        <f t="shared" si="8"/>
        <v>1.3480675132622957</v>
      </c>
      <c r="H40" s="2046">
        <f t="shared" si="8"/>
        <v>1.3118943556234799</v>
      </c>
      <c r="I40" s="2046">
        <f t="shared" si="8"/>
        <v>2.5234113470312187</v>
      </c>
      <c r="J40" s="2046">
        <f t="shared" si="8"/>
        <v>2.4243168743380066</v>
      </c>
      <c r="W40" s="349"/>
      <c r="X40" s="349"/>
    </row>
    <row r="41" spans="1:24" ht="14.85" customHeight="1">
      <c r="B41" s="252" t="s">
        <v>3777</v>
      </c>
      <c r="C41" s="512" t="s">
        <v>299</v>
      </c>
      <c r="D41" s="2046">
        <f>SUMPRODUCT(D12:H12,D40:H40)/SUM(D12:H12)</f>
        <v>1.3710901641330651</v>
      </c>
      <c r="E41" s="2046">
        <f>D41</f>
        <v>1.3710901641330651</v>
      </c>
      <c r="F41" s="2046">
        <f>E41</f>
        <v>1.3710901641330651</v>
      </c>
      <c r="G41" s="2046">
        <f>F41</f>
        <v>1.3710901641330651</v>
      </c>
      <c r="H41" s="2046">
        <f>G41</f>
        <v>1.3710901641330651</v>
      </c>
      <c r="I41" s="2046">
        <f>I40</f>
        <v>2.5234113470312187</v>
      </c>
      <c r="J41" s="2046">
        <f>J40</f>
        <v>2.4243168743380066</v>
      </c>
      <c r="W41" s="349"/>
      <c r="X41" s="349"/>
    </row>
    <row r="42" spans="1:24" ht="9.9499999999999993" customHeight="1">
      <c r="B42" s="252"/>
      <c r="D42" s="567"/>
      <c r="E42" s="567"/>
      <c r="F42" s="567"/>
      <c r="G42" s="567"/>
      <c r="H42" s="567"/>
      <c r="I42" s="567"/>
      <c r="J42" s="567"/>
      <c r="X42" s="349"/>
    </row>
    <row r="43" spans="1:24" ht="14.85" customHeight="1">
      <c r="B43" s="252" t="s">
        <v>375</v>
      </c>
      <c r="D43" s="1135" t="s">
        <v>379</v>
      </c>
      <c r="E43" s="1135" t="s">
        <v>379</v>
      </c>
      <c r="F43" s="1135" t="s">
        <v>379</v>
      </c>
      <c r="G43" s="1135" t="s">
        <v>379</v>
      </c>
      <c r="H43" s="1135" t="s">
        <v>379</v>
      </c>
      <c r="I43" s="1135" t="s">
        <v>379</v>
      </c>
      <c r="J43" s="1135" t="s">
        <v>379</v>
      </c>
    </row>
    <row r="44" spans="1:24" ht="14.85" customHeight="1">
      <c r="B44" s="252" t="s">
        <v>378</v>
      </c>
      <c r="D44" s="1135" t="s">
        <v>380</v>
      </c>
      <c r="E44" s="1135" t="s">
        <v>380</v>
      </c>
      <c r="F44" s="1135" t="s">
        <v>380</v>
      </c>
      <c r="G44" s="1135" t="s">
        <v>380</v>
      </c>
      <c r="H44" s="1135" t="s">
        <v>380</v>
      </c>
      <c r="I44" s="1135" t="s">
        <v>380</v>
      </c>
      <c r="J44" s="1135" t="s">
        <v>380</v>
      </c>
    </row>
    <row r="45" spans="1:24" ht="14.85" customHeight="1">
      <c r="B45" s="252"/>
    </row>
    <row r="46" spans="1:24" ht="14.85" customHeight="1">
      <c r="B46" s="272" t="s">
        <v>86</v>
      </c>
    </row>
    <row r="47" spans="1:24" ht="14.85" customHeight="1">
      <c r="A47" s="273" t="s">
        <v>261</v>
      </c>
      <c r="B47" s="179" t="s">
        <v>973</v>
      </c>
    </row>
    <row r="48" spans="1:24" ht="14.85" customHeight="1">
      <c r="A48" s="1167" t="str">
        <f>H9</f>
        <v>(2)</v>
      </c>
      <c r="B48" s="961" t="s">
        <v>3534</v>
      </c>
    </row>
    <row r="49" spans="1:10" ht="14.85" customHeight="1">
      <c r="A49" s="1167" t="str">
        <f>C40</f>
        <v>(3)</v>
      </c>
      <c r="B49" s="2057" t="s">
        <v>3778</v>
      </c>
      <c r="C49" s="2057"/>
      <c r="D49" s="2057"/>
      <c r="E49" s="2057"/>
      <c r="F49" s="2057"/>
      <c r="G49" s="2057"/>
      <c r="H49" s="2057"/>
      <c r="I49" s="2057"/>
      <c r="J49" s="2057"/>
    </row>
    <row r="50" spans="1:10" ht="14.85" customHeight="1"/>
    <row r="51" spans="1:10" ht="14.85" customHeight="1"/>
    <row r="52" spans="1:10" ht="14.85" customHeight="1"/>
    <row r="53" spans="1:10" ht="14.85" customHeight="1">
      <c r="E53" s="300">
        <v>42290</v>
      </c>
      <c r="F53" s="810">
        <v>12286.027</v>
      </c>
      <c r="G53" s="310">
        <f>F53/SUM($F$53:$F$57)</f>
        <v>0.21271288598534724</v>
      </c>
    </row>
    <row r="54" spans="1:10" ht="14.85" customHeight="1">
      <c r="E54" s="300">
        <v>42493</v>
      </c>
      <c r="F54" s="810">
        <v>8000</v>
      </c>
      <c r="G54" s="310">
        <f>F54/SUM($F$53:$F$57)</f>
        <v>0.13850719096440028</v>
      </c>
    </row>
    <row r="55" spans="1:10" ht="14.85" customHeight="1">
      <c r="E55" s="300">
        <v>42709</v>
      </c>
      <c r="F55" s="810">
        <v>2000</v>
      </c>
      <c r="G55" s="310">
        <f>F55/SUM($F$53:$F$57)</f>
        <v>3.4626797741100071E-2</v>
      </c>
    </row>
    <row r="56" spans="1:10" ht="14.85" customHeight="1">
      <c r="E56" s="300">
        <v>42741</v>
      </c>
      <c r="F56" s="810">
        <v>10046.557000000001</v>
      </c>
      <c r="G56" s="310">
        <f>F56/SUM($F$53:$F$57)</f>
        <v>0.17394004861671655</v>
      </c>
    </row>
    <row r="57" spans="1:10" ht="14.85" customHeight="1">
      <c r="E57" s="300">
        <v>42870</v>
      </c>
      <c r="F57" s="810">
        <v>25426.15</v>
      </c>
      <c r="G57" s="310">
        <f>F57/SUM($F$53:$F$57)</f>
        <v>0.44021307669243581</v>
      </c>
      <c r="H57" s="1939">
        <f>SUMPRODUCT(E53:E57,G53:G57)/SUM(G53:G57)</f>
        <v>42666.396134427043</v>
      </c>
    </row>
    <row r="58" spans="1:10" ht="14.85" customHeight="1"/>
    <row r="59" spans="1:10" ht="14.85" customHeight="1"/>
    <row r="60" spans="1:10" ht="14.85" customHeight="1"/>
    <row r="61" spans="1:10" ht="14.85" customHeight="1"/>
    <row r="62" spans="1:10" ht="14.85" customHeight="1"/>
    <row r="63" spans="1:10" ht="14.85" customHeight="1"/>
    <row r="64" spans="1:10" ht="14.85" customHeight="1"/>
    <row r="65" spans="2:2" ht="14.85" customHeight="1"/>
    <row r="66" spans="2:2" ht="14.85" customHeight="1"/>
    <row r="67" spans="2:2" ht="14.85" customHeight="1">
      <c r="B67" s="272"/>
    </row>
    <row r="68" spans="2:2" ht="14.85" customHeight="1">
      <c r="B68" s="891"/>
    </row>
    <row r="69" spans="2:2" ht="14.85" customHeight="1"/>
    <row r="70" spans="2:2" ht="14.85" customHeight="1"/>
    <row r="71" spans="2:2" ht="14.85" customHeight="1"/>
    <row r="72" spans="2:2" ht="14.85" customHeight="1"/>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row r="768" ht="14.85" customHeight="1"/>
    <row r="769" ht="14.85" customHeight="1"/>
    <row r="770" ht="14.85" customHeight="1"/>
    <row r="771" ht="14.85" customHeight="1"/>
    <row r="772" ht="14.85" customHeight="1"/>
    <row r="773" ht="14.85" customHeight="1"/>
    <row r="774" ht="14.85" customHeight="1"/>
    <row r="775" ht="14.85" customHeight="1"/>
    <row r="776" ht="14.85" customHeight="1"/>
    <row r="777" ht="14.85" customHeight="1"/>
  </sheetData>
  <mergeCells count="3">
    <mergeCell ref="B49:J49"/>
    <mergeCell ref="I7:I8"/>
    <mergeCell ref="J7:J8"/>
  </mergeCells>
  <conditionalFormatting sqref="B4:I4">
    <cfRule type="cellIs" dxfId="316" priority="7" stopIfTrue="1" operator="equal">
      <formula>"input"</formula>
    </cfRule>
  </conditionalFormatting>
  <conditionalFormatting sqref="J4">
    <cfRule type="cellIs" dxfId="315" priority="1" stopIfTrue="1" operator="equal">
      <formula>"input"</formula>
    </cfRule>
  </conditionalFormatting>
  <conditionalFormatting sqref="J4">
    <cfRule type="cellIs" dxfId="314" priority="2" stopIfTrue="1" operator="equal">
      <formula>"input"</formula>
    </cfRule>
  </conditionalFormatting>
  <pageMargins left="0.5" right="0.5" top="0.5" bottom="0.5" header="0.5" footer="0.5"/>
  <pageSetup scale="85" fitToWidth="0" fitToHeight="0" orientation="landscape" r:id="rId1"/>
  <legacyDrawingHF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500-000000000000}">
          <x14:formula1>
            <xm:f>'List Data'!$C$3:$C$6</xm:f>
          </x14:formula1>
          <xm:sqref>D43:J43 D20:J20</xm:sqref>
        </x14:dataValidation>
        <x14:dataValidation type="list" allowBlank="1" showInputMessage="1" showErrorMessage="1" xr:uid="{00000000-0002-0000-1500-000001000000}">
          <x14:formula1>
            <xm:f>'List Data'!$D$3:$D$5</xm:f>
          </x14:formula1>
          <xm:sqref>D24:J24</xm:sqref>
        </x14:dataValidation>
        <x14:dataValidation type="list" allowBlank="1" showInputMessage="1" showErrorMessage="1" xr:uid="{00000000-0002-0000-1500-000002000000}">
          <x14:formula1>
            <xm:f>'List Data'!$E$3:$E$5</xm:f>
          </x14:formula1>
          <xm:sqref>D25:J25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8">
    <tabColor theme="3" tint="-0.499984740745262"/>
    <pageSetUpPr fitToPage="1"/>
  </sheetPr>
  <dimension ref="A6:G30"/>
  <sheetViews>
    <sheetView showGridLines="0" tabSelected="1" view="pageBreakPreview" zoomScale="60" zoomScaleNormal="100" workbookViewId="0">
      <selection activeCell="H11" sqref="H11"/>
    </sheetView>
  </sheetViews>
  <sheetFormatPr defaultColWidth="9.33203125" defaultRowHeight="12.75"/>
  <cols>
    <col min="1" max="1" width="4.5" style="231" customWidth="1"/>
    <col min="2" max="2" width="3.83203125" style="231" customWidth="1"/>
    <col min="3" max="3" width="15.83203125" style="231" customWidth="1"/>
    <col min="4" max="4" width="105.5" style="278" customWidth="1"/>
    <col min="5" max="5" width="15.83203125" style="231" customWidth="1"/>
    <col min="6" max="6" width="3.83203125" style="231" customWidth="1"/>
    <col min="7" max="7" width="4.5" style="231" customWidth="1"/>
    <col min="8" max="8" width="9.33203125" style="231"/>
    <col min="9" max="9" width="16.33203125" style="231" bestFit="1" customWidth="1"/>
    <col min="10" max="10" width="19" style="231" bestFit="1" customWidth="1"/>
    <col min="11" max="16384" width="9.33203125" style="231"/>
  </cols>
  <sheetData>
    <row r="6" spans="1:7">
      <c r="C6" s="724"/>
      <c r="D6" s="725"/>
      <c r="E6" s="724"/>
      <c r="F6" s="724"/>
    </row>
    <row r="7" spans="1:7" ht="13.5" thickBot="1">
      <c r="C7" s="724"/>
      <c r="D7" s="725"/>
      <c r="E7" s="724"/>
      <c r="F7" s="724"/>
    </row>
    <row r="8" spans="1:7" s="155" customFormat="1" ht="15" thickTop="1">
      <c r="A8" s="231"/>
      <c r="B8" s="966"/>
      <c r="C8" s="967"/>
      <c r="D8" s="1639"/>
      <c r="E8" s="158"/>
      <c r="F8" s="158"/>
      <c r="G8" s="231"/>
    </row>
    <row r="9" spans="1:7" s="163" customFormat="1" ht="39.75">
      <c r="A9" s="231"/>
      <c r="B9" s="968"/>
      <c r="C9" s="969"/>
      <c r="D9" s="189" t="s">
        <v>471</v>
      </c>
      <c r="E9" s="162"/>
      <c r="F9" s="162"/>
      <c r="G9" s="231"/>
    </row>
    <row r="10" spans="1:7" s="155" customFormat="1" ht="15" thickBot="1">
      <c r="A10" s="231"/>
      <c r="B10" s="970"/>
      <c r="C10" s="971"/>
      <c r="D10" s="1643"/>
      <c r="E10" s="171"/>
      <c r="F10" s="171"/>
      <c r="G10" s="231"/>
    </row>
    <row r="11" spans="1:7" s="155" customFormat="1" ht="15" thickTop="1">
      <c r="A11" s="231"/>
      <c r="B11" s="231"/>
      <c r="C11" s="231"/>
      <c r="D11" s="278"/>
      <c r="E11" s="231"/>
      <c r="F11" s="231"/>
      <c r="G11" s="231"/>
    </row>
    <row r="12" spans="1:7" s="155" customFormat="1" ht="14.25">
      <c r="A12" s="231"/>
      <c r="B12" s="231"/>
      <c r="C12" s="231"/>
      <c r="D12" s="278"/>
      <c r="E12" s="231"/>
      <c r="F12" s="231"/>
      <c r="G12" s="231"/>
    </row>
    <row r="13" spans="1:7" s="155" customFormat="1" ht="18">
      <c r="A13" s="231"/>
      <c r="B13" s="231"/>
      <c r="C13" s="231"/>
      <c r="D13" s="174"/>
      <c r="E13" s="231"/>
      <c r="F13" s="231"/>
      <c r="G13" s="231"/>
    </row>
    <row r="14" spans="1:7" s="155" customFormat="1" ht="18">
      <c r="A14" s="231"/>
      <c r="B14" s="231"/>
      <c r="C14" s="231"/>
      <c r="D14" s="175"/>
      <c r="E14" s="231"/>
      <c r="F14" s="231"/>
      <c r="G14" s="231"/>
    </row>
    <row r="15" spans="1:7" s="155" customFormat="1" ht="14.25">
      <c r="A15" s="231"/>
      <c r="B15" s="231"/>
      <c r="C15" s="231"/>
      <c r="D15" s="278"/>
      <c r="E15" s="231"/>
      <c r="F15" s="231"/>
      <c r="G15" s="231"/>
    </row>
    <row r="16" spans="1:7" s="155" customFormat="1" ht="14.25">
      <c r="A16" s="231"/>
      <c r="B16" s="231"/>
      <c r="C16" s="231"/>
      <c r="D16" s="278"/>
      <c r="E16" s="231"/>
      <c r="F16" s="231"/>
      <c r="G16" s="231"/>
    </row>
    <row r="17" spans="1:7" s="155" customFormat="1" ht="14.25">
      <c r="A17" s="231"/>
      <c r="B17" s="231"/>
      <c r="C17" s="231"/>
      <c r="D17" s="278"/>
      <c r="E17" s="231"/>
      <c r="F17" s="231"/>
      <c r="G17" s="231"/>
    </row>
    <row r="18" spans="1:7" s="155" customFormat="1" ht="14.25">
      <c r="A18" s="231"/>
      <c r="B18" s="231"/>
      <c r="C18" s="231"/>
      <c r="D18" s="278"/>
      <c r="E18" s="231"/>
      <c r="F18" s="231"/>
      <c r="G18" s="231"/>
    </row>
    <row r="19" spans="1:7" s="155" customFormat="1" ht="14.25">
      <c r="A19" s="231"/>
      <c r="B19" s="231"/>
      <c r="C19" s="231"/>
      <c r="D19" s="278"/>
      <c r="E19" s="231"/>
      <c r="F19" s="231"/>
      <c r="G19" s="231"/>
    </row>
    <row r="20" spans="1:7" s="155" customFormat="1" ht="14.25">
      <c r="A20" s="231"/>
      <c r="B20" s="231"/>
      <c r="C20" s="231"/>
      <c r="D20" s="278"/>
      <c r="E20" s="231"/>
      <c r="F20" s="231"/>
      <c r="G20" s="231"/>
    </row>
    <row r="21" spans="1:7" s="155" customFormat="1" ht="14.25">
      <c r="A21" s="231"/>
      <c r="B21" s="231"/>
      <c r="C21" s="231"/>
      <c r="D21" s="278"/>
      <c r="E21" s="231"/>
      <c r="F21" s="231"/>
      <c r="G21" s="231"/>
    </row>
    <row r="22" spans="1:7" s="155" customFormat="1" ht="14.25">
      <c r="A22" s="231"/>
      <c r="B22" s="231"/>
      <c r="C22" s="231"/>
      <c r="D22" s="278"/>
      <c r="E22" s="231"/>
      <c r="F22" s="231"/>
      <c r="G22" s="231"/>
    </row>
    <row r="23" spans="1:7" s="155" customFormat="1" ht="14.25">
      <c r="A23" s="231"/>
      <c r="B23" s="231"/>
      <c r="C23" s="231"/>
      <c r="D23" s="278"/>
      <c r="E23" s="231"/>
      <c r="F23" s="231"/>
      <c r="G23" s="231"/>
    </row>
    <row r="24" spans="1:7" s="155" customFormat="1" ht="14.25">
      <c r="A24" s="231"/>
      <c r="B24" s="231"/>
      <c r="C24" s="231"/>
      <c r="D24" s="278"/>
      <c r="E24" s="231"/>
      <c r="F24" s="231"/>
      <c r="G24" s="231"/>
    </row>
    <row r="25" spans="1:7" s="155" customFormat="1" ht="14.25">
      <c r="A25" s="231"/>
      <c r="B25" s="231"/>
      <c r="C25" s="231"/>
      <c r="D25" s="278"/>
      <c r="E25" s="231"/>
      <c r="F25" s="231"/>
      <c r="G25" s="231"/>
    </row>
    <row r="26" spans="1:7" s="155" customFormat="1" ht="14.25">
      <c r="A26" s="231"/>
      <c r="B26" s="231"/>
      <c r="C26" s="231"/>
      <c r="D26" s="278"/>
      <c r="E26" s="231"/>
      <c r="F26" s="231"/>
      <c r="G26" s="231"/>
    </row>
    <row r="27" spans="1:7" s="155" customFormat="1" ht="23.25">
      <c r="A27" s="231"/>
      <c r="B27" s="231"/>
      <c r="C27" s="231"/>
      <c r="D27" s="176"/>
      <c r="E27" s="231"/>
      <c r="F27" s="231"/>
      <c r="G27" s="231"/>
    </row>
    <row r="28" spans="1:7" s="155" customFormat="1" ht="14.25">
      <c r="A28" s="231"/>
      <c r="B28" s="231"/>
      <c r="C28" s="231"/>
      <c r="D28" s="278"/>
      <c r="E28" s="231"/>
      <c r="F28" s="231"/>
      <c r="G28" s="231"/>
    </row>
    <row r="29" spans="1:7" s="155" customFormat="1" ht="18">
      <c r="A29" s="231"/>
      <c r="B29" s="231"/>
      <c r="C29" s="231"/>
      <c r="D29" s="177"/>
      <c r="E29" s="231"/>
      <c r="F29" s="231"/>
      <c r="G29" s="231"/>
    </row>
    <row r="30" spans="1:7" s="155" customFormat="1" ht="36">
      <c r="A30" s="231"/>
      <c r="B30" s="231"/>
      <c r="C30" s="231"/>
      <c r="D30" s="178" t="s">
        <v>458</v>
      </c>
      <c r="E30" s="231"/>
      <c r="F30" s="231"/>
      <c r="G30" s="231"/>
    </row>
  </sheetData>
  <pageMargins left="0.5" right="0.5" top="0.5" bottom="0.5" header="0.5" footer="0.5"/>
  <pageSetup scale="98" orientation="landscape"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9"/>
  <dimension ref="A1:F765"/>
  <sheetViews>
    <sheetView showGridLines="0" tabSelected="1" view="pageBreakPreview" zoomScale="80" zoomScaleNormal="100" zoomScaleSheetLayoutView="80" workbookViewId="0">
      <selection activeCell="H11" sqref="H11"/>
    </sheetView>
  </sheetViews>
  <sheetFormatPr defaultRowHeight="12.75" outlineLevelRow="1"/>
  <cols>
    <col min="1" max="1" width="4.5" style="179" customWidth="1"/>
    <col min="2" max="2" width="100.83203125" style="179" customWidth="1"/>
    <col min="3" max="3" width="2.83203125" style="179" customWidth="1"/>
    <col min="4" max="4" width="40.83203125" style="179" customWidth="1"/>
    <col min="5" max="5" width="2.83203125" style="179" customWidth="1"/>
    <col min="6" max="6" width="34.83203125" style="179" customWidth="1"/>
    <col min="7" max="7" width="4.5" style="179" customWidth="1"/>
    <col min="8" max="16384" width="9.33203125" style="179"/>
  </cols>
  <sheetData>
    <row r="1" spans="2:6" ht="10.7" customHeight="1" thickBot="1"/>
    <row r="2" spans="2:6" ht="16.5" customHeight="1" thickTop="1">
      <c r="B2" s="187" t="str">
        <f>'MASTER PubCo Inputs'!$C$5</f>
        <v>Decibel Therapeutics, Inc.</v>
      </c>
      <c r="C2" s="187"/>
      <c r="D2" s="187"/>
      <c r="E2" s="187"/>
      <c r="F2" s="187"/>
    </row>
    <row r="3" spans="2:6" ht="15.75" customHeight="1">
      <c r="B3" s="188" t="str">
        <f>VLOOKUP(B4,Outline!$E$8:$G$75,COLUMNS(Outline!$E$8:$G$8),FALSE)</f>
        <v>Exhibit F.1</v>
      </c>
      <c r="C3" s="188"/>
      <c r="D3" s="188"/>
      <c r="E3" s="188"/>
      <c r="F3" s="188"/>
    </row>
    <row r="4" spans="2:6" ht="16.5" customHeight="1" thickBot="1">
      <c r="B4" s="726" t="s">
        <v>2052</v>
      </c>
      <c r="C4" s="726"/>
      <c r="D4" s="726"/>
      <c r="E4" s="726"/>
      <c r="F4" s="727"/>
    </row>
    <row r="5" spans="2:6" ht="14.85" customHeight="1" thickTop="1">
      <c r="B5" s="324"/>
    </row>
    <row r="6" spans="2:6" ht="14.85" customHeight="1">
      <c r="B6" s="1137" t="s">
        <v>588</v>
      </c>
      <c r="C6" s="1073"/>
      <c r="D6" s="1821" t="s">
        <v>571</v>
      </c>
      <c r="F6" s="1140" t="s">
        <v>70</v>
      </c>
    </row>
    <row r="7" spans="2:6" ht="14.85" customHeight="1">
      <c r="D7" s="273"/>
      <c r="F7" s="1141"/>
    </row>
    <row r="8" spans="2:6" ht="14.85" customHeight="1">
      <c r="B8" s="179" t="s">
        <v>2042</v>
      </c>
      <c r="D8" s="263">
        <f>'OPM 1'!D10</f>
        <v>2.5</v>
      </c>
      <c r="F8" s="185" t="str">
        <f>'OPM 1'!B3</f>
        <v>Exhibit B.1</v>
      </c>
    </row>
    <row r="9" spans="2:6" ht="14.85" customHeight="1">
      <c r="B9" s="179" t="s">
        <v>2043</v>
      </c>
      <c r="D9" s="564">
        <v>1</v>
      </c>
      <c r="F9" s="254" t="s">
        <v>261</v>
      </c>
    </row>
    <row r="10" spans="2:6" ht="14.85" customHeight="1">
      <c r="B10" s="1143" t="s">
        <v>2044</v>
      </c>
      <c r="C10" s="691"/>
      <c r="D10" s="1144">
        <f>SUM(D8:D9)</f>
        <v>3.5</v>
      </c>
      <c r="F10" s="185"/>
    </row>
    <row r="11" spans="2:6" ht="14.85" customHeight="1"/>
    <row r="12" spans="2:6" ht="14.85" customHeight="1">
      <c r="B12" s="1137" t="s">
        <v>474</v>
      </c>
      <c r="C12" s="1073"/>
      <c r="D12" s="1821" t="str">
        <f>D6</f>
        <v>OPM</v>
      </c>
    </row>
    <row r="13" spans="2:6" ht="14.85" customHeight="1"/>
    <row r="14" spans="2:6" ht="14.85" customHeight="1">
      <c r="B14" s="1145" t="s">
        <v>71</v>
      </c>
      <c r="C14" s="1146"/>
      <c r="D14" s="1936">
        <f>D10</f>
        <v>3.5</v>
      </c>
      <c r="F14" s="1147"/>
    </row>
    <row r="15" spans="2:6" ht="14.85" customHeight="1">
      <c r="B15" s="338" t="s">
        <v>72</v>
      </c>
      <c r="D15" s="1937">
        <f>'Risk-Free Rates'!E35</f>
        <v>2.64E-2</v>
      </c>
      <c r="F15" s="1540" t="str">
        <f>'Risk-Free Rates'!B3</f>
        <v>Exhibit F.5</v>
      </c>
    </row>
    <row r="16" spans="2:6" ht="14.85" customHeight="1">
      <c r="B16" s="338" t="s">
        <v>73</v>
      </c>
      <c r="D16" s="1148">
        <v>0</v>
      </c>
      <c r="F16" s="549"/>
    </row>
    <row r="17" spans="2:6" ht="14.85" customHeight="1">
      <c r="B17" s="338" t="s">
        <v>74</v>
      </c>
      <c r="D17" s="1938">
        <f>'Asset Vol_DLOM'!Q29</f>
        <v>0.872</v>
      </c>
      <c r="F17" s="882" t="s">
        <v>260</v>
      </c>
    </row>
    <row r="18" spans="2:6" ht="14.85" customHeight="1">
      <c r="B18" s="338"/>
      <c r="D18" s="339"/>
    </row>
    <row r="19" spans="2:6" ht="14.85" customHeight="1">
      <c r="B19" s="338" t="s">
        <v>75</v>
      </c>
      <c r="D19" s="1149">
        <f>D17^2*D14</f>
        <v>2.6613439999999997</v>
      </c>
    </row>
    <row r="20" spans="2:6" ht="14.85" customHeight="1">
      <c r="B20" s="338" t="s">
        <v>76</v>
      </c>
      <c r="D20" s="1149">
        <f>(D17^2*D14+LN(2*(EXP(D19)-D17^2*D14-1))-2*LN(EXP(D19)-1))^0.5</f>
        <v>0.73660218340302885</v>
      </c>
    </row>
    <row r="21" spans="2:6" ht="14.85" customHeight="1">
      <c r="B21" s="338" t="s">
        <v>77</v>
      </c>
      <c r="D21" s="1149">
        <f>((D15-D16)*D14)/D20+0.5*D20</f>
        <v>0.49374193627398255</v>
      </c>
    </row>
    <row r="22" spans="2:6" ht="14.85" customHeight="1">
      <c r="B22" s="338" t="s">
        <v>78</v>
      </c>
      <c r="D22" s="1149">
        <f>((D15-D16)*D14)/D20-0.5*D20</f>
        <v>-0.2428602471290463</v>
      </c>
    </row>
    <row r="23" spans="2:6" ht="14.85" customHeight="1">
      <c r="B23" s="338"/>
      <c r="D23" s="1151"/>
    </row>
    <row r="24" spans="2:6" ht="14.85" customHeight="1">
      <c r="B24" s="1152" t="s">
        <v>79</v>
      </c>
      <c r="C24" s="1153"/>
      <c r="D24" s="1155">
        <f>EXP((D15-D16)*D14)*NORMSDIST(D21)-NORMSDIST(D22)</f>
        <v>0.35192128805326645</v>
      </c>
    </row>
    <row r="25" spans="2:6" ht="14.85" customHeight="1"/>
    <row r="26" spans="2:6" ht="14.85" customHeight="1">
      <c r="B26" s="1137" t="s">
        <v>80</v>
      </c>
      <c r="C26" s="1073"/>
      <c r="D26" s="1821" t="str">
        <f>D12</f>
        <v>OPM</v>
      </c>
    </row>
    <row r="27" spans="2:6" ht="14.85" customHeight="1"/>
    <row r="28" spans="2:6" ht="14.85" customHeight="1">
      <c r="B28" s="1145" t="s">
        <v>81</v>
      </c>
      <c r="C28" s="1146"/>
      <c r="D28" s="1946">
        <v>1</v>
      </c>
    </row>
    <row r="29" spans="2:6" ht="14.85" customHeight="1">
      <c r="B29" s="338" t="s">
        <v>82</v>
      </c>
      <c r="D29" s="593">
        <v>1</v>
      </c>
    </row>
    <row r="30" spans="2:6" ht="14.85" customHeight="1">
      <c r="B30" s="338" t="s">
        <v>83</v>
      </c>
      <c r="D30" s="653">
        <f>D14</f>
        <v>3.5</v>
      </c>
      <c r="F30" s="606"/>
    </row>
    <row r="31" spans="2:6" ht="14.85" customHeight="1">
      <c r="B31" s="338" t="s">
        <v>72</v>
      </c>
      <c r="D31" s="1156">
        <f>D15</f>
        <v>2.64E-2</v>
      </c>
      <c r="F31" s="606" t="str">
        <f>+F15</f>
        <v>Exhibit F.5</v>
      </c>
    </row>
    <row r="32" spans="2:6" ht="14.85" customHeight="1">
      <c r="B32" s="338" t="s">
        <v>74</v>
      </c>
      <c r="D32" s="494">
        <f>D17</f>
        <v>0.872</v>
      </c>
      <c r="F32" s="606" t="str">
        <f>+F17</f>
        <v>(2)</v>
      </c>
    </row>
    <row r="33" spans="2:6" ht="14.85" customHeight="1">
      <c r="B33" s="338"/>
      <c r="D33" s="339"/>
    </row>
    <row r="34" spans="2:6" ht="14.85" customHeight="1">
      <c r="B34" s="338" t="s">
        <v>84</v>
      </c>
      <c r="D34" s="1149">
        <f>(LN(D28/D29)+(D31+D32^2/2)*D30)/(D32*SQRT(D30))</f>
        <v>0.87232107809815962</v>
      </c>
    </row>
    <row r="35" spans="2:6" ht="14.85" customHeight="1">
      <c r="B35" s="338" t="s">
        <v>85</v>
      </c>
      <c r="D35" s="1149">
        <f>D34-D32*SQRT(D30)</f>
        <v>-0.75904154253527878</v>
      </c>
    </row>
    <row r="36" spans="2:6" ht="14.85" customHeight="1">
      <c r="B36" s="338"/>
      <c r="D36" s="339"/>
    </row>
    <row r="37" spans="2:6" ht="14.85" customHeight="1">
      <c r="B37" s="1152" t="s">
        <v>79</v>
      </c>
      <c r="C37" s="264"/>
      <c r="D37" s="1155">
        <f>D29*EXP(-D31*D30)*NORMSDIST(-D35)-D28*NORMSDIST(-D34)</f>
        <v>0.51607245777386979</v>
      </c>
    </row>
    <row r="38" spans="2:6" ht="14.85" customHeight="1"/>
    <row r="39" spans="2:6" ht="14.85" customHeight="1">
      <c r="B39" s="1137" t="s">
        <v>470</v>
      </c>
      <c r="C39" s="1073"/>
      <c r="D39" s="1821" t="str">
        <f>D12</f>
        <v>OPM</v>
      </c>
    </row>
    <row r="40" spans="2:6" ht="14.85" customHeight="1"/>
    <row r="41" spans="2:6" ht="14.85" customHeight="1">
      <c r="B41" s="1145" t="s">
        <v>83</v>
      </c>
      <c r="C41" s="1146"/>
      <c r="D41" s="1935">
        <f>+D30</f>
        <v>3.5</v>
      </c>
      <c r="F41" s="606"/>
    </row>
    <row r="42" spans="2:6" ht="14.85" customHeight="1">
      <c r="B42" s="338" t="s">
        <v>81</v>
      </c>
      <c r="D42" s="593">
        <f>+D28</f>
        <v>1</v>
      </c>
    </row>
    <row r="43" spans="2:6" ht="14.85" customHeight="1">
      <c r="B43" s="338" t="s">
        <v>82</v>
      </c>
      <c r="D43" s="593">
        <f>+D29</f>
        <v>1</v>
      </c>
    </row>
    <row r="44" spans="2:6" ht="14.85" customHeight="1">
      <c r="B44" s="338" t="s">
        <v>73</v>
      </c>
      <c r="D44" s="1156">
        <f>+D16</f>
        <v>0</v>
      </c>
    </row>
    <row r="45" spans="2:6" ht="14.85" customHeight="1">
      <c r="B45" s="338" t="s">
        <v>74</v>
      </c>
      <c r="D45" s="494">
        <f>+D17</f>
        <v>0.872</v>
      </c>
      <c r="F45" s="606" t="str">
        <f>F17</f>
        <v>(2)</v>
      </c>
    </row>
    <row r="46" spans="2:6" ht="14.85" customHeight="1">
      <c r="B46" s="338"/>
      <c r="D46" s="339"/>
    </row>
    <row r="47" spans="2:6" ht="14.85" customHeight="1">
      <c r="B47" s="338" t="s">
        <v>472</v>
      </c>
      <c r="D47" s="1149">
        <f>LN(2*(EXP((D45^2)*D41)-((D45^2)*D41)-1))-2*(LN((D45^2)*D41))</f>
        <v>1.1014362378880405</v>
      </c>
    </row>
    <row r="48" spans="2:6" ht="14.85" customHeight="1">
      <c r="B48" s="338" t="s">
        <v>473</v>
      </c>
      <c r="D48" s="1149">
        <f>SQRT(D47)</f>
        <v>1.049493324365639</v>
      </c>
    </row>
    <row r="49" spans="2:6" ht="14.85" customHeight="1">
      <c r="B49" s="338"/>
      <c r="D49" s="339"/>
    </row>
    <row r="50" spans="2:6" ht="14.85" customHeight="1">
      <c r="B50" s="1152" t="s">
        <v>79</v>
      </c>
      <c r="C50" s="264"/>
      <c r="D50" s="1155">
        <f>EXP(-D44*D41)*D43*(2*NORMSDIST(D48/2)-1)</f>
        <v>0.40024068538139113</v>
      </c>
    </row>
    <row r="51" spans="2:6" ht="14.85" customHeight="1"/>
    <row r="52" spans="2:6" ht="14.85" hidden="1" customHeight="1" outlineLevel="1">
      <c r="B52" s="1157" t="s">
        <v>2316</v>
      </c>
      <c r="C52" s="1158"/>
      <c r="D52" s="1821" t="str">
        <f>D6</f>
        <v>OPM</v>
      </c>
    </row>
    <row r="53" spans="2:6" ht="14.85" hidden="1" customHeight="1" outlineLevel="1"/>
    <row r="54" spans="2:6" ht="14.85" hidden="1" customHeight="1" outlineLevel="1">
      <c r="B54" s="1159" t="s">
        <v>71</v>
      </c>
      <c r="C54" s="1160"/>
      <c r="D54" s="1161">
        <f>D10</f>
        <v>3.5</v>
      </c>
      <c r="F54" s="185" t="str">
        <f>F8</f>
        <v>Exhibit B.1</v>
      </c>
    </row>
    <row r="55" spans="2:6" ht="14.85" hidden="1" customHeight="1" outlineLevel="1">
      <c r="B55" s="338" t="s">
        <v>72</v>
      </c>
      <c r="D55" s="1162">
        <f>D15</f>
        <v>2.64E-2</v>
      </c>
      <c r="F55" s="180" t="str">
        <f>F15</f>
        <v>Exhibit F.5</v>
      </c>
    </row>
    <row r="56" spans="2:6" ht="14.85" hidden="1" customHeight="1" outlineLevel="1">
      <c r="B56" s="338" t="s">
        <v>73</v>
      </c>
      <c r="D56" s="303">
        <f>D16</f>
        <v>0</v>
      </c>
    </row>
    <row r="57" spans="2:6" ht="14.85" hidden="1" customHeight="1" outlineLevel="1">
      <c r="B57" s="338" t="s">
        <v>74</v>
      </c>
      <c r="D57" s="303">
        <f>D17</f>
        <v>0.872</v>
      </c>
      <c r="F57" s="275"/>
    </row>
    <row r="58" spans="2:6" ht="14.85" hidden="1" customHeight="1" outlineLevel="1">
      <c r="B58" s="338"/>
    </row>
    <row r="59" spans="2:6" ht="14.85" hidden="1" customHeight="1" outlineLevel="1">
      <c r="B59" s="338" t="s">
        <v>75</v>
      </c>
      <c r="D59" s="325">
        <f>D57^2*D54</f>
        <v>2.6613439999999997</v>
      </c>
    </row>
    <row r="60" spans="2:6" ht="14.85" hidden="1" customHeight="1" outlineLevel="1">
      <c r="B60" s="338"/>
      <c r="D60" s="325"/>
    </row>
    <row r="61" spans="2:6" ht="14.85" hidden="1" customHeight="1" outlineLevel="1">
      <c r="B61" s="338" t="s">
        <v>2317</v>
      </c>
      <c r="D61" s="257">
        <f>(2+(D59/2))*NORMSDIST(SQRT(D59)/2)+(SQRT(D59/(2*PI()))*EXP(-D59/8))-1</f>
        <v>2.1067293552264763</v>
      </c>
    </row>
    <row r="62" spans="2:6" ht="14.85" hidden="1" customHeight="1" outlineLevel="1">
      <c r="B62" s="338"/>
      <c r="D62" s="325"/>
    </row>
    <row r="63" spans="2:6" ht="14.85" hidden="1" customHeight="1" outlineLevel="1">
      <c r="B63" s="1152" t="s">
        <v>2318</v>
      </c>
      <c r="C63" s="1153"/>
      <c r="D63" s="1154">
        <f>D61/(1+D61)</f>
        <v>0.67811808314821764</v>
      </c>
    </row>
    <row r="64" spans="2:6" ht="14.85" hidden="1" customHeight="1" outlineLevel="1"/>
    <row r="65" spans="1:6" ht="14.85" customHeight="1" collapsed="1">
      <c r="B65" s="2052" t="s">
        <v>79</v>
      </c>
      <c r="C65" s="1943"/>
      <c r="D65" s="1944">
        <f>MROUND(AVERAGE(D50,D24),5%)</f>
        <v>0.4</v>
      </c>
    </row>
    <row r="66" spans="1:6" ht="14.85" customHeight="1"/>
    <row r="67" spans="1:6" ht="14.85" customHeight="1">
      <c r="B67" s="1942" t="s">
        <v>475</v>
      </c>
      <c r="C67" s="1943"/>
      <c r="D67" s="1945">
        <v>0.4</v>
      </c>
    </row>
    <row r="68" spans="1:6" ht="14.85" customHeight="1"/>
    <row r="69" spans="1:6" ht="14.85" customHeight="1">
      <c r="B69" s="272" t="s">
        <v>86</v>
      </c>
    </row>
    <row r="70" spans="1:6" ht="27" customHeight="1">
      <c r="A70" s="1167" t="str">
        <f>F9</f>
        <v>(1)</v>
      </c>
      <c r="B70" s="2060" t="str">
        <f>"We applied an additional term of "&amp;TEXT(D9,"0.0")&amp;" year to account for a structured exit for a biopharma company in which cash flows to a preferred shareholder and a common shareholder would accrue over a period given the split of deal value between upfront and milestone payments."</f>
        <v>We applied an additional term of 1.0 year to account for a structured exit for a biopharma company in which cash flows to a preferred shareholder and a common shareholder would accrue over a period given the split of deal value between upfront and milestone payments.</v>
      </c>
      <c r="C70" s="2060"/>
      <c r="D70" s="2060"/>
      <c r="E70" s="2060"/>
      <c r="F70" s="2060"/>
    </row>
    <row r="71" spans="1:6" ht="14.85" customHeight="1">
      <c r="A71" s="1167" t="str">
        <f>F32</f>
        <v>(2)</v>
      </c>
      <c r="B71" s="1168" t="str">
        <f>"Refer to "&amp;'Asset Vol_OPM'!B3&amp;" through "&amp;'Equity Vol'!B3&amp;"."</f>
        <v>Refer to Exhibit F.2 through Exhibit F.4.</v>
      </c>
      <c r="C71" s="1653"/>
      <c r="D71" s="1653"/>
      <c r="E71" s="1653"/>
      <c r="F71" s="1653"/>
    </row>
    <row r="72" spans="1:6" ht="14.85" customHeight="1">
      <c r="A72" s="1088"/>
      <c r="C72" s="961"/>
      <c r="D72" s="961"/>
      <c r="E72" s="961"/>
      <c r="F72" s="961"/>
    </row>
    <row r="73" spans="1:6" ht="14.85" customHeight="1"/>
    <row r="74" spans="1:6" ht="14.85" customHeight="1"/>
    <row r="75" spans="1:6" ht="14.85" customHeight="1"/>
    <row r="76" spans="1:6" ht="14.85" customHeight="1"/>
    <row r="77" spans="1:6" ht="14.85" customHeight="1"/>
    <row r="78" spans="1:6" ht="14.85" customHeight="1"/>
    <row r="79" spans="1:6" ht="14.85" customHeight="1"/>
    <row r="80" spans="1:6"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sheetData>
  <mergeCells count="1">
    <mergeCell ref="B70:F70"/>
  </mergeCells>
  <conditionalFormatting sqref="B4:E4">
    <cfRule type="cellIs" dxfId="313" priority="10" stopIfTrue="1" operator="equal">
      <formula>"input"</formula>
    </cfRule>
  </conditionalFormatting>
  <conditionalFormatting sqref="F4">
    <cfRule type="cellIs" dxfId="312" priority="6" stopIfTrue="1" operator="equal">
      <formula>"input"</formula>
    </cfRule>
  </conditionalFormatting>
  <conditionalFormatting sqref="F4">
    <cfRule type="cellIs" dxfId="311" priority="7" stopIfTrue="1" operator="equal">
      <formula>"input"</formula>
    </cfRule>
  </conditionalFormatting>
  <conditionalFormatting sqref="D9">
    <cfRule type="cellIs" dxfId="310" priority="4" operator="equal">
      <formula>0</formula>
    </cfRule>
  </conditionalFormatting>
  <pageMargins left="0.5" right="0.5" top="0.5" bottom="0.5" header="0.5" footer="0.5"/>
  <pageSetup scale="80" fitToWidth="0" fitToHeight="0" orientation="landscape" r:id="rId1"/>
  <rowBreaks count="1" manualBreakCount="1">
    <brk id="38" max="6" man="1"/>
  </rowBreaks>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1"/>
  <dimension ref="A1:AI743"/>
  <sheetViews>
    <sheetView showGridLines="0" tabSelected="1" view="pageBreakPreview" topLeftCell="A22" zoomScale="80" zoomScaleNormal="100" zoomScaleSheetLayoutView="80" workbookViewId="0">
      <selection activeCell="H11" sqref="H11"/>
    </sheetView>
  </sheetViews>
  <sheetFormatPr defaultRowHeight="12.75" outlineLevelRow="1" outlineLevelCol="1"/>
  <cols>
    <col min="1" max="1" width="4.5" style="179" customWidth="1"/>
    <col min="2" max="2" width="42.1640625" style="179" customWidth="1"/>
    <col min="3" max="3" width="3.5" style="179" customWidth="1"/>
    <col min="4" max="4" width="13.1640625" style="179" customWidth="1"/>
    <col min="5" max="5" width="10.83203125" style="179" hidden="1" customWidth="1" outlineLevel="1"/>
    <col min="6" max="7" width="9.83203125" style="179" hidden="1" customWidth="1" outlineLevel="1"/>
    <col min="8" max="8" width="12.83203125" style="179" customWidth="1" collapsed="1"/>
    <col min="9" max="11" width="12.83203125" style="179" customWidth="1"/>
    <col min="12" max="12" width="2.83203125" style="179" customWidth="1"/>
    <col min="13" max="15" width="12.83203125" style="179" customWidth="1"/>
    <col min="16" max="16" width="2.83203125" style="549" customWidth="1"/>
    <col min="17" max="17" width="12.83203125" style="179" customWidth="1"/>
    <col min="18" max="18" width="2.83203125" style="179" customWidth="1"/>
    <col min="19" max="19" width="11.6640625" style="179" hidden="1" customWidth="1" outlineLevel="1"/>
    <col min="20" max="23" width="8.83203125" style="179" hidden="1" customWidth="1" outlineLevel="1"/>
    <col min="24" max="24" width="12.83203125" style="179" customWidth="1" collapsed="1"/>
    <col min="25" max="25" width="12.83203125" style="179" customWidth="1"/>
    <col min="26" max="26" width="4.5" style="179" customWidth="1"/>
    <col min="27" max="27" width="17.5" style="179" bestFit="1" customWidth="1"/>
    <col min="28" max="28" width="14.33203125" style="179" bestFit="1" customWidth="1"/>
    <col min="29" max="29" width="9.6640625" style="179" bestFit="1" customWidth="1"/>
    <col min="30" max="30" width="10.1640625" style="179" bestFit="1" customWidth="1"/>
    <col min="31" max="16384" width="9.33203125" style="179"/>
  </cols>
  <sheetData>
    <row r="1" spans="2:35" ht="10.7" customHeight="1" thickBot="1">
      <c r="P1" s="179"/>
    </row>
    <row r="2" spans="2:35"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AA2" s="909" t="s">
        <v>87</v>
      </c>
      <c r="AB2" s="910">
        <f>+'Comp.1'!$AL$2</f>
        <v>43245</v>
      </c>
    </row>
    <row r="3" spans="2:35" ht="15.75" customHeight="1">
      <c r="B3" s="188" t="str">
        <f>VLOOKUP(B4,Outline!$E$8:$G$75,COLUMNS(Outline!$E$8:$G$8),FALSE)</f>
        <v>Exhibit F.2</v>
      </c>
      <c r="C3" s="188"/>
      <c r="D3" s="188"/>
      <c r="E3" s="188"/>
      <c r="F3" s="188"/>
      <c r="G3" s="188"/>
      <c r="H3" s="188"/>
      <c r="I3" s="188"/>
      <c r="J3" s="188"/>
      <c r="K3" s="188"/>
      <c r="L3" s="188"/>
      <c r="M3" s="188"/>
      <c r="N3" s="188"/>
      <c r="O3" s="188"/>
      <c r="P3" s="188"/>
      <c r="Q3" s="188"/>
      <c r="R3" s="188"/>
      <c r="S3" s="188"/>
      <c r="T3" s="188"/>
      <c r="U3" s="188"/>
      <c r="V3" s="188"/>
      <c r="W3" s="188"/>
      <c r="X3" s="188"/>
      <c r="Y3" s="188"/>
      <c r="AA3" s="911" t="s">
        <v>462</v>
      </c>
      <c r="AB3" s="912" t="str">
        <f>+'Comp.1'!$AL$3</f>
        <v>F</v>
      </c>
    </row>
    <row r="4" spans="2:35" ht="16.5" customHeight="1" thickBot="1">
      <c r="B4" s="726" t="s">
        <v>2050</v>
      </c>
      <c r="C4" s="726"/>
      <c r="D4" s="726"/>
      <c r="E4" s="726"/>
      <c r="F4" s="726"/>
      <c r="G4" s="726"/>
      <c r="H4" s="726"/>
      <c r="I4" s="726"/>
      <c r="J4" s="727"/>
      <c r="K4" s="727"/>
      <c r="L4" s="727"/>
      <c r="M4" s="727"/>
      <c r="N4" s="727"/>
      <c r="O4" s="727"/>
      <c r="P4" s="727"/>
      <c r="Q4" s="727"/>
      <c r="R4" s="727"/>
      <c r="S4" s="727"/>
      <c r="T4" s="727"/>
      <c r="U4" s="727"/>
      <c r="V4" s="727"/>
      <c r="W4" s="727"/>
      <c r="X4" s="727"/>
      <c r="Y4" s="727" t="str">
        <f>+'MASTER PubCo Inputs'!$C$24</f>
        <v>(in millions of USD)</v>
      </c>
      <c r="AA4" s="911" t="s">
        <v>463</v>
      </c>
      <c r="AB4" s="912" t="str">
        <f>+'Comp.1'!$AL$4</f>
        <v>USD</v>
      </c>
    </row>
    <row r="5" spans="2:35" ht="14.85" customHeight="1" thickTop="1">
      <c r="B5" s="549"/>
      <c r="AA5" s="378" t="s">
        <v>89</v>
      </c>
      <c r="AB5" s="913" t="str">
        <f>+'Comp.1'!$AL$5</f>
        <v>H</v>
      </c>
    </row>
    <row r="6" spans="2:35" ht="14.85" hidden="1" customHeight="1" outlineLevel="1">
      <c r="N6" s="551">
        <f>'OPM 1'!D10</f>
        <v>2.5</v>
      </c>
      <c r="O6" s="554">
        <f>'Risk-Free Rates'!E27</f>
        <v>2.5399999999999999E-2</v>
      </c>
      <c r="Q6" s="263">
        <f>HLOOKUP(ROUND(N6,0),'Equity Vol'!$D$8:$K$8,1,TRUE)</f>
        <v>3</v>
      </c>
    </row>
    <row r="7" spans="2:35" ht="30" customHeight="1" collapsed="1">
      <c r="D7" s="1169" t="s">
        <v>91</v>
      </c>
      <c r="E7" s="1170"/>
      <c r="F7" s="1170"/>
      <c r="G7" s="1170"/>
      <c r="H7" s="1170"/>
      <c r="I7" s="1170"/>
      <c r="J7" s="1170"/>
      <c r="K7" s="1171"/>
      <c r="M7" s="1169" t="s">
        <v>92</v>
      </c>
      <c r="N7" s="1170"/>
      <c r="O7" s="1170"/>
      <c r="P7" s="1172"/>
      <c r="Q7" s="1171"/>
      <c r="S7" s="1169" t="s">
        <v>93</v>
      </c>
      <c r="T7" s="1170"/>
      <c r="U7" s="1170"/>
      <c r="V7" s="1170"/>
      <c r="W7" s="1170"/>
      <c r="X7" s="1173" t="s">
        <v>93</v>
      </c>
      <c r="Y7" s="1174"/>
    </row>
    <row r="8" spans="2:35" s="200" customFormat="1" ht="45" customHeight="1">
      <c r="B8" s="1175" t="s">
        <v>733</v>
      </c>
      <c r="D8" s="1176" t="s">
        <v>94</v>
      </c>
      <c r="E8" s="1177" t="s">
        <v>95</v>
      </c>
      <c r="F8" s="1177" t="s">
        <v>96</v>
      </c>
      <c r="G8" s="1177" t="s">
        <v>97</v>
      </c>
      <c r="H8" s="1177" t="s">
        <v>98</v>
      </c>
      <c r="I8" s="1177" t="s">
        <v>99</v>
      </c>
      <c r="J8" s="1177" t="s">
        <v>100</v>
      </c>
      <c r="K8" s="1178" t="s">
        <v>101</v>
      </c>
      <c r="L8" s="265"/>
      <c r="M8" s="1176" t="s">
        <v>73</v>
      </c>
      <c r="N8" s="1177" t="s">
        <v>102</v>
      </c>
      <c r="O8" s="1178" t="s">
        <v>72</v>
      </c>
      <c r="P8" s="1016"/>
      <c r="Q8" s="1179" t="s">
        <v>103</v>
      </c>
      <c r="R8" s="1016"/>
      <c r="S8" s="1176" t="s">
        <v>104</v>
      </c>
      <c r="T8" s="1177" t="s">
        <v>84</v>
      </c>
      <c r="U8" s="1177" t="s">
        <v>85</v>
      </c>
      <c r="V8" s="1177" t="s">
        <v>105</v>
      </c>
      <c r="W8" s="1177" t="s">
        <v>106</v>
      </c>
      <c r="X8" s="1017" t="s">
        <v>107</v>
      </c>
      <c r="Y8" s="1178" t="s">
        <v>3229</v>
      </c>
      <c r="AA8" s="562" t="s">
        <v>108</v>
      </c>
      <c r="AB8" s="454" t="s">
        <v>109</v>
      </c>
      <c r="AC8" s="454" t="s">
        <v>110</v>
      </c>
      <c r="AD8" s="1180"/>
    </row>
    <row r="9" spans="2:35" ht="14.85" customHeight="1"/>
    <row r="10" spans="2:35" ht="14.85" customHeight="1">
      <c r="B10" s="179" t="str">
        <f>'Comp.1'!B12</f>
        <v>Editas Medicine, Inc.</v>
      </c>
      <c r="D10" s="255">
        <f>IF($B10="(Invalid Identifier)","",'Beta Calc'!K10)</f>
        <v>1705.3104800000001</v>
      </c>
      <c r="E10" s="255">
        <f>IF($B10="(Invalid Identifier)","",'Beta Calc'!L10)</f>
        <v>33.19</v>
      </c>
      <c r="F10" s="255" t="str">
        <f>IF($B10="(Invalid Identifier)","",'Beta Calc'!M10)</f>
        <v>n/a</v>
      </c>
      <c r="G10" s="255" t="str">
        <f>IF($B10="(Invalid Identifier)","",'Beta Calc'!N10)</f>
        <v>n/a</v>
      </c>
      <c r="H10" s="255">
        <f t="shared" ref="H10:H14" si="0">SUM(E10:G10)</f>
        <v>33.19</v>
      </c>
      <c r="I10" s="255">
        <f t="shared" ref="I10:I14" si="1">SUM(D10:G10)</f>
        <v>1738.5004800000002</v>
      </c>
      <c r="J10" s="255">
        <f>IF($B10="(Invalid Identifier)","",'Beta Calc'!Q10)</f>
        <v>358.82100000000003</v>
      </c>
      <c r="K10" s="576">
        <f t="shared" ref="K10:K14" si="2">IFERROR(I10-J10,"n/a")</f>
        <v>1379.6794800000002</v>
      </c>
      <c r="M10" s="384">
        <f>IFERROR('Capital IQ Sheet-GPC'!AT13,"n/a")</f>
        <v>0</v>
      </c>
      <c r="N10" s="255">
        <f t="shared" ref="N10:O18" si="3">N$6</f>
        <v>2.5</v>
      </c>
      <c r="O10" s="1181">
        <f t="shared" si="3"/>
        <v>2.5399999999999999E-2</v>
      </c>
      <c r="P10" s="1162"/>
      <c r="Q10" s="1182">
        <f>IFERROR(HLOOKUP($Q$6,'Equity Vol'!$B$8:$K10,ROWS('Equity Vol'!$C$8:$C10),FALSE),"n/a")</f>
        <v>0.78204917356370451</v>
      </c>
      <c r="R10" s="303"/>
      <c r="S10" s="1183">
        <f t="shared" ref="S10:S14" si="4">IFERROR(IF(Q10="n/a","n/a",Q10^2),"n/a")</f>
        <v>0.61160090987167326</v>
      </c>
      <c r="T10" s="1183">
        <f t="shared" ref="T10:T14" si="5">IF(OR(K10="n/a",S10="n/a"),"n/a",IF(H10=0,0,IF(M10=0,(LN(K10/H10)+((O10+(S10/2))*N10))/((S10*N10)^0.5),(LN(K10/H10)+((O10-M10+(S10/2))*N10))/((S10*N10)^0.5))))</f>
        <v>3.683990851918443</v>
      </c>
      <c r="U10" s="1184">
        <f t="shared" ref="U10:U14" si="6">IF(T10="n/a","n/a",IF(H10=0,0,T10-(S10*N10)^0.5))</f>
        <v>2.4474625365616198</v>
      </c>
      <c r="V10" s="1184">
        <f t="shared" ref="V10:V14" si="7">IF(OR(T10="n/a",S10="n/a"),"n/a",IF(H10=0,0,NORMSDIST(T10)))</f>
        <v>0.99988519475762727</v>
      </c>
      <c r="W10" s="1184">
        <f t="shared" ref="W10:W14" si="8">IF(OR(U10="n/a",S10="n/a"),"n/a",IF(H10=0,0,NORMSDIST(U10)))</f>
        <v>0.99280669596697135</v>
      </c>
      <c r="X10" s="576">
        <f t="shared" ref="X10:X14" si="9">IF(OR(K10="n/a",S10="n/a"),"n/a",IF(M10=0,(K10*V10)-((H10*EXP(1)^(-O10*N10))*W10),(K10*(2.718^(-M10*N10))*V10)-(H10*(2.718^(-O10*N10))*W10)))</f>
        <v>1348.5971862609695</v>
      </c>
      <c r="Y10" s="1182">
        <f t="shared" ref="Y10:Y14" si="10">IFERROR(IF(LEN(B10)&gt;0,IF(H10=0,Q10,IF(ISERROR(Q10/((K10/X10)*V10)),"n/a",Q10/((K10/X10)*V10)))),"n/a")</f>
        <v>0.76451844485970966</v>
      </c>
      <c r="AA10" s="932" t="str">
        <f>IF('MASTER PubCo Inputs'!B28=0,"",'MASTER PubCo Inputs'!B28)</f>
        <v>NasdaqGS:EDIT</v>
      </c>
      <c r="AB10" s="255">
        <f>'Beta Calc'!Z10</f>
        <v>1379.67948</v>
      </c>
      <c r="AC10" s="933">
        <f t="shared" ref="AC10:AC14" si="11">K10-AB10</f>
        <v>0</v>
      </c>
      <c r="AI10" s="934"/>
    </row>
    <row r="11" spans="2:35" ht="14.85" customHeight="1">
      <c r="B11" s="179" t="str">
        <f>'Comp.1'!B13</f>
        <v>Oxford BioMedica plc</v>
      </c>
      <c r="D11" s="255">
        <f>IF($B11="(Invalid Identifier)","",'Beta Calc'!K11)</f>
        <v>655.68985999999995</v>
      </c>
      <c r="E11" s="255">
        <f>IF($B11="(Invalid Identifier)","",'Beta Calc'!L11)</f>
        <v>49.826320000000003</v>
      </c>
      <c r="F11" s="255" t="str">
        <f>IF($B11="(Invalid Identifier)","",'Beta Calc'!M11)</f>
        <v>n/a</v>
      </c>
      <c r="G11" s="255" t="str">
        <f>IF($B11="(Invalid Identifier)","",'Beta Calc'!N11)</f>
        <v>n/a</v>
      </c>
      <c r="H11" s="255">
        <f t="shared" si="0"/>
        <v>49.826320000000003</v>
      </c>
      <c r="I11" s="255">
        <f t="shared" si="1"/>
        <v>705.51617999999996</v>
      </c>
      <c r="J11" s="255">
        <f>IF($B11="(Invalid Identifier)","",'Beta Calc'!Q11)</f>
        <v>19.367439999999998</v>
      </c>
      <c r="K11" s="576">
        <f t="shared" si="2"/>
        <v>686.14873999999998</v>
      </c>
      <c r="M11" s="384">
        <f>IFERROR('Capital IQ Sheet-GPC'!AT14,"n/a")</f>
        <v>0</v>
      </c>
      <c r="N11" s="255">
        <f t="shared" si="3"/>
        <v>2.5</v>
      </c>
      <c r="O11" s="1181">
        <f t="shared" si="3"/>
        <v>2.5399999999999999E-2</v>
      </c>
      <c r="P11" s="1162"/>
      <c r="Q11" s="1182">
        <f>IFERROR(HLOOKUP($Q$6,'Equity Vol'!$B$8:$K11,ROWS('Equity Vol'!$C$8:$C11),FALSE),"n/a")</f>
        <v>0.59784182919662132</v>
      </c>
      <c r="R11" s="303"/>
      <c r="S11" s="1183">
        <f t="shared" si="4"/>
        <v>0.35741485273716217</v>
      </c>
      <c r="T11" s="1183">
        <f t="shared" si="5"/>
        <v>3.3142028735960434</v>
      </c>
      <c r="U11" s="1184">
        <f t="shared" si="6"/>
        <v>2.3689319432047053</v>
      </c>
      <c r="V11" s="1184">
        <f t="shared" si="7"/>
        <v>0.99954047600480389</v>
      </c>
      <c r="W11" s="1184">
        <f t="shared" si="8"/>
        <v>0.99108023210967655</v>
      </c>
      <c r="X11" s="576">
        <f t="shared" si="9"/>
        <v>639.48982110516715</v>
      </c>
      <c r="Y11" s="1182">
        <f t="shared" si="10"/>
        <v>0.55744404269829162</v>
      </c>
      <c r="AA11" s="932" t="str">
        <f>IF('MASTER PubCo Inputs'!B29=0,"",'MASTER PubCo Inputs'!B29)</f>
        <v>LSE:OXB</v>
      </c>
      <c r="AB11" s="255">
        <f>'Beta Calc'!Z11</f>
        <v>685.68294000000003</v>
      </c>
      <c r="AC11" s="933">
        <f t="shared" si="11"/>
        <v>0.4657999999999447</v>
      </c>
      <c r="AI11" s="934"/>
    </row>
    <row r="12" spans="2:35" ht="14.85" customHeight="1">
      <c r="B12" s="179" t="str">
        <f>'Comp.1'!B14</f>
        <v>Fennec Pharmaceuticals Inc.</v>
      </c>
      <c r="D12" s="255">
        <f>IF($B12="(Invalid Identifier)","",'Beta Calc'!K12)</f>
        <v>205.66506000000001</v>
      </c>
      <c r="E12" s="255">
        <f>IF($B12="(Invalid Identifier)","",'Beta Calc'!L12)</f>
        <v>0</v>
      </c>
      <c r="F12" s="255" t="str">
        <f>IF($B12="(Invalid Identifier)","",'Beta Calc'!M12)</f>
        <v>n/a</v>
      </c>
      <c r="G12" s="255" t="str">
        <f>IF($B12="(Invalid Identifier)","",'Beta Calc'!N12)</f>
        <v>n/a</v>
      </c>
      <c r="H12" s="255">
        <f t="shared" si="0"/>
        <v>0</v>
      </c>
      <c r="I12" s="255">
        <f t="shared" si="1"/>
        <v>205.66506000000001</v>
      </c>
      <c r="J12" s="255">
        <f>IF($B12="(Invalid Identifier)","",'Beta Calc'!Q12)</f>
        <v>26.719000000000001</v>
      </c>
      <c r="K12" s="576">
        <f t="shared" si="2"/>
        <v>178.94606000000002</v>
      </c>
      <c r="M12" s="384">
        <f>IFERROR('Capital IQ Sheet-GPC'!AT15,"n/a")</f>
        <v>0</v>
      </c>
      <c r="N12" s="255">
        <f t="shared" si="3"/>
        <v>2.5</v>
      </c>
      <c r="O12" s="1181">
        <f t="shared" si="3"/>
        <v>2.5399999999999999E-2</v>
      </c>
      <c r="P12" s="1162"/>
      <c r="Q12" s="1182">
        <f>IFERROR(HLOOKUP($Q$6,'Equity Vol'!$B$8:$K12,ROWS('Equity Vol'!$C$8:$C12),FALSE),"n/a")</f>
        <v>1.387449122489415</v>
      </c>
      <c r="R12" s="303"/>
      <c r="S12" s="1183">
        <f t="shared" si="4"/>
        <v>1.9250150674966477</v>
      </c>
      <c r="T12" s="1183">
        <f t="shared" si="5"/>
        <v>0</v>
      </c>
      <c r="U12" s="1184">
        <f t="shared" si="6"/>
        <v>0</v>
      </c>
      <c r="V12" s="1184">
        <f t="shared" si="7"/>
        <v>0</v>
      </c>
      <c r="W12" s="1184">
        <f t="shared" si="8"/>
        <v>0</v>
      </c>
      <c r="X12" s="576">
        <f t="shared" si="9"/>
        <v>0</v>
      </c>
      <c r="Y12" s="1182">
        <f t="shared" si="10"/>
        <v>1.387449122489415</v>
      </c>
      <c r="AA12" s="932" t="str">
        <f>IF('MASTER PubCo Inputs'!B30=0,"",'MASTER PubCo Inputs'!B30)</f>
        <v>NasdaqCM:FENC</v>
      </c>
      <c r="AB12" s="255">
        <f>'Beta Calc'!Z12</f>
        <v>178.94605999999999</v>
      </c>
      <c r="AC12" s="933">
        <f t="shared" si="11"/>
        <v>0</v>
      </c>
      <c r="AI12" s="934"/>
    </row>
    <row r="13" spans="2:35" ht="14.85" customHeight="1">
      <c r="B13" s="179" t="str">
        <f>'Comp.1'!B15</f>
        <v>ProQR Therapeutics N.V.</v>
      </c>
      <c r="D13" s="255">
        <f>IF($B13="(Invalid Identifier)","",'Beta Calc'!K13)</f>
        <v>188.339</v>
      </c>
      <c r="E13" s="255">
        <f>IF($B13="(Invalid Identifier)","",'Beta Calc'!L13)</f>
        <v>8.6983700000000006</v>
      </c>
      <c r="F13" s="255" t="str">
        <f>IF($B13="(Invalid Identifier)","",'Beta Calc'!M13)</f>
        <v>n/a</v>
      </c>
      <c r="G13" s="255">
        <f>IF($B13="(Invalid Identifier)","",'Beta Calc'!N13)</f>
        <v>-4.5629999999999997E-2</v>
      </c>
      <c r="H13" s="255">
        <f t="shared" si="0"/>
        <v>8.6527400000000014</v>
      </c>
      <c r="I13" s="255">
        <f t="shared" si="1"/>
        <v>196.99174000000002</v>
      </c>
      <c r="J13" s="255">
        <f>IF($B13="(Invalid Identifier)","",'Beta Calc'!Q13)</f>
        <v>57.755760000000002</v>
      </c>
      <c r="K13" s="576">
        <f t="shared" si="2"/>
        <v>139.23598000000001</v>
      </c>
      <c r="M13" s="384">
        <f>IFERROR('Capital IQ Sheet-GPC'!AT16,"n/a")</f>
        <v>0</v>
      </c>
      <c r="N13" s="255">
        <f t="shared" si="3"/>
        <v>2.5</v>
      </c>
      <c r="O13" s="1181">
        <f t="shared" si="3"/>
        <v>2.5399999999999999E-2</v>
      </c>
      <c r="P13" s="1162"/>
      <c r="Q13" s="1182">
        <f>IFERROR(HLOOKUP($Q$6,'Equity Vol'!$B$8:$K13,ROWS('Equity Vol'!$C$8:$C13),FALSE),"n/a")</f>
        <v>0.73107336829310765</v>
      </c>
      <c r="R13" s="303"/>
      <c r="S13" s="1183">
        <f t="shared" si="4"/>
        <v>0.53446826982742979</v>
      </c>
      <c r="T13" s="1183">
        <f t="shared" si="5"/>
        <v>3.0364157684623216</v>
      </c>
      <c r="U13" s="1184">
        <f t="shared" si="6"/>
        <v>1.8804872782136495</v>
      </c>
      <c r="V13" s="1184">
        <f t="shared" si="7"/>
        <v>0.99880295505301819</v>
      </c>
      <c r="W13" s="1184">
        <f t="shared" si="8"/>
        <v>0.96997915070808027</v>
      </c>
      <c r="X13" s="576">
        <f t="shared" si="9"/>
        <v>131.19271620321425</v>
      </c>
      <c r="Y13" s="1182">
        <f t="shared" si="10"/>
        <v>0.68966691587651918</v>
      </c>
      <c r="AA13" s="932" t="str">
        <f>IF('MASTER PubCo Inputs'!B31=0,"",'MASTER PubCo Inputs'!B31)</f>
        <v>NasdaqGM:PRQR</v>
      </c>
      <c r="AB13" s="255">
        <f>'Beta Calc'!Z13</f>
        <v>150.9237</v>
      </c>
      <c r="AC13" s="933">
        <f t="shared" si="11"/>
        <v>-11.687719999999985</v>
      </c>
      <c r="AI13" s="934"/>
    </row>
    <row r="14" spans="2:35" ht="14.85" customHeight="1">
      <c r="B14" s="179" t="str">
        <f>'Comp.1'!B16</f>
        <v>Genkyotex SA</v>
      </c>
      <c r="D14" s="255">
        <f>IF($B14="(Invalid Identifier)","",'Beta Calc'!K14)</f>
        <v>138.52769000000001</v>
      </c>
      <c r="E14" s="255">
        <f>IF($B14="(Invalid Identifier)","",'Beta Calc'!L14)</f>
        <v>0.48391000000000001</v>
      </c>
      <c r="F14" s="255" t="str">
        <f>IF($B14="(Invalid Identifier)","",'Beta Calc'!M14)</f>
        <v>n/a</v>
      </c>
      <c r="G14" s="255" t="str">
        <f>IF($B14="(Invalid Identifier)","",'Beta Calc'!N14)</f>
        <v>n/a</v>
      </c>
      <c r="H14" s="255">
        <f t="shared" si="0"/>
        <v>0.48391000000000001</v>
      </c>
      <c r="I14" s="255">
        <f t="shared" si="1"/>
        <v>139.01160000000002</v>
      </c>
      <c r="J14" s="255">
        <f>IF($B14="(Invalid Identifier)","",'Beta Calc'!Q14)</f>
        <v>13.622719999999999</v>
      </c>
      <c r="K14" s="576">
        <f t="shared" si="2"/>
        <v>125.38888000000001</v>
      </c>
      <c r="M14" s="384">
        <f>IFERROR('Capital IQ Sheet-GPC'!AT17,"n/a")</f>
        <v>0</v>
      </c>
      <c r="N14" s="255">
        <f t="shared" si="3"/>
        <v>2.5</v>
      </c>
      <c r="O14" s="1181">
        <f t="shared" si="3"/>
        <v>2.5399999999999999E-2</v>
      </c>
      <c r="P14" s="1162"/>
      <c r="Q14" s="1182">
        <f>IFERROR(HLOOKUP($Q$6,'Equity Vol'!$B$8:$K14,ROWS('Equity Vol'!$C$8:$C14),FALSE),"n/a")</f>
        <v>0.3917886476836604</v>
      </c>
      <c r="R14" s="303"/>
      <c r="S14" s="1183">
        <f t="shared" si="4"/>
        <v>0.15349834445379137</v>
      </c>
      <c r="T14" s="1183">
        <f t="shared" si="5"/>
        <v>9.3832278596868601</v>
      </c>
      <c r="U14" s="1184">
        <f t="shared" si="6"/>
        <v>8.7637556156480514</v>
      </c>
      <c r="V14" s="1184">
        <f t="shared" si="7"/>
        <v>1</v>
      </c>
      <c r="W14" s="1184">
        <f t="shared" si="8"/>
        <v>1</v>
      </c>
      <c r="X14" s="576">
        <f t="shared" si="9"/>
        <v>124.93474298892923</v>
      </c>
      <c r="Y14" s="1182">
        <f t="shared" si="10"/>
        <v>0.39036965641880084</v>
      </c>
      <c r="AA14" s="932" t="str">
        <f>IF('MASTER PubCo Inputs'!B32=0,"",'MASTER PubCo Inputs'!B32)</f>
        <v>ENXTPA:GKTX</v>
      </c>
      <c r="AB14" s="255">
        <f>'Beta Calc'!Z14</f>
        <v>125.77329</v>
      </c>
      <c r="AC14" s="933">
        <f t="shared" si="11"/>
        <v>-0.38440999999998837</v>
      </c>
      <c r="AI14" s="934"/>
    </row>
    <row r="15" spans="2:35" ht="14.85" customHeight="1">
      <c r="B15" s="179" t="str">
        <f>'Comp.1'!B17</f>
        <v>Novus Therapeutics, Inc.</v>
      </c>
      <c r="D15" s="255">
        <f>IF($B15="(Invalid Identifier)","",'Beta Calc'!K15)</f>
        <v>74.033280000000005</v>
      </c>
      <c r="E15" s="255">
        <f>IF($B15="(Invalid Identifier)","",'Beta Calc'!L15)</f>
        <v>0</v>
      </c>
      <c r="F15" s="255" t="str">
        <f>IF($B15="(Invalid Identifier)","",'Beta Calc'!M15)</f>
        <v>n/a</v>
      </c>
      <c r="G15" s="255" t="str">
        <f>IF($B15="(Invalid Identifier)","",'Beta Calc'!N15)</f>
        <v>n/a</v>
      </c>
      <c r="H15" s="255">
        <f t="shared" ref="H15:H18" si="12">SUM(E15:G15)</f>
        <v>0</v>
      </c>
      <c r="I15" s="255">
        <f t="shared" ref="I15:I18" si="13">SUM(D15:G15)</f>
        <v>74.033280000000005</v>
      </c>
      <c r="J15" s="255">
        <f>IF($B15="(Invalid Identifier)","",'Beta Calc'!Q15)</f>
        <v>22.523</v>
      </c>
      <c r="K15" s="576">
        <f t="shared" ref="K15:K18" si="14">IFERROR(I15-J15,"n/a")</f>
        <v>51.510280000000009</v>
      </c>
      <c r="M15" s="384">
        <f>IFERROR('Capital IQ Sheet-GPC'!AT18,"n/a")</f>
        <v>0</v>
      </c>
      <c r="N15" s="255">
        <f t="shared" si="3"/>
        <v>2.5</v>
      </c>
      <c r="O15" s="1181">
        <f t="shared" si="3"/>
        <v>2.5399999999999999E-2</v>
      </c>
      <c r="P15" s="1162"/>
      <c r="Q15" s="1182">
        <f>IFERROR(HLOOKUP($Q$6,'Equity Vol'!$B$8:$K15,ROWS('Equity Vol'!$C$8:$C15),FALSE),"n/a")</f>
        <v>0.69646624513060806</v>
      </c>
      <c r="R15" s="303"/>
      <c r="S15" s="1183">
        <f t="shared" ref="S15:S18" si="15">IFERROR(IF(Q15="n/a","n/a",Q15^2),"n/a")</f>
        <v>0.48506523060632822</v>
      </c>
      <c r="T15" s="1183">
        <f t="shared" ref="T15:T18" si="16">IF(OR(K15="n/a",S15="n/a"),"n/a",IF(H15=0,0,IF(M15=0,(LN(K15/H15)+((O15+(S15/2))*N15))/((S15*N15)^0.5),(LN(K15/H15)+((O15-M15+(S15/2))*N15))/((S15*N15)^0.5))))</f>
        <v>0</v>
      </c>
      <c r="U15" s="1184">
        <f t="shared" ref="U15:U18" si="17">IF(T15="n/a","n/a",IF(H15=0,0,T15-(S15*N15)^0.5))</f>
        <v>0</v>
      </c>
      <c r="V15" s="1184">
        <f t="shared" ref="V15:V18" si="18">IF(OR(T15="n/a",S15="n/a"),"n/a",IF(H15=0,0,NORMSDIST(T15)))</f>
        <v>0</v>
      </c>
      <c r="W15" s="1184">
        <f t="shared" ref="W15:W18" si="19">IF(OR(U15="n/a",S15="n/a"),"n/a",IF(H15=0,0,NORMSDIST(U15)))</f>
        <v>0</v>
      </c>
      <c r="X15" s="576">
        <f t="shared" ref="X15:X18" si="20">IF(OR(K15="n/a",S15="n/a"),"n/a",IF(M15=0,(K15*V15)-((H15*EXP(1)^(-O15*N15))*W15),(K15*(2.718^(-M15*N15))*V15)-(H15*(2.718^(-O15*N15))*W15)))</f>
        <v>0</v>
      </c>
      <c r="Y15" s="1182">
        <f t="shared" ref="Y15:Y18" si="21">IFERROR(IF(LEN(B15)&gt;0,IF(H15=0,Q15,IF(ISERROR(Q15/((K15/X15)*V15)),"n/a",Q15/((K15/X15)*V15)))),"n/a")</f>
        <v>0.69646624513060806</v>
      </c>
      <c r="AA15" s="932" t="str">
        <f>IF('MASTER PubCo Inputs'!B33=0,"",'MASTER PubCo Inputs'!B33)</f>
        <v>NasdaqCM:NVUS</v>
      </c>
      <c r="AB15" s="255">
        <f>'Beta Calc'!Z15</f>
        <v>51.510280000000002</v>
      </c>
      <c r="AC15" s="933">
        <f t="shared" ref="AC15:AC18" si="22">K15-AB15</f>
        <v>0</v>
      </c>
      <c r="AI15" s="934"/>
    </row>
    <row r="16" spans="2:35" ht="14.85" customHeight="1">
      <c r="B16" s="179" t="str">
        <f>'Comp.1'!B18</f>
        <v>Sensorion SA</v>
      </c>
      <c r="D16" s="255">
        <f>IF($B16="(Invalid Identifier)","",'Beta Calc'!K16)</f>
        <v>37.159999999999997</v>
      </c>
      <c r="E16" s="255">
        <f>IF($B16="(Invalid Identifier)","",'Beta Calc'!L16)</f>
        <v>2.6891699999999998</v>
      </c>
      <c r="F16" s="255">
        <f>IF($B16="(Invalid Identifier)","",'Beta Calc'!M16)</f>
        <v>0</v>
      </c>
      <c r="G16" s="255">
        <f>IF($B16="(Invalid Identifier)","",'Beta Calc'!N16)</f>
        <v>0</v>
      </c>
      <c r="H16" s="255">
        <f t="shared" si="12"/>
        <v>2.6891699999999998</v>
      </c>
      <c r="I16" s="255">
        <f t="shared" si="13"/>
        <v>39.849169999999994</v>
      </c>
      <c r="J16" s="255">
        <f>IF($B16="(Invalid Identifier)","",'Beta Calc'!Q16)</f>
        <v>9.1175599999999992</v>
      </c>
      <c r="K16" s="576">
        <f t="shared" si="14"/>
        <v>30.731609999999996</v>
      </c>
      <c r="M16" s="384">
        <f>IFERROR('Capital IQ Sheet-GPC'!AT19,"n/a")</f>
        <v>0</v>
      </c>
      <c r="N16" s="255">
        <f t="shared" si="3"/>
        <v>2.5</v>
      </c>
      <c r="O16" s="1181">
        <f t="shared" si="3"/>
        <v>2.5399999999999999E-2</v>
      </c>
      <c r="P16" s="1162"/>
      <c r="Q16" s="1182">
        <f>IFERROR(HLOOKUP($Q$6,'Equity Vol'!$B$8:$K16,ROWS('Equity Vol'!$C$8:$C16),FALSE),"n/a")</f>
        <v>0.63297354727902455</v>
      </c>
      <c r="R16" s="303"/>
      <c r="S16" s="1183">
        <f t="shared" si="15"/>
        <v>0.40065551155499152</v>
      </c>
      <c r="T16" s="1183">
        <f t="shared" si="16"/>
        <v>2.9979230992337333</v>
      </c>
      <c r="U16" s="1184">
        <f t="shared" si="17"/>
        <v>1.9971040452147371</v>
      </c>
      <c r="V16" s="1184">
        <f t="shared" si="18"/>
        <v>0.9986408687307281</v>
      </c>
      <c r="W16" s="1184">
        <f t="shared" si="19"/>
        <v>0.97709305919986589</v>
      </c>
      <c r="X16" s="576">
        <f t="shared" si="20"/>
        <v>28.223935883751071</v>
      </c>
      <c r="Y16" s="1182">
        <f t="shared" si="21"/>
        <v>0.58211459624174267</v>
      </c>
      <c r="AA16" s="932" t="str">
        <f>IF('MASTER PubCo Inputs'!B34=0,"",'MASTER PubCo Inputs'!B34)</f>
        <v>ENXTPA:ALSEN</v>
      </c>
      <c r="AB16" s="255">
        <f>'Beta Calc'!Z16</f>
        <v>30.919689999999999</v>
      </c>
      <c r="AC16" s="933">
        <f t="shared" si="22"/>
        <v>-0.18808000000000291</v>
      </c>
      <c r="AI16" s="934"/>
    </row>
    <row r="17" spans="1:35" ht="14.85" customHeight="1">
      <c r="B17" s="179" t="str">
        <f>'Comp.1'!B19</f>
        <v>Otonomy, Inc.</v>
      </c>
      <c r="D17" s="255">
        <f>IF($B17="(Invalid Identifier)","",'Beta Calc'!K17)</f>
        <v>136.06998999999999</v>
      </c>
      <c r="E17" s="255">
        <f>IF($B17="(Invalid Identifier)","",'Beta Calc'!L17)</f>
        <v>0</v>
      </c>
      <c r="F17" s="255">
        <f>IF($B17="(Invalid Identifier)","",'Beta Calc'!M17)</f>
        <v>0</v>
      </c>
      <c r="G17" s="255">
        <f>IF($B17="(Invalid Identifier)","",'Beta Calc'!N17)</f>
        <v>0</v>
      </c>
      <c r="H17" s="255">
        <f t="shared" si="12"/>
        <v>0</v>
      </c>
      <c r="I17" s="255">
        <f t="shared" si="13"/>
        <v>136.06998999999999</v>
      </c>
      <c r="J17" s="255">
        <f>IF($B17="(Invalid Identifier)","",'Beta Calc'!Q17)</f>
        <v>110.224</v>
      </c>
      <c r="K17" s="576">
        <f t="shared" si="14"/>
        <v>25.845989999999986</v>
      </c>
      <c r="M17" s="384">
        <f>IFERROR('Capital IQ Sheet-GPC'!AT20,"n/a")</f>
        <v>0</v>
      </c>
      <c r="N17" s="255">
        <f t="shared" si="3"/>
        <v>2.5</v>
      </c>
      <c r="O17" s="1181">
        <f t="shared" si="3"/>
        <v>2.5399999999999999E-2</v>
      </c>
      <c r="P17" s="1162"/>
      <c r="Q17" s="1182">
        <f>IFERROR(HLOOKUP($Q$6,'Equity Vol'!$B$8:$K17,ROWS('Equity Vol'!$C$8:$C17),FALSE),"n/a")</f>
        <v>1.2276350327527208</v>
      </c>
      <c r="R17" s="303"/>
      <c r="S17" s="1183">
        <f t="shared" si="15"/>
        <v>1.5070877736417738</v>
      </c>
      <c r="T17" s="1183">
        <f t="shared" si="16"/>
        <v>0</v>
      </c>
      <c r="U17" s="1184">
        <f t="shared" si="17"/>
        <v>0</v>
      </c>
      <c r="V17" s="1184">
        <f t="shared" si="18"/>
        <v>0</v>
      </c>
      <c r="W17" s="1184">
        <f t="shared" si="19"/>
        <v>0</v>
      </c>
      <c r="X17" s="576">
        <f t="shared" si="20"/>
        <v>0</v>
      </c>
      <c r="Y17" s="1182">
        <f t="shared" si="21"/>
        <v>1.2276350327527208</v>
      </c>
      <c r="AA17" s="932" t="str">
        <f>IF('MASTER PubCo Inputs'!B35=0,"",'MASTER PubCo Inputs'!B35)</f>
        <v>NasdaqGS:OTIC</v>
      </c>
      <c r="AB17" s="255">
        <f>'Beta Calc'!Z17</f>
        <v>25.84599</v>
      </c>
      <c r="AC17" s="933">
        <f t="shared" si="22"/>
        <v>0</v>
      </c>
      <c r="AI17" s="934"/>
    </row>
    <row r="18" spans="1:35" ht="14.85" customHeight="1">
      <c r="B18" s="179" t="str">
        <f>'Comp.1'!B20</f>
        <v>Auris Medical Holding AG</v>
      </c>
      <c r="D18" s="255">
        <f>IF($B18="(Invalid Identifier)","",'Beta Calc'!K18)</f>
        <v>7.2796900000000004</v>
      </c>
      <c r="E18" s="255">
        <f>IF($B18="(Invalid Identifier)","",'Beta Calc'!L18)</f>
        <v>9.06297</v>
      </c>
      <c r="F18" s="255">
        <f>IF($B18="(Invalid Identifier)","",'Beta Calc'!M18)</f>
        <v>0</v>
      </c>
      <c r="G18" s="255">
        <f>IF($B18="(Invalid Identifier)","",'Beta Calc'!N18)</f>
        <v>0</v>
      </c>
      <c r="H18" s="255">
        <f t="shared" si="12"/>
        <v>9.06297</v>
      </c>
      <c r="I18" s="255">
        <f t="shared" si="13"/>
        <v>16.342660000000002</v>
      </c>
      <c r="J18" s="255">
        <f>IF($B18="(Invalid Identifier)","",'Beta Calc'!Q18)</f>
        <v>13.2705</v>
      </c>
      <c r="K18" s="576">
        <f t="shared" si="14"/>
        <v>3.072160000000002</v>
      </c>
      <c r="M18" s="384">
        <f>IFERROR('Capital IQ Sheet-GPC'!AT21,"n/a")</f>
        <v>0</v>
      </c>
      <c r="N18" s="255">
        <f t="shared" si="3"/>
        <v>2.5</v>
      </c>
      <c r="O18" s="1181">
        <f t="shared" si="3"/>
        <v>2.5399999999999999E-2</v>
      </c>
      <c r="P18" s="1162"/>
      <c r="Q18" s="1182">
        <f>IFERROR(HLOOKUP($Q$6,'Equity Vol'!$B$8:$K18,ROWS('Equity Vol'!$C$8:$C18),FALSE),"n/a")</f>
        <v>1.0906921239872702</v>
      </c>
      <c r="R18" s="303"/>
      <c r="S18" s="1183">
        <f t="shared" si="15"/>
        <v>1.1896093093278628</v>
      </c>
      <c r="T18" s="1183">
        <f t="shared" si="16"/>
        <v>0.27178078219478047</v>
      </c>
      <c r="U18" s="1184">
        <f t="shared" si="17"/>
        <v>-1.4527548867084918</v>
      </c>
      <c r="V18" s="1184">
        <f t="shared" si="18"/>
        <v>0.60710470860281984</v>
      </c>
      <c r="W18" s="1184">
        <f t="shared" si="19"/>
        <v>7.3145910850262646E-2</v>
      </c>
      <c r="X18" s="576">
        <f t="shared" si="20"/>
        <v>1.2429902932680266</v>
      </c>
      <c r="Y18" s="1182">
        <f t="shared" si="21"/>
        <v>0.72687960380447481</v>
      </c>
      <c r="AA18" s="932" t="str">
        <f>IF('MASTER PubCo Inputs'!B36=0,"",'MASTER PubCo Inputs'!B36)</f>
        <v>NasdaqCM:EARS</v>
      </c>
      <c r="AB18" s="255">
        <f>'Beta Calc'!Z18</f>
        <v>3.0721500000000002</v>
      </c>
      <c r="AC18" s="933">
        <f t="shared" si="22"/>
        <v>1.0000000001841869E-5</v>
      </c>
      <c r="AI18" s="934"/>
    </row>
    <row r="19" spans="1:35" ht="14.85" customHeight="1">
      <c r="D19" s="255"/>
      <c r="E19" s="255"/>
      <c r="F19" s="255"/>
      <c r="G19" s="255"/>
      <c r="H19" s="255"/>
      <c r="I19" s="255"/>
      <c r="J19" s="255"/>
      <c r="K19" s="255"/>
      <c r="R19" s="549"/>
    </row>
    <row r="20" spans="1:35" ht="14.85" customHeight="1">
      <c r="B20" s="935" t="s">
        <v>111</v>
      </c>
      <c r="C20" s="936"/>
      <c r="D20" s="938">
        <f t="shared" ref="D20:K20" si="23">MAX(D10:D18)</f>
        <v>1705.3104800000001</v>
      </c>
      <c r="E20" s="938">
        <f t="shared" si="23"/>
        <v>49.826320000000003</v>
      </c>
      <c r="F20" s="938">
        <f t="shared" si="23"/>
        <v>0</v>
      </c>
      <c r="G20" s="938">
        <f t="shared" si="23"/>
        <v>0</v>
      </c>
      <c r="H20" s="938">
        <f t="shared" si="23"/>
        <v>49.826320000000003</v>
      </c>
      <c r="I20" s="938">
        <f t="shared" si="23"/>
        <v>1738.5004800000002</v>
      </c>
      <c r="J20" s="938">
        <f t="shared" si="23"/>
        <v>358.82100000000003</v>
      </c>
      <c r="K20" s="938">
        <f t="shared" si="23"/>
        <v>1379.6794800000002</v>
      </c>
      <c r="L20" s="936"/>
      <c r="M20" s="1044">
        <f>MAX(M10:M18)</f>
        <v>0</v>
      </c>
      <c r="N20" s="938">
        <f>MAX(N10:N18)</f>
        <v>2.5</v>
      </c>
      <c r="O20" s="1185">
        <f>MAX(O10:O18)</f>
        <v>2.5399999999999999E-2</v>
      </c>
      <c r="P20" s="1186"/>
      <c r="Q20" s="1187">
        <f>MAX(Q10:Q18)</f>
        <v>1.387449122489415</v>
      </c>
      <c r="R20" s="1188"/>
      <c r="S20" s="1189">
        <f>MAX(S10:S19)</f>
        <v>1.9250150674966477</v>
      </c>
      <c r="T20" s="1189">
        <f>MAX(T10:T19)</f>
        <v>9.3832278596868601</v>
      </c>
      <c r="U20" s="1190">
        <f>MAX(U10:U19)</f>
        <v>8.7637556156480514</v>
      </c>
      <c r="V20" s="1190">
        <f>MAX(V10:V19)</f>
        <v>1</v>
      </c>
      <c r="W20" s="1190">
        <f>MAX(W10:W19)</f>
        <v>1</v>
      </c>
      <c r="X20" s="938">
        <f>MAX(X10:X18)</f>
        <v>1348.5971862609695</v>
      </c>
      <c r="Y20" s="1191">
        <f>MAX(Y10:Y18)</f>
        <v>1.387449122489415</v>
      </c>
      <c r="AB20" s="1192">
        <f>+'Asset Vol_OPM'!Y27</f>
        <v>0.69599999999999995</v>
      </c>
      <c r="AC20" s="1193" t="s">
        <v>1621</v>
      </c>
      <c r="AD20" s="1193"/>
      <c r="AE20" s="1193"/>
      <c r="AF20" s="591"/>
    </row>
    <row r="21" spans="1:35" ht="14.85" customHeight="1">
      <c r="B21" s="941" t="s">
        <v>115</v>
      </c>
      <c r="C21" s="942"/>
      <c r="D21" s="944">
        <f t="shared" ref="D21:K21" si="24">QUARTILE(D10:D18,3)</f>
        <v>205.66506000000001</v>
      </c>
      <c r="E21" s="944">
        <f t="shared" si="24"/>
        <v>9.06297</v>
      </c>
      <c r="F21" s="944">
        <f t="shared" si="24"/>
        <v>0</v>
      </c>
      <c r="G21" s="944">
        <f t="shared" si="24"/>
        <v>0</v>
      </c>
      <c r="H21" s="944">
        <f t="shared" si="24"/>
        <v>9.06297</v>
      </c>
      <c r="I21" s="944">
        <f t="shared" si="24"/>
        <v>205.66506000000001</v>
      </c>
      <c r="J21" s="944">
        <f t="shared" si="24"/>
        <v>57.755760000000002</v>
      </c>
      <c r="K21" s="944">
        <f t="shared" si="24"/>
        <v>178.94606000000002</v>
      </c>
      <c r="L21" s="942"/>
      <c r="M21" s="1046">
        <f>QUARTILE(M10:M18,3)</f>
        <v>0</v>
      </c>
      <c r="N21" s="944">
        <f>QUARTILE(N10:N18,3)</f>
        <v>2.5</v>
      </c>
      <c r="O21" s="1194">
        <f>QUARTILE(O10:O18,3)</f>
        <v>2.5399999999999999E-2</v>
      </c>
      <c r="P21" s="1195"/>
      <c r="Q21" s="1196">
        <f>QUARTILE(Q10:Q18,3)</f>
        <v>1.0906921239872702</v>
      </c>
      <c r="R21" s="1197"/>
      <c r="S21" s="1198">
        <f>QUARTILE(S10:S19,3)</f>
        <v>1.1896093093278628</v>
      </c>
      <c r="T21" s="1198">
        <f>QUARTILE(T10:T19,3)</f>
        <v>3.3142028735960434</v>
      </c>
      <c r="U21" s="1199">
        <f>QUARTILE(U10:U19,3)</f>
        <v>2.3689319432047053</v>
      </c>
      <c r="V21" s="1199">
        <f>QUARTILE(V10:V19,3)</f>
        <v>0.99954047600480389</v>
      </c>
      <c r="W21" s="1199">
        <f>QUARTILE(W10:W19,3)</f>
        <v>0.99108023210967655</v>
      </c>
      <c r="X21" s="944">
        <f>QUARTILE(X10:X18,3)</f>
        <v>131.19271620321425</v>
      </c>
      <c r="Y21" s="1200">
        <f>QUARTILE(Y10:Y18,3)</f>
        <v>0.76451844485970966</v>
      </c>
      <c r="AB21" s="1201">
        <f>+'Asset Vol_OPM'!Y29</f>
        <v>0.69599042718165516</v>
      </c>
      <c r="AC21" s="179" t="s">
        <v>1622</v>
      </c>
      <c r="AF21" s="339"/>
    </row>
    <row r="22" spans="1:35" ht="14.85" customHeight="1">
      <c r="B22" s="941" t="s">
        <v>113</v>
      </c>
      <c r="C22" s="942"/>
      <c r="D22" s="944">
        <f t="shared" ref="D22:K22" si="25">AVERAGE(D10:D18)</f>
        <v>349.7861166666666</v>
      </c>
      <c r="E22" s="944">
        <f t="shared" si="25"/>
        <v>11.550082222222223</v>
      </c>
      <c r="F22" s="944">
        <f t="shared" si="25"/>
        <v>0</v>
      </c>
      <c r="G22" s="944">
        <f t="shared" si="25"/>
        <v>-1.1407499999999999E-2</v>
      </c>
      <c r="H22" s="944">
        <f t="shared" si="25"/>
        <v>11.545012222222223</v>
      </c>
      <c r="I22" s="944">
        <f t="shared" si="25"/>
        <v>361.33112888888883</v>
      </c>
      <c r="J22" s="944">
        <f t="shared" si="25"/>
        <v>70.157886666666684</v>
      </c>
      <c r="K22" s="944">
        <f t="shared" si="25"/>
        <v>291.17324222222226</v>
      </c>
      <c r="L22" s="942"/>
      <c r="M22" s="1046">
        <f>AVERAGE(M10:M18)</f>
        <v>0</v>
      </c>
      <c r="N22" s="944">
        <f>AVERAGE(N10:N18)</f>
        <v>2.5</v>
      </c>
      <c r="O22" s="1194">
        <f>AVERAGE(O10:O18)</f>
        <v>2.5400000000000002E-2</v>
      </c>
      <c r="P22" s="1195"/>
      <c r="Q22" s="1196">
        <f>AVERAGE(Q10:Q18)</f>
        <v>0.83755212115290367</v>
      </c>
      <c r="R22" s="1197"/>
      <c r="S22" s="1198">
        <f>AVERAGE(S10:S19)</f>
        <v>0.79604614105751781</v>
      </c>
      <c r="T22" s="1198">
        <f>AVERAGE(T10:T19)</f>
        <v>2.5208379150102425</v>
      </c>
      <c r="U22" s="1199">
        <f>AVERAGE(U10:U19)</f>
        <v>1.7783318369038084</v>
      </c>
      <c r="V22" s="1199">
        <f>AVERAGE(V10:V19)</f>
        <v>0.62266380034988855</v>
      </c>
      <c r="W22" s="1199">
        <f>AVERAGE(W10:W19)</f>
        <v>0.55601167209276192</v>
      </c>
      <c r="X22" s="944">
        <f>AVERAGE(X10:X18)</f>
        <v>252.63126585947774</v>
      </c>
      <c r="Y22" s="1200">
        <f>AVERAGE(Y10:Y18)</f>
        <v>0.78028262891914268</v>
      </c>
      <c r="AB22" s="1201">
        <f>+'Asset Vol_OPM'!Y23</f>
        <v>0.69646624513060806</v>
      </c>
      <c r="AC22" s="179" t="s">
        <v>1620</v>
      </c>
      <c r="AF22" s="1202" t="s">
        <v>2035</v>
      </c>
    </row>
    <row r="23" spans="1:35" ht="14.85" customHeight="1">
      <c r="B23" s="941" t="s">
        <v>44</v>
      </c>
      <c r="C23" s="942"/>
      <c r="D23" s="944">
        <f t="shared" ref="D23:K23" si="26">MEDIAN(D10:D18)</f>
        <v>138.52769000000001</v>
      </c>
      <c r="E23" s="944">
        <f t="shared" si="26"/>
        <v>2.6891699999999998</v>
      </c>
      <c r="F23" s="944">
        <f t="shared" si="26"/>
        <v>0</v>
      </c>
      <c r="G23" s="944">
        <f t="shared" si="26"/>
        <v>0</v>
      </c>
      <c r="H23" s="944">
        <f t="shared" si="26"/>
        <v>2.6891699999999998</v>
      </c>
      <c r="I23" s="944">
        <f t="shared" si="26"/>
        <v>139.01160000000002</v>
      </c>
      <c r="J23" s="944">
        <f t="shared" si="26"/>
        <v>22.523</v>
      </c>
      <c r="K23" s="944">
        <f t="shared" si="26"/>
        <v>125.38888000000001</v>
      </c>
      <c r="L23" s="942"/>
      <c r="M23" s="1046">
        <f>MEDIAN(M10:M18)</f>
        <v>0</v>
      </c>
      <c r="N23" s="944">
        <f>MEDIAN(N10:N18)</f>
        <v>2.5</v>
      </c>
      <c r="O23" s="1194">
        <f>MEDIAN(O10:O18)</f>
        <v>2.5399999999999999E-2</v>
      </c>
      <c r="P23" s="1195"/>
      <c r="Q23" s="1196">
        <f>MEDIAN(Q10:Q18)</f>
        <v>0.73107336829310765</v>
      </c>
      <c r="R23" s="1197"/>
      <c r="S23" s="1198">
        <f>MEDIAN(S10:S19)</f>
        <v>0.53446826982742979</v>
      </c>
      <c r="T23" s="1198">
        <f>MEDIAN(T10:T19)</f>
        <v>2.9979230992337333</v>
      </c>
      <c r="U23" s="1199">
        <f>MEDIAN(U10:U19)</f>
        <v>1.8804872782136495</v>
      </c>
      <c r="V23" s="1199">
        <f>MEDIAN(V10:V19)</f>
        <v>0.9986408687307281</v>
      </c>
      <c r="W23" s="1199">
        <f>MEDIAN(W10:W19)</f>
        <v>0.96997915070808027</v>
      </c>
      <c r="X23" s="944">
        <f>MEDIAN(X10:X18)</f>
        <v>28.223935883751071</v>
      </c>
      <c r="Y23" s="1200">
        <f>MEDIAN(Y10:Y18)</f>
        <v>0.69646624513060806</v>
      </c>
      <c r="AB23" s="1203" t="str">
        <f>IF(ROUND(AB20,3)=ROUND(AB22,3),"","Update Volatility - OPM")</f>
        <v/>
      </c>
      <c r="AF23" s="339"/>
    </row>
    <row r="24" spans="1:35" ht="14.85" customHeight="1">
      <c r="B24" s="941" t="s">
        <v>114</v>
      </c>
      <c r="C24" s="942"/>
      <c r="D24" s="944">
        <f t="shared" ref="D24:K24" si="27">QUARTILE(D10:D18,1)</f>
        <v>74.033280000000005</v>
      </c>
      <c r="E24" s="944">
        <f t="shared" si="27"/>
        <v>0</v>
      </c>
      <c r="F24" s="944">
        <f t="shared" si="27"/>
        <v>0</v>
      </c>
      <c r="G24" s="944">
        <f t="shared" si="27"/>
        <v>-1.1407500000000001E-2</v>
      </c>
      <c r="H24" s="944">
        <f t="shared" si="27"/>
        <v>0</v>
      </c>
      <c r="I24" s="944">
        <f t="shared" si="27"/>
        <v>74.033280000000005</v>
      </c>
      <c r="J24" s="944">
        <f t="shared" si="27"/>
        <v>13.622719999999999</v>
      </c>
      <c r="K24" s="944">
        <f t="shared" si="27"/>
        <v>30.731609999999996</v>
      </c>
      <c r="L24" s="942"/>
      <c r="M24" s="1046">
        <f>QUARTILE(M10:M18,1)</f>
        <v>0</v>
      </c>
      <c r="N24" s="944">
        <f>QUARTILE(N10:N18,1)</f>
        <v>2.5</v>
      </c>
      <c r="O24" s="1194">
        <f>QUARTILE(O10:O18,1)</f>
        <v>2.5399999999999999E-2</v>
      </c>
      <c r="P24" s="1195"/>
      <c r="Q24" s="1196">
        <f>QUARTILE(Q10:Q18,1)</f>
        <v>0.63297354727902455</v>
      </c>
      <c r="R24" s="1197"/>
      <c r="S24" s="1198">
        <f>QUARTILE(S10:S19,1)</f>
        <v>0.40065551155499152</v>
      </c>
      <c r="T24" s="1198">
        <f>QUARTILE(T10:T19,1)</f>
        <v>0</v>
      </c>
      <c r="U24" s="1199">
        <f>QUARTILE(U10:U19,1)</f>
        <v>0</v>
      </c>
      <c r="V24" s="1199">
        <f>QUARTILE(V10:V19,1)</f>
        <v>0</v>
      </c>
      <c r="W24" s="1199">
        <f>QUARTILE(W10:W19,1)</f>
        <v>0</v>
      </c>
      <c r="X24" s="944">
        <f>QUARTILE(X10:X18,1)</f>
        <v>0</v>
      </c>
      <c r="Y24" s="1200">
        <f>QUARTILE(Y10:Y18,1)</f>
        <v>0.58211459624174267</v>
      </c>
      <c r="AB24" s="1204" t="str">
        <f>IF(ROUND(AB21,3)=ROUND(AB22,3),"","Update Volatility - DLOM")</f>
        <v/>
      </c>
      <c r="AC24" s="264"/>
      <c r="AD24" s="264"/>
      <c r="AE24" s="264"/>
      <c r="AF24" s="701"/>
    </row>
    <row r="25" spans="1:35" ht="14.85" customHeight="1">
      <c r="B25" s="946" t="s">
        <v>112</v>
      </c>
      <c r="C25" s="663"/>
      <c r="D25" s="672">
        <f t="shared" ref="D25:K25" si="28">MIN(D10:D18)</f>
        <v>7.2796900000000004</v>
      </c>
      <c r="E25" s="672">
        <f t="shared" si="28"/>
        <v>0</v>
      </c>
      <c r="F25" s="672">
        <f t="shared" si="28"/>
        <v>0</v>
      </c>
      <c r="G25" s="672">
        <f t="shared" si="28"/>
        <v>-4.5629999999999997E-2</v>
      </c>
      <c r="H25" s="672">
        <f t="shared" si="28"/>
        <v>0</v>
      </c>
      <c r="I25" s="672">
        <f t="shared" si="28"/>
        <v>16.342660000000002</v>
      </c>
      <c r="J25" s="672">
        <f t="shared" si="28"/>
        <v>9.1175599999999992</v>
      </c>
      <c r="K25" s="672">
        <f t="shared" si="28"/>
        <v>3.072160000000002</v>
      </c>
      <c r="L25" s="663"/>
      <c r="M25" s="1048">
        <f>MIN(M10:M18)</f>
        <v>0</v>
      </c>
      <c r="N25" s="672">
        <f>MIN(N10:N18)</f>
        <v>2.5</v>
      </c>
      <c r="O25" s="1205">
        <f>MIN(O10:O18)</f>
        <v>2.5399999999999999E-2</v>
      </c>
      <c r="P25" s="1206"/>
      <c r="Q25" s="1207">
        <f>MIN(Q10:Q18)</f>
        <v>0.3917886476836604</v>
      </c>
      <c r="R25" s="1208"/>
      <c r="S25" s="1209">
        <f>MIN(S10:S19)</f>
        <v>0.15349834445379137</v>
      </c>
      <c r="T25" s="1209">
        <f>MIN(T10:T19)</f>
        <v>0</v>
      </c>
      <c r="U25" s="1210">
        <f>MIN(U10:U19)</f>
        <v>-1.4527548867084918</v>
      </c>
      <c r="V25" s="1210">
        <f>MIN(V10:V19)</f>
        <v>0</v>
      </c>
      <c r="W25" s="1210">
        <f>MIN(W10:W19)</f>
        <v>0</v>
      </c>
      <c r="X25" s="672">
        <f>MIN(X10:X18)</f>
        <v>0</v>
      </c>
      <c r="Y25" s="1211">
        <f>MIN(Y10:Y18)</f>
        <v>0.39036965641880084</v>
      </c>
      <c r="AB25" s="324" t="str">
        <f>IF(K27&lt;&gt;K29,"Check","")</f>
        <v/>
      </c>
    </row>
    <row r="26" spans="1:35" ht="14.85" customHeight="1">
      <c r="AB26" s="865" t="str">
        <f>IF(AND(AB23=$AF$24,AB25=$AF$24,AB24=$AF$24),"","Check")</f>
        <v/>
      </c>
    </row>
    <row r="27" spans="1:35" ht="14.85" customHeight="1">
      <c r="B27" s="1212" t="str">
        <f>B2</f>
        <v>Decibel Therapeutics, Inc.</v>
      </c>
      <c r="C27" s="1213" t="s">
        <v>260</v>
      </c>
      <c r="D27" s="1866">
        <f>'OPM 1 Hybrid'!$D$9/1000</f>
        <v>160.20387527848837</v>
      </c>
      <c r="E27" s="1866">
        <f>-'Hist BS'!$G$71</f>
        <v>0</v>
      </c>
      <c r="F27" s="1214"/>
      <c r="G27" s="1214"/>
      <c r="H27" s="1216">
        <f>SUM(E27:G27)</f>
        <v>0</v>
      </c>
      <c r="I27" s="1216">
        <f>SUM(D27:G27)</f>
        <v>160.20387527848837</v>
      </c>
      <c r="J27" s="1214"/>
      <c r="K27" s="1225">
        <f>I27-J27</f>
        <v>160.20387527848837</v>
      </c>
      <c r="L27" s="1214"/>
      <c r="M27" s="1217">
        <f>'OPM 1'!D13</f>
        <v>0</v>
      </c>
      <c r="N27" s="1218">
        <f>N$6</f>
        <v>2.5</v>
      </c>
      <c r="O27" s="1219">
        <f>O$6</f>
        <v>2.5399999999999999E-2</v>
      </c>
      <c r="P27" s="1220"/>
      <c r="Q27" s="1221">
        <v>0.69599999999999995</v>
      </c>
      <c r="R27" s="1214"/>
      <c r="S27" s="1222">
        <f>IF(Q27="n/a","n/a",Q27^2)</f>
        <v>0.48441599999999996</v>
      </c>
      <c r="T27" s="1222">
        <f>IF(OR(K27="n/a",S27="n/a"),"n/a",IF(H27=0,0,IF(M27=0,(LN(K27/H27)+((O27+(S27/2))*N27))/((S27*N27)^0.5),(LN(K27/H27)+((O27-M27+(S27/2))*N27))/((S27*N27)^0.5))))</f>
        <v>0</v>
      </c>
      <c r="U27" s="1223">
        <f>IF(T27="n/a","n/a",IF(H27=0,0,T27-(S27*N27)^0.5))</f>
        <v>0</v>
      </c>
      <c r="V27" s="1223">
        <f>IF(OR(T27="n/a",S27="n/a"),"n/a",IF(H27=0,0,NORMSDIST(T27)))</f>
        <v>0</v>
      </c>
      <c r="W27" s="1223">
        <f>IF(OR(U27="n/a",S27="n/a"),"n/a",IF(H27=0,0,NORMSDIST(U27)))</f>
        <v>0</v>
      </c>
      <c r="X27" s="1223">
        <f>IF(OR(K27="n/a",S27="n/a"),"n/a",IF(M27=0,(K27*V27)-((H27*EXP(1)^(-O27*N27))*W27),(K27*(2.718^(-M27*N27))*V27)-(H27*(2.718^(-O27*N27))*W27)))</f>
        <v>0</v>
      </c>
      <c r="Y27" s="1224">
        <f>IF(LEN(B27)&gt;0,IF(H27=0,Q27,IF(ISERROR(Q27/((K27/X27)*V27)),"n/a",Q27/((K27/X27)*V27))))</f>
        <v>0.69599999999999995</v>
      </c>
    </row>
    <row r="28" spans="1:35" ht="14.85" hidden="1" customHeight="1" outlineLevel="1"/>
    <row r="29" spans="1:35" ht="14.85" hidden="1" customHeight="1" outlineLevel="1">
      <c r="B29" s="1212" t="str">
        <f>B27</f>
        <v>Decibel Therapeutics, Inc.</v>
      </c>
      <c r="C29" s="1213" t="s">
        <v>299</v>
      </c>
      <c r="D29" s="1866">
        <f>D27-E29</f>
        <v>65.130117006801612</v>
      </c>
      <c r="E29" s="1867">
        <f>E27+SUM('OPM 1 Hybrid'!D64:E64)/1000</f>
        <v>95.073758271686756</v>
      </c>
      <c r="F29" s="1214"/>
      <c r="G29" s="1214"/>
      <c r="H29" s="1216">
        <f>SUM(E29:G29)</f>
        <v>95.073758271686756</v>
      </c>
      <c r="I29" s="1216">
        <f>SUM(D29:G29)</f>
        <v>160.20387527848837</v>
      </c>
      <c r="J29" s="1214"/>
      <c r="K29" s="1225">
        <f>I29-J29</f>
        <v>160.20387527848837</v>
      </c>
      <c r="L29" s="1214"/>
      <c r="M29" s="1226">
        <f>M27</f>
        <v>0</v>
      </c>
      <c r="N29" s="1218">
        <f>N$6</f>
        <v>2.5</v>
      </c>
      <c r="O29" s="1219">
        <f>O$6</f>
        <v>2.5399999999999999E-2</v>
      </c>
      <c r="P29" s="1220"/>
      <c r="Q29" s="1221">
        <v>0.91549999999999998</v>
      </c>
      <c r="R29" s="1214"/>
      <c r="S29" s="1222">
        <f>IF(Q29="n/a","n/a",Q29^2)</f>
        <v>0.83814024999999992</v>
      </c>
      <c r="T29" s="1222">
        <f>IF(OR(K29="n/a",S29="n/a"),"n/a",IF(H29=0,0,IF(M29=0,(LN(K29/H29)+((O29+(S29/2))*N29))/((S29*N29)^0.5),(LN(K29/H29)+((O29-M29+(S29/2))*N29))/((S29*N29)^0.5))))</f>
        <v>1.1281055397800714</v>
      </c>
      <c r="U29" s="1223">
        <f>IF(T29="n/a","n/a",IF(H29=0,0,T29-(S29*N29)^0.5))</f>
        <v>-0.31942705916200431</v>
      </c>
      <c r="V29" s="1223">
        <f>IF(OR(T29="n/a",S29="n/a"),"n/a",IF(H29=0,0,NORMSDIST(T29)))</f>
        <v>0.87036232507485134</v>
      </c>
      <c r="W29" s="1223">
        <f>IF(OR(U29="n/a",S29="n/a"),"n/a",IF(H29=0,0,NORMSDIST(U29)))</f>
        <v>0.37470134724065662</v>
      </c>
      <c r="X29" s="1223">
        <f>IF(OR(K29="n/a",S29="n/a"),"n/a",IF(M29=0,(K29*V29)-((H29*EXP(1)^(-O29*N29))*W29),(K29*(2.718^(-M29*N29))*V29)-(H29*(2.718^(-O29*N29))*W29)))</f>
        <v>106.00296635931814</v>
      </c>
      <c r="Y29" s="1224">
        <f>IF(LEN(B29)&gt;0,IF(H29=0,Q29,IF(ISERROR(Q29/((K29/X29)*V29)),"n/a",Q29/((K29/X29)*V29))))</f>
        <v>0.69599042718165516</v>
      </c>
    </row>
    <row r="30" spans="1:35" ht="14.85" customHeight="1" collapsed="1"/>
    <row r="31" spans="1:35" ht="14.85" customHeight="1">
      <c r="B31" s="272" t="s">
        <v>86</v>
      </c>
    </row>
    <row r="32" spans="1:35" ht="14.85" customHeight="1">
      <c r="A32" s="273" t="s">
        <v>261</v>
      </c>
      <c r="B32" s="202" t="s">
        <v>3230</v>
      </c>
    </row>
    <row r="33" spans="1:26" s="275" customFormat="1" ht="14.85" customHeight="1">
      <c r="A33" s="273" t="s">
        <v>260</v>
      </c>
      <c r="B33" s="202" t="s">
        <v>961</v>
      </c>
      <c r="C33" s="179"/>
      <c r="D33" s="179"/>
      <c r="E33" s="179"/>
      <c r="F33" s="179"/>
      <c r="G33" s="179"/>
      <c r="H33" s="179"/>
      <c r="I33" s="179"/>
      <c r="J33" s="179"/>
      <c r="K33" s="179"/>
      <c r="L33" s="179"/>
      <c r="M33" s="179"/>
      <c r="N33" s="179"/>
      <c r="O33" s="179"/>
      <c r="P33" s="549"/>
      <c r="Q33" s="179"/>
      <c r="R33" s="179"/>
      <c r="S33" s="179"/>
      <c r="T33" s="179"/>
      <c r="U33" s="179"/>
      <c r="V33" s="179"/>
      <c r="W33" s="179"/>
      <c r="X33" s="179"/>
      <c r="Y33" s="179"/>
      <c r="Z33" s="179"/>
    </row>
    <row r="34" spans="1:26" s="275" customFormat="1" ht="14.85" customHeight="1">
      <c r="A34" s="273" t="s">
        <v>299</v>
      </c>
      <c r="B34" s="202" t="s">
        <v>962</v>
      </c>
      <c r="C34" s="179"/>
      <c r="D34" s="179"/>
      <c r="E34" s="179"/>
      <c r="F34" s="179"/>
      <c r="G34" s="179"/>
      <c r="H34" s="179"/>
      <c r="I34" s="179"/>
      <c r="J34" s="179"/>
      <c r="K34" s="179"/>
      <c r="L34" s="179"/>
      <c r="M34" s="179"/>
      <c r="N34" s="179"/>
      <c r="O34" s="179"/>
      <c r="P34" s="549"/>
      <c r="Q34" s="179"/>
      <c r="R34" s="179"/>
      <c r="S34" s="179"/>
      <c r="T34" s="179"/>
      <c r="U34" s="179"/>
      <c r="V34" s="179"/>
      <c r="W34" s="179"/>
      <c r="X34" s="179"/>
      <c r="Y34" s="179"/>
      <c r="Z34" s="179"/>
    </row>
    <row r="35" spans="1:26" ht="14.85" customHeight="1"/>
    <row r="36" spans="1:26" ht="14.85" customHeight="1">
      <c r="B36" s="272" t="s">
        <v>116</v>
      </c>
    </row>
    <row r="37" spans="1:26" ht="14.85" customHeight="1"/>
    <row r="38" spans="1:26" ht="14.85" customHeight="1">
      <c r="B38" s="179" t="s">
        <v>1650</v>
      </c>
    </row>
    <row r="39" spans="1:26" ht="14.85" customHeight="1">
      <c r="B39" s="179" t="s">
        <v>1651</v>
      </c>
    </row>
    <row r="40" spans="1:26" ht="14.85" customHeight="1">
      <c r="B40" s="179" t="s">
        <v>1652</v>
      </c>
    </row>
    <row r="41" spans="1:26" ht="14.85" customHeight="1">
      <c r="B41" s="179" t="s">
        <v>1653</v>
      </c>
    </row>
    <row r="42" spans="1:26" ht="14.85" customHeight="1">
      <c r="B42" s="179" t="s">
        <v>1654</v>
      </c>
    </row>
    <row r="43" spans="1:26" ht="14.85" customHeight="1">
      <c r="B43" s="179" t="s">
        <v>1655</v>
      </c>
    </row>
    <row r="44" spans="1:26" ht="14.85" customHeight="1">
      <c r="B44" s="179" t="s">
        <v>1656</v>
      </c>
    </row>
    <row r="45" spans="1:26" ht="14.85" customHeight="1"/>
    <row r="46" spans="1:26" ht="14.85" customHeight="1">
      <c r="B46" s="179" t="s">
        <v>1657</v>
      </c>
    </row>
    <row r="47" spans="1:26" ht="14.85" customHeight="1">
      <c r="B47" s="179" t="s">
        <v>1658</v>
      </c>
    </row>
    <row r="48" spans="1:26" ht="14.85" customHeight="1">
      <c r="B48" s="179" t="s">
        <v>1659</v>
      </c>
    </row>
    <row r="49" spans="2:2" ht="14.85" customHeight="1">
      <c r="B49" s="179" t="s">
        <v>1660</v>
      </c>
    </row>
    <row r="50" spans="2:2" ht="14.85" customHeight="1">
      <c r="B50" s="179" t="s">
        <v>1661</v>
      </c>
    </row>
    <row r="51" spans="2:2" ht="14.85" customHeight="1">
      <c r="B51" s="179" t="s">
        <v>1662</v>
      </c>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sheetData>
  <conditionalFormatting sqref="B10:B18">
    <cfRule type="cellIs" dxfId="309" priority="8" operator="equal">
      <formula>"(Invalid Identifier)"</formula>
    </cfRule>
  </conditionalFormatting>
  <conditionalFormatting sqref="B4:I4">
    <cfRule type="cellIs" dxfId="308" priority="7" stopIfTrue="1" operator="equal">
      <formula>"input"</formula>
    </cfRule>
  </conditionalFormatting>
  <conditionalFormatting sqref="J4">
    <cfRule type="cellIs" dxfId="307" priority="5" stopIfTrue="1" operator="equal">
      <formula>"input"</formula>
    </cfRule>
  </conditionalFormatting>
  <conditionalFormatting sqref="J4">
    <cfRule type="cellIs" dxfId="306" priority="6" stopIfTrue="1" operator="equal">
      <formula>"input"</formula>
    </cfRule>
  </conditionalFormatting>
  <conditionalFormatting sqref="K4:X4">
    <cfRule type="cellIs" dxfId="305" priority="3" stopIfTrue="1" operator="equal">
      <formula>"input"</formula>
    </cfRule>
  </conditionalFormatting>
  <conditionalFormatting sqref="K4:X4">
    <cfRule type="cellIs" dxfId="304" priority="4" stopIfTrue="1" operator="equal">
      <formula>"input"</formula>
    </cfRule>
  </conditionalFormatting>
  <conditionalFormatting sqref="Y4">
    <cfRule type="cellIs" dxfId="303" priority="1" stopIfTrue="1" operator="equal">
      <formula>"input"</formula>
    </cfRule>
  </conditionalFormatting>
  <conditionalFormatting sqref="Y4">
    <cfRule type="cellIs" dxfId="302"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3"/>
  <dimension ref="A1:AI743"/>
  <sheetViews>
    <sheetView showGridLines="0" tabSelected="1" view="pageBreakPreview" zoomScale="85" zoomScaleNormal="100" zoomScaleSheetLayoutView="85" workbookViewId="0">
      <selection activeCell="H11" sqref="H11"/>
    </sheetView>
  </sheetViews>
  <sheetFormatPr defaultRowHeight="12.75" outlineLevelRow="1" outlineLevelCol="1"/>
  <cols>
    <col min="1" max="1" width="4.5" style="179" customWidth="1"/>
    <col min="2" max="2" width="42.1640625" style="179" customWidth="1"/>
    <col min="3" max="3" width="2.83203125" style="179" customWidth="1"/>
    <col min="4" max="4" width="12.83203125" style="179" customWidth="1"/>
    <col min="5" max="5" width="10.83203125" style="179" hidden="1" customWidth="1" outlineLevel="1"/>
    <col min="6" max="7" width="9.83203125" style="179" hidden="1" customWidth="1" outlineLevel="1"/>
    <col min="8" max="8" width="12.1640625" style="179" customWidth="1" collapsed="1"/>
    <col min="9" max="11" width="12.1640625" style="179" customWidth="1"/>
    <col min="12" max="12" width="2.83203125" style="179" customWidth="1"/>
    <col min="13" max="15" width="12.5" style="179" customWidth="1"/>
    <col min="16" max="16" width="2.83203125" style="549" customWidth="1"/>
    <col min="17" max="17" width="12.5" style="179" customWidth="1"/>
    <col min="18" max="18" width="2.83203125" style="179" customWidth="1"/>
    <col min="19" max="19" width="11.6640625" style="179" hidden="1" customWidth="1" outlineLevel="1"/>
    <col min="20" max="23" width="8.83203125" style="179" hidden="1" customWidth="1" outlineLevel="1"/>
    <col min="24" max="24" width="12.5" style="179" customWidth="1" collapsed="1"/>
    <col min="25" max="25" width="12.5" style="179" customWidth="1"/>
    <col min="26" max="26" width="4.5" style="179" customWidth="1"/>
    <col min="27" max="27" width="17.5" style="179" bestFit="1" customWidth="1"/>
    <col min="28" max="28" width="14.33203125" style="179" bestFit="1" customWidth="1"/>
    <col min="29" max="29" width="9.6640625" style="179" bestFit="1" customWidth="1"/>
    <col min="30" max="30" width="10.1640625" style="179" bestFit="1" customWidth="1"/>
    <col min="31" max="16384" width="9.33203125" style="179"/>
  </cols>
  <sheetData>
    <row r="1" spans="2:35" ht="10.7" customHeight="1" thickBot="1">
      <c r="P1" s="179"/>
    </row>
    <row r="2" spans="2:35"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AA2" s="909" t="s">
        <v>87</v>
      </c>
      <c r="AB2" s="910">
        <f>+'Comp.1'!$AL$2</f>
        <v>43245</v>
      </c>
    </row>
    <row r="3" spans="2:35" ht="15.75" customHeight="1">
      <c r="B3" s="188" t="str">
        <f>VLOOKUP(B4,Outline!$E$8:$G$75,COLUMNS(Outline!$E$8:$G$8),FALSE)</f>
        <v>Exhibit F.3</v>
      </c>
      <c r="C3" s="188"/>
      <c r="D3" s="188"/>
      <c r="E3" s="188"/>
      <c r="F3" s="188"/>
      <c r="G3" s="188"/>
      <c r="H3" s="188"/>
      <c r="I3" s="188"/>
      <c r="J3" s="188"/>
      <c r="K3" s="188"/>
      <c r="L3" s="188"/>
      <c r="M3" s="188"/>
      <c r="N3" s="188"/>
      <c r="O3" s="188"/>
      <c r="P3" s="188"/>
      <c r="Q3" s="188"/>
      <c r="R3" s="188"/>
      <c r="S3" s="188"/>
      <c r="T3" s="188"/>
      <c r="U3" s="188"/>
      <c r="V3" s="188"/>
      <c r="W3" s="188"/>
      <c r="X3" s="188"/>
      <c r="Y3" s="188"/>
      <c r="AA3" s="911" t="s">
        <v>462</v>
      </c>
      <c r="AB3" s="912" t="str">
        <f>+'Comp.1'!$AL$3</f>
        <v>F</v>
      </c>
    </row>
    <row r="4" spans="2:35" ht="16.5" customHeight="1" thickBot="1">
      <c r="B4" s="726" t="s">
        <v>2051</v>
      </c>
      <c r="C4" s="726"/>
      <c r="D4" s="726"/>
      <c r="E4" s="726"/>
      <c r="F4" s="726"/>
      <c r="G4" s="726"/>
      <c r="H4" s="726"/>
      <c r="I4" s="726"/>
      <c r="J4" s="727"/>
      <c r="K4" s="727"/>
      <c r="L4" s="727"/>
      <c r="M4" s="727"/>
      <c r="N4" s="727"/>
      <c r="O4" s="727"/>
      <c r="P4" s="727"/>
      <c r="Q4" s="727"/>
      <c r="R4" s="727"/>
      <c r="S4" s="727"/>
      <c r="T4" s="727"/>
      <c r="U4" s="727"/>
      <c r="V4" s="727"/>
      <c r="W4" s="727"/>
      <c r="X4" s="727"/>
      <c r="Y4" s="727" t="str">
        <f>+'MASTER PubCo Inputs'!$C$24</f>
        <v>(in millions of USD)</v>
      </c>
      <c r="AA4" s="911" t="s">
        <v>463</v>
      </c>
      <c r="AB4" s="912" t="str">
        <f>+'Comp.1'!$AL$4</f>
        <v>USD</v>
      </c>
    </row>
    <row r="5" spans="2:35" ht="14.85" customHeight="1" thickTop="1">
      <c r="B5" s="549"/>
      <c r="AA5" s="378" t="s">
        <v>89</v>
      </c>
      <c r="AB5" s="913" t="str">
        <f>+'Comp.1'!$AL$5</f>
        <v>H</v>
      </c>
    </row>
    <row r="6" spans="2:35" ht="14.85" hidden="1" customHeight="1" outlineLevel="1">
      <c r="N6" s="551">
        <f>DLOM_OPM!D10</f>
        <v>3.5</v>
      </c>
      <c r="O6" s="554">
        <f>'Risk-Free Rates'!E35</f>
        <v>2.64E-2</v>
      </c>
      <c r="Q6" s="263">
        <f>HLOOKUP(ROUND(N6,0),'Equity Vol'!$D$8:$K$8,1,TRUE)</f>
        <v>4</v>
      </c>
    </row>
    <row r="7" spans="2:35" ht="30" customHeight="1" collapsed="1">
      <c r="D7" s="1169" t="s">
        <v>91</v>
      </c>
      <c r="E7" s="1170"/>
      <c r="F7" s="1170"/>
      <c r="G7" s="1170"/>
      <c r="H7" s="1170"/>
      <c r="I7" s="1170"/>
      <c r="J7" s="1170"/>
      <c r="K7" s="1171"/>
      <c r="M7" s="1169" t="s">
        <v>92</v>
      </c>
      <c r="N7" s="1170"/>
      <c r="O7" s="1170"/>
      <c r="P7" s="1172"/>
      <c r="Q7" s="1171"/>
      <c r="S7" s="1169" t="s">
        <v>93</v>
      </c>
      <c r="T7" s="1170"/>
      <c r="U7" s="1170"/>
      <c r="V7" s="1170"/>
      <c r="W7" s="1170"/>
      <c r="X7" s="1173" t="s">
        <v>93</v>
      </c>
      <c r="Y7" s="1174"/>
    </row>
    <row r="8" spans="2:35" s="200" customFormat="1" ht="45" customHeight="1">
      <c r="B8" s="1175" t="s">
        <v>733</v>
      </c>
      <c r="D8" s="1176" t="s">
        <v>94</v>
      </c>
      <c r="E8" s="1177" t="s">
        <v>95</v>
      </c>
      <c r="F8" s="1177" t="s">
        <v>96</v>
      </c>
      <c r="G8" s="1177" t="s">
        <v>97</v>
      </c>
      <c r="H8" s="1177" t="s">
        <v>98</v>
      </c>
      <c r="I8" s="1177" t="s">
        <v>99</v>
      </c>
      <c r="J8" s="1177" t="s">
        <v>100</v>
      </c>
      <c r="K8" s="1178" t="s">
        <v>101</v>
      </c>
      <c r="L8" s="265"/>
      <c r="M8" s="1176" t="s">
        <v>73</v>
      </c>
      <c r="N8" s="1177" t="s">
        <v>102</v>
      </c>
      <c r="O8" s="1178" t="s">
        <v>72</v>
      </c>
      <c r="P8" s="1016"/>
      <c r="Q8" s="1179" t="s">
        <v>103</v>
      </c>
      <c r="R8" s="1016"/>
      <c r="S8" s="1176" t="s">
        <v>104</v>
      </c>
      <c r="T8" s="1177" t="s">
        <v>84</v>
      </c>
      <c r="U8" s="1177" t="s">
        <v>85</v>
      </c>
      <c r="V8" s="1177" t="s">
        <v>105</v>
      </c>
      <c r="W8" s="1177" t="s">
        <v>106</v>
      </c>
      <c r="X8" s="1017" t="s">
        <v>107</v>
      </c>
      <c r="Y8" s="1178" t="s">
        <v>3229</v>
      </c>
      <c r="AA8" s="562" t="s">
        <v>108</v>
      </c>
      <c r="AB8" s="454" t="s">
        <v>109</v>
      </c>
      <c r="AC8" s="454" t="s">
        <v>110</v>
      </c>
      <c r="AD8" s="1180"/>
    </row>
    <row r="9" spans="2:35" ht="14.85" customHeight="1">
      <c r="X9" s="203"/>
      <c r="Y9" s="203"/>
    </row>
    <row r="10" spans="2:35" ht="14.85" customHeight="1">
      <c r="B10" s="179" t="str">
        <f>'Comp.1'!B12</f>
        <v>Editas Medicine, Inc.</v>
      </c>
      <c r="D10" s="255">
        <f>IF($B10="(Invalid Identifier)","",'Beta Calc'!K10)</f>
        <v>1705.3104800000001</v>
      </c>
      <c r="E10" s="255">
        <f>IF($B10="(Invalid Identifier)","",'Beta Calc'!L10)</f>
        <v>33.19</v>
      </c>
      <c r="F10" s="255" t="str">
        <f>IF($B10="(Invalid Identifier)","",'Beta Calc'!M10)</f>
        <v>n/a</v>
      </c>
      <c r="G10" s="255" t="str">
        <f>IF($B10="(Invalid Identifier)","",'Beta Calc'!N10)</f>
        <v>n/a</v>
      </c>
      <c r="H10" s="255">
        <f t="shared" ref="H10:H14" si="0">SUM(E10:G10)</f>
        <v>33.19</v>
      </c>
      <c r="I10" s="255">
        <f t="shared" ref="I10:I14" si="1">SUM(D10:G10)</f>
        <v>1738.5004800000002</v>
      </c>
      <c r="J10" s="255">
        <f>IF($B10="(Invalid Identifier)","",'Beta Calc'!Q10)</f>
        <v>358.82100000000003</v>
      </c>
      <c r="K10" s="576">
        <f t="shared" ref="K10:K14" si="2">IFERROR(I10-J10,"n/a")</f>
        <v>1379.6794800000002</v>
      </c>
      <c r="M10" s="384">
        <f>IFERROR('Capital IQ Sheet-GPC'!AT13,"n/a")</f>
        <v>0</v>
      </c>
      <c r="N10" s="255">
        <f t="shared" ref="N10:O18" si="3">N$6</f>
        <v>3.5</v>
      </c>
      <c r="O10" s="1181">
        <f t="shared" si="3"/>
        <v>2.64E-2</v>
      </c>
      <c r="P10" s="1162"/>
      <c r="Q10" s="1182">
        <f>IFERROR(HLOOKUP($Q$6,'Equity Vol'!$B$8:$K10,ROWS('Equity Vol'!$C$8:$C10),FALSE),"n/a")</f>
        <v>0.78204917356370451</v>
      </c>
      <c r="R10" s="303"/>
      <c r="S10" s="1183">
        <f t="shared" ref="S10:S14" si="4">IFERROR(IF(Q10="n/a","n/a",Q10^2),"n/a")</f>
        <v>0.61160090987167326</v>
      </c>
      <c r="T10" s="1183">
        <f t="shared" ref="T10:T14" si="5">IF(OR(K10="n/a",S10="n/a"),"n/a",IF(H10=0,0,IF(M10=0,(LN(K10/H10)+((O10+(S10/2))*N10))/((S10*N10)^0.5),(LN(K10/H10)+((O10-M10+(S10/2))*N10))/((S10*N10)^0.5))))</f>
        <v>3.3423048259419073</v>
      </c>
      <c r="U10" s="1184">
        <f t="shared" ref="U10:U14" si="6">IF(T10="n/a","n/a",IF(H10=0,0,T10-(S10*N10)^0.5))</f>
        <v>1.8792247923993617</v>
      </c>
      <c r="V10" s="1184">
        <f t="shared" ref="V10:V14" si="7">IF(OR(T10="n/a",S10="n/a"),"n/a",IF(H10=0,0,NORMSDIST(T10)))</f>
        <v>0.99958457118618727</v>
      </c>
      <c r="W10" s="1184">
        <f t="shared" ref="W10:W14" si="8">IF(OR(U10="n/a",S10="n/a"),"n/a",IF(H10=0,0,NORMSDIST(U10)))</f>
        <v>0.96989309712139382</v>
      </c>
      <c r="X10" s="576">
        <f t="shared" ref="X10:X14" si="9">IF(OR(K10="n/a",S10="n/a"),"n/a",IF(M10=0,(K10*V10)-((H10*EXP(1)^(-O10*N10))*W10),(K10*(2.718^(-M10*N10))*V10)-(H10*(2.718^(-O10*N10))*W10)))</f>
        <v>1349.7567130120626</v>
      </c>
      <c r="Y10" s="1182">
        <f t="shared" ref="Y10:Y14" si="10">IFERROR(IF(LEN(B10)&gt;0,IF(H10=0,Q10,IF(ISERROR(Q10/((K10/X10)*V10)),"n/a",Q10/((K10/X10)*V10)))),"n/a")</f>
        <v>0.76540590493348792</v>
      </c>
      <c r="AA10" s="932" t="str">
        <f>IF('MASTER PubCo Inputs'!B28=0,"",'MASTER PubCo Inputs'!B28)</f>
        <v>NasdaqGS:EDIT</v>
      </c>
      <c r="AB10" s="255">
        <f>IF($B10="(Invalid Identifier)","",'Beta Calc'!Z10)</f>
        <v>1379.67948</v>
      </c>
      <c r="AC10" s="933">
        <f t="shared" ref="AC10:AC14" si="11">IF($B10="(Invalid Identifier)","",K10-AB10)</f>
        <v>2.2737367544323206E-13</v>
      </c>
      <c r="AI10" s="934"/>
    </row>
    <row r="11" spans="2:35" ht="14.85" customHeight="1">
      <c r="B11" s="179" t="str">
        <f>'Comp.1'!B13</f>
        <v>Oxford BioMedica plc</v>
      </c>
      <c r="D11" s="255">
        <f>IF($B11="(Invalid Identifier)","",'Beta Calc'!K11)</f>
        <v>655.68985999999995</v>
      </c>
      <c r="E11" s="255">
        <f>IF($B11="(Invalid Identifier)","",'Beta Calc'!L11)</f>
        <v>49.826320000000003</v>
      </c>
      <c r="F11" s="255" t="str">
        <f>IF($B11="(Invalid Identifier)","",'Beta Calc'!M11)</f>
        <v>n/a</v>
      </c>
      <c r="G11" s="255" t="str">
        <f>IF($B11="(Invalid Identifier)","",'Beta Calc'!N11)</f>
        <v>n/a</v>
      </c>
      <c r="H11" s="255">
        <f t="shared" si="0"/>
        <v>49.826320000000003</v>
      </c>
      <c r="I11" s="255">
        <f t="shared" si="1"/>
        <v>705.51617999999996</v>
      </c>
      <c r="J11" s="255">
        <f>IF($B11="(Invalid Identifier)","",'Beta Calc'!Q11)</f>
        <v>19.367439999999998</v>
      </c>
      <c r="K11" s="576">
        <f t="shared" si="2"/>
        <v>686.14873999999998</v>
      </c>
      <c r="M11" s="384">
        <f>IFERROR('Capital IQ Sheet-GPC'!AT14,"n/a")</f>
        <v>0</v>
      </c>
      <c r="N11" s="255">
        <f t="shared" si="3"/>
        <v>3.5</v>
      </c>
      <c r="O11" s="1181">
        <f t="shared" si="3"/>
        <v>2.64E-2</v>
      </c>
      <c r="P11" s="1162"/>
      <c r="Q11" s="1182">
        <f>IFERROR(HLOOKUP($Q$6,'Equity Vol'!$B$8:$K11,ROWS('Equity Vol'!$C$8:$C11),FALSE),"n/a")</f>
        <v>0.61274111093250305</v>
      </c>
      <c r="R11" s="303"/>
      <c r="S11" s="1183">
        <f t="shared" si="4"/>
        <v>0.375451669026798</v>
      </c>
      <c r="T11" s="1183">
        <f t="shared" si="5"/>
        <v>2.941544534584867</v>
      </c>
      <c r="U11" s="1184">
        <f t="shared" si="6"/>
        <v>1.7952108826345314</v>
      </c>
      <c r="V11" s="1184">
        <f t="shared" si="7"/>
        <v>0.99836710060366873</v>
      </c>
      <c r="W11" s="1184">
        <f t="shared" si="8"/>
        <v>0.96368994637913008</v>
      </c>
      <c r="X11" s="576">
        <f t="shared" si="9"/>
        <v>641.24917755303352</v>
      </c>
      <c r="Y11" s="1182">
        <f t="shared" si="10"/>
        <v>0.57358172983470201</v>
      </c>
      <c r="AA11" s="932" t="str">
        <f>IF('MASTER PubCo Inputs'!B29=0,"",'MASTER PubCo Inputs'!B29)</f>
        <v>LSE:OXB</v>
      </c>
      <c r="AB11" s="255">
        <f>IF($B11="(Invalid Identifier)","",'Beta Calc'!Z11)</f>
        <v>685.68294000000003</v>
      </c>
      <c r="AC11" s="933">
        <f t="shared" si="11"/>
        <v>0.4657999999999447</v>
      </c>
      <c r="AI11" s="934"/>
    </row>
    <row r="12" spans="2:35" ht="14.85" customHeight="1">
      <c r="B12" s="179" t="str">
        <f>'Comp.1'!B14</f>
        <v>Fennec Pharmaceuticals Inc.</v>
      </c>
      <c r="D12" s="255">
        <f>IF($B12="(Invalid Identifier)","",'Beta Calc'!K12)</f>
        <v>205.66506000000001</v>
      </c>
      <c r="E12" s="255">
        <f>IF($B12="(Invalid Identifier)","",'Beta Calc'!L12)</f>
        <v>0</v>
      </c>
      <c r="F12" s="255" t="str">
        <f>IF($B12="(Invalid Identifier)","",'Beta Calc'!M12)</f>
        <v>n/a</v>
      </c>
      <c r="G12" s="255" t="str">
        <f>IF($B12="(Invalid Identifier)","",'Beta Calc'!N12)</f>
        <v>n/a</v>
      </c>
      <c r="H12" s="255">
        <f t="shared" si="0"/>
        <v>0</v>
      </c>
      <c r="I12" s="255">
        <f t="shared" si="1"/>
        <v>205.66506000000001</v>
      </c>
      <c r="J12" s="255">
        <f>IF($B12="(Invalid Identifier)","",'Beta Calc'!Q12)</f>
        <v>26.719000000000001</v>
      </c>
      <c r="K12" s="576">
        <f t="shared" si="2"/>
        <v>178.94606000000002</v>
      </c>
      <c r="M12" s="384">
        <f>IFERROR('Capital IQ Sheet-GPC'!AT15,"n/a")</f>
        <v>0</v>
      </c>
      <c r="N12" s="255">
        <f t="shared" si="3"/>
        <v>3.5</v>
      </c>
      <c r="O12" s="1181">
        <f t="shared" si="3"/>
        <v>2.64E-2</v>
      </c>
      <c r="P12" s="1162"/>
      <c r="Q12" s="1182">
        <f>IFERROR(HLOOKUP($Q$6,'Equity Vol'!$B$8:$K12,ROWS('Equity Vol'!$C$8:$C12),FALSE),"n/a")</f>
        <v>1.3197878729406225</v>
      </c>
      <c r="R12" s="303"/>
      <c r="S12" s="1183">
        <f t="shared" si="4"/>
        <v>1.7418400295611327</v>
      </c>
      <c r="T12" s="1183">
        <f t="shared" si="5"/>
        <v>0</v>
      </c>
      <c r="U12" s="1184">
        <f t="shared" si="6"/>
        <v>0</v>
      </c>
      <c r="V12" s="1184">
        <f t="shared" si="7"/>
        <v>0</v>
      </c>
      <c r="W12" s="1184">
        <f t="shared" si="8"/>
        <v>0</v>
      </c>
      <c r="X12" s="576">
        <f t="shared" si="9"/>
        <v>0</v>
      </c>
      <c r="Y12" s="1182">
        <f t="shared" si="10"/>
        <v>1.3197878729406225</v>
      </c>
      <c r="AA12" s="932" t="str">
        <f>IF('MASTER PubCo Inputs'!B30=0,"",'MASTER PubCo Inputs'!B30)</f>
        <v>NasdaqCM:FENC</v>
      </c>
      <c r="AB12" s="255">
        <f>IF($B12="(Invalid Identifier)","",'Beta Calc'!Z12)</f>
        <v>178.94605999999999</v>
      </c>
      <c r="AC12" s="933">
        <f t="shared" si="11"/>
        <v>2.8421709430404007E-14</v>
      </c>
      <c r="AI12" s="934"/>
    </row>
    <row r="13" spans="2:35" ht="14.85" customHeight="1">
      <c r="B13" s="179" t="str">
        <f>'Comp.1'!B15</f>
        <v>ProQR Therapeutics N.V.</v>
      </c>
      <c r="D13" s="255">
        <f>IF($B13="(Invalid Identifier)","",'Beta Calc'!K13)</f>
        <v>188.339</v>
      </c>
      <c r="E13" s="255">
        <f>IF($B13="(Invalid Identifier)","",'Beta Calc'!L13)</f>
        <v>8.6983700000000006</v>
      </c>
      <c r="F13" s="255" t="str">
        <f>IF($B13="(Invalid Identifier)","",'Beta Calc'!M13)</f>
        <v>n/a</v>
      </c>
      <c r="G13" s="255">
        <f>IF($B13="(Invalid Identifier)","",'Beta Calc'!N13)</f>
        <v>-4.5629999999999997E-2</v>
      </c>
      <c r="H13" s="255">
        <f t="shared" si="0"/>
        <v>8.6527400000000014</v>
      </c>
      <c r="I13" s="255">
        <f t="shared" si="1"/>
        <v>196.99174000000002</v>
      </c>
      <c r="J13" s="255">
        <f>IF($B13="(Invalid Identifier)","",'Beta Calc'!Q13)</f>
        <v>57.755760000000002</v>
      </c>
      <c r="K13" s="576">
        <f t="shared" si="2"/>
        <v>139.23598000000001</v>
      </c>
      <c r="M13" s="384">
        <f>IFERROR('Capital IQ Sheet-GPC'!AT16,"n/a")</f>
        <v>0</v>
      </c>
      <c r="N13" s="255">
        <f t="shared" si="3"/>
        <v>3.5</v>
      </c>
      <c r="O13" s="1181">
        <f t="shared" si="3"/>
        <v>2.64E-2</v>
      </c>
      <c r="P13" s="1162"/>
      <c r="Q13" s="1182">
        <f>IFERROR(HLOOKUP($Q$6,'Equity Vol'!$B$8:$K13,ROWS('Equity Vol'!$C$8:$C13),FALSE),"n/a")</f>
        <v>0.7169041230096167</v>
      </c>
      <c r="R13" s="303"/>
      <c r="S13" s="1183">
        <f t="shared" si="4"/>
        <v>0.51395152158818769</v>
      </c>
      <c r="T13" s="1183">
        <f t="shared" si="5"/>
        <v>2.8109870394180319</v>
      </c>
      <c r="U13" s="1184">
        <f t="shared" si="6"/>
        <v>1.4697822356842185</v>
      </c>
      <c r="V13" s="1184">
        <f t="shared" si="7"/>
        <v>0.99753051123158376</v>
      </c>
      <c r="W13" s="1184">
        <f t="shared" si="8"/>
        <v>0.92918962906657121</v>
      </c>
      <c r="X13" s="576">
        <f t="shared" si="9"/>
        <v>131.56171258271718</v>
      </c>
      <c r="Y13" s="1182">
        <f t="shared" si="10"/>
        <v>0.67906747874677786</v>
      </c>
      <c r="AA13" s="932" t="str">
        <f>IF('MASTER PubCo Inputs'!B31=0,"",'MASTER PubCo Inputs'!B31)</f>
        <v>NasdaqGM:PRQR</v>
      </c>
      <c r="AB13" s="255">
        <f>IF($B13="(Invalid Identifier)","",'Beta Calc'!Z13)</f>
        <v>150.9237</v>
      </c>
      <c r="AC13" s="933">
        <f t="shared" si="11"/>
        <v>-11.687719999999985</v>
      </c>
      <c r="AI13" s="934"/>
    </row>
    <row r="14" spans="2:35" ht="14.85" customHeight="1">
      <c r="B14" s="179" t="str">
        <f>'Comp.1'!B16</f>
        <v>Genkyotex SA</v>
      </c>
      <c r="D14" s="255">
        <f>IF($B14="(Invalid Identifier)","",'Beta Calc'!K14)</f>
        <v>138.52769000000001</v>
      </c>
      <c r="E14" s="255">
        <f>IF($B14="(Invalid Identifier)","",'Beta Calc'!L14)</f>
        <v>0.48391000000000001</v>
      </c>
      <c r="F14" s="255" t="str">
        <f>IF($B14="(Invalid Identifier)","",'Beta Calc'!M14)</f>
        <v>n/a</v>
      </c>
      <c r="G14" s="255" t="str">
        <f>IF($B14="(Invalid Identifier)","",'Beta Calc'!N14)</f>
        <v>n/a</v>
      </c>
      <c r="H14" s="255">
        <f t="shared" si="0"/>
        <v>0.48391000000000001</v>
      </c>
      <c r="I14" s="255">
        <f t="shared" si="1"/>
        <v>139.01160000000002</v>
      </c>
      <c r="J14" s="255">
        <f>IF($B14="(Invalid Identifier)","",'Beta Calc'!Q14)</f>
        <v>13.622719999999999</v>
      </c>
      <c r="K14" s="576">
        <f t="shared" si="2"/>
        <v>125.38888000000001</v>
      </c>
      <c r="M14" s="384">
        <f>IFERROR('Capital IQ Sheet-GPC'!AT17,"n/a")</f>
        <v>0</v>
      </c>
      <c r="N14" s="255">
        <f t="shared" si="3"/>
        <v>3.5</v>
      </c>
      <c r="O14" s="1181">
        <f t="shared" si="3"/>
        <v>2.64E-2</v>
      </c>
      <c r="P14" s="1162"/>
      <c r="Q14" s="1182">
        <f>IFERROR(HLOOKUP($Q$6,'Equity Vol'!$B$8:$K14,ROWS('Equity Vol'!$C$8:$C14),FALSE),"n/a")</f>
        <v>0.3917886476836604</v>
      </c>
      <c r="R14" s="303"/>
      <c r="S14" s="1183">
        <f t="shared" si="4"/>
        <v>0.15349834445379137</v>
      </c>
      <c r="T14" s="1183">
        <f t="shared" si="5"/>
        <v>8.0744135251677509</v>
      </c>
      <c r="U14" s="1184">
        <f t="shared" si="6"/>
        <v>7.3414440813378805</v>
      </c>
      <c r="V14" s="1184">
        <f t="shared" si="7"/>
        <v>0.99999999999999967</v>
      </c>
      <c r="W14" s="1184">
        <f t="shared" si="8"/>
        <v>0.99999999999989431</v>
      </c>
      <c r="X14" s="576">
        <f t="shared" si="9"/>
        <v>124.94767971249938</v>
      </c>
      <c r="Y14" s="1182">
        <f t="shared" si="10"/>
        <v>0.39041007835600156</v>
      </c>
      <c r="AA14" s="932" t="str">
        <f>IF('MASTER PubCo Inputs'!B32=0,"",'MASTER PubCo Inputs'!B32)</f>
        <v>ENXTPA:GKTX</v>
      </c>
      <c r="AB14" s="255">
        <f>IF($B14="(Invalid Identifier)","",'Beta Calc'!Z14)</f>
        <v>125.77329</v>
      </c>
      <c r="AC14" s="933">
        <f t="shared" si="11"/>
        <v>-0.38440999999998837</v>
      </c>
      <c r="AI14" s="934"/>
    </row>
    <row r="15" spans="2:35" ht="14.85" customHeight="1">
      <c r="B15" s="179" t="str">
        <f>'Comp.1'!B17</f>
        <v>Novus Therapeutics, Inc.</v>
      </c>
      <c r="D15" s="255">
        <f>IF($B15="(Invalid Identifier)","",'Beta Calc'!K15)</f>
        <v>74.033280000000005</v>
      </c>
      <c r="E15" s="255">
        <f>IF($B15="(Invalid Identifier)","",'Beta Calc'!L15)</f>
        <v>0</v>
      </c>
      <c r="F15" s="255" t="str">
        <f>IF($B15="(Invalid Identifier)","",'Beta Calc'!M15)</f>
        <v>n/a</v>
      </c>
      <c r="G15" s="255" t="str">
        <f>IF($B15="(Invalid Identifier)","",'Beta Calc'!N15)</f>
        <v>n/a</v>
      </c>
      <c r="H15" s="255">
        <f t="shared" ref="H15:H18" si="12">SUM(E15:G15)</f>
        <v>0</v>
      </c>
      <c r="I15" s="255">
        <f t="shared" ref="I15:I18" si="13">SUM(D15:G15)</f>
        <v>74.033280000000005</v>
      </c>
      <c r="J15" s="255">
        <f>IF($B15="(Invalid Identifier)","",'Beta Calc'!Q15)</f>
        <v>22.523</v>
      </c>
      <c r="K15" s="576">
        <f t="shared" ref="K15:K18" si="14">IFERROR(I15-J15,"n/a")</f>
        <v>51.510280000000009</v>
      </c>
      <c r="M15" s="384">
        <f>IFERROR('Capital IQ Sheet-GPC'!AT18,"n/a")</f>
        <v>0</v>
      </c>
      <c r="N15" s="255">
        <f t="shared" si="3"/>
        <v>3.5</v>
      </c>
      <c r="O15" s="1181">
        <f t="shared" si="3"/>
        <v>2.64E-2</v>
      </c>
      <c r="P15" s="1162"/>
      <c r="Q15" s="1182">
        <f>IFERROR(HLOOKUP($Q$6,'Equity Vol'!$B$8:$K15,ROWS('Equity Vol'!$C$8:$C15),FALSE),"n/a")</f>
        <v>0.69646624513060806</v>
      </c>
      <c r="R15" s="303"/>
      <c r="S15" s="1183">
        <f t="shared" ref="S15:S18" si="15">IFERROR(IF(Q15="n/a","n/a",Q15^2),"n/a")</f>
        <v>0.48506523060632822</v>
      </c>
      <c r="T15" s="1183">
        <f t="shared" ref="T15:T18" si="16">IF(OR(K15="n/a",S15="n/a"),"n/a",IF(H15=0,0,IF(M15=0,(LN(K15/H15)+((O15+(S15/2))*N15))/((S15*N15)^0.5),(LN(K15/H15)+((O15-M15+(S15/2))*N15))/((S15*N15)^0.5))))</f>
        <v>0</v>
      </c>
      <c r="U15" s="1184">
        <f t="shared" ref="U15:U18" si="17">IF(T15="n/a","n/a",IF(H15=0,0,T15-(S15*N15)^0.5))</f>
        <v>0</v>
      </c>
      <c r="V15" s="1184">
        <f t="shared" ref="V15:V18" si="18">IF(OR(T15="n/a",S15="n/a"),"n/a",IF(H15=0,0,NORMSDIST(T15)))</f>
        <v>0</v>
      </c>
      <c r="W15" s="1184">
        <f t="shared" ref="W15:W18" si="19">IF(OR(U15="n/a",S15="n/a"),"n/a",IF(H15=0,0,NORMSDIST(U15)))</f>
        <v>0</v>
      </c>
      <c r="X15" s="576">
        <f t="shared" ref="X15:X18" si="20">IF(OR(K15="n/a",S15="n/a"),"n/a",IF(M15=0,(K15*V15)-((H15*EXP(1)^(-O15*N15))*W15),(K15*(2.718^(-M15*N15))*V15)-(H15*(2.718^(-O15*N15))*W15)))</f>
        <v>0</v>
      </c>
      <c r="Y15" s="1182">
        <f t="shared" ref="Y15:Y18" si="21">IFERROR(IF(LEN(B15)&gt;0,IF(H15=0,Q15,IF(ISERROR(Q15/((K15/X15)*V15)),"n/a",Q15/((K15/X15)*V15)))),"n/a")</f>
        <v>0.69646624513060806</v>
      </c>
      <c r="AA15" s="932" t="str">
        <f>IF('MASTER PubCo Inputs'!B33=0,"",'MASTER PubCo Inputs'!B33)</f>
        <v>NasdaqCM:NVUS</v>
      </c>
      <c r="AB15" s="255">
        <f>IF($B15="(Invalid Identifier)","",'Beta Calc'!Z15)</f>
        <v>51.510280000000002</v>
      </c>
      <c r="AC15" s="933">
        <f t="shared" ref="AC15:AC18" si="22">IF($B15="(Invalid Identifier)","",K15-AB15)</f>
        <v>7.1054273576010019E-15</v>
      </c>
      <c r="AI15" s="934"/>
    </row>
    <row r="16" spans="2:35" ht="14.85" customHeight="1">
      <c r="B16" s="179" t="str">
        <f>'Comp.1'!B18</f>
        <v>Sensorion SA</v>
      </c>
      <c r="D16" s="255">
        <f>IF($B16="(Invalid Identifier)","",'Beta Calc'!K16)</f>
        <v>37.159999999999997</v>
      </c>
      <c r="E16" s="255">
        <f>IF($B16="(Invalid Identifier)","",'Beta Calc'!L16)</f>
        <v>2.6891699999999998</v>
      </c>
      <c r="F16" s="255">
        <f>IF($B16="(Invalid Identifier)","",'Beta Calc'!M16)</f>
        <v>0</v>
      </c>
      <c r="G16" s="255">
        <f>IF($B16="(Invalid Identifier)","",'Beta Calc'!N16)</f>
        <v>0</v>
      </c>
      <c r="H16" s="255">
        <f t="shared" si="12"/>
        <v>2.6891699999999998</v>
      </c>
      <c r="I16" s="255">
        <f t="shared" si="13"/>
        <v>39.849169999999994</v>
      </c>
      <c r="J16" s="255">
        <f>IF($B16="(Invalid Identifier)","",'Beta Calc'!Q16)</f>
        <v>9.1175599999999992</v>
      </c>
      <c r="K16" s="576">
        <f t="shared" si="14"/>
        <v>30.731609999999996</v>
      </c>
      <c r="M16" s="384">
        <f>IFERROR('Capital IQ Sheet-GPC'!AT19,"n/a")</f>
        <v>0</v>
      </c>
      <c r="N16" s="255">
        <f t="shared" si="3"/>
        <v>3.5</v>
      </c>
      <c r="O16" s="1181">
        <f t="shared" si="3"/>
        <v>2.64E-2</v>
      </c>
      <c r="P16" s="1162"/>
      <c r="Q16" s="1182">
        <f>IFERROR(HLOOKUP($Q$6,'Equity Vol'!$B$8:$K16,ROWS('Equity Vol'!$C$8:$C16),FALSE),"n/a")</f>
        <v>0.68884036657096237</v>
      </c>
      <c r="R16" s="303"/>
      <c r="S16" s="1183">
        <f t="shared" si="15"/>
        <v>0.47450105061761783</v>
      </c>
      <c r="T16" s="1183">
        <f t="shared" si="16"/>
        <v>2.6063707262204154</v>
      </c>
      <c r="U16" s="1184">
        <f t="shared" si="17"/>
        <v>1.31766840327626</v>
      </c>
      <c r="V16" s="1184">
        <f t="shared" si="18"/>
        <v>0.99542463205239962</v>
      </c>
      <c r="W16" s="1184">
        <f t="shared" si="19"/>
        <v>0.90619266191759273</v>
      </c>
      <c r="X16" s="576">
        <f t="shared" si="20"/>
        <v>28.369175863081175</v>
      </c>
      <c r="Y16" s="1182">
        <f t="shared" si="21"/>
        <v>0.63880986217108027</v>
      </c>
      <c r="AA16" s="932" t="str">
        <f>IF('MASTER PubCo Inputs'!B34=0,"",'MASTER PubCo Inputs'!B34)</f>
        <v>ENXTPA:ALSEN</v>
      </c>
      <c r="AB16" s="255">
        <f>IF($B16="(Invalid Identifier)","",'Beta Calc'!Z16)</f>
        <v>30.919689999999999</v>
      </c>
      <c r="AC16" s="933">
        <f t="shared" si="22"/>
        <v>-0.18808000000000291</v>
      </c>
      <c r="AI16" s="934"/>
    </row>
    <row r="17" spans="1:35" ht="14.85" customHeight="1">
      <c r="B17" s="179" t="str">
        <f>'Comp.1'!B19</f>
        <v>Otonomy, Inc.</v>
      </c>
      <c r="D17" s="255">
        <f>IF($B17="(Invalid Identifier)","",'Beta Calc'!K17)</f>
        <v>136.06998999999999</v>
      </c>
      <c r="E17" s="255">
        <f>IF($B17="(Invalid Identifier)","",'Beta Calc'!L17)</f>
        <v>0</v>
      </c>
      <c r="F17" s="255">
        <f>IF($B17="(Invalid Identifier)","",'Beta Calc'!M17)</f>
        <v>0</v>
      </c>
      <c r="G17" s="255">
        <f>IF($B17="(Invalid Identifier)","",'Beta Calc'!N17)</f>
        <v>0</v>
      </c>
      <c r="H17" s="255">
        <f t="shared" si="12"/>
        <v>0</v>
      </c>
      <c r="I17" s="255">
        <f t="shared" si="13"/>
        <v>136.06998999999999</v>
      </c>
      <c r="J17" s="255">
        <f>IF($B17="(Invalid Identifier)","",'Beta Calc'!Q17)</f>
        <v>110.224</v>
      </c>
      <c r="K17" s="576">
        <f t="shared" si="14"/>
        <v>25.845989999999986</v>
      </c>
      <c r="M17" s="384">
        <f>IFERROR('Capital IQ Sheet-GPC'!AT20,"n/a")</f>
        <v>0</v>
      </c>
      <c r="N17" s="255">
        <f t="shared" si="3"/>
        <v>3.5</v>
      </c>
      <c r="O17" s="1181">
        <f t="shared" si="3"/>
        <v>2.64E-2</v>
      </c>
      <c r="P17" s="1162"/>
      <c r="Q17" s="1182">
        <f>IFERROR(HLOOKUP($Q$6,'Equity Vol'!$B$8:$K17,ROWS('Equity Vol'!$C$8:$C17),FALSE),"n/a")</f>
        <v>1.1474404313943027</v>
      </c>
      <c r="R17" s="303"/>
      <c r="S17" s="1183">
        <f t="shared" si="15"/>
        <v>1.3166195435983437</v>
      </c>
      <c r="T17" s="1183">
        <f t="shared" si="16"/>
        <v>0</v>
      </c>
      <c r="U17" s="1184">
        <f t="shared" si="17"/>
        <v>0</v>
      </c>
      <c r="V17" s="1184">
        <f t="shared" si="18"/>
        <v>0</v>
      </c>
      <c r="W17" s="1184">
        <f t="shared" si="19"/>
        <v>0</v>
      </c>
      <c r="X17" s="576">
        <f t="shared" si="20"/>
        <v>0</v>
      </c>
      <c r="Y17" s="1182">
        <f t="shared" si="21"/>
        <v>1.1474404313943027</v>
      </c>
      <c r="AA17" s="932" t="str">
        <f>IF('MASTER PubCo Inputs'!B35=0,"",'MASTER PubCo Inputs'!B35)</f>
        <v>NasdaqGS:OTIC</v>
      </c>
      <c r="AB17" s="255">
        <f>IF($B17="(Invalid Identifier)","",'Beta Calc'!Z17)</f>
        <v>25.84599</v>
      </c>
      <c r="AC17" s="933">
        <f t="shared" si="22"/>
        <v>-1.4210854715202004E-14</v>
      </c>
      <c r="AI17" s="934"/>
    </row>
    <row r="18" spans="1:35" ht="14.85" customHeight="1">
      <c r="B18" s="179" t="str">
        <f>'Comp.1'!B20</f>
        <v>Auris Medical Holding AG</v>
      </c>
      <c r="D18" s="255">
        <f>IF($B18="(Invalid Identifier)","",'Beta Calc'!K18)</f>
        <v>7.2796900000000004</v>
      </c>
      <c r="E18" s="255">
        <f>IF($B18="(Invalid Identifier)","",'Beta Calc'!L18)</f>
        <v>9.06297</v>
      </c>
      <c r="F18" s="255">
        <f>IF($B18="(Invalid Identifier)","",'Beta Calc'!M18)</f>
        <v>0</v>
      </c>
      <c r="G18" s="255">
        <f>IF($B18="(Invalid Identifier)","",'Beta Calc'!N18)</f>
        <v>0</v>
      </c>
      <c r="H18" s="255">
        <f t="shared" si="12"/>
        <v>9.06297</v>
      </c>
      <c r="I18" s="255">
        <f t="shared" si="13"/>
        <v>16.342660000000002</v>
      </c>
      <c r="J18" s="255">
        <f>IF($B18="(Invalid Identifier)","",'Beta Calc'!Q18)</f>
        <v>13.2705</v>
      </c>
      <c r="K18" s="576">
        <f t="shared" si="14"/>
        <v>3.072160000000002</v>
      </c>
      <c r="M18" s="384">
        <f>IFERROR('Capital IQ Sheet-GPC'!AT21,"n/a")</f>
        <v>0</v>
      </c>
      <c r="N18" s="255">
        <f t="shared" si="3"/>
        <v>3.5</v>
      </c>
      <c r="O18" s="1181">
        <f t="shared" si="3"/>
        <v>2.64E-2</v>
      </c>
      <c r="P18" s="1162"/>
      <c r="Q18" s="1182">
        <f>IFERROR(HLOOKUP($Q$6,'Equity Vol'!$B$8:$K18,ROWS('Equity Vol'!$C$8:$C18),FALSE),"n/a")</f>
        <v>1.0309921222499077</v>
      </c>
      <c r="R18" s="303"/>
      <c r="S18" s="1183">
        <f t="shared" si="15"/>
        <v>1.0629447561413685</v>
      </c>
      <c r="T18" s="1183">
        <f t="shared" si="16"/>
        <v>0.45143767394551682</v>
      </c>
      <c r="U18" s="1184">
        <f t="shared" si="17"/>
        <v>-1.477371971015538</v>
      </c>
      <c r="V18" s="1184">
        <f t="shared" si="18"/>
        <v>0.67416293212586986</v>
      </c>
      <c r="W18" s="1184">
        <f t="shared" si="19"/>
        <v>6.9787977625931807E-2</v>
      </c>
      <c r="X18" s="576">
        <f t="shared" si="20"/>
        <v>1.4944730503875214</v>
      </c>
      <c r="Y18" s="1182">
        <f t="shared" si="21"/>
        <v>0.74393456010690606</v>
      </c>
      <c r="AA18" s="932" t="str">
        <f>IF('MASTER PubCo Inputs'!B36=0,"",'MASTER PubCo Inputs'!B36)</f>
        <v>NasdaqCM:EARS</v>
      </c>
      <c r="AB18" s="255">
        <f>IF($B18="(Invalid Identifier)","",'Beta Calc'!Z18)</f>
        <v>3.0721500000000002</v>
      </c>
      <c r="AC18" s="933">
        <f t="shared" si="22"/>
        <v>1.0000000001841869E-5</v>
      </c>
      <c r="AI18" s="934"/>
    </row>
    <row r="19" spans="1:35" ht="14.85" customHeight="1">
      <c r="D19" s="255"/>
      <c r="E19" s="255"/>
      <c r="F19" s="255"/>
      <c r="G19" s="255"/>
      <c r="H19" s="255"/>
      <c r="I19" s="255"/>
      <c r="J19" s="255"/>
      <c r="K19" s="255"/>
      <c r="R19" s="549"/>
    </row>
    <row r="20" spans="1:35" ht="14.85" customHeight="1">
      <c r="B20" s="935" t="s">
        <v>111</v>
      </c>
      <c r="C20" s="936"/>
      <c r="D20" s="938">
        <f t="shared" ref="D20:K20" si="23">MAX(D10:D18)</f>
        <v>1705.3104800000001</v>
      </c>
      <c r="E20" s="938">
        <f t="shared" si="23"/>
        <v>49.826320000000003</v>
      </c>
      <c r="F20" s="938">
        <f t="shared" si="23"/>
        <v>0</v>
      </c>
      <c r="G20" s="938">
        <f t="shared" si="23"/>
        <v>0</v>
      </c>
      <c r="H20" s="938">
        <f t="shared" si="23"/>
        <v>49.826320000000003</v>
      </c>
      <c r="I20" s="938">
        <f t="shared" si="23"/>
        <v>1738.5004800000002</v>
      </c>
      <c r="J20" s="938">
        <f t="shared" si="23"/>
        <v>358.82100000000003</v>
      </c>
      <c r="K20" s="938">
        <f t="shared" si="23"/>
        <v>1379.6794800000002</v>
      </c>
      <c r="L20" s="936"/>
      <c r="M20" s="1044">
        <f>MAX(M10:M18)</f>
        <v>0</v>
      </c>
      <c r="N20" s="938">
        <f>MAX(N10:N18)</f>
        <v>3.5</v>
      </c>
      <c r="O20" s="1185">
        <f>MAX(O10:O18)</f>
        <v>2.64E-2</v>
      </c>
      <c r="P20" s="1186"/>
      <c r="Q20" s="1187">
        <f>MAX(Q10:Q18)</f>
        <v>1.3197878729406225</v>
      </c>
      <c r="R20" s="1188"/>
      <c r="S20" s="1189">
        <f>MAX(S10:S19)</f>
        <v>1.7418400295611327</v>
      </c>
      <c r="T20" s="1189">
        <f>MAX(T10:T19)</f>
        <v>8.0744135251677509</v>
      </c>
      <c r="U20" s="1190">
        <f>MAX(U10:U19)</f>
        <v>7.3414440813378805</v>
      </c>
      <c r="V20" s="1190">
        <f>MAX(V10:V19)</f>
        <v>0.99999999999999967</v>
      </c>
      <c r="W20" s="1190">
        <f>MAX(W10:W19)</f>
        <v>0.99999999999989431</v>
      </c>
      <c r="X20" s="938">
        <f>MAX(X10:X18)</f>
        <v>1349.7567130120626</v>
      </c>
      <c r="Y20" s="1191">
        <f>MAX(Y10:Y18)</f>
        <v>1.3197878729406225</v>
      </c>
      <c r="AB20" s="1192">
        <f>+'Asset Vol_DLOM'!Y27</f>
        <v>0.69599999999999995</v>
      </c>
      <c r="AC20" s="1193" t="s">
        <v>1621</v>
      </c>
      <c r="AD20" s="1193"/>
      <c r="AE20" s="1193"/>
      <c r="AF20" s="591"/>
    </row>
    <row r="21" spans="1:35" ht="14.85" customHeight="1">
      <c r="B21" s="941" t="s">
        <v>115</v>
      </c>
      <c r="C21" s="942"/>
      <c r="D21" s="944">
        <f t="shared" ref="D21:K21" si="24">QUARTILE(D10:D18,3)</f>
        <v>205.66506000000001</v>
      </c>
      <c r="E21" s="944">
        <f t="shared" si="24"/>
        <v>9.06297</v>
      </c>
      <c r="F21" s="944">
        <f t="shared" si="24"/>
        <v>0</v>
      </c>
      <c r="G21" s="944">
        <f t="shared" si="24"/>
        <v>0</v>
      </c>
      <c r="H21" s="944">
        <f t="shared" si="24"/>
        <v>9.06297</v>
      </c>
      <c r="I21" s="944">
        <f t="shared" si="24"/>
        <v>205.66506000000001</v>
      </c>
      <c r="J21" s="944">
        <f t="shared" si="24"/>
        <v>57.755760000000002</v>
      </c>
      <c r="K21" s="944">
        <f t="shared" si="24"/>
        <v>178.94606000000002</v>
      </c>
      <c r="L21" s="942"/>
      <c r="M21" s="1046">
        <f>QUARTILE(M10:M18,3)</f>
        <v>0</v>
      </c>
      <c r="N21" s="944">
        <f>QUARTILE(N10:N18,3)</f>
        <v>3.5</v>
      </c>
      <c r="O21" s="1194">
        <f>QUARTILE(O10:O18,3)</f>
        <v>2.64E-2</v>
      </c>
      <c r="P21" s="1195"/>
      <c r="Q21" s="1196">
        <f>QUARTILE(Q10:Q18,3)</f>
        <v>1.0309921222499077</v>
      </c>
      <c r="R21" s="1197"/>
      <c r="S21" s="1198">
        <f>QUARTILE(S10:S19,3)</f>
        <v>1.0629447561413685</v>
      </c>
      <c r="T21" s="1198">
        <f>QUARTILE(T10:T19,3)</f>
        <v>2.941544534584867</v>
      </c>
      <c r="U21" s="1199">
        <f>QUARTILE(U10:U19,3)</f>
        <v>1.7952108826345314</v>
      </c>
      <c r="V21" s="1199">
        <f>QUARTILE(V10:V19,3)</f>
        <v>0.99836710060366873</v>
      </c>
      <c r="W21" s="1199">
        <f>QUARTILE(W10:W19,3)</f>
        <v>0.96368994637913008</v>
      </c>
      <c r="X21" s="944">
        <f>QUARTILE(X10:X18,3)</f>
        <v>131.56171258271718</v>
      </c>
      <c r="Y21" s="1200">
        <f>QUARTILE(Y10:Y18,3)</f>
        <v>0.76540590493348792</v>
      </c>
      <c r="AB21" s="1201">
        <f>+'Asset Vol_DLOM'!Y29</f>
        <v>0.69560959672687728</v>
      </c>
      <c r="AC21" s="179" t="s">
        <v>1622</v>
      </c>
      <c r="AF21" s="339"/>
    </row>
    <row r="22" spans="1:35" ht="14.85" customHeight="1">
      <c r="B22" s="941" t="s">
        <v>113</v>
      </c>
      <c r="C22" s="942"/>
      <c r="D22" s="944">
        <f t="shared" ref="D22:K22" si="25">AVERAGE(D10:D18)</f>
        <v>349.7861166666666</v>
      </c>
      <c r="E22" s="944">
        <f t="shared" si="25"/>
        <v>11.550082222222223</v>
      </c>
      <c r="F22" s="944">
        <f t="shared" si="25"/>
        <v>0</v>
      </c>
      <c r="G22" s="944">
        <f t="shared" si="25"/>
        <v>-1.1407499999999999E-2</v>
      </c>
      <c r="H22" s="944">
        <f t="shared" si="25"/>
        <v>11.545012222222223</v>
      </c>
      <c r="I22" s="944">
        <f t="shared" si="25"/>
        <v>361.33112888888883</v>
      </c>
      <c r="J22" s="944">
        <f t="shared" si="25"/>
        <v>70.157886666666684</v>
      </c>
      <c r="K22" s="944">
        <f t="shared" si="25"/>
        <v>291.17324222222226</v>
      </c>
      <c r="L22" s="942"/>
      <c r="M22" s="1046">
        <f>AVERAGE(M10:M18)</f>
        <v>0</v>
      </c>
      <c r="N22" s="944">
        <f>AVERAGE(N10:N18)</f>
        <v>3.5</v>
      </c>
      <c r="O22" s="1194">
        <f>AVERAGE(O10:O18)</f>
        <v>2.6400000000000003E-2</v>
      </c>
      <c r="P22" s="1195"/>
      <c r="Q22" s="1196">
        <f>AVERAGE(Q10:Q18)</f>
        <v>0.82077889927509873</v>
      </c>
      <c r="R22" s="1197"/>
      <c r="S22" s="1198">
        <f>AVERAGE(S10:S19)</f>
        <v>0.74838589505169339</v>
      </c>
      <c r="T22" s="1198">
        <f>AVERAGE(T10:T19)</f>
        <v>2.2474509250309436</v>
      </c>
      <c r="U22" s="1199">
        <f>AVERAGE(U10:U19)</f>
        <v>1.3695509360351903</v>
      </c>
      <c r="V22" s="1199">
        <f>AVERAGE(V10:V19)</f>
        <v>0.62945219413330089</v>
      </c>
      <c r="W22" s="1199">
        <f>AVERAGE(W10:W19)</f>
        <v>0.53763925690116821</v>
      </c>
      <c r="X22" s="944">
        <f>AVERAGE(X10:X18)</f>
        <v>253.04210353042015</v>
      </c>
      <c r="Y22" s="1200">
        <f>AVERAGE(Y10:Y18)</f>
        <v>0.77276712929049873</v>
      </c>
      <c r="AB22" s="1201">
        <f>+'Asset Vol_DLOM'!Y23</f>
        <v>0.69646624513060806</v>
      </c>
      <c r="AC22" s="179" t="s">
        <v>1620</v>
      </c>
      <c r="AF22" s="1202" t="s">
        <v>2035</v>
      </c>
    </row>
    <row r="23" spans="1:35" ht="14.85" customHeight="1">
      <c r="B23" s="941" t="s">
        <v>44</v>
      </c>
      <c r="C23" s="942"/>
      <c r="D23" s="944">
        <f t="shared" ref="D23:K23" si="26">MEDIAN(D10:D18)</f>
        <v>138.52769000000001</v>
      </c>
      <c r="E23" s="944">
        <f t="shared" si="26"/>
        <v>2.6891699999999998</v>
      </c>
      <c r="F23" s="944">
        <f t="shared" si="26"/>
        <v>0</v>
      </c>
      <c r="G23" s="944">
        <f t="shared" si="26"/>
        <v>0</v>
      </c>
      <c r="H23" s="944">
        <f t="shared" si="26"/>
        <v>2.6891699999999998</v>
      </c>
      <c r="I23" s="944">
        <f t="shared" si="26"/>
        <v>139.01160000000002</v>
      </c>
      <c r="J23" s="944">
        <f t="shared" si="26"/>
        <v>22.523</v>
      </c>
      <c r="K23" s="944">
        <f t="shared" si="26"/>
        <v>125.38888000000001</v>
      </c>
      <c r="L23" s="942"/>
      <c r="M23" s="1046">
        <f>MEDIAN(M10:M18)</f>
        <v>0</v>
      </c>
      <c r="N23" s="944">
        <f>MEDIAN(N10:N18)</f>
        <v>3.5</v>
      </c>
      <c r="O23" s="1194">
        <f>MEDIAN(O10:O18)</f>
        <v>2.64E-2</v>
      </c>
      <c r="P23" s="1195"/>
      <c r="Q23" s="1196">
        <f>MEDIAN(Q10:Q18)</f>
        <v>0.7169041230096167</v>
      </c>
      <c r="R23" s="1197"/>
      <c r="S23" s="1198">
        <f>MEDIAN(S10:S19)</f>
        <v>0.51395152158818769</v>
      </c>
      <c r="T23" s="1198">
        <f>MEDIAN(T10:T19)</f>
        <v>2.6063707262204154</v>
      </c>
      <c r="U23" s="1199">
        <f>MEDIAN(U10:U19)</f>
        <v>1.31766840327626</v>
      </c>
      <c r="V23" s="1199">
        <f>MEDIAN(V10:V19)</f>
        <v>0.99542463205239962</v>
      </c>
      <c r="W23" s="1199">
        <f>MEDIAN(W10:W19)</f>
        <v>0.90619266191759273</v>
      </c>
      <c r="X23" s="944">
        <f>MEDIAN(X10:X18)</f>
        <v>28.369175863081175</v>
      </c>
      <c r="Y23" s="1200">
        <f>MEDIAN(Y10:Y18)</f>
        <v>0.69646624513060806</v>
      </c>
      <c r="AB23" s="1203" t="str">
        <f>IF(ROUND(AB20,3)=ROUND(AB22,3),"","Update Volatility - OPM")</f>
        <v/>
      </c>
      <c r="AF23" s="339"/>
    </row>
    <row r="24" spans="1:35" ht="14.85" customHeight="1">
      <c r="B24" s="941" t="s">
        <v>114</v>
      </c>
      <c r="C24" s="942"/>
      <c r="D24" s="944">
        <f t="shared" ref="D24:K24" si="27">QUARTILE(D10:D18,1)</f>
        <v>74.033280000000005</v>
      </c>
      <c r="E24" s="944">
        <f t="shared" si="27"/>
        <v>0</v>
      </c>
      <c r="F24" s="944">
        <f t="shared" si="27"/>
        <v>0</v>
      </c>
      <c r="G24" s="944">
        <f t="shared" si="27"/>
        <v>-1.1407500000000001E-2</v>
      </c>
      <c r="H24" s="944">
        <f t="shared" si="27"/>
        <v>0</v>
      </c>
      <c r="I24" s="944">
        <f t="shared" si="27"/>
        <v>74.033280000000005</v>
      </c>
      <c r="J24" s="944">
        <f t="shared" si="27"/>
        <v>13.622719999999999</v>
      </c>
      <c r="K24" s="944">
        <f t="shared" si="27"/>
        <v>30.731609999999996</v>
      </c>
      <c r="L24" s="942"/>
      <c r="M24" s="1046">
        <f>QUARTILE(M10:M18,1)</f>
        <v>0</v>
      </c>
      <c r="N24" s="944">
        <f>QUARTILE(N10:N18,1)</f>
        <v>3.5</v>
      </c>
      <c r="O24" s="1194">
        <f>QUARTILE(O10:O18,1)</f>
        <v>2.64E-2</v>
      </c>
      <c r="P24" s="1195"/>
      <c r="Q24" s="1196">
        <f>QUARTILE(Q10:Q18,1)</f>
        <v>0.68884036657096237</v>
      </c>
      <c r="R24" s="1197"/>
      <c r="S24" s="1198">
        <f>QUARTILE(S10:S19,1)</f>
        <v>0.47450105061761783</v>
      </c>
      <c r="T24" s="1198">
        <f>QUARTILE(T10:T19,1)</f>
        <v>0</v>
      </c>
      <c r="U24" s="1199">
        <f>QUARTILE(U10:U19,1)</f>
        <v>0</v>
      </c>
      <c r="V24" s="1199">
        <f>QUARTILE(V10:V19,1)</f>
        <v>0</v>
      </c>
      <c r="W24" s="1199">
        <f>QUARTILE(W10:W19,1)</f>
        <v>0</v>
      </c>
      <c r="X24" s="944">
        <f>QUARTILE(X10:X18,1)</f>
        <v>0</v>
      </c>
      <c r="Y24" s="1200">
        <f>QUARTILE(Y10:Y18,1)</f>
        <v>0.63880986217108027</v>
      </c>
      <c r="AB24" s="1204" t="str">
        <f>IF(ROUND(AB21,3)=ROUND(AB22,3),"","Update Volatility - DLOM")</f>
        <v/>
      </c>
      <c r="AC24" s="264"/>
      <c r="AD24" s="264"/>
      <c r="AE24" s="264"/>
      <c r="AF24" s="701"/>
    </row>
    <row r="25" spans="1:35" ht="14.85" customHeight="1">
      <c r="B25" s="946" t="s">
        <v>112</v>
      </c>
      <c r="C25" s="663"/>
      <c r="D25" s="672">
        <f t="shared" ref="D25:K25" si="28">MIN(D10:D18)</f>
        <v>7.2796900000000004</v>
      </c>
      <c r="E25" s="672">
        <f t="shared" si="28"/>
        <v>0</v>
      </c>
      <c r="F25" s="672">
        <f t="shared" si="28"/>
        <v>0</v>
      </c>
      <c r="G25" s="672">
        <f t="shared" si="28"/>
        <v>-4.5629999999999997E-2</v>
      </c>
      <c r="H25" s="672">
        <f t="shared" si="28"/>
        <v>0</v>
      </c>
      <c r="I25" s="672">
        <f t="shared" si="28"/>
        <v>16.342660000000002</v>
      </c>
      <c r="J25" s="672">
        <f t="shared" si="28"/>
        <v>9.1175599999999992</v>
      </c>
      <c r="K25" s="672">
        <f t="shared" si="28"/>
        <v>3.072160000000002</v>
      </c>
      <c r="L25" s="663"/>
      <c r="M25" s="1048">
        <f>MIN(M10:M18)</f>
        <v>0</v>
      </c>
      <c r="N25" s="672">
        <f>MIN(N10:N18)</f>
        <v>3.5</v>
      </c>
      <c r="O25" s="1205">
        <f>MIN(O10:O18)</f>
        <v>2.64E-2</v>
      </c>
      <c r="P25" s="1206"/>
      <c r="Q25" s="1207">
        <f>MIN(Q10:Q18)</f>
        <v>0.3917886476836604</v>
      </c>
      <c r="R25" s="1208"/>
      <c r="S25" s="1209">
        <f>MIN(S10:S19)</f>
        <v>0.15349834445379137</v>
      </c>
      <c r="T25" s="1209">
        <f>MIN(T10:T19)</f>
        <v>0</v>
      </c>
      <c r="U25" s="1210">
        <f>MIN(U10:U19)</f>
        <v>-1.477371971015538</v>
      </c>
      <c r="V25" s="1210">
        <f>MIN(V10:V19)</f>
        <v>0</v>
      </c>
      <c r="W25" s="1210">
        <f>MIN(W10:W19)</f>
        <v>0</v>
      </c>
      <c r="X25" s="672">
        <f>MIN(X10:X18)</f>
        <v>0</v>
      </c>
      <c r="Y25" s="1211">
        <f>MIN(Y10:Y18)</f>
        <v>0.39041007835600156</v>
      </c>
      <c r="AB25" s="324" t="str">
        <f>IF(K27&lt;&gt;K29,"Check","")</f>
        <v/>
      </c>
    </row>
    <row r="26" spans="1:35" ht="14.85" customHeight="1">
      <c r="AB26" s="865" t="str">
        <f>IF(AND(AB23=$AF$24,AB25=$AF$24,AB24=$AF$24),"","Check")</f>
        <v/>
      </c>
    </row>
    <row r="27" spans="1:35" ht="14.85" hidden="1" customHeight="1" outlineLevel="1">
      <c r="B27" s="1212" t="str">
        <f>B2</f>
        <v>Decibel Therapeutics, Inc.</v>
      </c>
      <c r="C27" s="1213" t="s">
        <v>260</v>
      </c>
      <c r="D27" s="1866">
        <f>'OPM 1 Hybrid'!$D$9/1000</f>
        <v>160.20387527848837</v>
      </c>
      <c r="E27" s="1866">
        <f>-'Hist BS'!$G$71</f>
        <v>0</v>
      </c>
      <c r="F27" s="1214"/>
      <c r="G27" s="1214"/>
      <c r="H27" s="1216">
        <f>SUM(E27:G27)</f>
        <v>0</v>
      </c>
      <c r="I27" s="1216">
        <f>SUM(D27:G27)</f>
        <v>160.20387527848837</v>
      </c>
      <c r="J27" s="1214"/>
      <c r="K27" s="1225">
        <f>I27-J27</f>
        <v>160.20387527848837</v>
      </c>
      <c r="L27" s="1214"/>
      <c r="M27" s="1217">
        <f>DLOM_OPM!D16</f>
        <v>0</v>
      </c>
      <c r="N27" s="1218">
        <f>N$6</f>
        <v>3.5</v>
      </c>
      <c r="O27" s="1219">
        <f>O$6</f>
        <v>2.64E-2</v>
      </c>
      <c r="P27" s="1220"/>
      <c r="Q27" s="1221">
        <v>0.69599999999999995</v>
      </c>
      <c r="R27" s="1214"/>
      <c r="S27" s="1222">
        <f>IF(Q27="n/a","n/a",Q27^2)</f>
        <v>0.48441599999999996</v>
      </c>
      <c r="T27" s="1222">
        <f>IF(OR(K27="n/a",S27="n/a"),"n/a",IF(H27=0,0,IF(M27=0,(LN(K27/H27)+((O27+(S27/2))*N27))/((S27*N27)^0.5),(LN(K27/H27)+((O27-M27+(S27/2))*N27))/((S27*N27)^0.5))))</f>
        <v>0</v>
      </c>
      <c r="U27" s="1223">
        <f>IF(T27="n/a","n/a",IF(H27=0,0,T27-(S27*N27)^0.5))</f>
        <v>0</v>
      </c>
      <c r="V27" s="1223">
        <f>IF(OR(T27="n/a",S27="n/a"),"n/a",IF(H27=0,0,NORMSDIST(T27)))</f>
        <v>0</v>
      </c>
      <c r="W27" s="1223">
        <f>IF(OR(U27="n/a",S27="n/a"),"n/a",IF(H27=0,0,NORMSDIST(U27)))</f>
        <v>0</v>
      </c>
      <c r="X27" s="1223">
        <f>IF(OR(K27="n/a",S27="n/a"),"n/a",IF(M27=0,(K27*V27)-((H27*EXP(1)^(-O27*N27))*W27),(K27*(2.718^(-M27*N27))*V27)-(H27*(2.718^(-O27*N27))*W27)))</f>
        <v>0</v>
      </c>
      <c r="Y27" s="1224">
        <f>IF(LEN(B27)&gt;0,IF(H27=0,Q27,IF(ISERROR(Q27/((K27/X27)*V27)),"n/a",Q27/((K27/X27)*V27))))</f>
        <v>0.69599999999999995</v>
      </c>
    </row>
    <row r="28" spans="1:35" ht="14.85" hidden="1" customHeight="1" outlineLevel="1"/>
    <row r="29" spans="1:35" ht="14.85" customHeight="1" collapsed="1">
      <c r="B29" s="1212" t="str">
        <f>B27</f>
        <v>Decibel Therapeutics, Inc.</v>
      </c>
      <c r="C29" s="1213" t="s">
        <v>299</v>
      </c>
      <c r="D29" s="1866">
        <f>D27-E29</f>
        <v>65.130117006801612</v>
      </c>
      <c r="E29" s="1867">
        <f>SUM('OPM 1 Hybrid'!D64:E64)/1000+E27</f>
        <v>95.073758271686756</v>
      </c>
      <c r="F29" s="1214"/>
      <c r="G29" s="1214"/>
      <c r="H29" s="1216">
        <f>SUM(E29:G29)</f>
        <v>95.073758271686756</v>
      </c>
      <c r="I29" s="1216">
        <f>SUM(D29:G29)</f>
        <v>160.20387527848837</v>
      </c>
      <c r="J29" s="1214"/>
      <c r="K29" s="1225">
        <f>I29-J29</f>
        <v>160.20387527848837</v>
      </c>
      <c r="L29" s="1214"/>
      <c r="M29" s="1226">
        <f>M27</f>
        <v>0</v>
      </c>
      <c r="N29" s="1218">
        <f>N$6</f>
        <v>3.5</v>
      </c>
      <c r="O29" s="1219">
        <f>O$6</f>
        <v>2.64E-2</v>
      </c>
      <c r="P29" s="1220"/>
      <c r="Q29" s="1221">
        <v>0.872</v>
      </c>
      <c r="R29" s="1214"/>
      <c r="S29" s="1222">
        <f>IF(Q29="n/a","n/a",Q29^2)</f>
        <v>0.76038399999999995</v>
      </c>
      <c r="T29" s="1222">
        <f>IF(OR(K29="n/a",S29="n/a"),"n/a",IF(H29=0,0,IF(M29=0,(LN(K29/H29)+((O29+(S29/2))*N29))/((S29*N29)^0.5),(LN(K29/H29)+((O29-M29+(S29/2))*N29))/((S29*N29)^0.5))))</f>
        <v>1.1921728540179692</v>
      </c>
      <c r="U29" s="1223">
        <f>IF(T29="n/a","n/a",IF(H29=0,0,T29-(S29*N29)^0.5))</f>
        <v>-0.43918976661546916</v>
      </c>
      <c r="V29" s="1223">
        <f>IF(OR(T29="n/a",S29="n/a"),"n/a",IF(H29=0,0,NORMSDIST(T29)))</f>
        <v>0.88340326241306921</v>
      </c>
      <c r="W29" s="1223">
        <f>IF(OR(U29="n/a",S29="n/a"),"n/a",IF(H29=0,0,NORMSDIST(U29)))</f>
        <v>0.33026201970753105</v>
      </c>
      <c r="X29" s="1223">
        <f>IF(OR(K29="n/a",S29="n/a"),"n/a",IF(M29=0,(K29*V29)-((H29*EXP(1)^(-O29*N29))*W29),(K29*(2.718^(-M29*N29))*V29)-(H29*(2.718^(-O29*N29))*W29)))</f>
        <v>112.89666062961945</v>
      </c>
      <c r="Y29" s="1224">
        <f>IF(LEN(B29)&gt;0,IF(H29=0,Q29,IF(ISERROR(Q29/((K29/X29)*V29)),"n/a",Q29/((K29/X29)*V29))))</f>
        <v>0.69560959672687728</v>
      </c>
    </row>
    <row r="30" spans="1:35" ht="14.85" customHeight="1"/>
    <row r="31" spans="1:35" ht="14.85" customHeight="1">
      <c r="B31" s="272" t="s">
        <v>86</v>
      </c>
    </row>
    <row r="32" spans="1:35" ht="14.85" customHeight="1">
      <c r="A32" s="273" t="s">
        <v>261</v>
      </c>
      <c r="B32" s="202" t="s">
        <v>3230</v>
      </c>
    </row>
    <row r="33" spans="1:26" s="275" customFormat="1" ht="14.85" customHeight="1">
      <c r="A33" s="273" t="s">
        <v>260</v>
      </c>
      <c r="B33" s="202" t="s">
        <v>961</v>
      </c>
      <c r="C33" s="179"/>
      <c r="D33" s="179"/>
      <c r="E33" s="179"/>
      <c r="F33" s="179"/>
      <c r="G33" s="179"/>
      <c r="H33" s="179"/>
      <c r="I33" s="179"/>
      <c r="J33" s="179"/>
      <c r="K33" s="179"/>
      <c r="L33" s="179"/>
      <c r="M33" s="179"/>
      <c r="N33" s="179"/>
      <c r="O33" s="179"/>
      <c r="P33" s="549"/>
      <c r="Q33" s="179"/>
      <c r="R33" s="179"/>
      <c r="S33" s="179"/>
      <c r="T33" s="179"/>
      <c r="U33" s="179"/>
      <c r="V33" s="179"/>
      <c r="W33" s="179"/>
      <c r="X33" s="179"/>
      <c r="Y33" s="179"/>
      <c r="Z33" s="179"/>
    </row>
    <row r="34" spans="1:26" s="275" customFormat="1" ht="14.85" customHeight="1">
      <c r="A34" s="273" t="s">
        <v>299</v>
      </c>
      <c r="B34" s="202" t="s">
        <v>962</v>
      </c>
      <c r="C34" s="179"/>
      <c r="D34" s="179"/>
      <c r="E34" s="179"/>
      <c r="F34" s="179"/>
      <c r="G34" s="179"/>
      <c r="H34" s="179"/>
      <c r="I34" s="179"/>
      <c r="J34" s="179"/>
      <c r="K34" s="179"/>
      <c r="L34" s="179"/>
      <c r="M34" s="179"/>
      <c r="N34" s="179"/>
      <c r="O34" s="179"/>
      <c r="P34" s="549"/>
      <c r="Q34" s="179"/>
      <c r="R34" s="179"/>
      <c r="S34" s="179"/>
      <c r="T34" s="179"/>
      <c r="U34" s="179"/>
      <c r="V34" s="179"/>
      <c r="W34" s="179"/>
      <c r="X34" s="179"/>
      <c r="Y34" s="179"/>
      <c r="Z34" s="179"/>
    </row>
    <row r="35" spans="1:26" ht="14.85" customHeight="1"/>
    <row r="36" spans="1:26" ht="14.85" customHeight="1">
      <c r="B36" s="272" t="s">
        <v>116</v>
      </c>
    </row>
    <row r="37" spans="1:26" ht="14.85" customHeight="1"/>
    <row r="38" spans="1:26" ht="14.85" customHeight="1">
      <c r="B38" s="179" t="s">
        <v>1650</v>
      </c>
    </row>
    <row r="39" spans="1:26" ht="14.85" customHeight="1">
      <c r="B39" s="179" t="s">
        <v>1651</v>
      </c>
    </row>
    <row r="40" spans="1:26" ht="14.85" customHeight="1">
      <c r="B40" s="179" t="s">
        <v>1652</v>
      </c>
    </row>
    <row r="41" spans="1:26" ht="14.85" customHeight="1">
      <c r="B41" s="179" t="s">
        <v>1653</v>
      </c>
    </row>
    <row r="42" spans="1:26" ht="14.85" customHeight="1">
      <c r="B42" s="179" t="s">
        <v>1654</v>
      </c>
    </row>
    <row r="43" spans="1:26" ht="14.85" customHeight="1">
      <c r="B43" s="179" t="s">
        <v>1655</v>
      </c>
    </row>
    <row r="44" spans="1:26" ht="14.85" customHeight="1">
      <c r="B44" s="179" t="s">
        <v>1656</v>
      </c>
    </row>
    <row r="45" spans="1:26" ht="14.85" customHeight="1"/>
    <row r="46" spans="1:26" ht="14.85" customHeight="1">
      <c r="B46" s="179" t="s">
        <v>1657</v>
      </c>
    </row>
    <row r="47" spans="1:26" ht="14.85" customHeight="1">
      <c r="B47" s="179" t="s">
        <v>1658</v>
      </c>
    </row>
    <row r="48" spans="1:26" ht="14.85" customHeight="1">
      <c r="B48" s="179" t="s">
        <v>1659</v>
      </c>
    </row>
    <row r="49" spans="2:2" ht="14.85" customHeight="1">
      <c r="B49" s="179" t="s">
        <v>1660</v>
      </c>
    </row>
    <row r="50" spans="2:2" ht="14.85" customHeight="1">
      <c r="B50" s="179" t="s">
        <v>1661</v>
      </c>
    </row>
    <row r="51" spans="2:2" ht="14.85" customHeight="1">
      <c r="B51" s="179" t="s">
        <v>1662</v>
      </c>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sheetData>
  <conditionalFormatting sqref="B10:B18">
    <cfRule type="cellIs" dxfId="301" priority="8" operator="equal">
      <formula>"(Invalid Identifier)"</formula>
    </cfRule>
  </conditionalFormatting>
  <conditionalFormatting sqref="B4:I4">
    <cfRule type="cellIs" dxfId="300" priority="7" stopIfTrue="1" operator="equal">
      <formula>"input"</formula>
    </cfRule>
  </conditionalFormatting>
  <conditionalFormatting sqref="J4">
    <cfRule type="cellIs" dxfId="299" priority="5" stopIfTrue="1" operator="equal">
      <formula>"input"</formula>
    </cfRule>
  </conditionalFormatting>
  <conditionalFormatting sqref="J4">
    <cfRule type="cellIs" dxfId="298" priority="6" stopIfTrue="1" operator="equal">
      <formula>"input"</formula>
    </cfRule>
  </conditionalFormatting>
  <conditionalFormatting sqref="K4:X4">
    <cfRule type="cellIs" dxfId="297" priority="3" stopIfTrue="1" operator="equal">
      <formula>"input"</formula>
    </cfRule>
  </conditionalFormatting>
  <conditionalFormatting sqref="K4:X4">
    <cfRule type="cellIs" dxfId="296" priority="4" stopIfTrue="1" operator="equal">
      <formula>"input"</formula>
    </cfRule>
  </conditionalFormatting>
  <conditionalFormatting sqref="Y4">
    <cfRule type="cellIs" dxfId="295" priority="1" stopIfTrue="1" operator="equal">
      <formula>"input"</formula>
    </cfRule>
  </conditionalFormatting>
  <conditionalFormatting sqref="Y4">
    <cfRule type="cellIs" dxfId="294" priority="2" stopIfTrue="1" operator="equal">
      <formula>"input"</formula>
    </cfRule>
  </conditionalFormatting>
  <pageMargins left="0.5" right="0.5" top="0.5" bottom="0.5" header="0.5" footer="0.5"/>
  <pageSetup scale="75" fitToWidth="0" fitToHeight="0" orientation="landscape" r:id="rId1"/>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2"/>
  <dimension ref="A1:R739"/>
  <sheetViews>
    <sheetView showGridLines="0" tabSelected="1" view="pageBreakPreview" zoomScale="80" zoomScaleNormal="100" zoomScaleSheetLayoutView="80" workbookViewId="0">
      <selection activeCell="H11" sqref="H11"/>
    </sheetView>
  </sheetViews>
  <sheetFormatPr defaultRowHeight="12.75" outlineLevelRow="1"/>
  <cols>
    <col min="1" max="1" width="4.5" style="179" customWidth="1"/>
    <col min="2" max="2" width="60.83203125" style="179" customWidth="1"/>
    <col min="3" max="3" width="2.83203125" style="179" customWidth="1"/>
    <col min="4" max="8" width="21.1640625" style="179" customWidth="1"/>
    <col min="9" max="11" width="14.83203125" style="179" hidden="1" customWidth="1"/>
    <col min="12" max="12" width="4.5" style="179" customWidth="1"/>
    <col min="13" max="14" width="12.83203125" style="179" customWidth="1"/>
    <col min="15" max="15" width="16.5" style="180" customWidth="1"/>
    <col min="16" max="16" width="9.5" style="179" bestFit="1" customWidth="1"/>
    <col min="17" max="17" width="14.1640625" style="179" bestFit="1" customWidth="1"/>
    <col min="18" max="18" width="12.83203125" style="179" bestFit="1" customWidth="1"/>
    <col min="19" max="16384" width="9.33203125" style="179"/>
  </cols>
  <sheetData>
    <row r="1" spans="2:18" ht="10.7" customHeight="1" thickBot="1"/>
    <row r="2" spans="2:18" ht="16.5" customHeight="1" thickTop="1">
      <c r="B2" s="187" t="str">
        <f>'MASTER PubCo Inputs'!$C$5</f>
        <v>Decibel Therapeutics, Inc.</v>
      </c>
      <c r="C2" s="187"/>
      <c r="D2" s="187"/>
      <c r="E2" s="187"/>
      <c r="F2" s="187"/>
      <c r="G2" s="187"/>
      <c r="H2" s="187"/>
      <c r="I2" s="187"/>
      <c r="J2" s="187"/>
      <c r="K2" s="187"/>
    </row>
    <row r="3" spans="2:18" ht="15.75" customHeight="1">
      <c r="B3" s="188" t="str">
        <f>VLOOKUP(B4,Outline!$E$8:$G$75,COLUMNS(Outline!$E$8:$G$8),FALSE)</f>
        <v>Exhibit F.4</v>
      </c>
      <c r="C3" s="188"/>
      <c r="D3" s="188"/>
      <c r="E3" s="188"/>
      <c r="F3" s="188"/>
      <c r="G3" s="188"/>
      <c r="H3" s="188"/>
      <c r="I3" s="188"/>
      <c r="J3" s="188"/>
      <c r="K3" s="188"/>
      <c r="O3" s="1005" t="s">
        <v>958</v>
      </c>
      <c r="P3" s="1041">
        <v>1.5</v>
      </c>
      <c r="Q3" s="1005" t="s">
        <v>959</v>
      </c>
      <c r="R3" s="1041">
        <v>0</v>
      </c>
    </row>
    <row r="4" spans="2:18" ht="16.5" customHeight="1" thickBot="1">
      <c r="B4" s="726" t="s">
        <v>117</v>
      </c>
      <c r="C4" s="726"/>
      <c r="D4" s="726"/>
      <c r="E4" s="726"/>
      <c r="F4" s="726"/>
      <c r="G4" s="726"/>
      <c r="H4" s="726"/>
      <c r="I4" s="726"/>
      <c r="J4" s="726"/>
      <c r="K4" s="726"/>
    </row>
    <row r="5" spans="2:18" ht="14.85" customHeight="1" thickTop="1"/>
    <row r="6" spans="2:18" ht="14.85" customHeight="1">
      <c r="D6" s="635" t="s">
        <v>3821</v>
      </c>
      <c r="E6" s="635"/>
      <c r="F6" s="635"/>
      <c r="G6" s="635"/>
      <c r="H6" s="635"/>
      <c r="I6" s="635"/>
      <c r="J6" s="635"/>
      <c r="K6" s="635"/>
      <c r="M6" s="1231" t="s">
        <v>87</v>
      </c>
      <c r="N6" s="1232">
        <f>'MASTER PubCo Inputs'!$C$6</f>
        <v>43245</v>
      </c>
      <c r="R6" s="1919">
        <f>'Capital IQ Sheet-GPC'!B8</f>
        <v>43101</v>
      </c>
    </row>
    <row r="7" spans="2:18" ht="14.85" customHeight="1">
      <c r="D7" s="1233" t="s">
        <v>118</v>
      </c>
      <c r="E7" s="1073"/>
      <c r="F7" s="1073"/>
      <c r="G7" s="1073"/>
      <c r="H7" s="1869"/>
      <c r="I7" s="1073"/>
      <c r="J7" s="1073"/>
      <c r="K7" s="1234"/>
    </row>
    <row r="8" spans="2:18" ht="14.85" customHeight="1">
      <c r="B8" s="1175" t="s">
        <v>733</v>
      </c>
      <c r="D8" s="1235">
        <v>1</v>
      </c>
      <c r="E8" s="1236">
        <v>2</v>
      </c>
      <c r="F8" s="1236">
        <v>3</v>
      </c>
      <c r="G8" s="1236">
        <v>4</v>
      </c>
      <c r="H8" s="1870">
        <v>5</v>
      </c>
      <c r="I8" s="1236">
        <v>6</v>
      </c>
      <c r="J8" s="1236">
        <v>7</v>
      </c>
      <c r="K8" s="1237">
        <v>8</v>
      </c>
      <c r="M8" s="454" t="s">
        <v>108</v>
      </c>
      <c r="O8" s="181" t="s">
        <v>1991</v>
      </c>
      <c r="Q8" s="182" t="s">
        <v>102</v>
      </c>
      <c r="R8" s="182" t="s">
        <v>3759</v>
      </c>
    </row>
    <row r="9" spans="2:18" ht="14.85" customHeight="1"/>
    <row r="10" spans="2:18" ht="14.85" customHeight="1">
      <c r="B10" s="179" t="str">
        <f>'Comp.1'!B12</f>
        <v>Editas Medicine, Inc.</v>
      </c>
      <c r="D10" s="384">
        <f>IF('Capital IQ Sheet-GPC'!BS13="n/a","n/a",IF(OR('Capital IQ Sheet-GPC'!BS13&gt;'Equity Vol'!$P$3,'Capital IQ Sheet-GPC'!BS13&lt;'Equity Vol'!$R$3),"NM",'Capital IQ Sheet-GPC'!BS13))</f>
        <v>0.68420713810904565</v>
      </c>
      <c r="E10" s="384">
        <f>IF('Capital IQ Sheet-GPC'!BT13="n/a","n/a",IF(OR('Capital IQ Sheet-GPC'!BT13&gt;'Equity Vol'!$P$3,'Capital IQ Sheet-GPC'!BT13&lt;'Equity Vol'!$R$3),"NM",'Capital IQ Sheet-GPC'!BT13))</f>
        <v>0.69214889061457208</v>
      </c>
      <c r="F10" s="384">
        <f>IF('Capital IQ Sheet-GPC'!BU13="n/a","n/a",IF(OR('Capital IQ Sheet-GPC'!BU13&gt;'Equity Vol'!$P$3,'Capital IQ Sheet-GPC'!BU13&lt;'Equity Vol'!$R$3),"NM",'Capital IQ Sheet-GPC'!BU13))</f>
        <v>0.78204917356370451</v>
      </c>
      <c r="G10" s="1868">
        <f>F10</f>
        <v>0.78204917356370451</v>
      </c>
      <c r="H10" s="1868">
        <f>G10</f>
        <v>0.78204917356370451</v>
      </c>
      <c r="I10" s="384" t="str">
        <f>IF('Capital IQ Sheet-GPC'!BX13="n/a","n/a",IF(OR('Capital IQ Sheet-GPC'!BX13&gt;'Equity Vol'!$P$3,'Capital IQ Sheet-GPC'!BX13&lt;'Equity Vol'!$R$3),"NM",'Capital IQ Sheet-GPC'!BX13))</f>
        <v>n/a</v>
      </c>
      <c r="J10" s="384" t="str">
        <f>IF('Capital IQ Sheet-GPC'!BY13="n/a","n/a",IF(OR('Capital IQ Sheet-GPC'!BY13&gt;'Equity Vol'!$P$3,'Capital IQ Sheet-GPC'!BY13&lt;'Equity Vol'!$R$3),"NM",'Capital IQ Sheet-GPC'!BY13))</f>
        <v>n/a</v>
      </c>
      <c r="K10" s="384" t="str">
        <f>IF('Capital IQ Sheet-GPC'!BZ13="n/a","n/a",IF(OR('Capital IQ Sheet-GPC'!BZ13&gt;'Equity Vol'!$P$3,'Capital IQ Sheet-GPC'!BZ13&lt;'Equity Vol'!$R$3),"NM",'Capital IQ Sheet-GPC'!BZ13))</f>
        <v>n/a</v>
      </c>
      <c r="M10" s="932" t="str">
        <f>'Asset Vol_OPM'!AA10</f>
        <v>NasdaqGS:EDIT</v>
      </c>
      <c r="O10" s="1238">
        <f>'Capital IQ Sheet-GPC'!G13</f>
        <v>42403</v>
      </c>
      <c r="Q10" s="179">
        <f t="shared" ref="Q10:Q14" si="0">YEARFRAC(O10,$N$6,3)</f>
        <v>2.3068493150684932</v>
      </c>
      <c r="R10" s="179">
        <f t="shared" ref="R10:R14" si="1">YEARFRAC(O10,$R$6,3)</f>
        <v>1.9123287671232876</v>
      </c>
    </row>
    <row r="11" spans="2:18" ht="14.85" customHeight="1">
      <c r="B11" s="179" t="str">
        <f>'Comp.1'!B13</f>
        <v>Oxford BioMedica plc</v>
      </c>
      <c r="D11" s="384">
        <f>IF('Capital IQ Sheet-GPC'!BS14="n/a","n/a",IF(OR('Capital IQ Sheet-GPC'!BS14&gt;'Equity Vol'!$P$3,'Capital IQ Sheet-GPC'!BS14&lt;'Equity Vol'!$R$3),"NM",'Capital IQ Sheet-GPC'!BS14))</f>
        <v>0.5603531593131208</v>
      </c>
      <c r="E11" s="384">
        <f>IF('Capital IQ Sheet-GPC'!BT14="n/a","n/a",IF(OR('Capital IQ Sheet-GPC'!BT14&gt;'Equity Vol'!$P$3,'Capital IQ Sheet-GPC'!BT14&lt;'Equity Vol'!$R$3),"NM",'Capital IQ Sheet-GPC'!BT14))</f>
        <v>0.57607610452320634</v>
      </c>
      <c r="F11" s="384">
        <f>IF('Capital IQ Sheet-GPC'!BU14="n/a","n/a",IF(OR('Capital IQ Sheet-GPC'!BU14&gt;'Equity Vol'!$P$3,'Capital IQ Sheet-GPC'!BU14&lt;'Equity Vol'!$R$3),"NM",'Capital IQ Sheet-GPC'!BU14))</f>
        <v>0.59784182919662132</v>
      </c>
      <c r="G11" s="384">
        <f>IF('Capital IQ Sheet-GPC'!BV14="n/a","n/a",IF(OR('Capital IQ Sheet-GPC'!BV14&gt;'Equity Vol'!$P$3,'Capital IQ Sheet-GPC'!BV14&lt;'Equity Vol'!$R$3),"NM",'Capital IQ Sheet-GPC'!BV14))</f>
        <v>0.61274111093250305</v>
      </c>
      <c r="H11" s="384">
        <f>IF('Capital IQ Sheet-GPC'!BW14="n/a","n/a",IF(OR('Capital IQ Sheet-GPC'!BW14&gt;'Equity Vol'!$P$3,'Capital IQ Sheet-GPC'!BW14&lt;'Equity Vol'!$R$3),"NM",'Capital IQ Sheet-GPC'!BW14))</f>
        <v>0.63632834239686409</v>
      </c>
      <c r="I11" s="1868">
        <f t="shared" ref="I11:K12" si="2">H11</f>
        <v>0.63632834239686409</v>
      </c>
      <c r="J11" s="1868">
        <f t="shared" si="2"/>
        <v>0.63632834239686409</v>
      </c>
      <c r="K11" s="1868">
        <f t="shared" si="2"/>
        <v>0.63632834239686409</v>
      </c>
      <c r="M11" s="932" t="str">
        <f>'Asset Vol_OPM'!AA11</f>
        <v>LSE:OXB</v>
      </c>
      <c r="O11" s="1238">
        <f>'Capital IQ Sheet-GPC'!G14</f>
        <v>35415</v>
      </c>
      <c r="Q11" s="179">
        <f t="shared" si="0"/>
        <v>21.452054794520549</v>
      </c>
      <c r="R11" s="179">
        <f t="shared" si="1"/>
        <v>21.057534246575344</v>
      </c>
    </row>
    <row r="12" spans="2:18" ht="14.85" customHeight="1">
      <c r="B12" s="179" t="str">
        <f>'Comp.1'!B14</f>
        <v>Fennec Pharmaceuticals Inc.</v>
      </c>
      <c r="D12" s="384">
        <f>IF('Capital IQ Sheet-GPC'!BS15="n/a","n/a",IF(OR('Capital IQ Sheet-GPC'!BS15&gt;'Equity Vol'!$P$3,'Capital IQ Sheet-GPC'!BS15&lt;'Equity Vol'!$R$3),"NM",'Capital IQ Sheet-GPC'!BS15))</f>
        <v>0.61663073099445531</v>
      </c>
      <c r="E12" s="384">
        <f>IF('Capital IQ Sheet-GPC'!BT15="n/a","n/a",IF(OR('Capital IQ Sheet-GPC'!BT15&gt;'Equity Vol'!$P$3,'Capital IQ Sheet-GPC'!BT15&lt;'Equity Vol'!$R$3),"NM",'Capital IQ Sheet-GPC'!BT15))</f>
        <v>0.79865401640422862</v>
      </c>
      <c r="F12" s="384">
        <f>IF('Capital IQ Sheet-GPC'!BU15="n/a","n/a",IF(OR('Capital IQ Sheet-GPC'!BU15&gt;'Equity Vol'!$P$3,'Capital IQ Sheet-GPC'!BU15&lt;'Equity Vol'!$R$3),"NM",'Capital IQ Sheet-GPC'!BU15))</f>
        <v>1.387449122489415</v>
      </c>
      <c r="G12" s="384">
        <f>IF('Capital IQ Sheet-GPC'!BV15="n/a","n/a",IF(OR('Capital IQ Sheet-GPC'!BV15&gt;'Equity Vol'!$P$3,'Capital IQ Sheet-GPC'!BV15&lt;'Equity Vol'!$R$3),"NM",'Capital IQ Sheet-GPC'!BV15))</f>
        <v>1.3197878729406225</v>
      </c>
      <c r="H12" s="384">
        <f>IF('Capital IQ Sheet-GPC'!BW15="n/a","n/a",IF(OR('Capital IQ Sheet-GPC'!BW15&gt;'Equity Vol'!$P$3,'Capital IQ Sheet-GPC'!BW15&lt;'Equity Vol'!$R$3),"NM",'Capital IQ Sheet-GPC'!BW15))</f>
        <v>1.3589197558534298</v>
      </c>
      <c r="I12" s="1868">
        <f t="shared" si="2"/>
        <v>1.3589197558534298</v>
      </c>
      <c r="J12" s="1868">
        <f t="shared" si="2"/>
        <v>1.3589197558534298</v>
      </c>
      <c r="K12" s="1868">
        <f t="shared" si="2"/>
        <v>1.3589197558534298</v>
      </c>
      <c r="M12" s="932" t="str">
        <f>'Asset Vol_OPM'!AA12</f>
        <v>NasdaqCM:FENC</v>
      </c>
      <c r="O12" s="1238">
        <f>'Capital IQ Sheet-GPC'!G15</f>
        <v>38303</v>
      </c>
      <c r="Q12" s="179">
        <f t="shared" si="0"/>
        <v>13.53972602739726</v>
      </c>
      <c r="R12" s="179">
        <f t="shared" si="1"/>
        <v>13.145205479452056</v>
      </c>
    </row>
    <row r="13" spans="2:18" ht="14.85" customHeight="1">
      <c r="B13" s="179" t="str">
        <f>'Comp.1'!B15</f>
        <v>ProQR Therapeutics N.V.</v>
      </c>
      <c r="D13" s="384">
        <f>IF('Capital IQ Sheet-GPC'!BS16="n/a","n/a",IF(OR('Capital IQ Sheet-GPC'!BS16&gt;'Equity Vol'!$P$3,'Capital IQ Sheet-GPC'!BS16&lt;'Equity Vol'!$R$3),"NM",'Capital IQ Sheet-GPC'!BS16))</f>
        <v>0.59854106983801758</v>
      </c>
      <c r="E13" s="384">
        <f>IF('Capital IQ Sheet-GPC'!BT16="n/a","n/a",IF(OR('Capital IQ Sheet-GPC'!BT16&gt;'Equity Vol'!$P$3,'Capital IQ Sheet-GPC'!BT16&lt;'Equity Vol'!$R$3),"NM",'Capital IQ Sheet-GPC'!BT16))</f>
        <v>0.57008982105712236</v>
      </c>
      <c r="F13" s="384">
        <f>IF('Capital IQ Sheet-GPC'!BU16="n/a","n/a",IF(OR('Capital IQ Sheet-GPC'!BU16&gt;'Equity Vol'!$P$3,'Capital IQ Sheet-GPC'!BU16&lt;'Equity Vol'!$R$3),"NM",'Capital IQ Sheet-GPC'!BU16))</f>
        <v>0.73107336829310765</v>
      </c>
      <c r="G13" s="384">
        <f>IF('Capital IQ Sheet-GPC'!BV16="n/a","n/a",IF(OR('Capital IQ Sheet-GPC'!BV16&gt;'Equity Vol'!$P$3,'Capital IQ Sheet-GPC'!BV16&lt;'Equity Vol'!$R$3),"NM",'Capital IQ Sheet-GPC'!BV16))</f>
        <v>0.7169041230096167</v>
      </c>
      <c r="H13" s="1868">
        <f>G13</f>
        <v>0.7169041230096167</v>
      </c>
      <c r="I13" s="1868">
        <f t="shared" ref="I13:K14" si="3">H13</f>
        <v>0.7169041230096167</v>
      </c>
      <c r="J13" s="1868">
        <f t="shared" si="3"/>
        <v>0.7169041230096167</v>
      </c>
      <c r="K13" s="1868">
        <f t="shared" si="3"/>
        <v>0.7169041230096167</v>
      </c>
      <c r="M13" s="932" t="str">
        <f>'Asset Vol_OPM'!AA13</f>
        <v>NasdaqGM:PRQR</v>
      </c>
      <c r="O13" s="1238">
        <f>'Capital IQ Sheet-GPC'!G16</f>
        <v>41900</v>
      </c>
      <c r="Q13" s="179">
        <f t="shared" si="0"/>
        <v>3.6849315068493151</v>
      </c>
      <c r="R13" s="179">
        <f t="shared" si="1"/>
        <v>3.2904109589041095</v>
      </c>
    </row>
    <row r="14" spans="2:18" ht="14.85" customHeight="1">
      <c r="B14" s="179" t="str">
        <f>'Comp.1'!B16</f>
        <v>Genkyotex SA</v>
      </c>
      <c r="D14" s="384">
        <f>IF('Capital IQ Sheet-GPC'!BS17="n/a","n/a",IF(OR('Capital IQ Sheet-GPC'!BS17&gt;'Equity Vol'!$P$3,'Capital IQ Sheet-GPC'!BS17&lt;'Equity Vol'!$R$3),"NM",'Capital IQ Sheet-GPC'!BS17))</f>
        <v>0.36538207852256455</v>
      </c>
      <c r="E14" s="384">
        <f>IF('Capital IQ Sheet-GPC'!BT17="n/a","n/a",IF(OR('Capital IQ Sheet-GPC'!BT17&gt;'Equity Vol'!$P$3,'Capital IQ Sheet-GPC'!BT17&lt;'Equity Vol'!$R$3),"NM",'Capital IQ Sheet-GPC'!BT17))</f>
        <v>0.3917886476836604</v>
      </c>
      <c r="F14" s="1868">
        <f t="shared" ref="F14:H14" si="4">E14</f>
        <v>0.3917886476836604</v>
      </c>
      <c r="G14" s="1868">
        <f t="shared" si="4"/>
        <v>0.3917886476836604</v>
      </c>
      <c r="H14" s="1868">
        <f t="shared" si="4"/>
        <v>0.3917886476836604</v>
      </c>
      <c r="I14" s="1868">
        <f t="shared" si="3"/>
        <v>0.3917886476836604</v>
      </c>
      <c r="J14" s="1868">
        <f t="shared" si="3"/>
        <v>0.3917886476836604</v>
      </c>
      <c r="K14" s="1868">
        <f t="shared" si="3"/>
        <v>0.3917886476836604</v>
      </c>
      <c r="M14" s="932" t="str">
        <f>'Asset Vol_OPM'!AA14</f>
        <v>ENXTPA:GKTX</v>
      </c>
      <c r="O14" s="1238">
        <f>'Capital IQ Sheet-GPC'!G17</f>
        <v>42795</v>
      </c>
      <c r="Q14" s="179">
        <f t="shared" si="0"/>
        <v>1.2328767123287672</v>
      </c>
      <c r="R14" s="179">
        <f t="shared" si="1"/>
        <v>0.83835616438356164</v>
      </c>
    </row>
    <row r="15" spans="2:18" ht="14.85" customHeight="1">
      <c r="B15" s="179" t="str">
        <f>'Comp.1'!B17</f>
        <v>Novus Therapeutics, Inc.</v>
      </c>
      <c r="D15" s="384">
        <f>IF('Capital IQ Sheet-GPC'!BS18="n/a","n/a",IF(OR('Capital IQ Sheet-GPC'!BS18&gt;'Equity Vol'!$P$3,'Capital IQ Sheet-GPC'!BS18&lt;'Equity Vol'!$R$3),"NM",'Capital IQ Sheet-GPC'!BS18))</f>
        <v>0.70291215677055674</v>
      </c>
      <c r="E15" s="384">
        <f>IF('Capital IQ Sheet-GPC'!BT18="n/a","n/a",IF(OR('Capital IQ Sheet-GPC'!BT18&gt;'Equity Vol'!$P$3,'Capital IQ Sheet-GPC'!BT18&lt;'Equity Vol'!$R$3),"NM",'Capital IQ Sheet-GPC'!BT18))</f>
        <v>0.69646624513060806</v>
      </c>
      <c r="F15" s="1868">
        <f t="shared" ref="F15:H15" si="5">E15</f>
        <v>0.69646624513060806</v>
      </c>
      <c r="G15" s="1868">
        <f t="shared" si="5"/>
        <v>0.69646624513060806</v>
      </c>
      <c r="H15" s="1868">
        <f t="shared" si="5"/>
        <v>0.69646624513060806</v>
      </c>
      <c r="I15" s="1868">
        <f t="shared" ref="I15:I18" si="6">H15</f>
        <v>0.69646624513060806</v>
      </c>
      <c r="J15" s="1868">
        <f t="shared" ref="J15:J18" si="7">I15</f>
        <v>0.69646624513060806</v>
      </c>
      <c r="K15" s="1868">
        <f t="shared" ref="K15:K18" si="8">J15</f>
        <v>0.69646624513060806</v>
      </c>
      <c r="M15" s="932" t="str">
        <f>'Asset Vol_OPM'!AA15</f>
        <v>NasdaqCM:NVUS</v>
      </c>
      <c r="O15" s="1238">
        <f>'Capital IQ Sheet-GPC'!G18</f>
        <v>42866</v>
      </c>
      <c r="Q15" s="179">
        <f t="shared" ref="Q15:Q18" si="9">YEARFRAC(O15,$N$6,3)</f>
        <v>1.0383561643835617</v>
      </c>
      <c r="R15" s="179">
        <f t="shared" ref="R15:R18" si="10">YEARFRAC(O15,$R$6,3)</f>
        <v>0.64383561643835618</v>
      </c>
    </row>
    <row r="16" spans="2:18" ht="14.85" customHeight="1">
      <c r="B16" s="179" t="str">
        <f>'Comp.1'!B18</f>
        <v>Sensorion SA</v>
      </c>
      <c r="D16" s="384">
        <f>IF('Capital IQ Sheet-GPC'!BS19="n/a","n/a",IF(OR('Capital IQ Sheet-GPC'!BS19&gt;'Equity Vol'!$P$3,'Capital IQ Sheet-GPC'!BS19&lt;'Equity Vol'!$R$3),"NM",'Capital IQ Sheet-GPC'!BS19))</f>
        <v>0.50333768928955025</v>
      </c>
      <c r="E16" s="384">
        <f>IF('Capital IQ Sheet-GPC'!BT19="n/a","n/a",IF(OR('Capital IQ Sheet-GPC'!BT19&gt;'Equity Vol'!$P$3,'Capital IQ Sheet-GPC'!BT19&lt;'Equity Vol'!$R$3),"NM",'Capital IQ Sheet-GPC'!BT19))</f>
        <v>0.54786642126005347</v>
      </c>
      <c r="F16" s="384">
        <f>IF('Capital IQ Sheet-GPC'!BU19="n/a","n/a",IF(OR('Capital IQ Sheet-GPC'!BU19&gt;'Equity Vol'!$P$3,'Capital IQ Sheet-GPC'!BU19&lt;'Equity Vol'!$R$3),"NM",'Capital IQ Sheet-GPC'!BU19))</f>
        <v>0.63297354727902455</v>
      </c>
      <c r="G16" s="384">
        <f>IF('Capital IQ Sheet-GPC'!BV19="n/a","n/a",IF(OR('Capital IQ Sheet-GPC'!BV19&gt;'Equity Vol'!$P$3,'Capital IQ Sheet-GPC'!BV19&lt;'Equity Vol'!$R$3),"NM",'Capital IQ Sheet-GPC'!BV19))</f>
        <v>0.68884036657096237</v>
      </c>
      <c r="H16" s="1868">
        <f t="shared" ref="H16" si="11">G16</f>
        <v>0.68884036657096237</v>
      </c>
      <c r="I16" s="1868">
        <f t="shared" si="6"/>
        <v>0.68884036657096237</v>
      </c>
      <c r="J16" s="1868">
        <f t="shared" si="7"/>
        <v>0.68884036657096237</v>
      </c>
      <c r="K16" s="1868">
        <f t="shared" si="8"/>
        <v>0.68884036657096237</v>
      </c>
      <c r="M16" s="932" t="str">
        <f>'Asset Vol_OPM'!AA16</f>
        <v>ENXTPA:ALSEN</v>
      </c>
      <c r="O16" s="1238">
        <f>'Capital IQ Sheet-GPC'!G19</f>
        <v>42115</v>
      </c>
      <c r="Q16" s="179">
        <f t="shared" si="9"/>
        <v>3.095890410958904</v>
      </c>
      <c r="R16" s="179">
        <f t="shared" si="10"/>
        <v>2.7013698630136984</v>
      </c>
    </row>
    <row r="17" spans="1:18" ht="14.85" customHeight="1">
      <c r="B17" s="179" t="str">
        <f>'Comp.1'!B19</f>
        <v>Otonomy, Inc.</v>
      </c>
      <c r="D17" s="384" t="str">
        <f>IF('Capital IQ Sheet-GPC'!BS20="n/a","n/a",IF(OR('Capital IQ Sheet-GPC'!BS20&gt;'Equity Vol'!$P$3,'Capital IQ Sheet-GPC'!BS20&lt;'Equity Vol'!$R$3),"NM",'Capital IQ Sheet-GPC'!BS20))</f>
        <v>NM</v>
      </c>
      <c r="E17" s="384">
        <f>IF('Capital IQ Sheet-GPC'!BT20="n/a","n/a",IF(OR('Capital IQ Sheet-GPC'!BT20&gt;'Equity Vol'!$P$3,'Capital IQ Sheet-GPC'!BT20&lt;'Equity Vol'!$R$3),"NM",'Capital IQ Sheet-GPC'!BT20))</f>
        <v>1.4180730299832749</v>
      </c>
      <c r="F17" s="384">
        <f>IF('Capital IQ Sheet-GPC'!BU20="n/a","n/a",IF(OR('Capital IQ Sheet-GPC'!BU20&gt;'Equity Vol'!$P$3,'Capital IQ Sheet-GPC'!BU20&lt;'Equity Vol'!$R$3),"NM",'Capital IQ Sheet-GPC'!BU20))</f>
        <v>1.2276350327527208</v>
      </c>
      <c r="G17" s="384">
        <f>IF('Capital IQ Sheet-GPC'!BV20="n/a","n/a",IF(OR('Capital IQ Sheet-GPC'!BV20&gt;'Equity Vol'!$P$3,'Capital IQ Sheet-GPC'!BV20&lt;'Equity Vol'!$R$3),"NM",'Capital IQ Sheet-GPC'!BV20))</f>
        <v>1.1474404313943027</v>
      </c>
      <c r="H17" s="1868">
        <f t="shared" ref="H17" si="12">G17</f>
        <v>1.1474404313943027</v>
      </c>
      <c r="I17" s="1868">
        <f t="shared" si="6"/>
        <v>1.1474404313943027</v>
      </c>
      <c r="J17" s="1868">
        <f t="shared" si="7"/>
        <v>1.1474404313943027</v>
      </c>
      <c r="K17" s="1868">
        <f t="shared" si="8"/>
        <v>1.1474404313943027</v>
      </c>
      <c r="M17" s="932" t="str">
        <f>'Asset Vol_OPM'!AA17</f>
        <v>NasdaqGS:OTIC</v>
      </c>
      <c r="O17" s="1238">
        <f>'Capital IQ Sheet-GPC'!G20</f>
        <v>41864</v>
      </c>
      <c r="Q17" s="179">
        <f t="shared" si="9"/>
        <v>3.7835616438356166</v>
      </c>
      <c r="R17" s="179">
        <f t="shared" si="10"/>
        <v>3.3890410958904109</v>
      </c>
    </row>
    <row r="18" spans="1:18" ht="14.85" customHeight="1">
      <c r="B18" s="179" t="str">
        <f>'Comp.1'!B20</f>
        <v>Auris Medical Holding AG</v>
      </c>
      <c r="D18" s="384">
        <f>IF('Capital IQ Sheet-GPC'!BS21="n/a","n/a",IF(OR('Capital IQ Sheet-GPC'!BS21&gt;'Equity Vol'!$P$3,'Capital IQ Sheet-GPC'!BS21&lt;'Equity Vol'!$R$3),"NM",'Capital IQ Sheet-GPC'!BS21))</f>
        <v>1.1936997390359998</v>
      </c>
      <c r="E18" s="384">
        <f>IF('Capital IQ Sheet-GPC'!BT21="n/a","n/a",IF(OR('Capital IQ Sheet-GPC'!BT21&gt;'Equity Vol'!$P$3,'Capital IQ Sheet-GPC'!BT21&lt;'Equity Vol'!$R$3),"NM",'Capital IQ Sheet-GPC'!BT21))</f>
        <v>1.2017249743157488</v>
      </c>
      <c r="F18" s="384">
        <f>IF('Capital IQ Sheet-GPC'!BU21="n/a","n/a",IF(OR('Capital IQ Sheet-GPC'!BU21&gt;'Equity Vol'!$P$3,'Capital IQ Sheet-GPC'!BU21&lt;'Equity Vol'!$R$3),"NM",'Capital IQ Sheet-GPC'!BU21))</f>
        <v>1.0906921239872702</v>
      </c>
      <c r="G18" s="384">
        <f>IF('Capital IQ Sheet-GPC'!BV21="n/a","n/a",IF(OR('Capital IQ Sheet-GPC'!BV21&gt;'Equity Vol'!$P$3,'Capital IQ Sheet-GPC'!BV21&lt;'Equity Vol'!$R$3),"NM",'Capital IQ Sheet-GPC'!BV21))</f>
        <v>1.0309921222499077</v>
      </c>
      <c r="H18" s="1868">
        <f t="shared" ref="H18" si="13">G18</f>
        <v>1.0309921222499077</v>
      </c>
      <c r="I18" s="1868">
        <f t="shared" si="6"/>
        <v>1.0309921222499077</v>
      </c>
      <c r="J18" s="1868">
        <f t="shared" si="7"/>
        <v>1.0309921222499077</v>
      </c>
      <c r="K18" s="1868">
        <f t="shared" si="8"/>
        <v>1.0309921222499077</v>
      </c>
      <c r="M18" s="932" t="str">
        <f>'Asset Vol_OPM'!AA18</f>
        <v>NasdaqCM:EARS</v>
      </c>
      <c r="O18" s="1238">
        <f>'Capital IQ Sheet-GPC'!G21</f>
        <v>41857</v>
      </c>
      <c r="Q18" s="179">
        <f t="shared" si="9"/>
        <v>3.8027397260273972</v>
      </c>
      <c r="R18" s="179">
        <f t="shared" si="10"/>
        <v>3.408219178082192</v>
      </c>
    </row>
    <row r="19" spans="1:18" ht="14.85" customHeight="1">
      <c r="D19" s="384"/>
      <c r="E19" s="384"/>
      <c r="F19" s="384"/>
      <c r="G19" s="384"/>
      <c r="H19" s="384"/>
      <c r="I19" s="384"/>
      <c r="J19" s="384"/>
      <c r="K19" s="384"/>
      <c r="M19" s="932"/>
    </row>
    <row r="20" spans="1:18" ht="14.85" customHeight="1">
      <c r="B20" s="935" t="s">
        <v>111</v>
      </c>
      <c r="C20" s="1239"/>
      <c r="D20" s="1044">
        <f t="shared" ref="D20:K20" si="14">MAX(D10:D18)</f>
        <v>1.1936997390359998</v>
      </c>
      <c r="E20" s="1044">
        <f t="shared" si="14"/>
        <v>1.4180730299832749</v>
      </c>
      <c r="F20" s="1044">
        <f t="shared" si="14"/>
        <v>1.387449122489415</v>
      </c>
      <c r="G20" s="1044">
        <f t="shared" si="14"/>
        <v>1.3197878729406225</v>
      </c>
      <c r="H20" s="1871">
        <f t="shared" si="14"/>
        <v>1.3589197558534298</v>
      </c>
      <c r="I20" s="1044">
        <f t="shared" si="14"/>
        <v>1.3589197558534298</v>
      </c>
      <c r="J20" s="1044">
        <f t="shared" si="14"/>
        <v>1.3589197558534298</v>
      </c>
      <c r="K20" s="1045">
        <f t="shared" si="14"/>
        <v>1.3589197558534298</v>
      </c>
    </row>
    <row r="21" spans="1:18" ht="14.85" customHeight="1">
      <c r="B21" s="941" t="s">
        <v>115</v>
      </c>
      <c r="C21" s="637"/>
      <c r="D21" s="1046">
        <f t="shared" ref="D21:K21" si="15">QUARTILE(D10:D18,3)</f>
        <v>0.68888339277442345</v>
      </c>
      <c r="E21" s="1046">
        <f t="shared" si="15"/>
        <v>0.79865401640422862</v>
      </c>
      <c r="F21" s="1046">
        <f t="shared" si="15"/>
        <v>1.0906921239872702</v>
      </c>
      <c r="G21" s="1046">
        <f t="shared" si="15"/>
        <v>1.0309921222499077</v>
      </c>
      <c r="H21" s="1047">
        <f t="shared" si="15"/>
        <v>1.0309921222499077</v>
      </c>
      <c r="I21" s="1046">
        <f t="shared" si="15"/>
        <v>1.0601041995360063</v>
      </c>
      <c r="J21" s="1046">
        <f t="shared" si="15"/>
        <v>1.0601041995360063</v>
      </c>
      <c r="K21" s="1047">
        <f t="shared" si="15"/>
        <v>1.0601041995360063</v>
      </c>
    </row>
    <row r="22" spans="1:18" ht="14.85" customHeight="1">
      <c r="B22" s="941" t="s">
        <v>113</v>
      </c>
      <c r="C22" s="637"/>
      <c r="D22" s="1046">
        <f t="shared" ref="D22:K22" si="16">AVERAGE(D10:D18)</f>
        <v>0.65313297023416383</v>
      </c>
      <c r="E22" s="1046">
        <f t="shared" si="16"/>
        <v>0.76587646121916397</v>
      </c>
      <c r="F22" s="1046">
        <f t="shared" si="16"/>
        <v>0.83755212115290367</v>
      </c>
      <c r="G22" s="1046">
        <f t="shared" si="16"/>
        <v>0.82077889927509873</v>
      </c>
      <c r="H22" s="1047">
        <f t="shared" si="16"/>
        <v>0.82774768976145074</v>
      </c>
      <c r="I22" s="1046">
        <f t="shared" si="16"/>
        <v>0.83346000428616906</v>
      </c>
      <c r="J22" s="1046">
        <f t="shared" si="16"/>
        <v>0.83346000428616906</v>
      </c>
      <c r="K22" s="1047">
        <f t="shared" si="16"/>
        <v>0.83346000428616906</v>
      </c>
    </row>
    <row r="23" spans="1:18" ht="14.85" customHeight="1">
      <c r="B23" s="941" t="s">
        <v>44</v>
      </c>
      <c r="C23" s="637"/>
      <c r="D23" s="1046">
        <f t="shared" ref="D23:K23" si="17">MEDIAN(D10:D18)</f>
        <v>0.6075859004162365</v>
      </c>
      <c r="E23" s="1046">
        <f t="shared" si="17"/>
        <v>0.69214889061457208</v>
      </c>
      <c r="F23" s="1046">
        <f t="shared" si="17"/>
        <v>0.73107336829310765</v>
      </c>
      <c r="G23" s="1046">
        <f t="shared" si="17"/>
        <v>0.7169041230096167</v>
      </c>
      <c r="H23" s="1047">
        <f t="shared" si="17"/>
        <v>0.7169041230096167</v>
      </c>
      <c r="I23" s="1046">
        <f t="shared" si="17"/>
        <v>0.70668518407011238</v>
      </c>
      <c r="J23" s="1046">
        <f t="shared" si="17"/>
        <v>0.70668518407011238</v>
      </c>
      <c r="K23" s="1047">
        <f t="shared" si="17"/>
        <v>0.70668518407011238</v>
      </c>
    </row>
    <row r="24" spans="1:18" ht="14.85" customHeight="1">
      <c r="B24" s="941" t="s">
        <v>114</v>
      </c>
      <c r="C24" s="637"/>
      <c r="D24" s="1046">
        <f t="shared" ref="D24:K24" si="18">QUARTILE(D10:D18,1)</f>
        <v>0.54609929180722816</v>
      </c>
      <c r="E24" s="1046">
        <f t="shared" si="18"/>
        <v>0.57008982105712236</v>
      </c>
      <c r="F24" s="1046">
        <f t="shared" si="18"/>
        <v>0.63297354727902455</v>
      </c>
      <c r="G24" s="1046">
        <f t="shared" si="18"/>
        <v>0.68884036657096237</v>
      </c>
      <c r="H24" s="1047">
        <f t="shared" si="18"/>
        <v>0.68884036657096237</v>
      </c>
      <c r="I24" s="1046">
        <f t="shared" si="18"/>
        <v>0.67571236052743777</v>
      </c>
      <c r="J24" s="1046">
        <f t="shared" si="18"/>
        <v>0.67571236052743777</v>
      </c>
      <c r="K24" s="1047">
        <f t="shared" si="18"/>
        <v>0.67571236052743777</v>
      </c>
    </row>
    <row r="25" spans="1:18" ht="14.85" customHeight="1">
      <c r="B25" s="946" t="s">
        <v>112</v>
      </c>
      <c r="C25" s="1101"/>
      <c r="D25" s="1048">
        <f t="shared" ref="D25:K25" si="19">MIN(D10:D18)</f>
        <v>0.36538207852256455</v>
      </c>
      <c r="E25" s="1048">
        <f t="shared" si="19"/>
        <v>0.3917886476836604</v>
      </c>
      <c r="F25" s="1048">
        <f t="shared" si="19"/>
        <v>0.3917886476836604</v>
      </c>
      <c r="G25" s="1048">
        <f t="shared" si="19"/>
        <v>0.3917886476836604</v>
      </c>
      <c r="H25" s="1049">
        <f t="shared" si="19"/>
        <v>0.3917886476836604</v>
      </c>
      <c r="I25" s="1048">
        <f t="shared" si="19"/>
        <v>0.3917886476836604</v>
      </c>
      <c r="J25" s="1048">
        <f t="shared" si="19"/>
        <v>0.3917886476836604</v>
      </c>
      <c r="K25" s="1049">
        <f t="shared" si="19"/>
        <v>0.3917886476836604</v>
      </c>
    </row>
    <row r="26" spans="1:18" ht="14.85" customHeight="1"/>
    <row r="27" spans="1:18" ht="14.85" customHeight="1">
      <c r="B27" s="272" t="s">
        <v>116</v>
      </c>
    </row>
    <row r="28" spans="1:18" ht="27" customHeight="1">
      <c r="A28" s="1167" t="s">
        <v>261</v>
      </c>
      <c r="B28" s="2057" t="s">
        <v>2308</v>
      </c>
      <c r="C28" s="2057"/>
      <c r="D28" s="2057"/>
      <c r="E28" s="2057"/>
      <c r="F28" s="2057"/>
      <c r="G28" s="2057"/>
      <c r="H28" s="2057"/>
      <c r="I28" s="2057"/>
      <c r="J28" s="2057"/>
      <c r="K28" s="2057"/>
    </row>
    <row r="29" spans="1:18" ht="14.45" customHeight="1">
      <c r="A29" s="273" t="s">
        <v>260</v>
      </c>
      <c r="B29" s="179" t="str">
        <f>"Volatilities beyond "&amp;TEXT(P3,"0.0%")&amp;" are considered as outliers and not included in the analysis."</f>
        <v>Volatilities beyond 150.0% are considered as outliers and not included in the analysis.</v>
      </c>
    </row>
    <row r="30" spans="1:18" ht="27" hidden="1" customHeight="1" outlineLevel="1">
      <c r="A30" s="273" t="s">
        <v>299</v>
      </c>
      <c r="B30" s="2061" t="s">
        <v>2309</v>
      </c>
      <c r="C30" s="2061"/>
      <c r="D30" s="2061"/>
      <c r="E30" s="2061"/>
      <c r="F30" s="2061"/>
      <c r="G30" s="2061"/>
      <c r="H30" s="2061"/>
      <c r="I30" s="2061"/>
      <c r="J30" s="2061"/>
      <c r="K30" s="2061"/>
    </row>
    <row r="31" spans="1:18" ht="14.85" customHeight="1" collapsed="1">
      <c r="A31" s="273"/>
    </row>
    <row r="32" spans="1:18" s="200" customFormat="1" ht="14.85" customHeight="1">
      <c r="B32" s="1240" t="s">
        <v>119</v>
      </c>
      <c r="C32" s="1241"/>
      <c r="D32" s="1242" t="s">
        <v>120</v>
      </c>
      <c r="E32" s="1242" t="s">
        <v>121</v>
      </c>
      <c r="F32" s="1242" t="s">
        <v>122</v>
      </c>
      <c r="G32" s="1242" t="s">
        <v>123</v>
      </c>
      <c r="H32" s="1243" t="s">
        <v>124</v>
      </c>
      <c r="I32" s="1244"/>
      <c r="J32" s="1244"/>
      <c r="K32" s="1244"/>
      <c r="O32" s="1245"/>
    </row>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sheetData>
  <mergeCells count="2">
    <mergeCell ref="B28:K28"/>
    <mergeCell ref="B30:K30"/>
  </mergeCells>
  <conditionalFormatting sqref="B10:B19">
    <cfRule type="cellIs" dxfId="293" priority="5" operator="equal">
      <formula>"(Invalid Identifier)"</formula>
    </cfRule>
  </conditionalFormatting>
  <conditionalFormatting sqref="B4:K4">
    <cfRule type="cellIs" dxfId="292" priority="4" stopIfTrue="1" operator="equal">
      <formula>"input"</formula>
    </cfRule>
  </conditionalFormatting>
  <conditionalFormatting sqref="D10:K18">
    <cfRule type="cellIs" dxfId="291" priority="1" operator="equal">
      <formula>"NM"</formula>
    </cfRule>
  </conditionalFormatting>
  <pageMargins left="0.5" right="0.5" top="0.5" bottom="0.5" header="0.5" footer="0.5"/>
  <pageSetup scale="84" orientation="landscape" r:id="rId1"/>
  <drawing r:id="rId2"/>
  <legacyDrawingHF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8"/>
  <dimension ref="B1:P714"/>
  <sheetViews>
    <sheetView showGridLines="0" tabSelected="1" view="pageBreakPreview" zoomScale="80" zoomScaleNormal="100" zoomScaleSheetLayoutView="80" workbookViewId="0">
      <selection activeCell="H11" sqref="H11"/>
    </sheetView>
  </sheetViews>
  <sheetFormatPr defaultRowHeight="12.75"/>
  <cols>
    <col min="1" max="1" width="4.5" style="179" customWidth="1"/>
    <col min="2" max="2" width="81.33203125" style="179" customWidth="1"/>
    <col min="3" max="3" width="2.83203125" style="179" customWidth="1"/>
    <col min="4" max="5" width="30.1640625" style="179" customWidth="1"/>
    <col min="6" max="6" width="4.5" style="179" customWidth="1"/>
    <col min="7" max="7" width="20.83203125" style="179" customWidth="1"/>
    <col min="8" max="8" width="1.83203125" style="179" customWidth="1"/>
    <col min="9" max="9" width="12.83203125" style="179" customWidth="1"/>
    <col min="10" max="10" width="20.83203125" style="179" customWidth="1"/>
    <col min="11" max="11" width="1.83203125" style="179" customWidth="1"/>
    <col min="12" max="12" width="3.1640625" style="179" bestFit="1" customWidth="1"/>
    <col min="13" max="13" width="12.83203125" style="179" customWidth="1"/>
    <col min="14" max="14" width="20.83203125" style="179" customWidth="1"/>
    <col min="15" max="15" width="14.5" style="179" hidden="1" customWidth="1"/>
    <col min="16" max="16" width="12.83203125" style="179" hidden="1" customWidth="1"/>
    <col min="17" max="16384" width="9.33203125" style="179"/>
  </cols>
  <sheetData>
    <row r="1" spans="2:16" ht="10.7" customHeight="1" thickBot="1"/>
    <row r="2" spans="2:16" ht="16.5" customHeight="1" thickTop="1">
      <c r="B2" s="187" t="str">
        <f>'MASTER PubCo Inputs'!$C$5</f>
        <v>Decibel Therapeutics, Inc.</v>
      </c>
      <c r="C2" s="187"/>
      <c r="D2" s="187"/>
      <c r="E2" s="187"/>
    </row>
    <row r="3" spans="2:16" ht="15.75" customHeight="1">
      <c r="B3" s="188" t="str">
        <f>VLOOKUP(B4,Outline!$E$8:$G$75,COLUMNS(Outline!$E$8:$G$8),FALSE)</f>
        <v>Exhibit F.5</v>
      </c>
      <c r="C3" s="188"/>
      <c r="D3" s="188"/>
      <c r="E3" s="188"/>
    </row>
    <row r="4" spans="2:16" ht="16.5" customHeight="1" thickBot="1">
      <c r="B4" s="726" t="s">
        <v>125</v>
      </c>
      <c r="C4" s="726"/>
      <c r="D4" s="726"/>
      <c r="E4" s="726"/>
      <c r="G4" s="1231" t="s">
        <v>485</v>
      </c>
      <c r="H4" s="1246"/>
      <c r="I4" s="1247">
        <f>+'OPM 1'!$D$10</f>
        <v>2.5</v>
      </c>
      <c r="J4" s="1809" t="s">
        <v>1992</v>
      </c>
      <c r="K4" s="1834"/>
      <c r="L4" s="1835">
        <f>'OPM 1 Hybrid'!D10</f>
        <v>2.5</v>
      </c>
      <c r="M4" s="1145" t="s">
        <v>2046</v>
      </c>
      <c r="N4" s="1836" t="s">
        <v>1206</v>
      </c>
      <c r="O4" s="1146" t="s">
        <v>2048</v>
      </c>
      <c r="P4" s="1248" t="s">
        <v>2049</v>
      </c>
    </row>
    <row r="5" spans="2:16" ht="14.85" customHeight="1" thickTop="1">
      <c r="G5" s="1231" t="s">
        <v>87</v>
      </c>
      <c r="H5" s="1246"/>
      <c r="I5" s="1249">
        <f>'MASTER PubCo Inputs'!$C$6</f>
        <v>43245</v>
      </c>
      <c r="M5" s="338"/>
      <c r="N5" s="316"/>
      <c r="P5" s="339"/>
    </row>
    <row r="6" spans="2:16" ht="14.85" customHeight="1">
      <c r="G6" s="1231" t="s">
        <v>484</v>
      </c>
      <c r="H6" s="1246"/>
      <c r="I6" s="1247">
        <f>DLOM_OPM!D14</f>
        <v>3.5</v>
      </c>
      <c r="J6" s="1809" t="s">
        <v>2007</v>
      </c>
      <c r="K6" s="1834"/>
      <c r="L6" s="1835">
        <f>'DLOM Hybrid'!G15</f>
        <v>3.5</v>
      </c>
      <c r="M6" s="1250">
        <f>'DLOM Hybrid'!E15</f>
        <v>1.6027397260273972</v>
      </c>
      <c r="N6" s="1837">
        <f>'DLOM Hybrid'!F15</f>
        <v>3.6054794520547944</v>
      </c>
      <c r="O6" s="1251">
        <v>2</v>
      </c>
      <c r="P6" s="1252">
        <v>2</v>
      </c>
    </row>
    <row r="7" spans="2:16" s="200" customFormat="1" ht="14.85" customHeight="1">
      <c r="B7" s="1253" t="s">
        <v>127</v>
      </c>
      <c r="D7" s="1254" t="s">
        <v>126</v>
      </c>
      <c r="E7" s="1255" t="s">
        <v>72</v>
      </c>
      <c r="G7" s="1256" t="s">
        <v>128</v>
      </c>
      <c r="H7" s="1257"/>
      <c r="I7" s="1257" t="s">
        <v>129</v>
      </c>
      <c r="J7" s="1258" t="s">
        <v>130</v>
      </c>
    </row>
    <row r="8" spans="2:16" ht="14.85" customHeight="1"/>
    <row r="9" spans="2:16" ht="14.85" customHeight="1">
      <c r="B9" s="179" t="str">
        <f>'Capital IQ Sheet-GPC'!E57</f>
        <v>United States Treasury Constant Maturity - 1 Month</v>
      </c>
      <c r="D9" s="325">
        <f>'Capital IQ Sheet-GPC'!C57</f>
        <v>8.3333333333333329E-2</v>
      </c>
      <c r="E9" s="360">
        <f>'Capital IQ Sheet-GPC'!D57</f>
        <v>1.7000000000000001E-2</v>
      </c>
      <c r="G9" s="1259">
        <f>'Capital IQ Sheet-GPC'!B79</f>
        <v>0</v>
      </c>
      <c r="H9" s="325"/>
      <c r="I9" s="1260">
        <v>0</v>
      </c>
      <c r="J9" s="325">
        <f>D10</f>
        <v>0.25</v>
      </c>
    </row>
    <row r="10" spans="2:16" ht="14.85" customHeight="1">
      <c r="B10" s="179" t="str">
        <f>'Capital IQ Sheet-GPC'!E58</f>
        <v>United States Treasury Constant Maturity - 3 Month</v>
      </c>
      <c r="D10" s="325">
        <f>'Capital IQ Sheet-GPC'!C58</f>
        <v>0.25</v>
      </c>
      <c r="E10" s="360">
        <f>'Capital IQ Sheet-GPC'!D58</f>
        <v>1.9E-2</v>
      </c>
      <c r="G10" s="1259">
        <f>'Capital IQ Sheet-GPC'!B80</f>
        <v>0</v>
      </c>
      <c r="H10" s="325"/>
      <c r="I10" s="325">
        <f>D9</f>
        <v>8.3333333333333329E-2</v>
      </c>
      <c r="J10" s="325">
        <f>D11</f>
        <v>0.5</v>
      </c>
    </row>
    <row r="11" spans="2:16" ht="14.85" customHeight="1">
      <c r="B11" s="179" t="str">
        <f>'Capital IQ Sheet-GPC'!E59</f>
        <v>United States Treasury Constant Maturity - 6 Month</v>
      </c>
      <c r="D11" s="325">
        <f>'Capital IQ Sheet-GPC'!C59</f>
        <v>0.5</v>
      </c>
      <c r="E11" s="360">
        <f>'Capital IQ Sheet-GPC'!D59</f>
        <v>2.07E-2</v>
      </c>
      <c r="G11" s="1259">
        <f>'Capital IQ Sheet-GPC'!B81</f>
        <v>0</v>
      </c>
      <c r="H11" s="325"/>
      <c r="I11" s="325">
        <f t="shared" ref="I11:I19" si="0">D10</f>
        <v>0.25</v>
      </c>
      <c r="J11" s="325">
        <f t="shared" ref="J11:J18" si="1">D12</f>
        <v>1</v>
      </c>
    </row>
    <row r="12" spans="2:16" ht="14.85" customHeight="1">
      <c r="B12" s="179" t="str">
        <f>'Capital IQ Sheet-GPC'!E60</f>
        <v>United States Treasury Constant Maturity - 1 Year</v>
      </c>
      <c r="D12" s="325">
        <f>'Capital IQ Sheet-GPC'!C60</f>
        <v>1</v>
      </c>
      <c r="E12" s="360">
        <f>'Capital IQ Sheet-GPC'!D60</f>
        <v>2.2700000000000001E-2</v>
      </c>
      <c r="G12" s="1259">
        <f>'Capital IQ Sheet-GPC'!B82</f>
        <v>0</v>
      </c>
      <c r="H12" s="325"/>
      <c r="I12" s="325">
        <f t="shared" si="0"/>
        <v>0.5</v>
      </c>
      <c r="J12" s="325">
        <f t="shared" si="1"/>
        <v>2</v>
      </c>
    </row>
    <row r="13" spans="2:16" ht="14.85" customHeight="1">
      <c r="B13" s="179" t="str">
        <f>'Capital IQ Sheet-GPC'!E61</f>
        <v>United States Treasury Constant Maturity - 2 Year</v>
      </c>
      <c r="D13" s="325">
        <f>'Capital IQ Sheet-GPC'!C61</f>
        <v>2</v>
      </c>
      <c r="E13" s="360">
        <f>'Capital IQ Sheet-GPC'!D61</f>
        <v>2.4799999999999999E-2</v>
      </c>
      <c r="G13" s="1259">
        <f>'Capital IQ Sheet-GPC'!B83</f>
        <v>0</v>
      </c>
      <c r="H13" s="325"/>
      <c r="I13" s="325">
        <f t="shared" si="0"/>
        <v>1</v>
      </c>
      <c r="J13" s="325">
        <f t="shared" si="1"/>
        <v>3</v>
      </c>
    </row>
    <row r="14" spans="2:16" ht="14.85" customHeight="1">
      <c r="B14" s="179" t="str">
        <f>'Capital IQ Sheet-GPC'!E62</f>
        <v>United States Treasury Constant Maturity - 3 Year</v>
      </c>
      <c r="D14" s="325">
        <f>'Capital IQ Sheet-GPC'!C62</f>
        <v>3</v>
      </c>
      <c r="E14" s="360">
        <f>'Capital IQ Sheet-GPC'!D62</f>
        <v>2.6000000000000002E-2</v>
      </c>
      <c r="G14" s="1259">
        <f>'Capital IQ Sheet-GPC'!B84</f>
        <v>0</v>
      </c>
      <c r="H14" s="325"/>
      <c r="I14" s="325">
        <f t="shared" si="0"/>
        <v>2</v>
      </c>
      <c r="J14" s="325">
        <f t="shared" si="1"/>
        <v>5</v>
      </c>
    </row>
    <row r="15" spans="2:16" ht="14.85" customHeight="1">
      <c r="B15" s="179" t="str">
        <f>'Capital IQ Sheet-GPC'!E63</f>
        <v>United States Treasury Constant Maturity - 5 Year</v>
      </c>
      <c r="D15" s="325">
        <f>'Capital IQ Sheet-GPC'!C63</f>
        <v>5</v>
      </c>
      <c r="E15" s="360">
        <f>'Capital IQ Sheet-GPC'!D63</f>
        <v>2.76E-2</v>
      </c>
      <c r="G15" s="1259">
        <f>'Capital IQ Sheet-GPC'!B85</f>
        <v>0</v>
      </c>
      <c r="H15" s="325"/>
      <c r="I15" s="325">
        <f t="shared" si="0"/>
        <v>3</v>
      </c>
      <c r="J15" s="325">
        <f t="shared" si="1"/>
        <v>7</v>
      </c>
    </row>
    <row r="16" spans="2:16" ht="14.85" customHeight="1">
      <c r="B16" s="179" t="str">
        <f>'Capital IQ Sheet-GPC'!E64</f>
        <v>United States Treasury Constant Maturity - 7 Year</v>
      </c>
      <c r="D16" s="325">
        <f>'Capital IQ Sheet-GPC'!C64</f>
        <v>7</v>
      </c>
      <c r="E16" s="360">
        <f>'Capital IQ Sheet-GPC'!D64</f>
        <v>2.8799999999999999E-2</v>
      </c>
      <c r="G16" s="1259">
        <f>'Capital IQ Sheet-GPC'!B86</f>
        <v>0</v>
      </c>
      <c r="H16" s="325"/>
      <c r="I16" s="325">
        <f t="shared" si="0"/>
        <v>5</v>
      </c>
      <c r="J16" s="325">
        <f t="shared" si="1"/>
        <v>10</v>
      </c>
    </row>
    <row r="17" spans="2:10" ht="14.85" customHeight="1">
      <c r="B17" s="179" t="str">
        <f>'Capital IQ Sheet-GPC'!E65</f>
        <v>United States Treasury Constant Maturity - 10 Year</v>
      </c>
      <c r="D17" s="325">
        <f>'Capital IQ Sheet-GPC'!C65</f>
        <v>10</v>
      </c>
      <c r="E17" s="360">
        <f>'Capital IQ Sheet-GPC'!D65</f>
        <v>2.9300000000000003E-2</v>
      </c>
      <c r="G17" s="1259">
        <f>'Capital IQ Sheet-GPC'!B87</f>
        <v>0</v>
      </c>
      <c r="H17" s="325"/>
      <c r="I17" s="325">
        <f t="shared" si="0"/>
        <v>7</v>
      </c>
      <c r="J17" s="325">
        <f t="shared" si="1"/>
        <v>20</v>
      </c>
    </row>
    <row r="18" spans="2:10" ht="14.85" customHeight="1">
      <c r="B18" s="179" t="str">
        <f>'Capital IQ Sheet-GPC'!E66</f>
        <v>United States Treasury Constant Maturity - 20 Year</v>
      </c>
      <c r="D18" s="325">
        <f>'Capital IQ Sheet-GPC'!C66</f>
        <v>20</v>
      </c>
      <c r="E18" s="360">
        <f>'Capital IQ Sheet-GPC'!D66</f>
        <v>3.0099999999999998E-2</v>
      </c>
      <c r="G18" s="1259">
        <f>'Capital IQ Sheet-GPC'!B88</f>
        <v>0</v>
      </c>
      <c r="H18" s="325"/>
      <c r="I18" s="325">
        <f t="shared" si="0"/>
        <v>10</v>
      </c>
      <c r="J18" s="325">
        <f t="shared" si="1"/>
        <v>30</v>
      </c>
    </row>
    <row r="19" spans="2:10" ht="14.85" customHeight="1">
      <c r="B19" s="179" t="str">
        <f>'Capital IQ Sheet-GPC'!E67</f>
        <v>United States Treasury Constant Maturity - 30 Year</v>
      </c>
      <c r="D19" s="325">
        <f>'Capital IQ Sheet-GPC'!C67</f>
        <v>30</v>
      </c>
      <c r="E19" s="360">
        <f>'Capital IQ Sheet-GPC'!D67</f>
        <v>3.0899999999999997E-2</v>
      </c>
      <c r="G19" s="1259">
        <f>'Capital IQ Sheet-GPC'!B89</f>
        <v>0</v>
      </c>
      <c r="H19" s="325"/>
      <c r="I19" s="325">
        <f t="shared" si="0"/>
        <v>20</v>
      </c>
      <c r="J19" s="1261"/>
    </row>
    <row r="20" spans="2:10" ht="14.85" customHeight="1"/>
    <row r="21" spans="2:10" ht="14.85" customHeight="1">
      <c r="B21" s="1262" t="s">
        <v>483</v>
      </c>
      <c r="C21" s="1263"/>
      <c r="D21" s="1263"/>
      <c r="E21" s="1264"/>
      <c r="H21" s="549"/>
      <c r="I21" s="549"/>
      <c r="J21" s="549"/>
    </row>
    <row r="22" spans="2:10" ht="14.85" customHeight="1">
      <c r="B22" s="636" t="s">
        <v>129</v>
      </c>
      <c r="C22" s="637"/>
      <c r="D22" s="1265">
        <f>SUMIFS($D$9:$D$19,$D$9:$D$19,"&lt;"&amp;D24,J$9:J$19,"&gt;"&amp;D24)</f>
        <v>2</v>
      </c>
      <c r="E22" s="1266">
        <f>IF(ISERROR(VLOOKUP(D22,$D$9:$E$19,COLUMNS($D$7:$E$7),FALSE)), "n/a", VLOOKUP(D22,$D$9:$E$19,COLUMNS($D$7:$E$7),FALSE))</f>
        <v>2.4799999999999999E-2</v>
      </c>
      <c r="G22" s="1267"/>
      <c r="H22" s="549"/>
      <c r="I22" s="549"/>
      <c r="J22" s="549"/>
    </row>
    <row r="23" spans="2:10" ht="14.85" customHeight="1">
      <c r="B23" s="636" t="s">
        <v>130</v>
      </c>
      <c r="C23" s="637"/>
      <c r="D23" s="1265">
        <f>SUMIFS($D$9:$D$19,$D$9:$D$19,"&gt;"&amp;D24,I$9:I$19,"&lt;"&amp;D24)</f>
        <v>3</v>
      </c>
      <c r="E23" s="1266">
        <f>IF(ISERROR(VLOOKUP(D23,$D$9:$E$19,COLUMNS($D$7:$E$7),FALSE)), "n/a", VLOOKUP(D23,$D$9:$E$19,COLUMNS($D$7:$E$7),FALSE))</f>
        <v>2.6000000000000002E-2</v>
      </c>
      <c r="G23" s="360"/>
      <c r="H23" s="549"/>
      <c r="I23" s="549"/>
      <c r="J23" s="549"/>
    </row>
    <row r="24" spans="2:10" ht="14.85" customHeight="1">
      <c r="B24" s="636" t="s">
        <v>102</v>
      </c>
      <c r="C24" s="637"/>
      <c r="D24" s="1265">
        <f>I4</f>
        <v>2.5</v>
      </c>
      <c r="E24" s="1266">
        <f>IF(ISERROR(+E22+(E23-E22)/(D23-D22)*(D24-D22)), "n/a", +E22+(E23-E22)/(D23-D22)*(D24-D22))</f>
        <v>2.5399999999999999E-2</v>
      </c>
      <c r="H24" s="549"/>
      <c r="I24" s="549"/>
      <c r="J24" s="549"/>
    </row>
    <row r="25" spans="2:10" ht="14.85" customHeight="1">
      <c r="B25" s="636" t="s">
        <v>142</v>
      </c>
      <c r="C25" s="637"/>
      <c r="D25" s="1265">
        <f>D24</f>
        <v>2.5</v>
      </c>
      <c r="E25" s="1266" t="str">
        <f>IF(ISERROR(VLOOKUP(D25,$D$9:$E$19,COLUMNS($D$7:$E$7),FALSE)), "n/a", VLOOKUP(D25,$D$9:$E$19,COLUMNS($D$7:$E$7),FALSE))</f>
        <v>n/a</v>
      </c>
      <c r="H25" s="549"/>
      <c r="I25" s="549"/>
      <c r="J25" s="549"/>
    </row>
    <row r="26" spans="2:10" ht="14.85" customHeight="1">
      <c r="B26" s="674"/>
      <c r="C26" s="637"/>
      <c r="D26" s="637"/>
      <c r="E26" s="1268"/>
      <c r="H26" s="549"/>
      <c r="I26" s="549"/>
      <c r="J26" s="549"/>
    </row>
    <row r="27" spans="2:10" ht="14.85" customHeight="1">
      <c r="B27" s="946" t="s">
        <v>143</v>
      </c>
      <c r="C27" s="1269"/>
      <c r="D27" s="1269"/>
      <c r="E27" s="1270">
        <f>IF(E24="n/a",E25,E24)</f>
        <v>2.5399999999999999E-2</v>
      </c>
      <c r="H27" s="548"/>
      <c r="I27" s="548"/>
      <c r="J27" s="548"/>
    </row>
    <row r="28" spans="2:10" ht="14.85" customHeight="1">
      <c r="H28" s="549"/>
      <c r="I28" s="549"/>
      <c r="J28" s="549"/>
    </row>
    <row r="29" spans="2:10" ht="14.85" customHeight="1">
      <c r="B29" s="1262" t="s">
        <v>3763</v>
      </c>
      <c r="C29" s="1263"/>
      <c r="D29" s="1263"/>
      <c r="E29" s="1264"/>
      <c r="H29" s="549"/>
      <c r="I29" s="549"/>
      <c r="J29" s="549"/>
    </row>
    <row r="30" spans="2:10" ht="14.85" customHeight="1">
      <c r="B30" s="636" t="s">
        <v>129</v>
      </c>
      <c r="C30" s="637"/>
      <c r="D30" s="1265">
        <f>SUMIFS($D$9:$D$19,$D$9:$D$19,"&lt;"&amp;D32,$J$9:$J$19,"&gt;"&amp;D32)</f>
        <v>3</v>
      </c>
      <c r="E30" s="1266">
        <f>IF(ISERROR(VLOOKUP(D30,$D$9:$E$19,COLUMNS($D$7:$E$7),FALSE)), "n/a", VLOOKUP(D30,$D$9:$E$19,COLUMNS($D$7:$E$7),FALSE))</f>
        <v>2.6000000000000002E-2</v>
      </c>
      <c r="H30" s="549"/>
      <c r="I30" s="549"/>
      <c r="J30" s="549"/>
    </row>
    <row r="31" spans="2:10" ht="14.85" customHeight="1">
      <c r="B31" s="636" t="s">
        <v>130</v>
      </c>
      <c r="C31" s="637"/>
      <c r="D31" s="1265">
        <f>SUMIFS($D$9:$D$19,$D$9:$D$19,"&gt;"&amp;D32,$I$9:$I$19,"&lt;"&amp;D32)</f>
        <v>5</v>
      </c>
      <c r="E31" s="1266">
        <f>IF(ISERROR(VLOOKUP(D31,$D$9:$E$19,COLUMNS($D$7:$E$7),FALSE)), "n/a", VLOOKUP(D31,$D$9:$E$19,COLUMNS($D$7:$E$7),FALSE))</f>
        <v>2.76E-2</v>
      </c>
      <c r="G31" s="257"/>
      <c r="H31" s="549"/>
      <c r="I31" s="549"/>
      <c r="J31" s="549"/>
    </row>
    <row r="32" spans="2:10" ht="14.85" customHeight="1">
      <c r="B32" s="636" t="s">
        <v>102</v>
      </c>
      <c r="C32" s="637"/>
      <c r="D32" s="1265">
        <f>I6</f>
        <v>3.5</v>
      </c>
      <c r="E32" s="1266">
        <f>IF(ISERROR(+E30+(E31-E30)/(D31-D30)*(D32-D30)), "n/a", +E30+(E31-E30)/(D31-D30)*(D32-D30))</f>
        <v>2.64E-2</v>
      </c>
      <c r="H32" s="549"/>
      <c r="I32" s="549"/>
      <c r="J32" s="549"/>
    </row>
    <row r="33" spans="2:10" ht="14.85" customHeight="1">
      <c r="B33" s="636" t="s">
        <v>142</v>
      </c>
      <c r="C33" s="637"/>
      <c r="D33" s="1265">
        <f>D32</f>
        <v>3.5</v>
      </c>
      <c r="E33" s="1266" t="str">
        <f>IF(ISERROR(VLOOKUP(D33,$D$9:$E$19,COLUMNS($D$7:$E$7),FALSE)), "n/a", VLOOKUP(D33,$D$9:$E$19,COLUMNS($D$7:$E$7),FALSE))</f>
        <v>n/a</v>
      </c>
      <c r="H33" s="549"/>
      <c r="I33" s="549"/>
      <c r="J33" s="549"/>
    </row>
    <row r="34" spans="2:10" ht="14.85" customHeight="1">
      <c r="B34" s="674"/>
      <c r="C34" s="637"/>
      <c r="D34" s="637"/>
      <c r="E34" s="1268"/>
      <c r="H34" s="549"/>
      <c r="I34" s="549"/>
      <c r="J34" s="549"/>
    </row>
    <row r="35" spans="2:10" ht="14.85" customHeight="1">
      <c r="B35" s="946" t="s">
        <v>143</v>
      </c>
      <c r="C35" s="1269"/>
      <c r="D35" s="1269"/>
      <c r="E35" s="1270">
        <f>IF(E32="n/a",E33,E32)</f>
        <v>2.64E-2</v>
      </c>
      <c r="H35" s="548"/>
      <c r="I35" s="548"/>
      <c r="J35" s="548"/>
    </row>
    <row r="36" spans="2:10" ht="14.85" customHeight="1">
      <c r="H36" s="549"/>
      <c r="I36" s="549"/>
      <c r="J36" s="549"/>
    </row>
    <row r="37" spans="2:10" ht="14.85" customHeight="1">
      <c r="B37" s="272" t="s">
        <v>116</v>
      </c>
    </row>
    <row r="38" spans="2:10" ht="14.85" customHeight="1"/>
    <row r="39" spans="2:10" ht="14.85" customHeight="1"/>
    <row r="40" spans="2:10" ht="14.85" customHeight="1"/>
    <row r="41" spans="2:10" ht="14.85" customHeight="1"/>
    <row r="42" spans="2:10" ht="14.85" customHeight="1"/>
    <row r="43" spans="2:10" ht="14.85" customHeight="1"/>
    <row r="44" spans="2:10" ht="14.85" customHeight="1"/>
    <row r="45" spans="2:10" ht="14.85" customHeight="1"/>
    <row r="46" spans="2:10" ht="14.85" customHeight="1"/>
    <row r="47" spans="2:10" ht="14.85" customHeight="1"/>
    <row r="48" spans="2:10"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sheetData>
  <conditionalFormatting sqref="B4:E4">
    <cfRule type="cellIs" dxfId="290" priority="1" stopIfTrue="1" operator="equal">
      <formula>"input"</formula>
    </cfRule>
  </conditionalFormatting>
  <pageMargins left="0.5" right="0.5" top="0.5" bottom="0.5" header="0.5" footer="0.5"/>
  <pageSetup orientation="landscape" r:id="rId1"/>
  <legacy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IV4"/>
  <sheetViews>
    <sheetView workbookViewId="0"/>
  </sheetViews>
  <sheetFormatPr defaultRowHeight="12.75"/>
  <sheetData>
    <row r="1" spans="1:256">
      <c r="A1">
        <v>846</v>
      </c>
      <c r="B1" t="s">
        <v>2323</v>
      </c>
      <c r="C1" t="s">
        <v>2324</v>
      </c>
      <c r="D1" t="s">
        <v>2325</v>
      </c>
      <c r="E1" t="s">
        <v>2326</v>
      </c>
      <c r="F1" t="s">
        <v>2327</v>
      </c>
      <c r="G1" t="s">
        <v>2328</v>
      </c>
      <c r="H1" t="s">
        <v>2329</v>
      </c>
      <c r="I1" t="s">
        <v>2330</v>
      </c>
      <c r="J1" t="s">
        <v>2331</v>
      </c>
      <c r="K1" t="s">
        <v>2332</v>
      </c>
      <c r="L1" t="s">
        <v>2333</v>
      </c>
      <c r="M1" t="s">
        <v>2334</v>
      </c>
      <c r="N1" t="s">
        <v>2335</v>
      </c>
      <c r="O1" t="s">
        <v>2336</v>
      </c>
      <c r="P1" t="s">
        <v>2337</v>
      </c>
      <c r="Q1" t="s">
        <v>2338</v>
      </c>
      <c r="R1" t="s">
        <v>2339</v>
      </c>
      <c r="S1" t="s">
        <v>2340</v>
      </c>
      <c r="T1" t="s">
        <v>2341</v>
      </c>
      <c r="U1" t="s">
        <v>2342</v>
      </c>
      <c r="V1" t="s">
        <v>2343</v>
      </c>
      <c r="W1" t="s">
        <v>2344</v>
      </c>
      <c r="X1" t="s">
        <v>2345</v>
      </c>
      <c r="Y1" t="s">
        <v>2346</v>
      </c>
      <c r="Z1" t="s">
        <v>2347</v>
      </c>
      <c r="AA1" t="s">
        <v>2348</v>
      </c>
      <c r="AB1" t="s">
        <v>2349</v>
      </c>
      <c r="AC1" t="s">
        <v>2350</v>
      </c>
      <c r="AD1" t="s">
        <v>2351</v>
      </c>
      <c r="AE1" t="s">
        <v>2352</v>
      </c>
      <c r="AF1" t="s">
        <v>2353</v>
      </c>
      <c r="AG1" t="s">
        <v>2354</v>
      </c>
      <c r="AH1" t="s">
        <v>2355</v>
      </c>
      <c r="AI1" t="s">
        <v>2356</v>
      </c>
      <c r="AJ1" t="s">
        <v>2357</v>
      </c>
      <c r="AK1" t="s">
        <v>2358</v>
      </c>
      <c r="AL1" t="s">
        <v>2359</v>
      </c>
      <c r="AM1" t="s">
        <v>2360</v>
      </c>
      <c r="AN1" t="s">
        <v>2361</v>
      </c>
      <c r="AO1" t="s">
        <v>2362</v>
      </c>
      <c r="AP1" t="s">
        <v>2363</v>
      </c>
      <c r="AQ1" t="s">
        <v>2364</v>
      </c>
      <c r="AR1" t="s">
        <v>2365</v>
      </c>
      <c r="AS1" t="s">
        <v>2366</v>
      </c>
      <c r="AT1" t="s">
        <v>2367</v>
      </c>
      <c r="AU1" t="s">
        <v>2368</v>
      </c>
      <c r="AV1" t="s">
        <v>2369</v>
      </c>
      <c r="AW1" t="s">
        <v>2370</v>
      </c>
      <c r="AX1" t="s">
        <v>2371</v>
      </c>
      <c r="AY1" t="s">
        <v>2372</v>
      </c>
      <c r="AZ1" t="s">
        <v>2373</v>
      </c>
      <c r="BA1" t="s">
        <v>2374</v>
      </c>
      <c r="BB1" t="s">
        <v>2375</v>
      </c>
      <c r="BC1" t="s">
        <v>2376</v>
      </c>
      <c r="BD1" t="s">
        <v>2377</v>
      </c>
      <c r="BE1" t="s">
        <v>2378</v>
      </c>
      <c r="BF1" t="s">
        <v>2379</v>
      </c>
      <c r="BG1" t="s">
        <v>2380</v>
      </c>
      <c r="BH1" t="s">
        <v>2381</v>
      </c>
      <c r="BI1" t="s">
        <v>2382</v>
      </c>
      <c r="BJ1" t="s">
        <v>2383</v>
      </c>
      <c r="BK1" t="s">
        <v>2384</v>
      </c>
      <c r="BL1" t="s">
        <v>2385</v>
      </c>
      <c r="BM1" t="s">
        <v>2386</v>
      </c>
      <c r="BN1" t="s">
        <v>2387</v>
      </c>
      <c r="BO1" t="s">
        <v>2388</v>
      </c>
      <c r="BP1" t="s">
        <v>2389</v>
      </c>
      <c r="BQ1" t="s">
        <v>2390</v>
      </c>
      <c r="BR1" t="s">
        <v>2391</v>
      </c>
      <c r="BS1" t="s">
        <v>2392</v>
      </c>
      <c r="BT1" t="s">
        <v>2393</v>
      </c>
      <c r="BU1" t="s">
        <v>2394</v>
      </c>
      <c r="BV1" t="s">
        <v>2395</v>
      </c>
      <c r="BW1" t="s">
        <v>2396</v>
      </c>
      <c r="BX1" t="s">
        <v>2397</v>
      </c>
      <c r="BY1" t="s">
        <v>2398</v>
      </c>
      <c r="BZ1" t="s">
        <v>2399</v>
      </c>
      <c r="CA1" t="s">
        <v>2400</v>
      </c>
      <c r="CB1" t="s">
        <v>2401</v>
      </c>
      <c r="CC1" t="s">
        <v>2402</v>
      </c>
      <c r="CD1" t="s">
        <v>2403</v>
      </c>
      <c r="CE1" t="s">
        <v>2404</v>
      </c>
      <c r="CF1" t="s">
        <v>2405</v>
      </c>
      <c r="CG1" t="s">
        <v>2406</v>
      </c>
      <c r="CH1" t="s">
        <v>2407</v>
      </c>
      <c r="CI1" t="s">
        <v>2408</v>
      </c>
      <c r="CJ1" t="s">
        <v>2409</v>
      </c>
      <c r="CK1" t="s">
        <v>2410</v>
      </c>
      <c r="CL1" t="s">
        <v>2411</v>
      </c>
      <c r="CM1" t="s">
        <v>2412</v>
      </c>
      <c r="CN1" t="s">
        <v>2413</v>
      </c>
      <c r="CO1" t="s">
        <v>2414</v>
      </c>
      <c r="CP1" t="s">
        <v>2415</v>
      </c>
      <c r="CQ1" t="s">
        <v>2416</v>
      </c>
      <c r="CR1" t="s">
        <v>2417</v>
      </c>
      <c r="CS1" t="s">
        <v>2418</v>
      </c>
      <c r="CT1" t="s">
        <v>2419</v>
      </c>
      <c r="CU1" t="s">
        <v>2420</v>
      </c>
      <c r="CV1" t="s">
        <v>2421</v>
      </c>
      <c r="CW1" t="s">
        <v>2422</v>
      </c>
      <c r="CX1" t="s">
        <v>2423</v>
      </c>
      <c r="CY1" t="s">
        <v>2424</v>
      </c>
      <c r="CZ1" t="s">
        <v>2425</v>
      </c>
      <c r="DA1" t="s">
        <v>2426</v>
      </c>
      <c r="DB1" t="s">
        <v>2427</v>
      </c>
      <c r="DC1" t="s">
        <v>2428</v>
      </c>
      <c r="DD1" t="s">
        <v>2429</v>
      </c>
      <c r="DE1" t="s">
        <v>2430</v>
      </c>
      <c r="DF1" t="s">
        <v>2431</v>
      </c>
      <c r="DG1" t="s">
        <v>2432</v>
      </c>
      <c r="DH1" t="s">
        <v>2433</v>
      </c>
      <c r="DI1" t="s">
        <v>2434</v>
      </c>
      <c r="DJ1" t="s">
        <v>2435</v>
      </c>
      <c r="DK1" t="s">
        <v>2436</v>
      </c>
      <c r="DL1" t="s">
        <v>2437</v>
      </c>
      <c r="DM1" t="s">
        <v>2438</v>
      </c>
      <c r="DN1" t="s">
        <v>2439</v>
      </c>
      <c r="DO1" t="s">
        <v>2440</v>
      </c>
      <c r="DP1" t="s">
        <v>2441</v>
      </c>
      <c r="DQ1" t="s">
        <v>2442</v>
      </c>
      <c r="DR1" t="s">
        <v>2443</v>
      </c>
      <c r="DS1" t="s">
        <v>2444</v>
      </c>
      <c r="DT1" t="s">
        <v>2445</v>
      </c>
      <c r="DU1" t="s">
        <v>2446</v>
      </c>
      <c r="DV1" t="s">
        <v>2447</v>
      </c>
      <c r="DW1" t="s">
        <v>2448</v>
      </c>
      <c r="DX1" t="s">
        <v>2449</v>
      </c>
      <c r="DY1" t="s">
        <v>2450</v>
      </c>
      <c r="DZ1" t="s">
        <v>2451</v>
      </c>
      <c r="EA1" t="s">
        <v>2452</v>
      </c>
      <c r="EB1" t="s">
        <v>2453</v>
      </c>
      <c r="EC1" t="s">
        <v>2454</v>
      </c>
      <c r="ED1" t="s">
        <v>2455</v>
      </c>
      <c r="EE1" t="s">
        <v>2456</v>
      </c>
      <c r="EF1" t="s">
        <v>2457</v>
      </c>
      <c r="EG1" t="s">
        <v>2458</v>
      </c>
      <c r="EH1" t="s">
        <v>2459</v>
      </c>
      <c r="EI1" t="s">
        <v>2460</v>
      </c>
      <c r="EJ1" t="s">
        <v>2461</v>
      </c>
      <c r="EK1" t="s">
        <v>2462</v>
      </c>
      <c r="EL1" t="s">
        <v>2463</v>
      </c>
      <c r="EM1" t="s">
        <v>2464</v>
      </c>
      <c r="EN1" t="s">
        <v>2465</v>
      </c>
      <c r="EO1" t="s">
        <v>2466</v>
      </c>
      <c r="EP1" t="s">
        <v>2467</v>
      </c>
      <c r="EQ1" t="s">
        <v>2468</v>
      </c>
      <c r="ER1" t="s">
        <v>2469</v>
      </c>
      <c r="ES1" t="s">
        <v>2470</v>
      </c>
      <c r="ET1" t="s">
        <v>2471</v>
      </c>
      <c r="EU1" t="s">
        <v>2472</v>
      </c>
      <c r="EV1" t="s">
        <v>2473</v>
      </c>
      <c r="EW1" t="s">
        <v>2474</v>
      </c>
      <c r="EX1" t="s">
        <v>2475</v>
      </c>
      <c r="EY1" t="s">
        <v>2476</v>
      </c>
      <c r="EZ1" t="s">
        <v>2477</v>
      </c>
      <c r="FA1" t="s">
        <v>2478</v>
      </c>
      <c r="FB1" t="s">
        <v>2479</v>
      </c>
      <c r="FC1" t="s">
        <v>2480</v>
      </c>
      <c r="FD1" t="s">
        <v>2481</v>
      </c>
      <c r="FE1" t="s">
        <v>2482</v>
      </c>
      <c r="FF1" t="s">
        <v>2483</v>
      </c>
      <c r="FG1" t="s">
        <v>2484</v>
      </c>
      <c r="FH1" t="s">
        <v>2485</v>
      </c>
      <c r="FI1" t="s">
        <v>2486</v>
      </c>
      <c r="FJ1" t="s">
        <v>2487</v>
      </c>
      <c r="FK1" t="s">
        <v>2488</v>
      </c>
      <c r="FL1" t="s">
        <v>2489</v>
      </c>
      <c r="FM1" t="s">
        <v>2490</v>
      </c>
      <c r="FN1" t="s">
        <v>2491</v>
      </c>
      <c r="FO1" t="s">
        <v>2492</v>
      </c>
      <c r="FP1" t="s">
        <v>2493</v>
      </c>
      <c r="FQ1" t="s">
        <v>2494</v>
      </c>
      <c r="FR1" t="s">
        <v>2495</v>
      </c>
      <c r="FS1" t="s">
        <v>2496</v>
      </c>
      <c r="FT1" t="s">
        <v>2497</v>
      </c>
      <c r="FU1" t="s">
        <v>2498</v>
      </c>
      <c r="FV1" t="s">
        <v>2499</v>
      </c>
      <c r="FW1" t="s">
        <v>2500</v>
      </c>
      <c r="FX1" t="s">
        <v>2501</v>
      </c>
      <c r="FY1" t="s">
        <v>2502</v>
      </c>
      <c r="FZ1" t="s">
        <v>2503</v>
      </c>
      <c r="GA1" t="s">
        <v>2504</v>
      </c>
      <c r="GB1" t="s">
        <v>2505</v>
      </c>
      <c r="GC1" t="s">
        <v>2506</v>
      </c>
      <c r="GD1" t="s">
        <v>2507</v>
      </c>
      <c r="GE1" t="s">
        <v>2508</v>
      </c>
      <c r="GF1" t="s">
        <v>2509</v>
      </c>
      <c r="GG1" t="s">
        <v>2510</v>
      </c>
      <c r="GH1" t="s">
        <v>2511</v>
      </c>
      <c r="GI1" t="s">
        <v>2512</v>
      </c>
      <c r="GJ1" t="s">
        <v>2513</v>
      </c>
      <c r="GK1" t="s">
        <v>2514</v>
      </c>
      <c r="GL1" t="s">
        <v>2515</v>
      </c>
      <c r="GM1" t="s">
        <v>2516</v>
      </c>
      <c r="GN1" t="s">
        <v>2517</v>
      </c>
      <c r="GO1" t="s">
        <v>2518</v>
      </c>
      <c r="GP1" t="s">
        <v>2519</v>
      </c>
      <c r="GQ1" t="s">
        <v>2520</v>
      </c>
      <c r="GR1" t="s">
        <v>2521</v>
      </c>
      <c r="GS1" t="s">
        <v>2522</v>
      </c>
      <c r="GT1" t="s">
        <v>2523</v>
      </c>
      <c r="GU1" t="s">
        <v>2524</v>
      </c>
      <c r="GV1" t="s">
        <v>2525</v>
      </c>
      <c r="GW1" t="s">
        <v>2526</v>
      </c>
      <c r="GX1" t="s">
        <v>2527</v>
      </c>
      <c r="GY1" t="s">
        <v>2528</v>
      </c>
      <c r="GZ1" t="s">
        <v>2529</v>
      </c>
      <c r="HA1" t="s">
        <v>2530</v>
      </c>
      <c r="HB1" t="s">
        <v>2531</v>
      </c>
      <c r="HC1" t="s">
        <v>2532</v>
      </c>
      <c r="HD1" t="s">
        <v>2533</v>
      </c>
      <c r="HE1" t="s">
        <v>2534</v>
      </c>
      <c r="HF1" t="s">
        <v>2535</v>
      </c>
      <c r="HG1" t="s">
        <v>2536</v>
      </c>
      <c r="HH1" t="s">
        <v>2537</v>
      </c>
      <c r="HI1" t="s">
        <v>2538</v>
      </c>
      <c r="HJ1" t="s">
        <v>2539</v>
      </c>
      <c r="HK1" t="s">
        <v>2540</v>
      </c>
      <c r="HL1" t="s">
        <v>2541</v>
      </c>
      <c r="HM1" t="s">
        <v>2542</v>
      </c>
      <c r="HN1" t="s">
        <v>2543</v>
      </c>
      <c r="HO1" t="s">
        <v>2544</v>
      </c>
      <c r="HP1" t="s">
        <v>2545</v>
      </c>
      <c r="HQ1" t="s">
        <v>2546</v>
      </c>
      <c r="HR1" t="s">
        <v>2547</v>
      </c>
      <c r="HS1" t="s">
        <v>2548</v>
      </c>
      <c r="HT1" t="s">
        <v>2549</v>
      </c>
      <c r="HU1" t="s">
        <v>2550</v>
      </c>
      <c r="HV1" t="s">
        <v>2551</v>
      </c>
      <c r="HW1" t="s">
        <v>2552</v>
      </c>
      <c r="HX1" t="s">
        <v>2553</v>
      </c>
      <c r="HY1" t="s">
        <v>2554</v>
      </c>
      <c r="HZ1" t="s">
        <v>2555</v>
      </c>
      <c r="IA1" t="s">
        <v>2556</v>
      </c>
      <c r="IB1" t="s">
        <v>2557</v>
      </c>
      <c r="IC1" t="s">
        <v>2558</v>
      </c>
      <c r="ID1" t="s">
        <v>2559</v>
      </c>
      <c r="IE1" t="s">
        <v>2560</v>
      </c>
      <c r="IF1" t="s">
        <v>2561</v>
      </c>
      <c r="IG1" t="s">
        <v>2562</v>
      </c>
      <c r="IH1" t="s">
        <v>2563</v>
      </c>
      <c r="II1" t="s">
        <v>2564</v>
      </c>
      <c r="IJ1" t="s">
        <v>2565</v>
      </c>
      <c r="IK1" t="s">
        <v>2566</v>
      </c>
      <c r="IL1" t="s">
        <v>2567</v>
      </c>
      <c r="IM1" t="s">
        <v>2568</v>
      </c>
      <c r="IN1" t="s">
        <v>2569</v>
      </c>
      <c r="IO1" t="s">
        <v>2570</v>
      </c>
      <c r="IP1" t="s">
        <v>2571</v>
      </c>
      <c r="IQ1" t="s">
        <v>2572</v>
      </c>
      <c r="IR1" t="s">
        <v>2573</v>
      </c>
      <c r="IS1" t="s">
        <v>2574</v>
      </c>
      <c r="IT1" t="s">
        <v>2575</v>
      </c>
      <c r="IU1" t="s">
        <v>2576</v>
      </c>
      <c r="IV1" t="s">
        <v>2577</v>
      </c>
    </row>
    <row r="2" spans="1:256">
      <c r="A2" t="s">
        <v>2578</v>
      </c>
      <c r="B2" t="s">
        <v>2579</v>
      </c>
      <c r="C2" t="s">
        <v>2580</v>
      </c>
      <c r="D2" t="s">
        <v>2581</v>
      </c>
      <c r="E2" t="s">
        <v>2582</v>
      </c>
      <c r="F2" t="s">
        <v>2583</v>
      </c>
      <c r="G2" t="s">
        <v>2584</v>
      </c>
      <c r="H2" t="s">
        <v>2585</v>
      </c>
      <c r="I2" t="s">
        <v>2586</v>
      </c>
      <c r="J2" t="s">
        <v>2587</v>
      </c>
      <c r="K2" t="s">
        <v>2588</v>
      </c>
      <c r="L2" t="s">
        <v>2589</v>
      </c>
      <c r="M2" t="s">
        <v>2590</v>
      </c>
      <c r="N2" t="s">
        <v>2591</v>
      </c>
      <c r="O2" t="s">
        <v>2592</v>
      </c>
      <c r="P2" t="s">
        <v>2593</v>
      </c>
      <c r="Q2" t="s">
        <v>2594</v>
      </c>
      <c r="R2" t="s">
        <v>2595</v>
      </c>
      <c r="S2" t="s">
        <v>2596</v>
      </c>
      <c r="T2" t="s">
        <v>2597</v>
      </c>
      <c r="U2" t="s">
        <v>2598</v>
      </c>
      <c r="V2" t="s">
        <v>2599</v>
      </c>
      <c r="W2" t="s">
        <v>2600</v>
      </c>
      <c r="X2" t="s">
        <v>2601</v>
      </c>
      <c r="Y2" t="s">
        <v>2602</v>
      </c>
      <c r="Z2" t="s">
        <v>2603</v>
      </c>
      <c r="AA2" t="s">
        <v>2604</v>
      </c>
      <c r="AB2" t="s">
        <v>2605</v>
      </c>
      <c r="AC2" t="s">
        <v>2606</v>
      </c>
      <c r="AD2" t="s">
        <v>2607</v>
      </c>
      <c r="AE2" t="s">
        <v>2608</v>
      </c>
      <c r="AF2" t="s">
        <v>2609</v>
      </c>
      <c r="AG2" t="s">
        <v>2610</v>
      </c>
      <c r="AH2" t="s">
        <v>2611</v>
      </c>
      <c r="AI2" t="s">
        <v>2612</v>
      </c>
      <c r="AJ2" t="s">
        <v>2613</v>
      </c>
      <c r="AK2" t="s">
        <v>2614</v>
      </c>
      <c r="AL2" t="s">
        <v>2615</v>
      </c>
      <c r="AM2" t="s">
        <v>2616</v>
      </c>
      <c r="AN2" t="s">
        <v>2617</v>
      </c>
      <c r="AO2" t="s">
        <v>2618</v>
      </c>
      <c r="AP2" t="s">
        <v>2619</v>
      </c>
      <c r="AQ2" t="s">
        <v>2620</v>
      </c>
      <c r="AR2" t="s">
        <v>2621</v>
      </c>
      <c r="AS2" t="s">
        <v>2622</v>
      </c>
      <c r="AT2" t="s">
        <v>2623</v>
      </c>
      <c r="AU2" t="s">
        <v>2624</v>
      </c>
      <c r="AV2" t="s">
        <v>2625</v>
      </c>
      <c r="AW2" t="s">
        <v>2626</v>
      </c>
      <c r="AX2" t="s">
        <v>2627</v>
      </c>
      <c r="AY2" t="s">
        <v>2628</v>
      </c>
      <c r="AZ2" t="s">
        <v>2629</v>
      </c>
      <c r="BA2" t="s">
        <v>2630</v>
      </c>
      <c r="BB2" t="s">
        <v>2631</v>
      </c>
      <c r="BC2" t="s">
        <v>2632</v>
      </c>
      <c r="BD2" t="s">
        <v>2633</v>
      </c>
      <c r="BE2" t="s">
        <v>2634</v>
      </c>
      <c r="BF2" t="s">
        <v>2635</v>
      </c>
      <c r="BG2" t="s">
        <v>2636</v>
      </c>
      <c r="BH2" t="s">
        <v>2637</v>
      </c>
      <c r="BI2" t="s">
        <v>2638</v>
      </c>
      <c r="BJ2" t="s">
        <v>2639</v>
      </c>
      <c r="BK2" t="s">
        <v>2640</v>
      </c>
      <c r="BL2" t="s">
        <v>2641</v>
      </c>
      <c r="BM2" t="s">
        <v>2642</v>
      </c>
      <c r="BN2" t="s">
        <v>2643</v>
      </c>
      <c r="BO2" t="s">
        <v>2644</v>
      </c>
      <c r="BP2" t="s">
        <v>2645</v>
      </c>
      <c r="BQ2" t="s">
        <v>2646</v>
      </c>
      <c r="BR2" t="s">
        <v>2647</v>
      </c>
      <c r="BS2" t="s">
        <v>2648</v>
      </c>
      <c r="BT2" t="s">
        <v>2649</v>
      </c>
      <c r="BU2" t="s">
        <v>2650</v>
      </c>
      <c r="BV2" t="s">
        <v>2651</v>
      </c>
      <c r="BW2" t="s">
        <v>2652</v>
      </c>
      <c r="BX2" t="s">
        <v>2653</v>
      </c>
      <c r="BY2" t="s">
        <v>2654</v>
      </c>
      <c r="BZ2" t="s">
        <v>2655</v>
      </c>
      <c r="CA2" t="s">
        <v>2656</v>
      </c>
      <c r="CB2" t="s">
        <v>2657</v>
      </c>
      <c r="CC2" t="s">
        <v>2658</v>
      </c>
      <c r="CD2" t="s">
        <v>2659</v>
      </c>
      <c r="CE2" t="s">
        <v>2660</v>
      </c>
      <c r="CF2" t="s">
        <v>2661</v>
      </c>
      <c r="CG2" t="s">
        <v>2662</v>
      </c>
      <c r="CH2" t="s">
        <v>2663</v>
      </c>
      <c r="CI2" t="s">
        <v>2664</v>
      </c>
      <c r="CJ2" t="s">
        <v>2665</v>
      </c>
      <c r="CK2" t="s">
        <v>2666</v>
      </c>
      <c r="CL2" t="s">
        <v>2667</v>
      </c>
      <c r="CM2" t="s">
        <v>2668</v>
      </c>
      <c r="CN2" t="s">
        <v>2669</v>
      </c>
      <c r="CO2" t="s">
        <v>2670</v>
      </c>
      <c r="CP2" t="s">
        <v>2671</v>
      </c>
      <c r="CQ2" t="s">
        <v>2672</v>
      </c>
      <c r="CR2" t="s">
        <v>2673</v>
      </c>
      <c r="CS2" t="s">
        <v>2674</v>
      </c>
      <c r="CT2" t="s">
        <v>2675</v>
      </c>
      <c r="CU2" t="s">
        <v>2676</v>
      </c>
      <c r="CV2" t="s">
        <v>2677</v>
      </c>
      <c r="CW2" t="s">
        <v>2678</v>
      </c>
      <c r="CX2" t="s">
        <v>2679</v>
      </c>
      <c r="CY2" t="s">
        <v>2680</v>
      </c>
      <c r="CZ2" t="s">
        <v>2681</v>
      </c>
      <c r="DA2" t="s">
        <v>2682</v>
      </c>
      <c r="DB2" t="s">
        <v>2683</v>
      </c>
      <c r="DC2" t="s">
        <v>2684</v>
      </c>
      <c r="DD2" t="s">
        <v>2685</v>
      </c>
      <c r="DE2" t="s">
        <v>2686</v>
      </c>
      <c r="DF2" t="s">
        <v>2687</v>
      </c>
      <c r="DG2" t="s">
        <v>2688</v>
      </c>
      <c r="DH2" t="s">
        <v>2689</v>
      </c>
      <c r="DI2" t="s">
        <v>2690</v>
      </c>
      <c r="DJ2" t="s">
        <v>2691</v>
      </c>
      <c r="DK2" t="s">
        <v>2692</v>
      </c>
      <c r="DL2" t="s">
        <v>2693</v>
      </c>
      <c r="DM2" t="s">
        <v>2694</v>
      </c>
      <c r="DN2" t="s">
        <v>2695</v>
      </c>
      <c r="DO2" t="s">
        <v>2696</v>
      </c>
      <c r="DP2" t="s">
        <v>2697</v>
      </c>
      <c r="DQ2" t="s">
        <v>2698</v>
      </c>
      <c r="DR2" t="s">
        <v>2699</v>
      </c>
      <c r="DS2" t="s">
        <v>2700</v>
      </c>
      <c r="DT2" t="s">
        <v>2701</v>
      </c>
      <c r="DU2" t="s">
        <v>2702</v>
      </c>
      <c r="DV2" t="s">
        <v>2703</v>
      </c>
      <c r="DW2" t="s">
        <v>2704</v>
      </c>
      <c r="DX2" t="s">
        <v>2705</v>
      </c>
      <c r="DY2" t="s">
        <v>2706</v>
      </c>
      <c r="DZ2" t="s">
        <v>2707</v>
      </c>
      <c r="EA2" t="s">
        <v>2708</v>
      </c>
      <c r="EB2" t="s">
        <v>2709</v>
      </c>
      <c r="EC2" t="s">
        <v>2710</v>
      </c>
      <c r="ED2" t="s">
        <v>2711</v>
      </c>
      <c r="EE2" t="s">
        <v>2712</v>
      </c>
      <c r="EF2" t="s">
        <v>2713</v>
      </c>
      <c r="EG2" t="s">
        <v>2714</v>
      </c>
      <c r="EH2" t="s">
        <v>2715</v>
      </c>
      <c r="EI2" t="s">
        <v>2716</v>
      </c>
      <c r="EJ2" t="s">
        <v>2717</v>
      </c>
      <c r="EK2" t="s">
        <v>2718</v>
      </c>
      <c r="EL2" t="s">
        <v>2719</v>
      </c>
      <c r="EM2" t="s">
        <v>2720</v>
      </c>
      <c r="EN2" t="s">
        <v>2721</v>
      </c>
      <c r="EO2" t="s">
        <v>2722</v>
      </c>
      <c r="EP2" t="s">
        <v>2723</v>
      </c>
      <c r="EQ2" t="s">
        <v>2724</v>
      </c>
      <c r="ER2" t="s">
        <v>2725</v>
      </c>
      <c r="ES2" t="s">
        <v>2726</v>
      </c>
      <c r="ET2" t="s">
        <v>2727</v>
      </c>
      <c r="EU2" t="s">
        <v>2728</v>
      </c>
      <c r="EV2" t="s">
        <v>2729</v>
      </c>
      <c r="EW2" t="s">
        <v>2730</v>
      </c>
      <c r="EX2" t="s">
        <v>2731</v>
      </c>
      <c r="EY2" t="s">
        <v>2732</v>
      </c>
      <c r="EZ2" t="s">
        <v>2733</v>
      </c>
      <c r="FA2" t="s">
        <v>2734</v>
      </c>
      <c r="FB2" t="s">
        <v>2735</v>
      </c>
      <c r="FC2" t="s">
        <v>2736</v>
      </c>
      <c r="FD2" t="s">
        <v>2737</v>
      </c>
      <c r="FE2" t="s">
        <v>2738</v>
      </c>
      <c r="FF2" t="s">
        <v>2739</v>
      </c>
      <c r="FG2" t="s">
        <v>2740</v>
      </c>
      <c r="FH2" t="s">
        <v>2741</v>
      </c>
      <c r="FI2" t="s">
        <v>2742</v>
      </c>
      <c r="FJ2" t="s">
        <v>2743</v>
      </c>
      <c r="FK2" t="s">
        <v>2744</v>
      </c>
      <c r="FL2" t="s">
        <v>2745</v>
      </c>
      <c r="FM2" t="s">
        <v>2746</v>
      </c>
      <c r="FN2" t="s">
        <v>2747</v>
      </c>
      <c r="FO2" t="s">
        <v>2748</v>
      </c>
      <c r="FP2" t="s">
        <v>2749</v>
      </c>
      <c r="FQ2" t="s">
        <v>2750</v>
      </c>
      <c r="FR2" t="s">
        <v>2751</v>
      </c>
      <c r="FS2" t="s">
        <v>2752</v>
      </c>
      <c r="FT2" t="s">
        <v>2753</v>
      </c>
      <c r="FU2" t="s">
        <v>2754</v>
      </c>
      <c r="FV2" t="s">
        <v>2755</v>
      </c>
      <c r="FW2" t="s">
        <v>2756</v>
      </c>
      <c r="FX2" t="s">
        <v>2757</v>
      </c>
      <c r="FY2" t="s">
        <v>2758</v>
      </c>
      <c r="FZ2" t="s">
        <v>2759</v>
      </c>
      <c r="GA2" t="s">
        <v>2760</v>
      </c>
      <c r="GB2" t="s">
        <v>2761</v>
      </c>
      <c r="GC2" t="s">
        <v>2762</v>
      </c>
      <c r="GD2" t="s">
        <v>2763</v>
      </c>
      <c r="GE2" t="s">
        <v>2764</v>
      </c>
      <c r="GF2" t="s">
        <v>2765</v>
      </c>
      <c r="GG2" t="s">
        <v>2766</v>
      </c>
      <c r="GH2" t="s">
        <v>2767</v>
      </c>
      <c r="GI2" t="s">
        <v>2768</v>
      </c>
      <c r="GJ2" t="s">
        <v>2769</v>
      </c>
      <c r="GK2" t="s">
        <v>2770</v>
      </c>
      <c r="GL2" t="s">
        <v>2771</v>
      </c>
      <c r="GM2" t="s">
        <v>2772</v>
      </c>
      <c r="GN2" t="s">
        <v>2773</v>
      </c>
      <c r="GO2" t="s">
        <v>2774</v>
      </c>
      <c r="GP2" t="s">
        <v>2775</v>
      </c>
      <c r="GQ2" t="s">
        <v>2776</v>
      </c>
      <c r="GR2" t="s">
        <v>2777</v>
      </c>
      <c r="GS2" t="s">
        <v>2778</v>
      </c>
      <c r="GT2" t="s">
        <v>2779</v>
      </c>
      <c r="GU2" t="s">
        <v>2780</v>
      </c>
      <c r="GV2" t="s">
        <v>2781</v>
      </c>
      <c r="GW2" t="s">
        <v>2782</v>
      </c>
      <c r="GX2" t="s">
        <v>2783</v>
      </c>
      <c r="GY2" t="s">
        <v>2784</v>
      </c>
      <c r="GZ2" t="s">
        <v>2785</v>
      </c>
      <c r="HA2" t="s">
        <v>2786</v>
      </c>
      <c r="HB2" t="s">
        <v>2787</v>
      </c>
      <c r="HC2" t="s">
        <v>2788</v>
      </c>
      <c r="HD2" t="s">
        <v>2789</v>
      </c>
      <c r="HE2" t="s">
        <v>2790</v>
      </c>
      <c r="HF2" t="s">
        <v>2791</v>
      </c>
      <c r="HG2" t="s">
        <v>2792</v>
      </c>
      <c r="HH2" t="s">
        <v>2793</v>
      </c>
      <c r="HI2" t="s">
        <v>2794</v>
      </c>
      <c r="HJ2" t="s">
        <v>2795</v>
      </c>
      <c r="HK2" t="s">
        <v>2796</v>
      </c>
      <c r="HL2" t="s">
        <v>2797</v>
      </c>
      <c r="HM2" t="s">
        <v>2798</v>
      </c>
      <c r="HN2" t="s">
        <v>2799</v>
      </c>
      <c r="HO2" t="s">
        <v>2800</v>
      </c>
      <c r="HP2" t="s">
        <v>2801</v>
      </c>
      <c r="HQ2" t="s">
        <v>2802</v>
      </c>
      <c r="HR2" t="s">
        <v>2803</v>
      </c>
      <c r="HS2" t="s">
        <v>2804</v>
      </c>
      <c r="HT2" t="s">
        <v>2805</v>
      </c>
      <c r="HU2" t="s">
        <v>2806</v>
      </c>
      <c r="HV2" t="s">
        <v>2807</v>
      </c>
      <c r="HW2" t="s">
        <v>2808</v>
      </c>
      <c r="HX2" t="s">
        <v>2809</v>
      </c>
      <c r="HY2" t="s">
        <v>2810</v>
      </c>
      <c r="HZ2" t="s">
        <v>2811</v>
      </c>
      <c r="IA2" t="s">
        <v>2812</v>
      </c>
      <c r="IB2" t="s">
        <v>2813</v>
      </c>
      <c r="IC2" t="s">
        <v>2814</v>
      </c>
      <c r="ID2" t="s">
        <v>2815</v>
      </c>
      <c r="IE2" t="s">
        <v>2816</v>
      </c>
      <c r="IF2" t="s">
        <v>2817</v>
      </c>
      <c r="IG2" t="s">
        <v>2818</v>
      </c>
      <c r="IH2" t="s">
        <v>2819</v>
      </c>
      <c r="II2" t="s">
        <v>2820</v>
      </c>
      <c r="IJ2" t="s">
        <v>2821</v>
      </c>
      <c r="IK2" t="s">
        <v>2822</v>
      </c>
      <c r="IL2" t="s">
        <v>2823</v>
      </c>
      <c r="IM2" t="s">
        <v>2824</v>
      </c>
      <c r="IN2" t="s">
        <v>2825</v>
      </c>
      <c r="IO2" t="s">
        <v>2826</v>
      </c>
      <c r="IP2" t="s">
        <v>2827</v>
      </c>
      <c r="IQ2" t="s">
        <v>2828</v>
      </c>
      <c r="IR2" t="s">
        <v>2829</v>
      </c>
      <c r="IS2" t="s">
        <v>2830</v>
      </c>
      <c r="IT2" t="s">
        <v>2831</v>
      </c>
      <c r="IU2" t="s">
        <v>2832</v>
      </c>
      <c r="IV2" t="s">
        <v>2833</v>
      </c>
    </row>
    <row r="3" spans="1:256">
      <c r="A3" t="s">
        <v>2834</v>
      </c>
      <c r="B3" t="s">
        <v>2835</v>
      </c>
      <c r="C3" t="s">
        <v>2836</v>
      </c>
      <c r="D3" t="s">
        <v>2837</v>
      </c>
      <c r="E3" t="s">
        <v>2838</v>
      </c>
      <c r="F3" t="s">
        <v>2839</v>
      </c>
      <c r="G3" t="s">
        <v>2840</v>
      </c>
      <c r="H3" t="s">
        <v>2841</v>
      </c>
      <c r="I3" t="s">
        <v>2842</v>
      </c>
      <c r="J3" t="s">
        <v>2843</v>
      </c>
      <c r="K3" t="s">
        <v>2844</v>
      </c>
      <c r="L3" t="s">
        <v>2845</v>
      </c>
      <c r="M3" t="s">
        <v>2846</v>
      </c>
      <c r="N3" t="s">
        <v>2847</v>
      </c>
      <c r="O3" t="s">
        <v>2848</v>
      </c>
      <c r="P3" t="s">
        <v>2849</v>
      </c>
      <c r="Q3" t="s">
        <v>2850</v>
      </c>
      <c r="R3" t="s">
        <v>2851</v>
      </c>
      <c r="S3" t="s">
        <v>2852</v>
      </c>
      <c r="T3" t="s">
        <v>2853</v>
      </c>
      <c r="U3" t="s">
        <v>2854</v>
      </c>
      <c r="V3" t="s">
        <v>2855</v>
      </c>
      <c r="W3" t="s">
        <v>2856</v>
      </c>
      <c r="X3" t="s">
        <v>2857</v>
      </c>
      <c r="Y3" t="s">
        <v>2858</v>
      </c>
      <c r="Z3" t="s">
        <v>2859</v>
      </c>
      <c r="AA3" t="s">
        <v>2860</v>
      </c>
      <c r="AB3" t="s">
        <v>2861</v>
      </c>
      <c r="AC3" t="s">
        <v>2862</v>
      </c>
      <c r="AD3" t="s">
        <v>2863</v>
      </c>
      <c r="AE3" t="s">
        <v>2864</v>
      </c>
      <c r="AF3" t="s">
        <v>2865</v>
      </c>
      <c r="AG3" t="s">
        <v>2866</v>
      </c>
      <c r="AH3" t="s">
        <v>2867</v>
      </c>
      <c r="AI3" t="s">
        <v>2868</v>
      </c>
      <c r="AJ3" t="s">
        <v>2869</v>
      </c>
      <c r="AK3" t="s">
        <v>2870</v>
      </c>
      <c r="AL3" t="s">
        <v>2871</v>
      </c>
      <c r="AM3" t="s">
        <v>2872</v>
      </c>
      <c r="AN3" t="s">
        <v>2873</v>
      </c>
      <c r="AO3" t="s">
        <v>2874</v>
      </c>
      <c r="AP3" t="s">
        <v>2875</v>
      </c>
      <c r="AQ3" t="s">
        <v>2876</v>
      </c>
      <c r="AR3" t="s">
        <v>2877</v>
      </c>
      <c r="AS3" t="s">
        <v>2878</v>
      </c>
      <c r="AT3" t="s">
        <v>2879</v>
      </c>
      <c r="AU3" t="s">
        <v>2880</v>
      </c>
      <c r="AV3" t="s">
        <v>2881</v>
      </c>
      <c r="AW3" t="s">
        <v>2882</v>
      </c>
      <c r="AX3" t="s">
        <v>2883</v>
      </c>
      <c r="AY3" t="s">
        <v>2884</v>
      </c>
      <c r="AZ3" t="s">
        <v>2885</v>
      </c>
      <c r="BA3" t="s">
        <v>2886</v>
      </c>
      <c r="BB3" t="s">
        <v>2887</v>
      </c>
      <c r="BC3" t="s">
        <v>2888</v>
      </c>
      <c r="BD3" t="s">
        <v>2889</v>
      </c>
      <c r="BE3" t="s">
        <v>2890</v>
      </c>
      <c r="BF3" t="s">
        <v>2891</v>
      </c>
      <c r="BG3" t="s">
        <v>2892</v>
      </c>
      <c r="BH3" t="s">
        <v>2893</v>
      </c>
      <c r="BI3" t="s">
        <v>2894</v>
      </c>
      <c r="BJ3" t="s">
        <v>2895</v>
      </c>
      <c r="BK3" t="s">
        <v>2896</v>
      </c>
      <c r="BL3" t="s">
        <v>2897</v>
      </c>
      <c r="BM3" t="s">
        <v>2898</v>
      </c>
      <c r="BN3" t="s">
        <v>2899</v>
      </c>
      <c r="BO3" t="s">
        <v>2900</v>
      </c>
      <c r="BP3" t="s">
        <v>2901</v>
      </c>
      <c r="BQ3" t="s">
        <v>2902</v>
      </c>
      <c r="BR3" t="s">
        <v>2903</v>
      </c>
      <c r="BS3" t="s">
        <v>2904</v>
      </c>
      <c r="BT3" t="s">
        <v>2905</v>
      </c>
      <c r="BU3" t="s">
        <v>2906</v>
      </c>
      <c r="BV3" t="s">
        <v>2907</v>
      </c>
      <c r="BW3" t="s">
        <v>2908</v>
      </c>
      <c r="BX3" t="s">
        <v>2909</v>
      </c>
      <c r="BY3" t="s">
        <v>2910</v>
      </c>
      <c r="BZ3" t="s">
        <v>2911</v>
      </c>
      <c r="CA3" t="s">
        <v>2912</v>
      </c>
      <c r="CB3" t="s">
        <v>2913</v>
      </c>
      <c r="CC3" t="s">
        <v>2914</v>
      </c>
      <c r="CD3" t="s">
        <v>2915</v>
      </c>
      <c r="CE3" t="s">
        <v>2916</v>
      </c>
      <c r="CF3" t="s">
        <v>2917</v>
      </c>
      <c r="CG3" t="s">
        <v>2918</v>
      </c>
      <c r="CH3" t="s">
        <v>2919</v>
      </c>
      <c r="CI3" t="s">
        <v>2920</v>
      </c>
      <c r="CJ3" t="s">
        <v>2921</v>
      </c>
      <c r="CK3" t="s">
        <v>2922</v>
      </c>
      <c r="CL3" t="s">
        <v>2923</v>
      </c>
      <c r="CM3" t="s">
        <v>2924</v>
      </c>
      <c r="CN3" t="s">
        <v>2925</v>
      </c>
      <c r="CO3" t="s">
        <v>2926</v>
      </c>
      <c r="CP3" t="s">
        <v>2927</v>
      </c>
      <c r="CQ3" t="s">
        <v>2928</v>
      </c>
      <c r="CR3" t="s">
        <v>2929</v>
      </c>
      <c r="CS3" t="s">
        <v>2930</v>
      </c>
      <c r="CT3" t="s">
        <v>2931</v>
      </c>
      <c r="CU3" t="s">
        <v>2932</v>
      </c>
      <c r="CV3" t="s">
        <v>2933</v>
      </c>
      <c r="CW3" t="s">
        <v>2934</v>
      </c>
      <c r="CX3" t="s">
        <v>2935</v>
      </c>
      <c r="CY3" t="s">
        <v>2936</v>
      </c>
      <c r="CZ3" t="s">
        <v>2937</v>
      </c>
      <c r="DA3" t="s">
        <v>2938</v>
      </c>
      <c r="DB3" t="s">
        <v>2939</v>
      </c>
      <c r="DC3" t="s">
        <v>2940</v>
      </c>
      <c r="DD3" t="s">
        <v>2941</v>
      </c>
      <c r="DE3" t="s">
        <v>2942</v>
      </c>
      <c r="DF3" t="s">
        <v>2943</v>
      </c>
      <c r="DG3" t="s">
        <v>2944</v>
      </c>
      <c r="DH3" t="s">
        <v>2945</v>
      </c>
      <c r="DI3" t="s">
        <v>2946</v>
      </c>
      <c r="DJ3" t="s">
        <v>2947</v>
      </c>
      <c r="DK3" t="s">
        <v>2948</v>
      </c>
      <c r="DL3" t="s">
        <v>2949</v>
      </c>
      <c r="DM3" t="s">
        <v>2950</v>
      </c>
      <c r="DN3" t="s">
        <v>2951</v>
      </c>
      <c r="DO3" t="s">
        <v>2952</v>
      </c>
      <c r="DP3" t="s">
        <v>2953</v>
      </c>
      <c r="DQ3" t="s">
        <v>2954</v>
      </c>
      <c r="DR3" t="s">
        <v>2955</v>
      </c>
      <c r="DS3" t="s">
        <v>2956</v>
      </c>
      <c r="DT3" t="s">
        <v>2957</v>
      </c>
      <c r="DU3" t="s">
        <v>2958</v>
      </c>
      <c r="DV3" t="s">
        <v>2959</v>
      </c>
      <c r="DW3" t="s">
        <v>2960</v>
      </c>
      <c r="DX3" t="s">
        <v>2961</v>
      </c>
      <c r="DY3" t="s">
        <v>2962</v>
      </c>
      <c r="DZ3" t="s">
        <v>2963</v>
      </c>
      <c r="EA3" t="s">
        <v>2964</v>
      </c>
      <c r="EB3" t="s">
        <v>2965</v>
      </c>
      <c r="EC3" t="s">
        <v>2966</v>
      </c>
      <c r="ED3" t="s">
        <v>2967</v>
      </c>
      <c r="EE3" t="s">
        <v>2968</v>
      </c>
      <c r="EF3" t="s">
        <v>2969</v>
      </c>
      <c r="EG3" t="s">
        <v>2970</v>
      </c>
      <c r="EH3" t="s">
        <v>2971</v>
      </c>
      <c r="EI3" t="s">
        <v>2972</v>
      </c>
      <c r="EJ3" t="s">
        <v>2973</v>
      </c>
      <c r="EK3" t="s">
        <v>2974</v>
      </c>
      <c r="EL3" t="s">
        <v>2975</v>
      </c>
      <c r="EM3" t="s">
        <v>2976</v>
      </c>
      <c r="EN3" t="s">
        <v>2977</v>
      </c>
      <c r="EO3" t="s">
        <v>2978</v>
      </c>
      <c r="EP3" t="s">
        <v>2979</v>
      </c>
      <c r="EQ3" t="s">
        <v>2980</v>
      </c>
      <c r="ER3" t="s">
        <v>2981</v>
      </c>
      <c r="ES3" t="s">
        <v>2982</v>
      </c>
      <c r="ET3" t="s">
        <v>2983</v>
      </c>
      <c r="EU3" t="s">
        <v>2984</v>
      </c>
      <c r="EV3" t="s">
        <v>2985</v>
      </c>
      <c r="EW3" t="s">
        <v>2986</v>
      </c>
      <c r="EX3" t="s">
        <v>2987</v>
      </c>
      <c r="EY3" t="s">
        <v>2988</v>
      </c>
      <c r="EZ3" t="s">
        <v>2989</v>
      </c>
      <c r="FA3" t="s">
        <v>2990</v>
      </c>
      <c r="FB3" t="s">
        <v>2991</v>
      </c>
      <c r="FC3" t="s">
        <v>2992</v>
      </c>
      <c r="FD3" t="s">
        <v>2993</v>
      </c>
      <c r="FE3" t="s">
        <v>2994</v>
      </c>
      <c r="FF3" t="s">
        <v>2995</v>
      </c>
      <c r="FG3" t="s">
        <v>2996</v>
      </c>
      <c r="FH3" t="s">
        <v>2997</v>
      </c>
      <c r="FI3" t="s">
        <v>2998</v>
      </c>
      <c r="FJ3" t="s">
        <v>2999</v>
      </c>
      <c r="FK3" t="s">
        <v>3000</v>
      </c>
      <c r="FL3" t="s">
        <v>3001</v>
      </c>
      <c r="FM3" t="s">
        <v>3002</v>
      </c>
      <c r="FN3" t="s">
        <v>3003</v>
      </c>
      <c r="FO3" t="s">
        <v>3004</v>
      </c>
      <c r="FP3" t="s">
        <v>3005</v>
      </c>
      <c r="FQ3" t="s">
        <v>3006</v>
      </c>
      <c r="FR3" t="s">
        <v>3007</v>
      </c>
      <c r="FS3" t="s">
        <v>3008</v>
      </c>
      <c r="FT3" t="s">
        <v>3009</v>
      </c>
      <c r="FU3" t="s">
        <v>3010</v>
      </c>
      <c r="FV3" t="s">
        <v>3011</v>
      </c>
      <c r="FW3" t="s">
        <v>3012</v>
      </c>
      <c r="FX3" t="s">
        <v>3013</v>
      </c>
      <c r="FY3" t="s">
        <v>3014</v>
      </c>
      <c r="FZ3" t="s">
        <v>3015</v>
      </c>
      <c r="GA3" t="s">
        <v>3016</v>
      </c>
      <c r="GB3" t="s">
        <v>3017</v>
      </c>
      <c r="GC3" t="s">
        <v>3018</v>
      </c>
      <c r="GD3" t="s">
        <v>3019</v>
      </c>
      <c r="GE3" t="s">
        <v>3020</v>
      </c>
      <c r="GF3" t="s">
        <v>3021</v>
      </c>
      <c r="GG3" t="s">
        <v>3022</v>
      </c>
      <c r="GH3" t="s">
        <v>3023</v>
      </c>
      <c r="GI3" t="s">
        <v>3024</v>
      </c>
      <c r="GJ3" t="s">
        <v>3025</v>
      </c>
      <c r="GK3" t="s">
        <v>3026</v>
      </c>
      <c r="GL3" t="s">
        <v>3027</v>
      </c>
      <c r="GM3" t="s">
        <v>3028</v>
      </c>
      <c r="GN3" t="s">
        <v>3029</v>
      </c>
      <c r="GO3" t="s">
        <v>3030</v>
      </c>
      <c r="GP3" t="s">
        <v>3031</v>
      </c>
      <c r="GQ3" t="s">
        <v>3032</v>
      </c>
      <c r="GR3" t="s">
        <v>3033</v>
      </c>
      <c r="GS3" t="s">
        <v>3034</v>
      </c>
      <c r="GT3" t="s">
        <v>3035</v>
      </c>
      <c r="GU3" t="s">
        <v>3036</v>
      </c>
      <c r="GV3" t="s">
        <v>3037</v>
      </c>
      <c r="GW3" t="s">
        <v>3038</v>
      </c>
      <c r="GX3" t="s">
        <v>3039</v>
      </c>
      <c r="GY3" t="s">
        <v>3040</v>
      </c>
      <c r="GZ3" t="s">
        <v>3041</v>
      </c>
      <c r="HA3" t="s">
        <v>3042</v>
      </c>
      <c r="HB3" t="s">
        <v>3043</v>
      </c>
      <c r="HC3" t="s">
        <v>3044</v>
      </c>
      <c r="HD3" t="s">
        <v>3045</v>
      </c>
      <c r="HE3" t="s">
        <v>3046</v>
      </c>
      <c r="HF3" t="s">
        <v>3047</v>
      </c>
      <c r="HG3" t="s">
        <v>3048</v>
      </c>
      <c r="HH3" t="s">
        <v>3049</v>
      </c>
      <c r="HI3" t="s">
        <v>3050</v>
      </c>
      <c r="HJ3" t="s">
        <v>3051</v>
      </c>
      <c r="HK3" t="s">
        <v>3052</v>
      </c>
      <c r="HL3" t="s">
        <v>3053</v>
      </c>
      <c r="HM3" t="s">
        <v>3054</v>
      </c>
      <c r="HN3" t="s">
        <v>3055</v>
      </c>
      <c r="HO3" t="s">
        <v>3056</v>
      </c>
      <c r="HP3" t="s">
        <v>3057</v>
      </c>
      <c r="HQ3" t="s">
        <v>3058</v>
      </c>
      <c r="HR3" t="s">
        <v>3059</v>
      </c>
      <c r="HS3" t="s">
        <v>3060</v>
      </c>
      <c r="HT3" t="s">
        <v>3061</v>
      </c>
      <c r="HU3" t="s">
        <v>3062</v>
      </c>
      <c r="HV3" t="s">
        <v>3063</v>
      </c>
      <c r="HW3" t="s">
        <v>3064</v>
      </c>
      <c r="HX3" t="s">
        <v>3065</v>
      </c>
      <c r="HY3" t="s">
        <v>3066</v>
      </c>
      <c r="HZ3" t="s">
        <v>3067</v>
      </c>
      <c r="IA3" t="s">
        <v>3068</v>
      </c>
      <c r="IB3" t="s">
        <v>3069</v>
      </c>
      <c r="IC3" t="s">
        <v>3070</v>
      </c>
      <c r="ID3" t="s">
        <v>3071</v>
      </c>
      <c r="IE3" t="s">
        <v>3072</v>
      </c>
      <c r="IF3" t="s">
        <v>3073</v>
      </c>
      <c r="IG3" t="s">
        <v>3074</v>
      </c>
      <c r="IH3" t="s">
        <v>3075</v>
      </c>
      <c r="II3" t="s">
        <v>3076</v>
      </c>
      <c r="IJ3" t="s">
        <v>3077</v>
      </c>
      <c r="IK3" t="s">
        <v>3078</v>
      </c>
      <c r="IL3" t="s">
        <v>3079</v>
      </c>
      <c r="IM3" t="s">
        <v>3080</v>
      </c>
      <c r="IN3" t="s">
        <v>3081</v>
      </c>
      <c r="IO3" t="s">
        <v>3082</v>
      </c>
      <c r="IP3" t="s">
        <v>3083</v>
      </c>
      <c r="IQ3" t="s">
        <v>3084</v>
      </c>
      <c r="IR3" t="s">
        <v>3085</v>
      </c>
      <c r="IS3" t="s">
        <v>3086</v>
      </c>
      <c r="IT3" t="s">
        <v>3087</v>
      </c>
      <c r="IU3" t="s">
        <v>3088</v>
      </c>
      <c r="IV3" t="s">
        <v>3089</v>
      </c>
    </row>
    <row r="4" spans="1:256">
      <c r="A4" t="s">
        <v>3090</v>
      </c>
      <c r="B4" t="s">
        <v>3091</v>
      </c>
      <c r="C4" t="s">
        <v>3092</v>
      </c>
      <c r="D4" t="s">
        <v>3093</v>
      </c>
      <c r="E4" t="s">
        <v>3094</v>
      </c>
      <c r="F4" t="s">
        <v>3095</v>
      </c>
      <c r="G4" t="s">
        <v>3096</v>
      </c>
      <c r="H4" t="s">
        <v>3097</v>
      </c>
      <c r="I4" t="s">
        <v>3098</v>
      </c>
      <c r="J4" t="s">
        <v>3099</v>
      </c>
      <c r="K4" t="s">
        <v>3100</v>
      </c>
      <c r="L4" t="s">
        <v>3101</v>
      </c>
      <c r="M4" t="s">
        <v>3102</v>
      </c>
      <c r="N4" t="s">
        <v>3103</v>
      </c>
      <c r="O4" t="s">
        <v>3104</v>
      </c>
      <c r="P4" t="s">
        <v>3105</v>
      </c>
      <c r="Q4" t="s">
        <v>3106</v>
      </c>
      <c r="R4" t="s">
        <v>3107</v>
      </c>
      <c r="S4" t="s">
        <v>3108</v>
      </c>
      <c r="T4" t="s">
        <v>3109</v>
      </c>
      <c r="U4" t="s">
        <v>3110</v>
      </c>
      <c r="V4" t="s">
        <v>3111</v>
      </c>
      <c r="W4" t="s">
        <v>3112</v>
      </c>
      <c r="X4" t="s">
        <v>3113</v>
      </c>
      <c r="Y4" t="s">
        <v>3114</v>
      </c>
      <c r="Z4" t="s">
        <v>3115</v>
      </c>
      <c r="AA4" t="s">
        <v>3116</v>
      </c>
      <c r="AB4" t="s">
        <v>3117</v>
      </c>
      <c r="AC4" t="s">
        <v>3118</v>
      </c>
      <c r="AD4" t="s">
        <v>3119</v>
      </c>
      <c r="AE4" t="s">
        <v>3120</v>
      </c>
      <c r="AF4" t="s">
        <v>3121</v>
      </c>
      <c r="AG4" t="s">
        <v>3122</v>
      </c>
      <c r="AH4" t="s">
        <v>3123</v>
      </c>
      <c r="AI4" t="s">
        <v>3124</v>
      </c>
      <c r="AJ4" t="s">
        <v>3125</v>
      </c>
      <c r="AK4" t="s">
        <v>3126</v>
      </c>
      <c r="AL4" t="s">
        <v>3127</v>
      </c>
      <c r="AM4" t="s">
        <v>3128</v>
      </c>
      <c r="AN4" t="s">
        <v>3129</v>
      </c>
      <c r="AO4" t="s">
        <v>3130</v>
      </c>
      <c r="AP4" t="s">
        <v>3131</v>
      </c>
      <c r="AQ4" t="s">
        <v>3132</v>
      </c>
      <c r="AR4" t="s">
        <v>3133</v>
      </c>
      <c r="AS4" t="s">
        <v>3134</v>
      </c>
      <c r="AT4" t="s">
        <v>3135</v>
      </c>
      <c r="AU4" t="s">
        <v>3136</v>
      </c>
      <c r="AV4" t="s">
        <v>3137</v>
      </c>
      <c r="AW4" t="s">
        <v>3138</v>
      </c>
      <c r="AX4" t="s">
        <v>3139</v>
      </c>
      <c r="AY4" t="s">
        <v>3140</v>
      </c>
      <c r="AZ4" t="s">
        <v>3141</v>
      </c>
      <c r="BA4" t="s">
        <v>3142</v>
      </c>
      <c r="BB4" t="s">
        <v>3143</v>
      </c>
      <c r="BC4" t="s">
        <v>3144</v>
      </c>
      <c r="BD4" t="s">
        <v>3145</v>
      </c>
      <c r="BE4" t="s">
        <v>3146</v>
      </c>
      <c r="BF4" t="s">
        <v>3147</v>
      </c>
      <c r="BG4" t="s">
        <v>3148</v>
      </c>
      <c r="BH4" t="s">
        <v>3149</v>
      </c>
      <c r="BI4" t="s">
        <v>3150</v>
      </c>
      <c r="BJ4" t="s">
        <v>3151</v>
      </c>
      <c r="BK4" t="s">
        <v>3152</v>
      </c>
      <c r="BL4" t="s">
        <v>3153</v>
      </c>
      <c r="BM4" t="s">
        <v>3154</v>
      </c>
      <c r="BN4" t="s">
        <v>3155</v>
      </c>
      <c r="BO4" t="s">
        <v>3156</v>
      </c>
      <c r="BP4" t="s">
        <v>3157</v>
      </c>
      <c r="BQ4" t="s">
        <v>3158</v>
      </c>
      <c r="BR4" t="s">
        <v>3159</v>
      </c>
      <c r="BS4" t="s">
        <v>3160</v>
      </c>
      <c r="BT4" t="s">
        <v>3161</v>
      </c>
      <c r="BU4" t="s">
        <v>3162</v>
      </c>
      <c r="BV4" t="s">
        <v>3163</v>
      </c>
      <c r="BW4" t="s">
        <v>3164</v>
      </c>
      <c r="BX4" t="s">
        <v>3165</v>
      </c>
      <c r="BY4" t="s">
        <v>3166</v>
      </c>
      <c r="BZ4" t="s">
        <v>3167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5">
    <tabColor theme="1"/>
    <pageSetUpPr fitToPage="1"/>
  </sheetPr>
  <dimension ref="B1:J28"/>
  <sheetViews>
    <sheetView showGridLines="0" view="pageBreakPreview" zoomScale="80" zoomScaleNormal="100" zoomScaleSheetLayoutView="80" workbookViewId="0"/>
  </sheetViews>
  <sheetFormatPr defaultColWidth="9.33203125" defaultRowHeight="14.25"/>
  <cols>
    <col min="1" max="1" width="4.5" style="231" customWidth="1"/>
    <col min="2" max="2" width="3.83203125" style="155" customWidth="1"/>
    <col min="3" max="3" width="15.83203125" style="155" customWidth="1"/>
    <col min="4" max="4" width="115.83203125" style="173" customWidth="1"/>
    <col min="5" max="5" width="8.33203125" style="155" customWidth="1"/>
    <col min="6" max="6" width="3.83203125" style="155" customWidth="1"/>
    <col min="7" max="7" width="4.5" style="231" customWidth="1"/>
    <col min="8" max="8" width="9.33203125" style="231"/>
    <col min="9" max="9" width="21.33203125" style="231" customWidth="1"/>
    <col min="10" max="10" width="19" style="231" bestFit="1" customWidth="1"/>
    <col min="11" max="16384" width="9.33203125" style="231"/>
  </cols>
  <sheetData>
    <row r="1" spans="2:8" ht="12.75">
      <c r="B1" s="231"/>
      <c r="C1" s="231"/>
      <c r="D1" s="278"/>
      <c r="E1" s="231"/>
      <c r="F1" s="231"/>
    </row>
    <row r="2" spans="2:8" ht="12.75">
      <c r="B2" s="231"/>
      <c r="C2" s="231"/>
      <c r="D2" s="278"/>
      <c r="E2" s="231"/>
      <c r="F2" s="231"/>
    </row>
    <row r="3" spans="2:8" ht="12.75">
      <c r="B3" s="231"/>
      <c r="C3" s="231"/>
      <c r="D3" s="278"/>
      <c r="E3" s="231"/>
      <c r="F3" s="231"/>
    </row>
    <row r="4" spans="2:8" ht="12.75">
      <c r="B4" s="231"/>
      <c r="C4" s="231"/>
      <c r="D4" s="278"/>
      <c r="E4" s="231"/>
      <c r="F4" s="231"/>
      <c r="H4" s="1637"/>
    </row>
    <row r="5" spans="2:8" ht="12.75">
      <c r="B5" s="231"/>
      <c r="C5" s="231"/>
      <c r="D5" s="278"/>
      <c r="E5" s="231"/>
      <c r="F5" s="231"/>
    </row>
    <row r="6" spans="2:8" ht="12.75">
      <c r="B6" s="231"/>
      <c r="C6" s="279"/>
      <c r="D6" s="280"/>
      <c r="E6" s="279"/>
      <c r="F6" s="279"/>
    </row>
    <row r="7" spans="2:8" ht="13.5" thickBot="1">
      <c r="B7" s="231"/>
      <c r="C7" s="279"/>
      <c r="D7" s="280"/>
      <c r="E7" s="279"/>
      <c r="F7" s="279"/>
    </row>
    <row r="8" spans="2:8" ht="13.5" thickTop="1">
      <c r="B8" s="1638"/>
      <c r="C8" s="967"/>
      <c r="D8" s="1639"/>
      <c r="E8" s="967"/>
      <c r="F8" s="967"/>
    </row>
    <row r="9" spans="2:8" ht="39.75">
      <c r="B9" s="160"/>
      <c r="C9" s="166"/>
      <c r="D9" s="161" t="str">
        <f>+'MASTER PubCo Inputs'!C8</f>
        <v>IRC 409A Common Stock Independent Appraisal</v>
      </c>
      <c r="E9" s="162"/>
      <c r="F9" s="162"/>
    </row>
    <row r="10" spans="2:8">
      <c r="B10" s="1640"/>
      <c r="C10" s="969"/>
      <c r="D10" s="1642"/>
      <c r="E10" s="166"/>
      <c r="F10" s="166"/>
    </row>
    <row r="11" spans="2:8" ht="23.25">
      <c r="B11" s="1640"/>
      <c r="C11" s="969"/>
      <c r="D11" s="168" t="s">
        <v>664</v>
      </c>
      <c r="E11" s="166"/>
      <c r="F11" s="166"/>
    </row>
    <row r="12" spans="2:8" ht="19.5">
      <c r="B12" s="1640"/>
      <c r="C12" s="969"/>
      <c r="D12" s="169" t="s">
        <v>456</v>
      </c>
      <c r="E12" s="166"/>
      <c r="F12" s="166"/>
    </row>
    <row r="13" spans="2:8" ht="23.25">
      <c r="B13" s="1640"/>
      <c r="C13" s="969"/>
      <c r="D13" s="168" t="str">
        <f>IF('MASTER PubCo Inputs'!C5="","",'MASTER PubCo Inputs'!C5)</f>
        <v>Decibel Therapeutics, Inc.</v>
      </c>
      <c r="E13" s="166"/>
      <c r="F13" s="166"/>
    </row>
    <row r="14" spans="2:8">
      <c r="B14" s="1640"/>
      <c r="C14" s="969"/>
      <c r="D14" s="1642"/>
      <c r="E14" s="166"/>
      <c r="F14" s="166"/>
    </row>
    <row r="15" spans="2:8" ht="23.25">
      <c r="B15" s="1640"/>
      <c r="C15" s="969"/>
      <c r="D15" s="168" t="str">
        <f>"Valuation Date as of "&amp;TEXT('MASTER PubCo Inputs'!$C$6,"mmmm d, yyyy")&amp;""</f>
        <v>Valuation Date as of May 25, 2018</v>
      </c>
      <c r="E15" s="166"/>
      <c r="F15" s="166"/>
    </row>
    <row r="16" spans="2:8" ht="15" thickBot="1">
      <c r="B16" s="1641"/>
      <c r="C16" s="971"/>
      <c r="D16" s="1643"/>
      <c r="E16" s="171"/>
      <c r="F16" s="171"/>
    </row>
    <row r="17" spans="2:10" ht="13.5" thickTop="1">
      <c r="B17" s="231"/>
      <c r="C17" s="231"/>
      <c r="D17" s="278"/>
      <c r="E17" s="231"/>
      <c r="F17" s="231"/>
    </row>
    <row r="18" spans="2:10" ht="12.75">
      <c r="B18" s="231"/>
      <c r="C18" s="231"/>
      <c r="D18" s="278"/>
      <c r="E18" s="231"/>
      <c r="F18" s="231"/>
    </row>
    <row r="19" spans="2:10" ht="18">
      <c r="B19" s="231"/>
      <c r="C19" s="231"/>
      <c r="D19" s="174" t="s">
        <v>457</v>
      </c>
      <c r="E19" s="231"/>
      <c r="F19" s="231"/>
    </row>
    <row r="20" spans="2:10" ht="18">
      <c r="B20" s="231"/>
      <c r="C20" s="231"/>
      <c r="D20" s="175" t="str">
        <f ca="1">TEXT(J20,"mmmm d, yyyy")</f>
        <v>April 4, 2019</v>
      </c>
      <c r="E20" s="231"/>
      <c r="F20" s="231"/>
      <c r="I20" s="231" t="s">
        <v>459</v>
      </c>
      <c r="J20" s="232">
        <f ca="1">Title!J20</f>
        <v>43559</v>
      </c>
    </row>
    <row r="21" spans="2:10" ht="12.75">
      <c r="B21" s="231"/>
      <c r="C21" s="231"/>
      <c r="D21" s="278"/>
      <c r="E21" s="231"/>
      <c r="F21" s="231"/>
    </row>
    <row r="22" spans="2:10" ht="12.75">
      <c r="B22" s="231"/>
      <c r="C22" s="231"/>
      <c r="D22" s="278"/>
      <c r="E22" s="231"/>
      <c r="F22" s="231"/>
    </row>
    <row r="23" spans="2:10" ht="12.75">
      <c r="B23" s="231"/>
      <c r="C23" s="231"/>
      <c r="D23" s="278"/>
      <c r="E23" s="231"/>
      <c r="F23" s="231"/>
    </row>
    <row r="24" spans="2:10" ht="12.75">
      <c r="B24" s="231"/>
      <c r="C24" s="231"/>
      <c r="D24" s="278"/>
      <c r="E24" s="231"/>
      <c r="F24" s="231"/>
    </row>
    <row r="25" spans="2:10" ht="23.25">
      <c r="B25" s="231"/>
      <c r="C25" s="231"/>
      <c r="D25" s="176"/>
      <c r="E25" s="231"/>
      <c r="F25" s="231"/>
    </row>
    <row r="26" spans="2:10" ht="12.75">
      <c r="B26" s="231"/>
      <c r="C26" s="231"/>
      <c r="D26" s="278"/>
      <c r="E26" s="231"/>
      <c r="F26" s="231"/>
    </row>
    <row r="27" spans="2:10" ht="18">
      <c r="B27" s="231"/>
      <c r="C27" s="231"/>
      <c r="D27" s="177"/>
      <c r="E27" s="231"/>
      <c r="F27" s="231"/>
    </row>
    <row r="28" spans="2:10" ht="36">
      <c r="B28" s="231"/>
      <c r="C28" s="231"/>
      <c r="D28" s="178" t="s">
        <v>458</v>
      </c>
      <c r="E28" s="231"/>
      <c r="F28" s="231"/>
    </row>
  </sheetData>
  <pageMargins left="0.5" right="0.5" top="0.5" bottom="0.5" header="0.5" footer="0.5"/>
  <pageSetup scale="98" orientation="landscape"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dimension ref="B1:F764"/>
  <sheetViews>
    <sheetView showGridLines="0" view="pageBreakPreview" zoomScale="80" zoomScaleNormal="145" zoomScaleSheetLayoutView="80" workbookViewId="0"/>
  </sheetViews>
  <sheetFormatPr defaultRowHeight="12.75" outlineLevelRow="1"/>
  <cols>
    <col min="1" max="1" width="4.5" style="179" customWidth="1"/>
    <col min="2" max="2" width="20.83203125" style="179" customWidth="1"/>
    <col min="3" max="4" width="14.83203125" style="179" customWidth="1"/>
    <col min="5" max="5" width="62.83203125" style="180" customWidth="1"/>
    <col min="6" max="6" width="30.83203125" style="179" customWidth="1"/>
    <col min="7" max="7" width="4.5" style="179" customWidth="1"/>
    <col min="8" max="8" width="2.83203125" style="179" customWidth="1"/>
    <col min="9" max="16384" width="9.33203125" style="179"/>
  </cols>
  <sheetData>
    <row r="1" spans="2:6" ht="10.7" customHeight="1" thickBot="1"/>
    <row r="2" spans="2:6" ht="16.5" customHeight="1" thickTop="1">
      <c r="B2" s="187" t="str">
        <f>'MASTER PubCo Inputs'!$C$5</f>
        <v>Decibel Therapeutics, Inc.</v>
      </c>
      <c r="C2" s="187"/>
      <c r="D2" s="187"/>
      <c r="E2" s="191"/>
      <c r="F2" s="187"/>
    </row>
    <row r="3" spans="2:6" ht="16.5" customHeight="1" thickBot="1">
      <c r="B3" s="726" t="s">
        <v>1776</v>
      </c>
      <c r="C3" s="726"/>
      <c r="D3" s="726"/>
      <c r="E3" s="192"/>
      <c r="F3" s="726"/>
    </row>
    <row r="4" spans="2:6" ht="12.75" customHeight="1" thickTop="1"/>
    <row r="5" spans="2:6" ht="14.85" customHeight="1"/>
    <row r="6" spans="2:6" ht="14.85" customHeight="1">
      <c r="B6" s="181" t="s">
        <v>1777</v>
      </c>
      <c r="C6" s="182"/>
      <c r="D6" s="182"/>
      <c r="E6" s="181" t="s">
        <v>1778</v>
      </c>
      <c r="F6" s="182"/>
    </row>
    <row r="7" spans="2:6" ht="14.85" customHeight="1">
      <c r="B7" s="183"/>
      <c r="C7" s="182"/>
      <c r="D7" s="182"/>
      <c r="E7" s="181"/>
      <c r="F7" s="182"/>
    </row>
    <row r="8" spans="2:6" ht="14.85" customHeight="1">
      <c r="B8" s="184" t="str">
        <f>Outline!B55</f>
        <v>#1</v>
      </c>
      <c r="E8" s="180" t="str">
        <f>Outline!E55</f>
        <v>Valuation Summary - Hybrid OPM</v>
      </c>
    </row>
    <row r="9" spans="2:6" ht="14.85" customHeight="1">
      <c r="B9" s="184" t="str">
        <f>Outline!B56</f>
        <v>#2</v>
      </c>
      <c r="E9" s="180" t="str">
        <f>Outline!E56</f>
        <v>Hybrid OPM</v>
      </c>
    </row>
    <row r="10" spans="2:6" ht="14.85" customHeight="1">
      <c r="B10" s="184" t="str">
        <f>Outline!B57</f>
        <v>#3</v>
      </c>
      <c r="E10" s="180" t="str">
        <f>Outline!E57</f>
        <v>IPO Waterfall</v>
      </c>
    </row>
    <row r="11" spans="2:6" ht="14.85" customHeight="1">
      <c r="B11" s="184" t="str">
        <f>Outline!B58</f>
        <v>#4</v>
      </c>
      <c r="E11" s="180" t="str">
        <f>Outline!E58</f>
        <v>Option Pricing Method - Breakpoints &amp; Allocation (Hybrid OPM)</v>
      </c>
    </row>
    <row r="12" spans="2:6" ht="14.85" customHeight="1">
      <c r="B12" s="184" t="str">
        <f>Outline!B59</f>
        <v>#5</v>
      </c>
      <c r="E12" s="180" t="str">
        <f>Outline!E59</f>
        <v>Option Pricing Method - Implied Value Per Share (Hybrid OPM)</v>
      </c>
    </row>
    <row r="13" spans="2:6" ht="14.85" customHeight="1">
      <c r="B13" s="184" t="str">
        <f>Outline!B60</f>
        <v>#6</v>
      </c>
      <c r="E13" s="180" t="str">
        <f>Outline!E60</f>
        <v>Discount for Lack of Marketability - Hybrid OPM</v>
      </c>
    </row>
    <row r="14" spans="2:6" ht="14.85" customHeight="1">
      <c r="B14" s="184" t="str">
        <f>Outline!B61</f>
        <v>#7</v>
      </c>
      <c r="E14" s="180" t="str">
        <f>Outline!E61</f>
        <v>Asset Volatility - Hybrid OPM</v>
      </c>
    </row>
    <row r="15" spans="2:6" ht="14.85" customHeight="1">
      <c r="B15" s="184" t="str">
        <f>Outline!B62</f>
        <v>#8</v>
      </c>
      <c r="E15" s="180" t="str">
        <f>Outline!E62</f>
        <v>Asset Volatility - Hybrid OPM DLOM</v>
      </c>
    </row>
    <row r="16" spans="2:6" ht="14.85" customHeight="1">
      <c r="B16" s="184" t="str">
        <f>Outline!B63</f>
        <v>#9</v>
      </c>
      <c r="E16" s="180" t="str">
        <f>Outline!E63</f>
        <v>Asset Volatility - IPO Early</v>
      </c>
    </row>
    <row r="17" spans="2:5" ht="14.85" customHeight="1">
      <c r="B17" s="184" t="str">
        <f>Outline!B64</f>
        <v>#10</v>
      </c>
      <c r="E17" s="180" t="str">
        <f>Outline!E64</f>
        <v>Asset Volatility - IPO Late</v>
      </c>
    </row>
    <row r="18" spans="2:5" ht="14.85" customHeight="1">
      <c r="B18" s="184" t="str">
        <f>Outline!B65</f>
        <v>#11</v>
      </c>
      <c r="E18" s="180" t="str">
        <f>Outline!E65</f>
        <v>Risk-Free Rates - Hybrid</v>
      </c>
    </row>
    <row r="19" spans="2:5" ht="14.85" customHeight="1">
      <c r="B19" s="184" t="str">
        <f>Outline!B66</f>
        <v>#12</v>
      </c>
      <c r="E19" s="180" t="str">
        <f>Outline!E66</f>
        <v>Weighted Average Cost of Capital - IPO</v>
      </c>
    </row>
    <row r="20" spans="2:5" ht="14.85" customHeight="1">
      <c r="B20" s="184" t="str">
        <f>Outline!B67</f>
        <v>#13</v>
      </c>
      <c r="E20" s="180" t="str">
        <f>Outline!E67</f>
        <v xml:space="preserve">Rate of Return By Stage of Development </v>
      </c>
    </row>
    <row r="21" spans="2:5" ht="14.85" customHeight="1">
      <c r="B21" s="184" t="str">
        <f>Outline!B68</f>
        <v>#14</v>
      </c>
      <c r="E21" s="180" t="str">
        <f>Outline!E68</f>
        <v>Market Trends Since Previous Valuation</v>
      </c>
    </row>
    <row r="22" spans="2:5" ht="14.85" customHeight="1">
      <c r="B22" s="184" t="str">
        <f>Outline!B69</f>
        <v>#15</v>
      </c>
      <c r="E22" s="180" t="str">
        <f>Outline!E69</f>
        <v>Initial Public Offerings Data</v>
      </c>
    </row>
    <row r="23" spans="2:5" ht="14.85" customHeight="1" outlineLevel="1">
      <c r="B23" s="184" t="str">
        <f>Outline!B70</f>
        <v>#16</v>
      </c>
      <c r="E23" s="180" t="str">
        <f>Outline!E70</f>
        <v>Comparative Sheet</v>
      </c>
    </row>
    <row r="24" spans="2:5" ht="14.85" customHeight="1">
      <c r="E24" s="179"/>
    </row>
    <row r="25" spans="2:5" ht="14.85" customHeight="1">
      <c r="E25" s="179"/>
    </row>
    <row r="26" spans="2:5" ht="14.85" customHeight="1">
      <c r="E26" s="179"/>
    </row>
    <row r="27" spans="2:5" ht="14.85" customHeight="1"/>
    <row r="28" spans="2:5" ht="14.85" customHeight="1"/>
    <row r="29" spans="2:5" ht="14.85" customHeight="1"/>
    <row r="30" spans="2:5" ht="14.85" customHeight="1"/>
    <row r="31" spans="2:5" ht="14.85" customHeight="1"/>
    <row r="32" spans="2:5"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3:F3">
    <cfRule type="cellIs" dxfId="289" priority="15" stopIfTrue="1" operator="equal">
      <formula>"input"</formula>
    </cfRule>
  </conditionalFormatting>
  <conditionalFormatting sqref="B7">
    <cfRule type="expression" dxfId="288" priority="14">
      <formula>OR($B7="Exhibits",$B7="Workpapers")</formula>
    </cfRule>
  </conditionalFormatting>
  <conditionalFormatting sqref="E7">
    <cfRule type="expression" dxfId="287" priority="13">
      <formula>$B7=""</formula>
    </cfRule>
  </conditionalFormatting>
  <conditionalFormatting sqref="B8:B12 B14:B23">
    <cfRule type="expression" dxfId="286" priority="7">
      <formula>OR($B8="Exhibits",$B8="Workpapers")</formula>
    </cfRule>
  </conditionalFormatting>
  <conditionalFormatting sqref="B8:B10">
    <cfRule type="expression" dxfId="285" priority="3">
      <formula>OR($B8="Exhibits",$B8="Workpapers")</formula>
    </cfRule>
  </conditionalFormatting>
  <conditionalFormatting sqref="B11:B12">
    <cfRule type="expression" dxfId="284" priority="2">
      <formula>$B9=""</formula>
    </cfRule>
  </conditionalFormatting>
  <conditionalFormatting sqref="B13">
    <cfRule type="expression" dxfId="283" priority="1">
      <formula>OR($B13="Exhibits",$B13="Workpapers")</formula>
    </cfRule>
  </conditionalFormatting>
  <pageMargins left="0.5" right="0.5" top="0.5" bottom="0.5" header="0.5" footer="0.5"/>
  <pageSetup fitToWidth="0" fitToHeight="0"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pageSetUpPr fitToPage="1"/>
  </sheetPr>
  <dimension ref="A1:R746"/>
  <sheetViews>
    <sheetView showGridLines="0" view="pageBreakPreview" zoomScaleNormal="145" zoomScaleSheetLayoutView="100" workbookViewId="0"/>
  </sheetViews>
  <sheetFormatPr defaultRowHeight="12.75"/>
  <cols>
    <col min="1" max="1" width="4.5" style="179" customWidth="1"/>
    <col min="2" max="2" width="70.83203125" style="179" customWidth="1"/>
    <col min="3" max="3" width="2.83203125" style="179" customWidth="1"/>
    <col min="4" max="4" width="18.83203125" style="179" customWidth="1"/>
    <col min="5" max="5" width="2.83203125" style="179" customWidth="1"/>
    <col min="6" max="6" width="20.6640625" style="179" customWidth="1"/>
    <col min="7" max="7" width="2.83203125" style="179" customWidth="1"/>
    <col min="8" max="8" width="18" style="179" customWidth="1"/>
    <col min="9" max="9" width="2.83203125" style="179" customWidth="1"/>
    <col min="10" max="10" width="18" style="179" customWidth="1"/>
    <col min="11" max="11" width="4.5" style="179" customWidth="1"/>
    <col min="12" max="15" width="18.1640625" style="179" customWidth="1"/>
    <col min="16" max="16" width="29.1640625" style="179" customWidth="1"/>
    <col min="17" max="17" width="10" style="179" bestFit="1" customWidth="1"/>
    <col min="18" max="18" width="9.6640625" style="179" bestFit="1" customWidth="1"/>
    <col min="19" max="16384" width="9.33203125" style="179"/>
  </cols>
  <sheetData>
    <row r="1" spans="1:18" ht="10.7" customHeight="1" thickBot="1"/>
    <row r="2" spans="1:18" ht="16.5" customHeight="1" thickTop="1">
      <c r="A2" s="186"/>
      <c r="B2" s="187" t="str">
        <f>'MASTER PubCo Inputs'!$C$5</f>
        <v>Decibel Therapeutics, Inc.</v>
      </c>
      <c r="C2" s="187"/>
      <c r="D2" s="187"/>
      <c r="E2" s="187"/>
      <c r="F2" s="187"/>
      <c r="G2" s="187"/>
      <c r="H2" s="187"/>
      <c r="I2" s="187"/>
      <c r="J2" s="187"/>
      <c r="K2" s="186"/>
      <c r="L2" s="237" t="s">
        <v>872</v>
      </c>
      <c r="M2" s="238"/>
      <c r="N2" s="239"/>
      <c r="O2" s="179" t="b">
        <v>1</v>
      </c>
    </row>
    <row r="3" spans="1:18" ht="15.75" customHeight="1">
      <c r="A3" s="186"/>
      <c r="B3" s="188" t="str">
        <f>VLOOKUP(B4,Outline!$E$8:$G$75,COLUMNS(Outline!$E$8:$G$8),FALSE)</f>
        <v>Workpaper #1</v>
      </c>
      <c r="C3" s="188"/>
      <c r="D3" s="188"/>
      <c r="E3" s="188"/>
      <c r="F3" s="188"/>
      <c r="G3" s="188"/>
      <c r="H3" s="188"/>
      <c r="I3" s="188"/>
      <c r="J3" s="188"/>
      <c r="K3" s="186"/>
      <c r="L3" s="241" t="s">
        <v>162</v>
      </c>
      <c r="M3" s="242" t="s">
        <v>175</v>
      </c>
      <c r="N3" s="243" t="s">
        <v>873</v>
      </c>
      <c r="O3" s="244" t="e">
        <f ca="1">IF(AND(L4=$O$2,M4=$O$2,N4=$O$2,L5=$O$2,M5=$O$2,N5=$O$2,L6=$O$2,M6=$O$2,N6=$O$2),"","Check")</f>
        <v>#NAME?</v>
      </c>
    </row>
    <row r="4" spans="1:18" ht="16.5" customHeight="1" thickBot="1">
      <c r="A4" s="186"/>
      <c r="B4" s="726" t="s">
        <v>3835</v>
      </c>
      <c r="C4" s="726"/>
      <c r="D4" s="726"/>
      <c r="E4" s="726"/>
      <c r="F4" s="726"/>
      <c r="G4" s="726"/>
      <c r="H4" s="726"/>
      <c r="I4" s="726"/>
      <c r="J4" s="727" t="str">
        <f>+'MASTER PubCo Inputs'!$C$19</f>
        <v>(in thousands of USD, except price per share)</v>
      </c>
      <c r="K4" s="186"/>
      <c r="L4" s="217" t="e">
        <f ca="1">+'Comp.1'!AE2</f>
        <v>#NAME?</v>
      </c>
      <c r="M4" s="180" t="e">
        <f ca="1">+'Comp.2'!AB2</f>
        <v>#NAME?</v>
      </c>
      <c r="N4" s="245" t="e">
        <f ca="1">+Trans.1!AR3</f>
        <v>#NAME?</v>
      </c>
    </row>
    <row r="5" spans="1:18" ht="14.85" customHeight="1" thickTop="1">
      <c r="L5" s="217" t="e">
        <f ca="1">+'Comp.1'!AE3</f>
        <v>#NAME?</v>
      </c>
      <c r="M5" s="180" t="e">
        <f ca="1">+'Comp.2'!AB3</f>
        <v>#NAME?</v>
      </c>
      <c r="N5" s="245" t="e">
        <f ca="1">+Trans.1!AR4</f>
        <v>#NAME?</v>
      </c>
    </row>
    <row r="6" spans="1:18" ht="14.85" customHeight="1">
      <c r="L6" s="221" t="e">
        <f ca="1">+'Comp.1'!AE4</f>
        <v>#NAME?</v>
      </c>
      <c r="M6" s="246" t="e">
        <f ca="1">+'Comp.2'!AB4</f>
        <v>#NAME?</v>
      </c>
      <c r="N6" s="247" t="e">
        <f ca="1">+Trans.1!AR5</f>
        <v>#NAME?</v>
      </c>
    </row>
    <row r="7" spans="1:18" ht="14.85" customHeight="1">
      <c r="A7" s="200"/>
      <c r="B7" s="248" t="s">
        <v>150</v>
      </c>
      <c r="C7" s="200"/>
      <c r="D7" s="249" t="s">
        <v>149</v>
      </c>
      <c r="E7" s="265"/>
      <c r="F7" s="249" t="s">
        <v>151</v>
      </c>
      <c r="G7" s="200"/>
      <c r="H7" s="250" t="s">
        <v>152</v>
      </c>
      <c r="I7" s="200"/>
      <c r="J7" s="250" t="s">
        <v>70</v>
      </c>
      <c r="K7" s="200"/>
      <c r="Q7" s="182"/>
      <c r="R7" s="182"/>
    </row>
    <row r="8" spans="1:18" ht="14.85" customHeight="1">
      <c r="Q8" s="258"/>
      <c r="R8" s="259"/>
    </row>
    <row r="9" spans="1:18" ht="14.85" customHeight="1">
      <c r="B9" s="179" t="s">
        <v>3614</v>
      </c>
      <c r="D9" s="261">
        <f>'Hybrid OPM'!C47</f>
        <v>167000</v>
      </c>
      <c r="F9" s="266">
        <f>'Hybrid OPM'!C41</f>
        <v>0.53651613020701117</v>
      </c>
      <c r="H9" s="180" t="s">
        <v>155</v>
      </c>
      <c r="J9" s="185" t="str">
        <f>'Hybrid OPM'!B3</f>
        <v>Workpaper #2</v>
      </c>
      <c r="L9" s="257"/>
      <c r="M9" s="250" t="s">
        <v>2286</v>
      </c>
      <c r="N9" s="200"/>
      <c r="Q9" s="260"/>
    </row>
    <row r="10" spans="1:18" ht="14.85" customHeight="1">
      <c r="H10" s="180"/>
      <c r="M10" s="1905">
        <v>0.53673037196905438</v>
      </c>
      <c r="N10" s="179" t="s">
        <v>691</v>
      </c>
    </row>
    <row r="11" spans="1:18" ht="14.85" customHeight="1">
      <c r="B11" s="267" t="s">
        <v>156</v>
      </c>
      <c r="C11" s="268"/>
      <c r="D11" s="268"/>
      <c r="E11" s="268"/>
      <c r="F11" s="269">
        <f>IF(H9="Primary",F9,0)</f>
        <v>0.53651613020701117</v>
      </c>
      <c r="M11" s="271" t="str">
        <f>IF(OR(F11-M10&gt;0.01,F11-M10&lt;-0.01),"Check","")</f>
        <v/>
      </c>
      <c r="N11" s="257" t="s">
        <v>2248</v>
      </c>
    </row>
    <row r="12" spans="1:18" ht="14.85" customHeight="1">
      <c r="L12" s="257"/>
    </row>
    <row r="13" spans="1:18" ht="14.85" customHeight="1">
      <c r="B13" s="272"/>
    </row>
    <row r="14" spans="1:18" ht="14.85" customHeight="1">
      <c r="A14" s="273"/>
      <c r="B14" s="330"/>
    </row>
    <row r="15" spans="1:18" s="200" customFormat="1" ht="14.85" customHeight="1">
      <c r="A15" s="273"/>
      <c r="B15" s="274"/>
      <c r="C15" s="275"/>
      <c r="D15" s="275"/>
      <c r="E15" s="275"/>
      <c r="F15" s="275"/>
      <c r="G15" s="275"/>
      <c r="H15" s="275"/>
      <c r="I15" s="275"/>
      <c r="J15" s="179"/>
      <c r="K15" s="179"/>
      <c r="M15" s="179"/>
      <c r="N15" s="179"/>
    </row>
    <row r="16" spans="1:18" ht="14.85" customHeight="1"/>
    <row r="17" spans="6:16" ht="14.85" customHeight="1"/>
    <row r="18" spans="6:16" ht="14.85" customHeight="1"/>
    <row r="19" spans="6:16" ht="14.85" customHeight="1">
      <c r="P19" s="182" t="s">
        <v>3185</v>
      </c>
    </row>
    <row r="20" spans="6:16" ht="14.85" customHeight="1">
      <c r="N20" s="276" t="str">
        <f>'Asset Vol Hybrid'!B4</f>
        <v>Asset Volatility - Hybrid OPM</v>
      </c>
      <c r="P20" s="277" t="str">
        <f>IF(SUM('Asset Vol Hybrid'!$D$29,'Asset Vol Hybrid'!$H$29)='Asset Vol Hybrid'!$I$29,"","Check")</f>
        <v/>
      </c>
    </row>
    <row r="21" spans="6:16" ht="14.85" customHeight="1"/>
    <row r="22" spans="6:16" ht="14.85" customHeight="1"/>
    <row r="23" spans="6:16" ht="14.85" customHeight="1"/>
    <row r="24" spans="6:16" ht="14.85" customHeight="1"/>
    <row r="25" spans="6:16" ht="14.85" customHeight="1"/>
    <row r="26" spans="6:16" ht="14.85" customHeight="1"/>
    <row r="27" spans="6:16" ht="14.85" customHeight="1"/>
    <row r="28" spans="6:16" ht="14.85" customHeight="1">
      <c r="F28" s="1466"/>
    </row>
    <row r="29" spans="6:16" ht="14.85" customHeight="1"/>
    <row r="30" spans="6:16" ht="14.85" customHeight="1"/>
    <row r="31" spans="6:16" ht="14.85" customHeight="1"/>
    <row r="32" spans="6:16"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sheetData>
  <conditionalFormatting sqref="B4:H4">
    <cfRule type="cellIs" dxfId="282" priority="6" stopIfTrue="1" operator="equal">
      <formula>"input"</formula>
    </cfRule>
  </conditionalFormatting>
  <conditionalFormatting sqref="J4">
    <cfRule type="cellIs" dxfId="281" priority="3" stopIfTrue="1" operator="equal">
      <formula>"input"</formula>
    </cfRule>
  </conditionalFormatting>
  <conditionalFormatting sqref="J4">
    <cfRule type="cellIs" dxfId="280" priority="4" stopIfTrue="1" operator="equal">
      <formula>"input"</formula>
    </cfRule>
  </conditionalFormatting>
  <conditionalFormatting sqref="I4">
    <cfRule type="cellIs" dxfId="279" priority="2" stopIfTrue="1" operator="equal">
      <formula>"input"</formula>
    </cfRule>
  </conditionalFormatting>
  <pageMargins left="0.5" right="0.5" top="0.5" bottom="0.5" header="0.5" footer="0.5"/>
  <pageSetup scale="9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65"/>
  <dimension ref="A1:L780"/>
  <sheetViews>
    <sheetView showGridLines="0" view="pageBreakPreview" zoomScale="80" zoomScaleNormal="100" zoomScaleSheetLayoutView="80" workbookViewId="0">
      <selection activeCell="D14" sqref="D14"/>
    </sheetView>
  </sheetViews>
  <sheetFormatPr defaultRowHeight="12.75"/>
  <cols>
    <col min="1" max="1" width="4.5" style="179" customWidth="1"/>
    <col min="2" max="2" width="55" style="179" customWidth="1"/>
    <col min="3" max="3" width="20.83203125" style="179" customWidth="1"/>
    <col min="4" max="6" width="22.83203125" style="179" customWidth="1"/>
    <col min="7" max="7" width="4.5" style="179" customWidth="1"/>
    <col min="8" max="8" width="18.6640625" style="179" customWidth="1"/>
    <col min="9" max="10" width="20.83203125" style="179" customWidth="1"/>
    <col min="11" max="16384" width="9.33203125" style="179"/>
  </cols>
  <sheetData>
    <row r="1" spans="2:9" ht="10.7" customHeight="1" thickBot="1"/>
    <row r="2" spans="2:9" ht="16.5" customHeight="1" thickTop="1">
      <c r="B2" s="187" t="str">
        <f>'MASTER PubCo Inputs'!$C$5</f>
        <v>Decibel Therapeutics, Inc.</v>
      </c>
      <c r="C2" s="187"/>
      <c r="D2" s="187"/>
      <c r="E2" s="187"/>
      <c r="F2" s="187"/>
    </row>
    <row r="3" spans="2:9" ht="15.75" customHeight="1">
      <c r="B3" s="188" t="str">
        <f>VLOOKUP(B4,Outline!$E$8:$G$75,COLUMNS(Outline!$E$8:$G$8),FALSE)</f>
        <v>Workpaper #2</v>
      </c>
      <c r="C3" s="188"/>
      <c r="D3" s="188"/>
      <c r="E3" s="188"/>
      <c r="F3" s="188"/>
    </row>
    <row r="4" spans="2:9" ht="16.5" customHeight="1" thickBot="1">
      <c r="B4" s="726" t="s">
        <v>1992</v>
      </c>
      <c r="C4" s="726"/>
      <c r="D4" s="726"/>
      <c r="E4" s="726"/>
      <c r="F4" s="727" t="str">
        <f>+'MASTER PubCo Inputs'!$C$21</f>
        <v>(in thousands of USD)</v>
      </c>
    </row>
    <row r="5" spans="2:9" ht="14.85" customHeight="1" thickTop="1">
      <c r="B5" s="1512"/>
      <c r="C5" s="361"/>
      <c r="D5" s="361"/>
      <c r="E5" s="361"/>
      <c r="F5" s="361"/>
    </row>
    <row r="6" spans="2:9" ht="14.85" customHeight="1">
      <c r="D6" s="273" t="s">
        <v>261</v>
      </c>
      <c r="E6" s="273"/>
      <c r="F6" s="273" t="s">
        <v>260</v>
      </c>
    </row>
    <row r="7" spans="2:9" s="200" customFormat="1" ht="14.85" customHeight="1">
      <c r="B7" s="1513" t="s">
        <v>1993</v>
      </c>
      <c r="C7" s="1514"/>
      <c r="D7" s="1138" t="s">
        <v>571</v>
      </c>
      <c r="E7" s="1930" t="str">
        <f>'IPO Waterfall'!D7</f>
        <v>IPO Early</v>
      </c>
      <c r="F7" s="1139" t="str">
        <f>'IPO Waterfall'!E7</f>
        <v>IPO Late</v>
      </c>
      <c r="I7" s="179" t="s">
        <v>3784</v>
      </c>
    </row>
    <row r="8" spans="2:9" ht="14.85" customHeight="1"/>
    <row r="9" spans="2:9" ht="14.85" customHeight="1">
      <c r="B9" s="179" t="s">
        <v>1994</v>
      </c>
      <c r="C9" s="384">
        <f>SUM(D9:F9)</f>
        <v>1</v>
      </c>
      <c r="D9" s="1182">
        <f>1-SUM(E9:F9)</f>
        <v>0.9</v>
      </c>
      <c r="E9" s="986">
        <v>0.02</v>
      </c>
      <c r="F9" s="986">
        <v>0.08</v>
      </c>
      <c r="I9" s="257">
        <f>SUM(E9:F9)</f>
        <v>0.1</v>
      </c>
    </row>
    <row r="10" spans="2:9" ht="14.85" customHeight="1">
      <c r="C10" s="203"/>
      <c r="D10" s="203"/>
      <c r="E10" s="203"/>
      <c r="F10" s="384"/>
    </row>
    <row r="11" spans="2:9" ht="14.85" customHeight="1">
      <c r="B11" s="179" t="s">
        <v>1995</v>
      </c>
      <c r="C11" s="203"/>
      <c r="D11" s="1123">
        <f>'OPM 2 Hybrid'!H13</f>
        <v>0.81066039731146722</v>
      </c>
      <c r="E11" s="1123">
        <f>'IPO Waterfall'!D103</f>
        <v>1.7558835181385273</v>
      </c>
      <c r="F11" s="1123">
        <f>'IPO Waterfall'!E103</f>
        <v>1.545357216768324</v>
      </c>
      <c r="H11" s="179" t="s">
        <v>3824</v>
      </c>
    </row>
    <row r="12" spans="2:9" ht="14.85" customHeight="1">
      <c r="C12" s="203"/>
      <c r="D12" s="180"/>
      <c r="E12" s="180"/>
      <c r="F12" s="257"/>
    </row>
    <row r="13" spans="2:9" ht="14.85" customHeight="1">
      <c r="B13" s="272" t="s">
        <v>3640</v>
      </c>
      <c r="C13" s="203"/>
      <c r="D13" s="1881">
        <f>'DLOM Hybrid'!G55</f>
        <v>0.4</v>
      </c>
      <c r="E13" s="1881">
        <f>'DLOM Hybrid'!E55</f>
        <v>0.30000000000000004</v>
      </c>
      <c r="F13" s="1881">
        <f>'DLOM Hybrid'!F55</f>
        <v>0.4</v>
      </c>
      <c r="G13" s="1881"/>
    </row>
    <row r="14" spans="2:9" ht="14.85" customHeight="1">
      <c r="B14" s="252" t="s">
        <v>2045</v>
      </c>
      <c r="C14" s="203"/>
      <c r="D14" s="2022">
        <f>-D11*D13</f>
        <v>-0.32426415892458693</v>
      </c>
      <c r="E14" s="2022">
        <f>-E11*E13</f>
        <v>-0.52676505544155827</v>
      </c>
      <c r="F14" s="2022">
        <f>-F11*F13</f>
        <v>-0.61814288670732964</v>
      </c>
      <c r="G14" s="1882"/>
    </row>
    <row r="15" spans="2:9" ht="14.85" customHeight="1">
      <c r="B15" s="179" t="s">
        <v>3641</v>
      </c>
      <c r="C15" s="203"/>
      <c r="D15" s="1880">
        <f>+D11+D14</f>
        <v>0.48639623838688029</v>
      </c>
      <c r="E15" s="1880">
        <f>+E11+E14</f>
        <v>1.2291184626969689</v>
      </c>
      <c r="F15" s="1880">
        <f>+F11+F14</f>
        <v>0.92721433006099441</v>
      </c>
      <c r="G15" s="602"/>
    </row>
    <row r="16" spans="2:9" ht="14.85" customHeight="1">
      <c r="C16" s="203"/>
      <c r="D16" s="180"/>
      <c r="E16" s="180"/>
      <c r="F16" s="257"/>
    </row>
    <row r="17" spans="2:6" ht="14.85" customHeight="1">
      <c r="B17" s="1811" t="s">
        <v>3791</v>
      </c>
      <c r="C17" s="1883"/>
      <c r="D17" s="1884"/>
      <c r="E17" s="1884"/>
      <c r="F17" s="1885"/>
    </row>
    <row r="18" spans="2:6" ht="14.85" customHeight="1">
      <c r="C18" s="203"/>
      <c r="D18" s="180"/>
      <c r="E18" s="180"/>
      <c r="F18" s="257"/>
    </row>
    <row r="19" spans="2:6" ht="14.85" customHeight="1">
      <c r="B19" s="179" t="s">
        <v>3642</v>
      </c>
      <c r="C19" s="203"/>
      <c r="D19" s="180"/>
      <c r="E19" s="180"/>
      <c r="F19" s="257"/>
    </row>
    <row r="20" spans="2:6" ht="14.85" customHeight="1">
      <c r="B20" s="252" t="s">
        <v>437</v>
      </c>
      <c r="C20" s="203"/>
      <c r="D20" s="219"/>
      <c r="E20" s="261">
        <f>'IPO Waterfall'!D129</f>
        <v>51570.248270926058</v>
      </c>
      <c r="F20" s="261">
        <f>'IPO Waterfall'!E129</f>
        <v>47521.825616920461</v>
      </c>
    </row>
    <row r="21" spans="2:6" ht="14.85" customHeight="1">
      <c r="B21" s="252" t="s">
        <v>439</v>
      </c>
      <c r="C21" s="203"/>
      <c r="D21" s="223"/>
      <c r="E21" s="1886">
        <f>'IPO Waterfall'!D136</f>
        <v>4779.5890688325617</v>
      </c>
      <c r="F21" s="1886">
        <f>'IPO Waterfall'!E136</f>
        <v>10039.091798216898</v>
      </c>
    </row>
    <row r="22" spans="2:6" ht="14.85" customHeight="1">
      <c r="B22" s="252" t="s">
        <v>1997</v>
      </c>
      <c r="C22" s="203"/>
      <c r="D22" s="1932"/>
      <c r="E22" s="1887">
        <f>SUM(E20:E21)</f>
        <v>56349.837339758618</v>
      </c>
      <c r="F22" s="1887">
        <f>SUM(F20:F21)</f>
        <v>57560.917415137359</v>
      </c>
    </row>
    <row r="23" spans="2:6" ht="14.85" customHeight="1">
      <c r="B23" s="252" t="s">
        <v>3643</v>
      </c>
      <c r="C23" s="1560" t="str">
        <f>+'Cap Table'!$B$3</f>
        <v>Exhibit E.1</v>
      </c>
      <c r="D23" s="223"/>
      <c r="E23" s="1886">
        <f>'Cap Table'!$F$11</f>
        <v>27528.580999999998</v>
      </c>
      <c r="F23" s="1886">
        <f>'Cap Table'!$F$11</f>
        <v>27528.580999999998</v>
      </c>
    </row>
    <row r="24" spans="2:6" ht="14.85" customHeight="1"/>
    <row r="25" spans="2:6" ht="14.85" customHeight="1">
      <c r="B25" s="179" t="s">
        <v>3644</v>
      </c>
      <c r="C25" s="180"/>
      <c r="D25" s="1123">
        <f>'OPM 2 Hybrid'!H11</f>
        <v>1.990694838732358</v>
      </c>
      <c r="E25" s="602">
        <f>+E22/E23</f>
        <v>2.0469575725591747</v>
      </c>
      <c r="F25" s="602">
        <f>+F22/F23</f>
        <v>2.0909511251283663</v>
      </c>
    </row>
    <row r="26" spans="2:6" ht="14.85" customHeight="1">
      <c r="C26" s="180"/>
      <c r="D26" s="180"/>
      <c r="E26" s="180"/>
      <c r="F26" s="257"/>
    </row>
    <row r="27" spans="2:6" ht="14.85" customHeight="1">
      <c r="B27" s="1811" t="s">
        <v>3792</v>
      </c>
      <c r="C27" s="1883"/>
      <c r="D27" s="1884"/>
      <c r="E27" s="1884"/>
      <c r="F27" s="1885"/>
    </row>
    <row r="28" spans="2:6" ht="14.85" customHeight="1">
      <c r="C28" s="203"/>
      <c r="D28" s="180"/>
      <c r="E28" s="180"/>
      <c r="F28" s="257"/>
    </row>
    <row r="29" spans="2:6" ht="14.85" customHeight="1">
      <c r="B29" s="179" t="s">
        <v>1996</v>
      </c>
      <c r="C29" s="203"/>
      <c r="D29" s="180"/>
      <c r="E29" s="180"/>
      <c r="F29" s="257"/>
    </row>
    <row r="30" spans="2:6" ht="14.85" customHeight="1">
      <c r="B30" s="252" t="s">
        <v>437</v>
      </c>
      <c r="C30" s="203"/>
      <c r="D30" s="219"/>
      <c r="E30" s="261">
        <f>'IPO Waterfall'!D145</f>
        <v>24373.846784978665</v>
      </c>
      <c r="F30" s="261">
        <f>'IPO Waterfall'!E145</f>
        <v>22460.425058343313</v>
      </c>
    </row>
    <row r="31" spans="2:6" ht="14.85" customHeight="1">
      <c r="B31" s="252" t="s">
        <v>439</v>
      </c>
      <c r="C31" s="203"/>
      <c r="D31" s="223"/>
      <c r="E31" s="1886">
        <f>'IPO Waterfall'!D152</f>
        <v>1361.8443027922474</v>
      </c>
      <c r="F31" s="1886">
        <f>'IPO Waterfall'!E152</f>
        <v>3955.2298574216934</v>
      </c>
    </row>
    <row r="32" spans="2:6" ht="14.85" customHeight="1">
      <c r="B32" s="252" t="s">
        <v>1997</v>
      </c>
      <c r="C32" s="203"/>
      <c r="D32" s="1932"/>
      <c r="E32" s="1887">
        <f>SUM(E30:E31)</f>
        <v>25735.691087770912</v>
      </c>
      <c r="F32" s="1887">
        <f>SUM(F30:F31)</f>
        <v>26415.654915765008</v>
      </c>
    </row>
    <row r="33" spans="2:10" ht="14.85" customHeight="1">
      <c r="B33" s="252" t="s">
        <v>1998</v>
      </c>
      <c r="C33" s="1560" t="str">
        <f>C23</f>
        <v>Exhibit E.1</v>
      </c>
      <c r="D33" s="223"/>
      <c r="E33" s="1886">
        <f>'Cap Table'!$E$11</f>
        <v>12500</v>
      </c>
      <c r="F33" s="1886">
        <f>'Cap Table'!$E$11</f>
        <v>12500</v>
      </c>
    </row>
    <row r="34" spans="2:10" ht="14.85" customHeight="1"/>
    <row r="35" spans="2:10" ht="14.85" customHeight="1">
      <c r="B35" s="179" t="s">
        <v>1999</v>
      </c>
      <c r="C35" s="180"/>
      <c r="D35" s="1123">
        <f>'OPM 2 Hybrid'!H10</f>
        <v>2.0466273360640397</v>
      </c>
      <c r="E35" s="602">
        <f>+E32/E33</f>
        <v>2.058855287021673</v>
      </c>
      <c r="F35" s="602">
        <f>+F32/F33</f>
        <v>2.1132523932612006</v>
      </c>
    </row>
    <row r="36" spans="2:10" ht="14.85" customHeight="1">
      <c r="C36" s="180"/>
      <c r="D36" s="180"/>
      <c r="E36" s="180"/>
      <c r="F36" s="257"/>
    </row>
    <row r="37" spans="2:10" ht="14.85" customHeight="1">
      <c r="B37" s="179" t="s">
        <v>2000</v>
      </c>
      <c r="C37" s="180"/>
      <c r="D37" s="261">
        <f>'OPM 1 Hybrid'!D9</f>
        <v>160203.87527848835</v>
      </c>
      <c r="E37" s="261">
        <f>'IPO Waterfall'!D160</f>
        <v>239054.18207011887</v>
      </c>
      <c r="F37" s="261">
        <f>'IPO Waterfall'!E160</f>
        <v>228549.97727441959</v>
      </c>
    </row>
    <row r="38" spans="2:10" ht="14.85" customHeight="1">
      <c r="C38" s="180"/>
      <c r="D38" s="180"/>
      <c r="E38" s="180"/>
      <c r="F38" s="257"/>
    </row>
    <row r="39" spans="2:10" ht="14.85" customHeight="1">
      <c r="B39" s="1516" t="s">
        <v>2001</v>
      </c>
      <c r="C39" s="1517"/>
      <c r="D39" s="1517"/>
      <c r="E39" s="1931"/>
      <c r="F39" s="1518"/>
    </row>
    <row r="40" spans="2:10" ht="14.85" customHeight="1">
      <c r="C40" s="180"/>
      <c r="D40" s="180"/>
      <c r="E40" s="180"/>
      <c r="F40" s="384"/>
      <c r="I40" s="1892" t="s">
        <v>3648</v>
      </c>
      <c r="J40" s="1888"/>
    </row>
    <row r="41" spans="2:10" ht="14.85" customHeight="1">
      <c r="B41" s="1519" t="s">
        <v>151</v>
      </c>
      <c r="C41" s="321">
        <f>SUMPRODUCT($D$9:$F$9,D15:F15)</f>
        <v>0.53651613020701117</v>
      </c>
      <c r="F41" s="257"/>
      <c r="I41" s="2039">
        <v>0.37154915295232838</v>
      </c>
      <c r="J41" s="1555">
        <f>IFERROR(C41/I41-1,"n/a")</f>
        <v>0.4439977212809012</v>
      </c>
    </row>
    <row r="42" spans="2:10" ht="14.85" customHeight="1">
      <c r="B42" s="182"/>
      <c r="F42" s="257"/>
      <c r="I42" s="2038"/>
      <c r="J42" s="1555"/>
    </row>
    <row r="43" spans="2:10" ht="14.85" customHeight="1">
      <c r="B43" s="1519" t="s">
        <v>505</v>
      </c>
      <c r="C43" s="321">
        <f>SUMPRODUCT($D$9:$F$9,D25:F25)</f>
        <v>1.9998405963205748</v>
      </c>
      <c r="F43" s="257"/>
      <c r="I43" s="2041" t="s">
        <v>13</v>
      </c>
      <c r="J43" s="2042" t="str">
        <f>IFERROR(C43/I43-1,"n/a")</f>
        <v>n/a</v>
      </c>
    </row>
    <row r="44" spans="2:10" ht="14.85" customHeight="1">
      <c r="B44" s="1519"/>
      <c r="C44" s="321"/>
      <c r="F44" s="257"/>
      <c r="I44" s="2038"/>
      <c r="J44" s="1555"/>
    </row>
    <row r="45" spans="2:10" ht="14.85" customHeight="1">
      <c r="B45" s="1519" t="s">
        <v>501</v>
      </c>
      <c r="C45" s="321">
        <f>SUMPRODUCT($D$9:$F$9,D35:F35)</f>
        <v>2.0522018996589653</v>
      </c>
      <c r="F45" s="257"/>
      <c r="I45" s="2039">
        <v>2.0002203181672056</v>
      </c>
      <c r="J45" s="1555">
        <f>IFERROR(C45/I45-1,"n/a")</f>
        <v>2.5987927939553179E-2</v>
      </c>
    </row>
    <row r="46" spans="2:10" ht="14.85" customHeight="1">
      <c r="B46" s="182"/>
      <c r="F46" s="257"/>
      <c r="I46" s="1889"/>
      <c r="J46" s="1555"/>
    </row>
    <row r="47" spans="2:10" ht="14.85" customHeight="1">
      <c r="B47" s="1519" t="s">
        <v>149</v>
      </c>
      <c r="C47" s="309">
        <f>ROUND(SUMPRODUCT(D9:F9,D37:F37),-3)</f>
        <v>167000</v>
      </c>
      <c r="F47" s="257"/>
      <c r="I47" s="2040">
        <v>91000</v>
      </c>
      <c r="J47" s="1555">
        <f>IFERROR(C47/I47-1,"n/a")</f>
        <v>0.83516483516483508</v>
      </c>
    </row>
    <row r="48" spans="2:10" ht="14.85" customHeight="1">
      <c r="F48" s="257"/>
      <c r="I48" s="1890"/>
      <c r="J48" s="1891"/>
    </row>
    <row r="49" spans="1:12" ht="14.85" customHeight="1">
      <c r="B49" s="1523"/>
    </row>
    <row r="50" spans="1:12" ht="14.85" customHeight="1">
      <c r="B50" s="1524" t="s">
        <v>86</v>
      </c>
      <c r="I50" s="1520" t="s">
        <v>3646</v>
      </c>
      <c r="L50" s="961"/>
    </row>
    <row r="51" spans="1:12" s="961" customFormat="1" ht="14.85" customHeight="1">
      <c r="A51" s="512" t="str">
        <f>+D6</f>
        <v>(1)</v>
      </c>
      <c r="B51" s="1525" t="str">
        <f>"Refer to "&amp;'OPM 1 Hybrid'!B3&amp;"."</f>
        <v>Refer to Workpaper #4.</v>
      </c>
      <c r="C51" s="179"/>
      <c r="D51" s="179"/>
      <c r="E51" s="179"/>
      <c r="F51" s="179"/>
      <c r="G51" s="179"/>
      <c r="I51" s="266">
        <f>'Econ Rights'!J13</f>
        <v>2</v>
      </c>
      <c r="J51" s="179" t="s">
        <v>2003</v>
      </c>
      <c r="K51" s="179"/>
      <c r="L51" s="179"/>
    </row>
    <row r="52" spans="1:12" ht="14.85" customHeight="1">
      <c r="A52" s="179" t="str">
        <f>F6</f>
        <v>(2)</v>
      </c>
      <c r="B52" s="1525" t="str">
        <f>"Refer to "&amp;'IPO Waterfall'!B3&amp;"."</f>
        <v>Refer to Workpaper #3.</v>
      </c>
      <c r="C52" s="324"/>
      <c r="I52" s="349" t="s">
        <v>2002</v>
      </c>
      <c r="J52" s="1521">
        <v>160203.87527848835</v>
      </c>
    </row>
    <row r="53" spans="1:12" ht="14.85" customHeight="1">
      <c r="A53" s="961" t="s">
        <v>299</v>
      </c>
      <c r="B53" s="2062" t="s">
        <v>3647</v>
      </c>
      <c r="C53" s="2062"/>
      <c r="D53" s="2062"/>
      <c r="E53" s="2062"/>
      <c r="F53" s="2062"/>
      <c r="G53" s="961"/>
      <c r="I53" s="1515" t="s">
        <v>652</v>
      </c>
      <c r="J53" s="349">
        <f>C43-I51</f>
        <v>-1.594036794252407E-4</v>
      </c>
    </row>
    <row r="54" spans="1:12" ht="14.85" customHeight="1">
      <c r="B54" s="1526"/>
      <c r="I54" s="1522"/>
      <c r="J54" s="271" t="str">
        <f>IF(OR(J53&lt;-0.01,J53&gt;0.01),"Check","")</f>
        <v/>
      </c>
    </row>
    <row r="55" spans="1:12" ht="14.85" customHeight="1"/>
    <row r="56" spans="1:12" ht="14.85" customHeight="1"/>
    <row r="57" spans="1:12" ht="14.85" customHeight="1"/>
    <row r="58" spans="1:12" ht="14.85" customHeight="1"/>
    <row r="59" spans="1:12" ht="14.85" customHeight="1"/>
    <row r="60" spans="1:12" ht="14.85" customHeight="1"/>
    <row r="61" spans="1:12" ht="14.85" customHeight="1"/>
    <row r="62" spans="1:12" ht="14.85" customHeight="1"/>
    <row r="63" spans="1:12" ht="14.85" customHeight="1"/>
    <row r="64" spans="1:1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row r="768" ht="14.85" customHeight="1"/>
    <row r="769" ht="14.85" customHeight="1"/>
    <row r="770" ht="14.85" customHeight="1"/>
    <row r="771" ht="14.85" customHeight="1"/>
    <row r="772" ht="14.85" customHeight="1"/>
    <row r="773" ht="14.85" customHeight="1"/>
    <row r="774" ht="14.85" customHeight="1"/>
    <row r="775" ht="14.85" customHeight="1"/>
    <row r="776" ht="14.85" customHeight="1"/>
    <row r="777" ht="14.85" customHeight="1"/>
    <row r="778" ht="14.85" customHeight="1"/>
    <row r="779" ht="14.85" customHeight="1"/>
    <row r="780" ht="14.85" customHeight="1"/>
  </sheetData>
  <mergeCells count="1">
    <mergeCell ref="B53:F53"/>
  </mergeCells>
  <conditionalFormatting sqref="B4:E4 B5:F5">
    <cfRule type="cellIs" dxfId="278" priority="3" stopIfTrue="1" operator="equal">
      <formula>"input"</formula>
    </cfRule>
  </conditionalFormatting>
  <conditionalFormatting sqref="F4">
    <cfRule type="cellIs" dxfId="277" priority="1" stopIfTrue="1" operator="equal">
      <formula>"input"</formula>
    </cfRule>
  </conditionalFormatting>
  <conditionalFormatting sqref="F4">
    <cfRule type="cellIs" dxfId="276" priority="2" stopIfTrue="1" operator="equal">
      <formula>"input"</formula>
    </cfRule>
  </conditionalFormatting>
  <pageMargins left="0.5" right="0.5" top="0.5" bottom="0.5" header="0.5" footer="0.5"/>
  <pageSetup fitToWidth="0" fitToHeight="0" orientation="landscape" r:id="rId1"/>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XEV655"/>
  <sheetViews>
    <sheetView showGridLines="0" view="pageBreakPreview" topLeftCell="A138" zoomScale="80" zoomScaleNormal="100" zoomScaleSheetLayoutView="80" workbookViewId="0">
      <selection activeCell="E156" sqref="E156"/>
    </sheetView>
  </sheetViews>
  <sheetFormatPr defaultRowHeight="12.75" outlineLevelRow="1"/>
  <cols>
    <col min="1" max="1" width="4.5" style="179" customWidth="1"/>
    <col min="2" max="2" width="62.83203125" style="179" customWidth="1"/>
    <col min="3" max="3" width="11" style="179" customWidth="1"/>
    <col min="4" max="5" width="47.5" style="179" customWidth="1"/>
    <col min="6" max="6" width="4.5" style="179" customWidth="1"/>
    <col min="7" max="7" width="25.1640625" style="179" customWidth="1"/>
    <col min="8" max="8" width="25.83203125" style="179" customWidth="1"/>
    <col min="9" max="9" width="19.6640625" style="179" customWidth="1"/>
    <col min="10" max="10" width="25.83203125" style="179" customWidth="1"/>
    <col min="11" max="11" width="27" style="179" customWidth="1"/>
    <col min="12" max="12" width="25.83203125" style="179" customWidth="1"/>
    <col min="13" max="13" width="11.83203125" style="179" customWidth="1"/>
    <col min="14" max="16384" width="9.33203125" style="179"/>
  </cols>
  <sheetData>
    <row r="1" spans="2:13" ht="10.7" hidden="1" customHeight="1" thickBot="1">
      <c r="B1" s="186"/>
      <c r="C1" s="186"/>
      <c r="D1" s="186"/>
      <c r="E1" s="186"/>
    </row>
    <row r="2" spans="2:13" ht="16.5" customHeight="1" thickTop="1">
      <c r="B2" s="187" t="str">
        <f>'MASTER PubCo Inputs'!$C$5</f>
        <v>Decibel Therapeutics, Inc.</v>
      </c>
      <c r="C2" s="187"/>
      <c r="D2" s="187"/>
      <c r="E2" s="187"/>
    </row>
    <row r="3" spans="2:13" ht="15.75" customHeight="1">
      <c r="B3" s="188" t="str">
        <f>VLOOKUP(B4,Outline!$E$8:$G$75,COLUMNS(Outline!$E$8:$G$8),FALSE)</f>
        <v>Workpaper #3</v>
      </c>
      <c r="C3" s="188"/>
      <c r="D3" s="188"/>
      <c r="E3" s="188"/>
    </row>
    <row r="4" spans="2:13" ht="16.5" customHeight="1" thickBot="1">
      <c r="B4" s="726" t="s">
        <v>3634</v>
      </c>
      <c r="C4" s="726"/>
      <c r="D4" s="726"/>
      <c r="E4" s="727" t="str">
        <f>+'MASTER PubCo Inputs'!$C$20</f>
        <v>(in thousands of USD and shares, except price per share)</v>
      </c>
    </row>
    <row r="5" spans="2:13" ht="14.85" customHeight="1" thickTop="1"/>
    <row r="6" spans="2:13" ht="14.85" customHeight="1"/>
    <row r="7" spans="2:13" ht="14.85" customHeight="1">
      <c r="B7" s="248" t="s">
        <v>588</v>
      </c>
      <c r="D7" s="1920" t="s">
        <v>2046</v>
      </c>
      <c r="E7" s="1821" t="s">
        <v>3758</v>
      </c>
      <c r="H7" s="635"/>
      <c r="I7" s="635"/>
    </row>
    <row r="8" spans="2:13" ht="14.85" customHeight="1"/>
    <row r="9" spans="2:13" ht="14.85" customHeight="1">
      <c r="B9" s="281" t="s">
        <v>416</v>
      </c>
      <c r="C9" s="282"/>
      <c r="D9" s="1918"/>
      <c r="E9" s="283"/>
    </row>
    <row r="10" spans="2:13" ht="14.85" customHeight="1">
      <c r="B10" s="252" t="s">
        <v>412</v>
      </c>
      <c r="D10" s="284">
        <f>'MASTER PubCo Inputs'!$C$6</f>
        <v>43245</v>
      </c>
      <c r="E10" s="284">
        <f>'MASTER PubCo Inputs'!$C$6</f>
        <v>43245</v>
      </c>
    </row>
    <row r="11" spans="2:13" ht="14.85" customHeight="1">
      <c r="B11" s="252"/>
    </row>
    <row r="12" spans="2:13" ht="14.85" customHeight="1">
      <c r="B12" s="252" t="s">
        <v>414</v>
      </c>
      <c r="D12" s="285">
        <f>YEARFRAC(D10,D14,3)</f>
        <v>1.6027397260273972</v>
      </c>
      <c r="E12" s="285">
        <f>YEARFRAC(E10,E14,3)</f>
        <v>3.6054794520547944</v>
      </c>
    </row>
    <row r="13" spans="2:13" ht="14.85" customHeight="1">
      <c r="B13" s="252"/>
    </row>
    <row r="14" spans="2:13" ht="14.85" customHeight="1">
      <c r="B14" s="286" t="s">
        <v>413</v>
      </c>
      <c r="C14" s="182"/>
      <c r="D14" s="1940">
        <v>43830</v>
      </c>
      <c r="E14" s="1940">
        <v>44561</v>
      </c>
    </row>
    <row r="15" spans="2:13" ht="14.85" customHeight="1"/>
    <row r="16" spans="2:13" ht="14.85" customHeight="1">
      <c r="B16" s="287" t="s">
        <v>415</v>
      </c>
      <c r="C16" s="282"/>
      <c r="D16" s="1918"/>
      <c r="E16" s="283"/>
      <c r="H16" s="288" t="s">
        <v>676</v>
      </c>
      <c r="I16" s="289"/>
      <c r="J16" s="288" t="s">
        <v>676</v>
      </c>
      <c r="K16" s="289"/>
      <c r="L16" s="288" t="s">
        <v>676</v>
      </c>
      <c r="M16" s="289"/>
    </row>
    <row r="17" spans="2:13" ht="14.85" customHeight="1">
      <c r="H17" s="290" t="s">
        <v>1779</v>
      </c>
      <c r="I17" s="291">
        <f>E199</f>
        <v>1.4796881907969441</v>
      </c>
      <c r="J17" s="292" t="s">
        <v>1781</v>
      </c>
      <c r="K17" s="296">
        <f>'OPM 2'!H11</f>
        <v>2.0000000000244071</v>
      </c>
      <c r="L17" s="293" t="s">
        <v>2078</v>
      </c>
      <c r="M17" s="297">
        <f>'OPM 2 Hybrid'!H11</f>
        <v>1.990694838732358</v>
      </c>
    </row>
    <row r="18" spans="2:13" ht="14.85" customHeight="1">
      <c r="B18" s="252" t="s">
        <v>417</v>
      </c>
      <c r="D18" s="1136" t="s">
        <v>3617</v>
      </c>
      <c r="E18" s="1136" t="s">
        <v>3617</v>
      </c>
      <c r="H18" s="295" t="s">
        <v>1780</v>
      </c>
      <c r="I18" s="296">
        <f>E103</f>
        <v>1.545357216768324</v>
      </c>
      <c r="J18" s="295" t="s">
        <v>1780</v>
      </c>
      <c r="K18" s="296">
        <f>'OPM 2'!L13</f>
        <v>0.49208877805055518</v>
      </c>
      <c r="L18" s="293" t="s">
        <v>1780</v>
      </c>
      <c r="M18" s="297">
        <f>'Hybrid OPM'!D11</f>
        <v>0.81066039731146722</v>
      </c>
    </row>
    <row r="19" spans="2:13" ht="14.85" customHeight="1">
      <c r="B19" s="252" t="s">
        <v>418</v>
      </c>
      <c r="D19" s="261">
        <f>SUM('Econ Rights'!$D$14:$J$14)+D28+D35+D42</f>
        <v>187815.89600000001</v>
      </c>
      <c r="E19" s="261">
        <f>SUM('Econ Rights'!$D$14:$J$14)+E28+E35+E42</f>
        <v>212815.89600000001</v>
      </c>
    </row>
    <row r="20" spans="2:13" ht="14.85" customHeight="1">
      <c r="B20" s="252" t="s">
        <v>419</v>
      </c>
      <c r="D20" s="294">
        <f>D22/D19</f>
        <v>1.9966361100766465</v>
      </c>
      <c r="E20" s="294">
        <f>E22/E19</f>
        <v>2.5843934139205467</v>
      </c>
      <c r="H20" s="1809" t="s">
        <v>3618</v>
      </c>
      <c r="I20" s="1839">
        <f>'Cap Table'!Q20</f>
        <v>256002.576</v>
      </c>
      <c r="J20" s="1834" t="s">
        <v>3619</v>
      </c>
      <c r="K20" s="1840">
        <f>E22/I20-1</f>
        <v>1.1484158815651919</v>
      </c>
      <c r="L20" s="1834" t="s">
        <v>3619</v>
      </c>
      <c r="M20" s="1840">
        <f>D22/I20-1</f>
        <v>0.4648290101580852</v>
      </c>
    </row>
    <row r="21" spans="2:13" ht="14.85" customHeight="1">
      <c r="B21" s="264"/>
      <c r="C21" s="264"/>
      <c r="D21" s="264"/>
      <c r="E21" s="264"/>
      <c r="H21" s="179" t="s">
        <v>3620</v>
      </c>
      <c r="I21" s="179" t="s">
        <v>3760</v>
      </c>
      <c r="J21" s="179" t="s">
        <v>3761</v>
      </c>
    </row>
    <row r="22" spans="2:13" ht="14.85" customHeight="1">
      <c r="B22" s="286" t="s">
        <v>415</v>
      </c>
      <c r="D22" s="298">
        <v>375000</v>
      </c>
      <c r="E22" s="298">
        <v>550000</v>
      </c>
      <c r="H22" s="179" t="s">
        <v>43</v>
      </c>
      <c r="I22" s="261">
        <f>'IPO Data_BioPharma'!N34</f>
        <v>245235.32383390737</v>
      </c>
    </row>
    <row r="23" spans="2:13" ht="14.85" customHeight="1">
      <c r="H23" s="179" t="s">
        <v>44</v>
      </c>
      <c r="I23" s="261">
        <f>'IPO Data_BioPharma'!N35</f>
        <v>232932.75199999998</v>
      </c>
    </row>
    <row r="24" spans="2:13" ht="14.85" customHeight="1">
      <c r="B24" s="287" t="s">
        <v>420</v>
      </c>
      <c r="C24" s="282"/>
      <c r="D24" s="1918"/>
      <c r="E24" s="283"/>
    </row>
    <row r="25" spans="2:13" ht="14.85" customHeight="1"/>
    <row r="26" spans="2:13" ht="14.85" customHeight="1">
      <c r="B26" s="182" t="s">
        <v>3789</v>
      </c>
      <c r="H26" s="1947" t="str">
        <f>B26</f>
        <v>Equity Raise #1</v>
      </c>
      <c r="I26" s="1948"/>
      <c r="J26" s="514"/>
    </row>
    <row r="27" spans="2:13" ht="14.85" customHeight="1">
      <c r="B27" s="252" t="s">
        <v>422</v>
      </c>
      <c r="D27" s="300">
        <f>IF(D14&gt;$I$27,$I$27,0)</f>
        <v>43646</v>
      </c>
      <c r="E27" s="300">
        <f>IF(E14&gt;$I$27,$I$27,0)</f>
        <v>43646</v>
      </c>
      <c r="H27" s="1949" t="s">
        <v>677</v>
      </c>
      <c r="I27" s="1950">
        <v>43646</v>
      </c>
      <c r="J27" s="1951"/>
    </row>
    <row r="28" spans="2:13" ht="14.85" customHeight="1">
      <c r="B28" s="252" t="s">
        <v>421</v>
      </c>
      <c r="D28" s="285">
        <f>IF(D27=0,0,$I$28)</f>
        <v>50000</v>
      </c>
      <c r="E28" s="285">
        <f>IF(E27=0,0,$I$28)</f>
        <v>50000</v>
      </c>
      <c r="H28" s="1949" t="s">
        <v>678</v>
      </c>
      <c r="I28" s="1952">
        <v>50000</v>
      </c>
      <c r="J28" s="1953"/>
    </row>
    <row r="29" spans="2:13" ht="14.85" customHeight="1">
      <c r="B29" s="252" t="s">
        <v>423</v>
      </c>
      <c r="D29" s="303">
        <f>IF(D27=0,0,$I$29)</f>
        <v>0.2</v>
      </c>
      <c r="E29" s="303">
        <f>IF(E27=0,0,$I$29)</f>
        <v>0.2</v>
      </c>
      <c r="H29" s="1949" t="s">
        <v>679</v>
      </c>
      <c r="I29" s="1954">
        <f>WACC!D19</f>
        <v>0.2</v>
      </c>
      <c r="J29" s="1955"/>
    </row>
    <row r="30" spans="2:13" ht="14.85" customHeight="1">
      <c r="B30" s="264"/>
      <c r="C30" s="264"/>
      <c r="D30" s="264"/>
      <c r="E30" s="264"/>
    </row>
    <row r="31" spans="2:13" ht="14.85" customHeight="1">
      <c r="B31" s="286" t="s">
        <v>163</v>
      </c>
      <c r="D31" s="285">
        <f>D28*(1+D29)^(YEARFRAC(D27,D$14,3))</f>
        <v>54813.310154715102</v>
      </c>
      <c r="E31" s="285">
        <f>E28*(1+E29)^(YEARFRAC(E27,E$14,3))</f>
        <v>78970.603466549481</v>
      </c>
    </row>
    <row r="32" spans="2:13" ht="14.85" customHeight="1"/>
    <row r="33" spans="2:9" ht="14.85" customHeight="1">
      <c r="B33" s="182" t="s">
        <v>3790</v>
      </c>
      <c r="H33" s="1947" t="str">
        <f>B33</f>
        <v>Equity Raise #2</v>
      </c>
      <c r="I33" s="1956"/>
    </row>
    <row r="34" spans="2:9" ht="14.85" customHeight="1">
      <c r="B34" s="252" t="s">
        <v>422</v>
      </c>
      <c r="D34" s="300">
        <f>IF(D14&gt;$I$34,$I$34,0)</f>
        <v>0</v>
      </c>
      <c r="E34" s="300">
        <f>IF(E14&gt;$I$34,$I$34,0)</f>
        <v>44196</v>
      </c>
      <c r="H34" s="1949" t="s">
        <v>677</v>
      </c>
      <c r="I34" s="1957">
        <f>EOMONTH(I27,18)</f>
        <v>44196</v>
      </c>
    </row>
    <row r="35" spans="2:9" ht="14.85" customHeight="1">
      <c r="B35" s="252" t="s">
        <v>421</v>
      </c>
      <c r="D35" s="285">
        <f>IF(D34=0,0,$I$35)</f>
        <v>0</v>
      </c>
      <c r="E35" s="285">
        <f>IF(E34=0,0,$I$35)</f>
        <v>25000</v>
      </c>
      <c r="H35" s="1949" t="s">
        <v>678</v>
      </c>
      <c r="I35" s="1958">
        <v>25000</v>
      </c>
    </row>
    <row r="36" spans="2:9" ht="14.85" customHeight="1">
      <c r="B36" s="252" t="s">
        <v>423</v>
      </c>
      <c r="D36" s="303">
        <f>IF(D34=0,0,$I$36)</f>
        <v>0</v>
      </c>
      <c r="E36" s="303">
        <f>IF(E34=0,0,$I$36)</f>
        <v>0.2</v>
      </c>
      <c r="H36" s="1949" t="s">
        <v>679</v>
      </c>
      <c r="I36" s="1959">
        <f>+I29</f>
        <v>0.2</v>
      </c>
    </row>
    <row r="37" spans="2:9" ht="14.85" customHeight="1">
      <c r="B37" s="264"/>
      <c r="C37" s="264"/>
      <c r="D37" s="264"/>
      <c r="E37" s="264"/>
    </row>
    <row r="38" spans="2:9" ht="14.85" customHeight="1">
      <c r="B38" s="286" t="s">
        <v>163</v>
      </c>
      <c r="D38" s="285">
        <f>D35*(1+D36)^(YEARFRAC(D34,D$14,3))</f>
        <v>0</v>
      </c>
      <c r="E38" s="285">
        <f>E35*(1+E36)^(YEARFRAC(E34,E$14,3))</f>
        <v>30000</v>
      </c>
    </row>
    <row r="39" spans="2:9" ht="14.85" customHeight="1"/>
    <row r="40" spans="2:9" ht="14.85" hidden="1" customHeight="1" outlineLevel="1">
      <c r="B40" s="299" t="s">
        <v>424</v>
      </c>
    </row>
    <row r="41" spans="2:9" ht="14.85" hidden="1" customHeight="1" outlineLevel="1">
      <c r="B41" s="252" t="s">
        <v>422</v>
      </c>
      <c r="D41" s="300">
        <f>IF(D14&gt;$I$41,$I$41,0)</f>
        <v>0</v>
      </c>
      <c r="E41" s="300">
        <f>IF(E14&gt;$I$41,$I$41,0)</f>
        <v>43921</v>
      </c>
      <c r="H41" s="270" t="s">
        <v>677</v>
      </c>
      <c r="I41" s="301">
        <v>43921</v>
      </c>
    </row>
    <row r="42" spans="2:9" ht="14.85" hidden="1" customHeight="1" outlineLevel="1">
      <c r="B42" s="252" t="s">
        <v>421</v>
      </c>
      <c r="D42" s="285">
        <f>IF(D41=0,0,$I$42)</f>
        <v>0</v>
      </c>
      <c r="E42" s="285">
        <f>IF(E41=0,0,$I$42)</f>
        <v>0</v>
      </c>
      <c r="H42" s="270" t="s">
        <v>678</v>
      </c>
      <c r="I42" s="302">
        <v>0</v>
      </c>
    </row>
    <row r="43" spans="2:9" ht="14.85" hidden="1" customHeight="1" outlineLevel="1">
      <c r="B43" s="252" t="s">
        <v>423</v>
      </c>
      <c r="D43" s="303">
        <f>IF(D41=0,0,$I$43)</f>
        <v>0</v>
      </c>
      <c r="E43" s="303">
        <f>IF(E41=0,0,$I$43)</f>
        <v>0.2</v>
      </c>
      <c r="H43" s="270" t="s">
        <v>679</v>
      </c>
      <c r="I43" s="304">
        <f>+I36</f>
        <v>0.2</v>
      </c>
    </row>
    <row r="44" spans="2:9" ht="14.85" hidden="1" customHeight="1" outlineLevel="1">
      <c r="B44" s="264"/>
      <c r="C44" s="264"/>
      <c r="D44" s="264"/>
      <c r="E44" s="264"/>
    </row>
    <row r="45" spans="2:9" ht="14.85" hidden="1" customHeight="1" outlineLevel="1">
      <c r="B45" s="305" t="s">
        <v>3182</v>
      </c>
      <c r="D45" s="285">
        <f>D42*(1+D43)^(YEARFRAC(D41,D$14,3))</f>
        <v>0</v>
      </c>
      <c r="E45" s="285">
        <f>E42*(1+E43)^(YEARFRAC(E41,E$14,3))</f>
        <v>0</v>
      </c>
    </row>
    <row r="46" spans="2:9" ht="14.85" customHeight="1" collapsed="1"/>
    <row r="47" spans="2:9" ht="14.85" customHeight="1" thickBot="1">
      <c r="B47" s="306" t="s">
        <v>372</v>
      </c>
      <c r="C47" s="307"/>
      <c r="D47" s="308">
        <f>D45+D38+D31</f>
        <v>54813.310154715102</v>
      </c>
      <c r="E47" s="308">
        <f>E45+E38+E31</f>
        <v>108970.60346654948</v>
      </c>
    </row>
    <row r="48" spans="2:9" ht="14.85" customHeight="1"/>
    <row r="49" spans="2:11" ht="14.85" customHeight="1">
      <c r="B49" s="287" t="s">
        <v>425</v>
      </c>
      <c r="C49" s="282"/>
      <c r="D49" s="1918"/>
      <c r="E49" s="283"/>
    </row>
    <row r="50" spans="2:11" ht="14.85" customHeight="1"/>
    <row r="51" spans="2:11" ht="14.85" customHeight="1">
      <c r="B51" s="179" t="s">
        <v>415</v>
      </c>
      <c r="D51" s="255">
        <f>D22</f>
        <v>375000</v>
      </c>
      <c r="E51" s="255">
        <f>E22</f>
        <v>550000</v>
      </c>
    </row>
    <row r="52" spans="2:11" ht="14.85" customHeight="1">
      <c r="B52" s="252" t="s">
        <v>342</v>
      </c>
      <c r="D52" s="255">
        <f>-MIN(D47,D51)</f>
        <v>-54813.310154715102</v>
      </c>
      <c r="E52" s="255">
        <f>-MIN(E47,E51)</f>
        <v>-108970.60346654948</v>
      </c>
    </row>
    <row r="53" spans="2:11" ht="14.85" customHeight="1">
      <c r="B53" s="264"/>
      <c r="C53" s="264"/>
      <c r="D53" s="264"/>
      <c r="E53" s="264"/>
    </row>
    <row r="54" spans="2:11" ht="14.85" customHeight="1">
      <c r="B54" s="182" t="s">
        <v>426</v>
      </c>
      <c r="D54" s="309">
        <f>SUM(D51:D52)</f>
        <v>320186.68984528491</v>
      </c>
      <c r="E54" s="309">
        <f>SUM(E51:E52)</f>
        <v>441029.39653345052</v>
      </c>
    </row>
    <row r="55" spans="2:11" ht="14.85" customHeight="1"/>
    <row r="56" spans="2:11" ht="14.85" customHeight="1">
      <c r="B56" s="252" t="s">
        <v>1583</v>
      </c>
      <c r="D56" s="255">
        <f>-'Hist BS'!$G$71</f>
        <v>0</v>
      </c>
      <c r="E56" s="255">
        <f>-'Hist BS'!$G$71</f>
        <v>0</v>
      </c>
    </row>
    <row r="57" spans="2:11" ht="14.85" customHeight="1">
      <c r="B57" s="264"/>
      <c r="C57" s="264"/>
      <c r="D57" s="264"/>
      <c r="E57" s="264"/>
    </row>
    <row r="58" spans="2:11" ht="14.85" customHeight="1">
      <c r="B58" s="182" t="s">
        <v>435</v>
      </c>
      <c r="D58" s="309">
        <f>MAX(SUM(D54:D56),0)</f>
        <v>320186.68984528491</v>
      </c>
      <c r="E58" s="309">
        <f>MAX(SUM(E54:E56),0)</f>
        <v>441029.39653345052</v>
      </c>
    </row>
    <row r="59" spans="2:11" ht="14.85" customHeight="1"/>
    <row r="60" spans="2:11" ht="14.85" customHeight="1">
      <c r="B60" s="182" t="s">
        <v>427</v>
      </c>
      <c r="G60" s="182" t="s">
        <v>3779</v>
      </c>
      <c r="H60" s="182" t="s">
        <v>3780</v>
      </c>
      <c r="I60" s="182" t="s">
        <v>3781</v>
      </c>
      <c r="J60" s="182" t="s">
        <v>3782</v>
      </c>
      <c r="K60" s="203"/>
    </row>
    <row r="61" spans="2:11" ht="14.85" customHeight="1">
      <c r="B61" s="252" t="str">
        <f>'Cap Table'!$D$7</f>
        <v>Series A</v>
      </c>
      <c r="D61" s="1878"/>
      <c r="E61" s="1878"/>
      <c r="G61" s="262">
        <f>SUM('Econ Rights'!D35:H35)+SUM('Econ Rights'!D14:H14)</f>
        <v>73908.412286848499</v>
      </c>
      <c r="H61" s="262">
        <f>SUM('Econ Rights'!D37:H37)+SUM('Econ Rights'!D14:H14)</f>
        <v>86224.950892580877</v>
      </c>
      <c r="I61" s="310">
        <f>+G61/$G$65</f>
        <v>0.44622222850298682</v>
      </c>
      <c r="J61" s="310">
        <f>+H61/$H$65</f>
        <v>0.44622222850298682</v>
      </c>
      <c r="K61" s="262"/>
    </row>
    <row r="62" spans="2:11" ht="14.85" customHeight="1">
      <c r="B62" s="252" t="str">
        <f>'Cap Table'!$E$7</f>
        <v>Series B</v>
      </c>
      <c r="D62" s="1878"/>
      <c r="E62" s="1878"/>
      <c r="G62" s="262">
        <f>'Econ Rights'!I35+'Econ Rights'!I14</f>
        <v>29437.996994598005</v>
      </c>
      <c r="H62" s="262">
        <f>'Econ Rights'!I37+'Econ Rights'!I14</f>
        <v>34343.720378997081</v>
      </c>
      <c r="I62" s="310">
        <f>+G62/$G$65</f>
        <v>0.1777319822622031</v>
      </c>
      <c r="J62" s="310">
        <f>+H62/$H$65</f>
        <v>0.17773198226220313</v>
      </c>
    </row>
    <row r="63" spans="2:11" ht="14.85" customHeight="1">
      <c r="B63" s="252" t="str">
        <f>'Cap Table'!$F$7</f>
        <v>Series C</v>
      </c>
      <c r="D63" s="1878"/>
      <c r="E63" s="1878"/>
      <c r="G63" s="262">
        <f>'Econ Rights'!J35+'Econ Rights'!J14</f>
        <v>62284.990424482276</v>
      </c>
      <c r="H63" s="262">
        <f>'Econ Rights'!J37+'Econ Rights'!J14</f>
        <v>72664.532690164458</v>
      </c>
      <c r="I63" s="310">
        <f>+G63/$G$65</f>
        <v>0.37604578923481008</v>
      </c>
      <c r="J63" s="310">
        <f>+H63/$H$65</f>
        <v>0.37604578923481013</v>
      </c>
    </row>
    <row r="64" spans="2:11" ht="14.85" customHeight="1">
      <c r="B64" s="264"/>
      <c r="C64" s="264"/>
      <c r="D64" s="264"/>
      <c r="E64" s="264"/>
      <c r="I64" s="310"/>
      <c r="J64" s="310"/>
    </row>
    <row r="65" spans="2:10" ht="14.85" customHeight="1">
      <c r="B65" s="305" t="str">
        <f>CONCATENATE("Total ",B60)</f>
        <v>Total Liquidation Preferences</v>
      </c>
      <c r="D65" s="309">
        <f>SUM(D61:D63)</f>
        <v>0</v>
      </c>
      <c r="E65" s="309">
        <f>SUM(E61:E63)</f>
        <v>0</v>
      </c>
      <c r="G65" s="311">
        <f>SUM(G61:G63)</f>
        <v>165631.39970592878</v>
      </c>
      <c r="H65" s="311">
        <f>SUM(H61:H63)</f>
        <v>193233.2039617424</v>
      </c>
      <c r="I65" s="312">
        <f>SUM(I61:I63)</f>
        <v>1</v>
      </c>
      <c r="J65" s="312">
        <f>SUM(J61:J63)</f>
        <v>1</v>
      </c>
    </row>
    <row r="66" spans="2:10" ht="14.85" customHeight="1"/>
    <row r="67" spans="2:10" ht="14.85" customHeight="1">
      <c r="B67" s="182" t="s">
        <v>428</v>
      </c>
      <c r="C67" s="182"/>
      <c r="D67" s="309">
        <f>D58-D65</f>
        <v>320186.68984528491</v>
      </c>
      <c r="E67" s="309">
        <f>E58-E65</f>
        <v>441029.39653345052</v>
      </c>
    </row>
    <row r="68" spans="2:10" ht="14.85" customHeight="1"/>
    <row r="69" spans="2:10" ht="14.85" customHeight="1">
      <c r="B69" s="182" t="s">
        <v>429</v>
      </c>
    </row>
    <row r="70" spans="2:10" ht="14.85" customHeight="1">
      <c r="B70" s="252" t="str">
        <f>+$B61</f>
        <v>Series A</v>
      </c>
      <c r="D70" s="255">
        <f>$G70</f>
        <v>57758.733999999997</v>
      </c>
      <c r="E70" s="255">
        <f>$G70</f>
        <v>57758.733999999997</v>
      </c>
      <c r="G70" s="262">
        <f>'Cap Table'!D11</f>
        <v>57758.733999999997</v>
      </c>
    </row>
    <row r="71" spans="2:10" ht="14.85" customHeight="1">
      <c r="B71" s="252" t="str">
        <f>+$B62</f>
        <v>Series B</v>
      </c>
      <c r="D71" s="255">
        <f t="shared" ref="D71:E74" si="0">$G71</f>
        <v>12500</v>
      </c>
      <c r="E71" s="255">
        <f t="shared" si="0"/>
        <v>12500</v>
      </c>
      <c r="G71" s="262">
        <f>'Cap Table'!E11</f>
        <v>12500</v>
      </c>
    </row>
    <row r="72" spans="2:10" ht="14.85" customHeight="1">
      <c r="B72" s="252" t="str">
        <f>+$B63</f>
        <v>Series C</v>
      </c>
      <c r="D72" s="255">
        <f t="shared" si="0"/>
        <v>27528.580999999998</v>
      </c>
      <c r="E72" s="255">
        <f t="shared" si="0"/>
        <v>27528.580999999998</v>
      </c>
      <c r="G72" s="262">
        <f>'Cap Table'!F11</f>
        <v>27528.580999999998</v>
      </c>
    </row>
    <row r="73" spans="2:10" ht="14.85" customHeight="1">
      <c r="B73" s="313" t="str">
        <f>'Cap Table'!$B25</f>
        <v>Expected Options Grant</v>
      </c>
      <c r="D73" s="255">
        <f t="shared" si="0"/>
        <v>2454.5419999999999</v>
      </c>
      <c r="E73" s="255">
        <f t="shared" si="0"/>
        <v>2454.5419999999999</v>
      </c>
      <c r="G73" s="262">
        <f>'Cap Table'!D25</f>
        <v>2454.5419999999999</v>
      </c>
      <c r="H73" s="1841">
        <f>'Cap Table'!E25</f>
        <v>0.49</v>
      </c>
    </row>
    <row r="74" spans="2:10" ht="14.85" customHeight="1">
      <c r="B74" s="314" t="str">
        <f>'Cap Table'!$K7 &amp;" Stock"</f>
        <v>Common Stock</v>
      </c>
      <c r="D74" s="255">
        <f t="shared" si="0"/>
        <v>27759.431</v>
      </c>
      <c r="E74" s="255">
        <f t="shared" si="0"/>
        <v>27759.431</v>
      </c>
      <c r="G74" s="262">
        <f>'Cap Table'!K11</f>
        <v>27759.431</v>
      </c>
    </row>
    <row r="75" spans="2:10" ht="14.85" customHeight="1">
      <c r="B75" s="264"/>
      <c r="C75" s="264"/>
      <c r="D75" s="264"/>
      <c r="E75" s="264"/>
    </row>
    <row r="76" spans="2:10" ht="14.85" customHeight="1">
      <c r="B76" s="305" t="str">
        <f>CONCATENATE("Total ",B69)</f>
        <v>Total Shares (As Converted)</v>
      </c>
      <c r="D76" s="309">
        <f>SUM(D70:D74)</f>
        <v>128001.288</v>
      </c>
      <c r="E76" s="309">
        <f>SUM(E70:E74)</f>
        <v>128001.288</v>
      </c>
    </row>
    <row r="77" spans="2:10" ht="14.85" customHeight="1"/>
    <row r="78" spans="2:10" ht="14.85" customHeight="1">
      <c r="B78" s="252" t="s">
        <v>436</v>
      </c>
      <c r="D78" s="255">
        <f>SUMPRODUCT(D73,$H$73)</f>
        <v>1202.72558</v>
      </c>
      <c r="E78" s="255">
        <f>SUMPRODUCT(E73,$H$73)</f>
        <v>1202.72558</v>
      </c>
    </row>
    <row r="79" spans="2:10" ht="14.85" customHeight="1"/>
    <row r="80" spans="2:10" ht="14.85" customHeight="1">
      <c r="B80" s="287" t="s">
        <v>621</v>
      </c>
      <c r="C80" s="282"/>
      <c r="D80" s="1918"/>
      <c r="E80" s="283"/>
      <c r="I80" s="315" t="s">
        <v>82</v>
      </c>
    </row>
    <row r="81" spans="2:9" ht="14.85" customHeight="1"/>
    <row r="82" spans="2:9" ht="14.85" customHeight="1">
      <c r="B82" s="252" t="str">
        <f>+B70</f>
        <v>Series A</v>
      </c>
      <c r="D82" s="255">
        <f t="shared" ref="D82:E84" si="1">D61+IF(D70&gt;0,(D$67+D$78)*(D70/D$76),0)</f>
        <v>145022.33568122008</v>
      </c>
      <c r="E82" s="255">
        <f t="shared" si="1"/>
        <v>199550.86317105111</v>
      </c>
    </row>
    <row r="83" spans="2:9" ht="14.85" customHeight="1">
      <c r="B83" s="252" t="str">
        <f>+B71</f>
        <v>Series B</v>
      </c>
      <c r="D83" s="255">
        <f t="shared" si="1"/>
        <v>31385.369284847053</v>
      </c>
      <c r="E83" s="255">
        <f t="shared" si="1"/>
        <v>43186.296113037017</v>
      </c>
    </row>
    <row r="84" spans="2:9" ht="14.85" customHeight="1">
      <c r="B84" s="252" t="str">
        <f>+B72</f>
        <v>Series C</v>
      </c>
      <c r="D84" s="255">
        <f t="shared" si="1"/>
        <v>69119.574445825929</v>
      </c>
      <c r="E84" s="255">
        <f t="shared" si="1"/>
        <v>95108.596051017972</v>
      </c>
    </row>
    <row r="85" spans="2:9" ht="14.85" customHeight="1">
      <c r="B85" s="252" t="str">
        <f>+B73</f>
        <v>Expected Options Grant</v>
      </c>
      <c r="D85" s="255">
        <f>IF(D73&gt;0,(D$67+D$78)*(D73/D$76)-(D73*$I$85),0)</f>
        <v>4960.2109876133636</v>
      </c>
      <c r="E85" s="255">
        <f>IF(E73&gt;0,(E$67+E$78)*(E73/E$76)-(E73*$I$85),0)</f>
        <v>7277.4806307108865</v>
      </c>
      <c r="I85" s="1838">
        <f>'Cap Table'!E25</f>
        <v>0.49</v>
      </c>
    </row>
    <row r="86" spans="2:9" ht="14.85" customHeight="1">
      <c r="B86" s="252" t="str">
        <f>+B74</f>
        <v>Common Stock</v>
      </c>
      <c r="D86" s="255">
        <f>IF(D74&gt;0,(D$67+D$78)*(D74/D$76),0)</f>
        <v>69699.199445778489</v>
      </c>
      <c r="E86" s="255">
        <f>IF(E74&gt;0,(E$67+E$78)*(E74/E$76),0)</f>
        <v>95906.160567633546</v>
      </c>
    </row>
    <row r="87" spans="2:9" ht="14.85" customHeight="1">
      <c r="B87" s="264"/>
      <c r="C87" s="264"/>
      <c r="D87" s="264"/>
      <c r="E87" s="264"/>
    </row>
    <row r="88" spans="2:9" ht="14.85" customHeight="1">
      <c r="B88" s="182" t="s">
        <v>2266</v>
      </c>
      <c r="D88" s="309">
        <f>SUM(D82:D86)</f>
        <v>320186.68984528491</v>
      </c>
      <c r="E88" s="309">
        <f>SUM(E82:E86)</f>
        <v>441029.39653345058</v>
      </c>
    </row>
    <row r="89" spans="2:9" ht="14.85" customHeight="1">
      <c r="B89" s="318"/>
      <c r="D89" s="319" t="str">
        <f>IF(ABS(D88-D58)&lt;0.1,"","Check")</f>
        <v/>
      </c>
      <c r="E89" s="319" t="str">
        <f>IF(ABS(E88-E58)&lt;0.1,"","Check")</f>
        <v/>
      </c>
      <c r="G89" s="320" t="str">
        <f>IF(COUNTIF($D$89:$E$89,$G$90)&gt;0,$G$90,"")</f>
        <v/>
      </c>
    </row>
    <row r="90" spans="2:9" ht="14.85" customHeight="1">
      <c r="B90" s="287" t="s">
        <v>430</v>
      </c>
      <c r="C90" s="282"/>
      <c r="D90" s="1918"/>
      <c r="E90" s="283"/>
      <c r="G90" s="179" t="s">
        <v>110</v>
      </c>
    </row>
    <row r="91" spans="2:9" ht="14.85" customHeight="1"/>
    <row r="92" spans="2:9" ht="14.85" customHeight="1">
      <c r="B92" s="179" t="s">
        <v>431</v>
      </c>
      <c r="D92" s="255">
        <f>D86</f>
        <v>69699.199445778489</v>
      </c>
      <c r="E92" s="255">
        <f>E86</f>
        <v>95906.160567633546</v>
      </c>
    </row>
    <row r="93" spans="2:9" ht="14.85" customHeight="1">
      <c r="B93" s="179" t="s">
        <v>315</v>
      </c>
      <c r="D93" s="255">
        <f>D74</f>
        <v>27759.431</v>
      </c>
      <c r="E93" s="255">
        <f>E74</f>
        <v>27759.431</v>
      </c>
    </row>
    <row r="94" spans="2:9" ht="14.85" customHeight="1">
      <c r="B94" s="264"/>
      <c r="C94" s="264"/>
      <c r="D94" s="264"/>
      <c r="E94" s="264"/>
    </row>
    <row r="95" spans="2:9" ht="14.85" customHeight="1">
      <c r="B95" s="182" t="s">
        <v>432</v>
      </c>
      <c r="C95" s="182"/>
      <c r="D95" s="321">
        <f>IFERROR(D92/D93,0)</f>
        <v>2.5108295427877643</v>
      </c>
      <c r="E95" s="321">
        <f>IFERROR(E92/E93,0)</f>
        <v>3.4549036890429616</v>
      </c>
    </row>
    <row r="96" spans="2:9" ht="14.85" customHeight="1"/>
    <row r="97" spans="2:7 16376:16376" ht="14.85" hidden="1" customHeight="1" outlineLevel="1">
      <c r="B97" s="179" t="s">
        <v>2045</v>
      </c>
      <c r="C97" s="322"/>
      <c r="D97" s="323"/>
      <c r="E97" s="323"/>
      <c r="G97" s="324" t="s">
        <v>2047</v>
      </c>
    </row>
    <row r="98" spans="2:7 16376:16376" ht="14.85" hidden="1" customHeight="1" outlineLevel="1"/>
    <row r="99" spans="2:7 16376:16376" ht="14.85" customHeight="1" collapsed="1">
      <c r="B99" s="182" t="s">
        <v>2055</v>
      </c>
      <c r="C99" s="322"/>
      <c r="D99" s="321">
        <f>IFERROR(D95*(1-D97),0)</f>
        <v>2.5108295427877643</v>
      </c>
      <c r="E99" s="321">
        <f>IFERROR(E95*(1-E97),0)</f>
        <v>3.4549036890429616</v>
      </c>
    </row>
    <row r="100" spans="2:7 16376:16376" ht="14.85" customHeight="1"/>
    <row r="101" spans="2:7 16376:16376" ht="14.85" customHeight="1">
      <c r="B101" s="179" t="s">
        <v>2041</v>
      </c>
      <c r="C101" s="322">
        <f>WACC!$D$15</f>
        <v>0.25</v>
      </c>
      <c r="D101" s="325">
        <f>1/(1+$C101)^D12</f>
        <v>0.69932406330896391</v>
      </c>
      <c r="E101" s="325">
        <f>1/(1+$C101)^E12</f>
        <v>0.44729386282730255</v>
      </c>
    </row>
    <row r="102" spans="2:7 16376:16376" ht="14.85" customHeight="1">
      <c r="B102" s="264"/>
      <c r="C102" s="264"/>
      <c r="D102" s="264"/>
      <c r="E102" s="264"/>
    </row>
    <row r="103" spans="2:7 16376:16376" ht="14.85" customHeight="1">
      <c r="B103" s="182" t="s">
        <v>433</v>
      </c>
      <c r="D103" s="321">
        <f>D99*D101</f>
        <v>1.7558835181385273</v>
      </c>
      <c r="E103" s="321">
        <f>E99*E101</f>
        <v>1.545357216768324</v>
      </c>
    </row>
    <row r="104" spans="2:7 16376:16376" ht="14.85" customHeight="1"/>
    <row r="105" spans="2:7 16376:16376" ht="14.85" customHeight="1"/>
    <row r="106" spans="2:7 16376:16376" ht="14.85" customHeight="1">
      <c r="B106" s="1933" t="s">
        <v>434</v>
      </c>
      <c r="C106" s="1918"/>
      <c r="D106" s="1918"/>
      <c r="E106" s="1934"/>
    </row>
    <row r="107" spans="2:7 16376:16376" ht="14.85" customHeight="1"/>
    <row r="108" spans="2:7 16376:16376" ht="14.85" customHeight="1">
      <c r="B108" s="182" t="s">
        <v>437</v>
      </c>
    </row>
    <row r="109" spans="2:7 16376:16376" ht="14.85" customHeight="1">
      <c r="B109" s="252" t="s">
        <v>438</v>
      </c>
      <c r="D109" s="255">
        <f>MIN(SUM(D82:D84),SUM($G$61:$G$63))</f>
        <v>165631.39970592878</v>
      </c>
      <c r="E109" s="255">
        <f>MIN(SUM(E82:E84),SUM($G$61:$G$63))</f>
        <v>165631.39970592878</v>
      </c>
      <c r="XEV109" s="327"/>
    </row>
    <row r="110" spans="2:7 16376:16376" ht="14.85" customHeight="1"/>
    <row r="111" spans="2:7 16376:16376" ht="14.85" customHeight="1">
      <c r="B111" s="252" t="s">
        <v>189</v>
      </c>
      <c r="C111" s="322">
        <f>WACC!$D$11</f>
        <v>0.125</v>
      </c>
      <c r="D111" s="325">
        <f>1/(1+$C111)^D$12</f>
        <v>0.82797232398153198</v>
      </c>
      <c r="E111" s="325">
        <f>1/(1+$C111)^E$12</f>
        <v>0.65398928277086132</v>
      </c>
    </row>
    <row r="112" spans="2:7 16376:16376" ht="14.85" customHeight="1"/>
    <row r="113" spans="2:5" ht="14.85" customHeight="1">
      <c r="B113" s="1872" t="s">
        <v>192</v>
      </c>
      <c r="C113" s="1873"/>
      <c r="D113" s="1874">
        <f>D109*D111</f>
        <v>137138.21493883189</v>
      </c>
      <c r="E113" s="1874">
        <f>E109*E111</f>
        <v>108321.16029801422</v>
      </c>
    </row>
    <row r="114" spans="2:5" ht="14.85" customHeight="1"/>
    <row r="115" spans="2:5" ht="14.85" customHeight="1">
      <c r="B115" s="182" t="s">
        <v>439</v>
      </c>
    </row>
    <row r="116" spans="2:5" ht="14.85" customHeight="1">
      <c r="B116" s="252" t="s">
        <v>438</v>
      </c>
      <c r="D116" s="255">
        <f>MAX(SUM(D82:D84)-D109,0)</f>
        <v>79895.879705964267</v>
      </c>
      <c r="E116" s="255">
        <f>MAX(SUM(E82:E84)-E109,0)</f>
        <v>172214.35562917733</v>
      </c>
    </row>
    <row r="117" spans="2:5" ht="14.85" customHeight="1"/>
    <row r="118" spans="2:5" ht="14.85" customHeight="1">
      <c r="B118" s="314" t="s">
        <v>189</v>
      </c>
      <c r="C118" s="322">
        <f>WACC!$D$13</f>
        <v>0.25</v>
      </c>
      <c r="D118" s="325">
        <f>1/(1+$C118)^D$12</f>
        <v>0.69932406330896391</v>
      </c>
      <c r="E118" s="325">
        <f>1/(1+$C118)^E$12</f>
        <v>0.44729386282730255</v>
      </c>
    </row>
    <row r="119" spans="2:5" ht="14.85" customHeight="1"/>
    <row r="120" spans="2:5" ht="14.85" customHeight="1">
      <c r="B120" s="1875" t="s">
        <v>192</v>
      </c>
      <c r="C120" s="1876"/>
      <c r="D120" s="1877">
        <f>D116*D118</f>
        <v>55873.111237619123</v>
      </c>
      <c r="E120" s="1877">
        <f>E116*E118</f>
        <v>77030.424363689541</v>
      </c>
    </row>
    <row r="121" spans="2:5" ht="14.85" customHeight="1"/>
    <row r="122" spans="2:5" ht="14.85" customHeight="1">
      <c r="B122" s="1933" t="s">
        <v>3638</v>
      </c>
      <c r="C122" s="1918"/>
      <c r="D122" s="1918"/>
      <c r="E122" s="1934"/>
    </row>
    <row r="123" spans="2:5" ht="14.85" customHeight="1"/>
    <row r="124" spans="2:5" ht="14.85" customHeight="1">
      <c r="B124" s="182" t="s">
        <v>440</v>
      </c>
    </row>
    <row r="125" spans="2:5" ht="14.85" customHeight="1">
      <c r="B125" s="252" t="s">
        <v>438</v>
      </c>
      <c r="D125" s="255">
        <f>MIN(D84,$G63)</f>
        <v>62284.990424482276</v>
      </c>
      <c r="E125" s="255">
        <f>MIN(E84,$H63)</f>
        <v>72664.532690164458</v>
      </c>
    </row>
    <row r="126" spans="2:5" ht="14.85" customHeight="1"/>
    <row r="127" spans="2:5" ht="14.85" customHeight="1">
      <c r="B127" s="252" t="s">
        <v>189</v>
      </c>
      <c r="C127" s="328">
        <f>C111</f>
        <v>0.125</v>
      </c>
      <c r="D127" s="325">
        <f>+D111</f>
        <v>0.82797232398153198</v>
      </c>
      <c r="E127" s="325">
        <f>+E111</f>
        <v>0.65398928277086132</v>
      </c>
    </row>
    <row r="128" spans="2:5" ht="14.85" customHeight="1">
      <c r="B128" s="252"/>
    </row>
    <row r="129" spans="2:5" ht="14.85" customHeight="1">
      <c r="B129" s="1872" t="s">
        <v>192</v>
      </c>
      <c r="C129" s="1873"/>
      <c r="D129" s="1874">
        <f>D125*D127</f>
        <v>51570.248270926058</v>
      </c>
      <c r="E129" s="1874">
        <f>E125*E127</f>
        <v>47521.825616920461</v>
      </c>
    </row>
    <row r="130" spans="2:5" ht="14.85" customHeight="1"/>
    <row r="131" spans="2:5" ht="14.85" customHeight="1">
      <c r="B131" s="182" t="s">
        <v>441</v>
      </c>
    </row>
    <row r="132" spans="2:5" ht="14.85" customHeight="1">
      <c r="B132" s="252" t="s">
        <v>438</v>
      </c>
      <c r="D132" s="255">
        <f>MAX(D84-D125,0)</f>
        <v>6834.5840213436531</v>
      </c>
      <c r="E132" s="255">
        <f>MAX(E84-E125,0)</f>
        <v>22444.063360853514</v>
      </c>
    </row>
    <row r="133" spans="2:5" ht="14.85" customHeight="1"/>
    <row r="134" spans="2:5" ht="14.85" customHeight="1">
      <c r="B134" s="252" t="s">
        <v>189</v>
      </c>
      <c r="C134" s="328">
        <f>C118</f>
        <v>0.25</v>
      </c>
      <c r="D134" s="325">
        <f>+D118</f>
        <v>0.69932406330896391</v>
      </c>
      <c r="E134" s="325">
        <f>+E118</f>
        <v>0.44729386282730255</v>
      </c>
    </row>
    <row r="135" spans="2:5" ht="14.85" customHeight="1"/>
    <row r="136" spans="2:5" ht="14.85" customHeight="1">
      <c r="B136" s="1875" t="s">
        <v>192</v>
      </c>
      <c r="C136" s="1876"/>
      <c r="D136" s="1877">
        <f>D132*D134</f>
        <v>4779.5890688325617</v>
      </c>
      <c r="E136" s="1877">
        <f>E132*E134</f>
        <v>10039.091798216898</v>
      </c>
    </row>
    <row r="137" spans="2:5" ht="14.85" customHeight="1"/>
    <row r="138" spans="2:5" ht="14.85" customHeight="1">
      <c r="B138" s="1933" t="s">
        <v>3639</v>
      </c>
      <c r="C138" s="1918"/>
      <c r="D138" s="1918"/>
      <c r="E138" s="1934"/>
    </row>
    <row r="139" spans="2:5" ht="14.85" customHeight="1"/>
    <row r="140" spans="2:5" ht="14.85" customHeight="1">
      <c r="B140" s="182" t="s">
        <v>440</v>
      </c>
    </row>
    <row r="141" spans="2:5" ht="14.85" customHeight="1">
      <c r="B141" s="252" t="s">
        <v>438</v>
      </c>
      <c r="D141" s="255">
        <f>MIN(D83,$G62)</f>
        <v>29437.996994598005</v>
      </c>
      <c r="E141" s="255">
        <f>MIN(E83,$H62)</f>
        <v>34343.720378997081</v>
      </c>
    </row>
    <row r="142" spans="2:5" ht="14.85" customHeight="1"/>
    <row r="143" spans="2:5" ht="14.85" customHeight="1">
      <c r="B143" s="252" t="s">
        <v>189</v>
      </c>
      <c r="C143" s="328">
        <f>C127</f>
        <v>0.125</v>
      </c>
      <c r="D143" s="325">
        <f>+D127</f>
        <v>0.82797232398153198</v>
      </c>
      <c r="E143" s="325">
        <f>+E127</f>
        <v>0.65398928277086132</v>
      </c>
    </row>
    <row r="144" spans="2:5" ht="14.85" customHeight="1">
      <c r="B144" s="252"/>
    </row>
    <row r="145" spans="2:6" ht="14.85" customHeight="1">
      <c r="B145" s="1872" t="s">
        <v>192</v>
      </c>
      <c r="C145" s="1873"/>
      <c r="D145" s="1874">
        <f>D141*D143</f>
        <v>24373.846784978665</v>
      </c>
      <c r="E145" s="1874">
        <f>E141*E143</f>
        <v>22460.425058343313</v>
      </c>
    </row>
    <row r="146" spans="2:6" ht="14.85" customHeight="1"/>
    <row r="147" spans="2:6" ht="14.85" customHeight="1">
      <c r="B147" s="182" t="s">
        <v>441</v>
      </c>
    </row>
    <row r="148" spans="2:6" ht="14.85" customHeight="1">
      <c r="B148" s="252" t="s">
        <v>438</v>
      </c>
      <c r="D148" s="255">
        <f>MAX(D83-D141,0)</f>
        <v>1947.3722902490481</v>
      </c>
      <c r="E148" s="255">
        <f>MAX(E83-E141,0)</f>
        <v>8842.5757340399359</v>
      </c>
    </row>
    <row r="149" spans="2:6" ht="14.85" customHeight="1"/>
    <row r="150" spans="2:6" ht="14.85" customHeight="1">
      <c r="B150" s="252" t="s">
        <v>189</v>
      </c>
      <c r="C150" s="328">
        <f>C134</f>
        <v>0.25</v>
      </c>
      <c r="D150" s="325">
        <f>+D134</f>
        <v>0.69932406330896391</v>
      </c>
      <c r="E150" s="325">
        <f>+E134</f>
        <v>0.44729386282730255</v>
      </c>
    </row>
    <row r="151" spans="2:6" ht="14.85" customHeight="1"/>
    <row r="152" spans="2:6" ht="14.85" customHeight="1">
      <c r="B152" s="1875" t="s">
        <v>192</v>
      </c>
      <c r="C152" s="1876"/>
      <c r="D152" s="1877">
        <f>D148*D150</f>
        <v>1361.8443027922474</v>
      </c>
      <c r="E152" s="1877">
        <f>E148*E150</f>
        <v>3955.2298574216934</v>
      </c>
    </row>
    <row r="153" spans="2:6" ht="14.85" customHeight="1">
      <c r="B153" s="548"/>
      <c r="C153" s="548"/>
    </row>
    <row r="154" spans="2:6" ht="14.85" customHeight="1">
      <c r="B154" s="1933" t="s">
        <v>339</v>
      </c>
      <c r="C154" s="1918"/>
      <c r="D154" s="1918"/>
      <c r="E154" s="1934"/>
      <c r="F154" s="329"/>
    </row>
    <row r="155" spans="2:6" ht="14.85" customHeight="1"/>
    <row r="156" spans="2:6" ht="14.85" customHeight="1">
      <c r="B156" s="252" t="s">
        <v>438</v>
      </c>
      <c r="D156" s="255">
        <f>D54</f>
        <v>320186.68984528491</v>
      </c>
      <c r="E156" s="255">
        <f>E54</f>
        <v>441029.39653345052</v>
      </c>
    </row>
    <row r="157" spans="2:6" ht="14.85" customHeight="1"/>
    <row r="158" spans="2:6" ht="14.85" customHeight="1">
      <c r="B158" s="252" t="s">
        <v>189</v>
      </c>
      <c r="C158" s="322">
        <f>WACC!$D$19</f>
        <v>0.2</v>
      </c>
      <c r="D158" s="325">
        <f>1/(1+$C158)^D$12</f>
        <v>0.7466087431230527</v>
      </c>
      <c r="E158" s="325">
        <f>1/(1+$C158)^E$12</f>
        <v>0.51821937283739516</v>
      </c>
    </row>
    <row r="159" spans="2:6" ht="14.85" customHeight="1"/>
    <row r="160" spans="2:6" ht="14.85" customHeight="1">
      <c r="B160" s="1872" t="s">
        <v>192</v>
      </c>
      <c r="C160" s="1873"/>
      <c r="D160" s="1874">
        <f>D156*D158</f>
        <v>239054.18207011887</v>
      </c>
      <c r="E160" s="1874">
        <f>E156*E158</f>
        <v>228549.97727441959</v>
      </c>
    </row>
    <row r="161" spans="1:11" ht="14.85" customHeight="1">
      <c r="B161" s="252"/>
      <c r="E161" s="255"/>
    </row>
    <row r="162" spans="1:11" ht="14.85" customHeight="1"/>
    <row r="163" spans="1:11" ht="14.85" customHeight="1">
      <c r="B163" s="272" t="s">
        <v>86</v>
      </c>
    </row>
    <row r="164" spans="1:11" ht="14.85" customHeight="1">
      <c r="A164" s="273" t="s">
        <v>261</v>
      </c>
      <c r="B164" s="330" t="str">
        <f>"Refer to "&amp;WACC!B3&amp;" for details regarding discount rate."</f>
        <v>Refer to Workpaper #12 for details regarding discount rate.</v>
      </c>
    </row>
    <row r="165" spans="1:11" ht="14.85" customHeight="1">
      <c r="A165" s="273"/>
      <c r="B165" s="330"/>
    </row>
    <row r="166" spans="1:11" ht="14.85" customHeight="1"/>
    <row r="167" spans="1:11" ht="14.85" customHeight="1"/>
    <row r="168" spans="1:11" ht="14.85" customHeight="1">
      <c r="B168" s="182" t="s">
        <v>875</v>
      </c>
    </row>
    <row r="169" spans="1:11" ht="14.85" customHeight="1">
      <c r="B169" s="179" t="s">
        <v>876</v>
      </c>
      <c r="E169" s="255">
        <f>SUM(E85:E85)</f>
        <v>7277.4806307108865</v>
      </c>
    </row>
    <row r="170" spans="1:11" ht="14.85" customHeight="1">
      <c r="B170" s="179" t="s">
        <v>877</v>
      </c>
    </row>
    <row r="171" spans="1:11" ht="14.85" customHeight="1">
      <c r="B171" s="179" t="s">
        <v>878</v>
      </c>
      <c r="E171" s="349">
        <f>+E169/E103</f>
        <v>4709.2546317088236</v>
      </c>
      <c r="H171" s="331" t="s">
        <v>676</v>
      </c>
      <c r="I171" s="332"/>
      <c r="J171" s="332"/>
      <c r="K171" s="333"/>
    </row>
    <row r="172" spans="1:11" ht="14.85" customHeight="1">
      <c r="H172" s="334">
        <v>0</v>
      </c>
      <c r="I172" s="335" t="s">
        <v>3171</v>
      </c>
      <c r="J172" s="336"/>
      <c r="K172" s="337"/>
    </row>
    <row r="173" spans="1:11" ht="14.85" customHeight="1">
      <c r="B173" s="287" t="s">
        <v>622</v>
      </c>
      <c r="C173" s="282"/>
      <c r="D173" s="1918"/>
      <c r="E173" s="283"/>
      <c r="H173" s="338"/>
      <c r="K173" s="339"/>
    </row>
    <row r="174" spans="1:11" ht="14.85" customHeight="1">
      <c r="H174" s="340" t="s">
        <v>3172</v>
      </c>
      <c r="I174" s="341" t="s">
        <v>3173</v>
      </c>
      <c r="J174" s="341" t="s">
        <v>3174</v>
      </c>
      <c r="K174" s="342" t="s">
        <v>1997</v>
      </c>
    </row>
    <row r="175" spans="1:11" ht="14.85" customHeight="1">
      <c r="B175" s="343" t="str">
        <f>+B82</f>
        <v>Series A</v>
      </c>
      <c r="E175" s="344"/>
      <c r="H175" s="345"/>
      <c r="I175" s="346"/>
      <c r="J175" s="346"/>
      <c r="K175" s="347"/>
    </row>
    <row r="176" spans="1:11" ht="14.85" customHeight="1">
      <c r="B176" s="348" t="str">
        <f>$B$124</f>
        <v>Debt-Like Component</v>
      </c>
      <c r="E176" s="349">
        <f>MIN(E82,$G$61)/$G$70</f>
        <v>1.2796058218112694</v>
      </c>
      <c r="H176" s="350">
        <f>IF($H$172=1,WACC!$D$19,WACC!$D$11)</f>
        <v>0.125</v>
      </c>
      <c r="I176" s="349">
        <f>E193</f>
        <v>0.83684849363577063</v>
      </c>
      <c r="J176" s="351">
        <f>G70</f>
        <v>57758.733999999997</v>
      </c>
      <c r="K176" s="352">
        <f>I176*J176</f>
        <v>48335.309542209165</v>
      </c>
    </row>
    <row r="177" spans="2:11" ht="14.85" customHeight="1">
      <c r="B177" s="348" t="str">
        <f>$B$131</f>
        <v>Equity-Like Component</v>
      </c>
      <c r="E177" s="349">
        <f>(E82-MIN(E82,$G$61))/$G$70</f>
        <v>2.1752978672316923</v>
      </c>
      <c r="H177" s="350">
        <f>IF($H$172=1,WACC!$D$19,WACC!$D$13)</f>
        <v>0.25</v>
      </c>
      <c r="I177" s="349">
        <f>E194</f>
        <v>0.97299738583405637</v>
      </c>
      <c r="J177" s="351">
        <f>J176</f>
        <v>57758.733999999997</v>
      </c>
      <c r="K177" s="352">
        <f>I177*J177</f>
        <v>56199.097191084627</v>
      </c>
    </row>
    <row r="178" spans="2:11" ht="14.85" customHeight="1">
      <c r="B178" s="343" t="str">
        <f>+B83</f>
        <v>Series B</v>
      </c>
      <c r="E178" s="344"/>
      <c r="H178" s="338"/>
      <c r="K178" s="339"/>
    </row>
    <row r="179" spans="2:11" ht="14.85" customHeight="1">
      <c r="B179" s="348" t="str">
        <f>$B$124</f>
        <v>Debt-Like Component</v>
      </c>
      <c r="E179" s="349">
        <f>MIN(E83,$G$62)/$G$71</f>
        <v>2.3550397595678403</v>
      </c>
      <c r="H179" s="353">
        <f>H176</f>
        <v>0.125</v>
      </c>
      <c r="I179" s="349">
        <f t="shared" ref="I179:I185" si="2">E196</f>
        <v>1.5401707632566335</v>
      </c>
      <c r="J179" s="351">
        <f>G71</f>
        <v>12500</v>
      </c>
      <c r="K179" s="352">
        <f>I179*J179</f>
        <v>19252.134540707917</v>
      </c>
    </row>
    <row r="180" spans="2:11" ht="14.85" customHeight="1">
      <c r="B180" s="348" t="str">
        <f>$B$131</f>
        <v>Equity-Like Component</v>
      </c>
      <c r="E180" s="349">
        <f>(E83-MIN(E83,$G$62))/$G$71</f>
        <v>1.0998639294751209</v>
      </c>
      <c r="H180" s="353">
        <f>H177</f>
        <v>0.25</v>
      </c>
      <c r="I180" s="349">
        <f t="shared" si="2"/>
        <v>0.49196238559934269</v>
      </c>
      <c r="J180" s="351">
        <f>J179</f>
        <v>12500</v>
      </c>
      <c r="K180" s="352">
        <f>I180*J180</f>
        <v>6149.5298199917834</v>
      </c>
    </row>
    <row r="181" spans="2:11" ht="14.85" customHeight="1">
      <c r="B181" s="343" t="str">
        <f>+B84</f>
        <v>Series C</v>
      </c>
      <c r="E181" s="344"/>
      <c r="H181" s="338"/>
      <c r="I181" s="349">
        <f t="shared" si="2"/>
        <v>0</v>
      </c>
      <c r="K181" s="339"/>
    </row>
    <row r="182" spans="2:11" ht="14.85" customHeight="1">
      <c r="B182" s="348" t="str">
        <f>$B$124</f>
        <v>Debt-Like Component</v>
      </c>
      <c r="E182" s="349">
        <f>MIN(E84,$G$63)/$G$72</f>
        <v>2.2625572463935675</v>
      </c>
      <c r="H182" s="353">
        <f>H179</f>
        <v>0.125</v>
      </c>
      <c r="I182" s="349">
        <f t="shared" si="2"/>
        <v>1.4796881907969441</v>
      </c>
      <c r="J182" s="351">
        <f>G72</f>
        <v>27528.580999999998</v>
      </c>
      <c r="K182" s="352">
        <f>I182*J182</f>
        <v>40733.716215097127</v>
      </c>
    </row>
    <row r="183" spans="2:11" ht="14.85" customHeight="1">
      <c r="B183" s="348" t="str">
        <f>$B$131</f>
        <v>Equity-Like Component</v>
      </c>
      <c r="E183" s="349">
        <f>(E84-MIN(E84,$G$63))/$G$72</f>
        <v>1.1923464426493939</v>
      </c>
      <c r="H183" s="353">
        <f>H180</f>
        <v>0.25</v>
      </c>
      <c r="I183" s="349">
        <f t="shared" si="2"/>
        <v>0.53332924616104016</v>
      </c>
      <c r="J183" s="351">
        <f>J182</f>
        <v>27528.580999999998</v>
      </c>
      <c r="K183" s="352">
        <f>I183*J183</f>
        <v>14681.797352613132</v>
      </c>
    </row>
    <row r="184" spans="2:11" ht="14.85" customHeight="1">
      <c r="B184" s="343" t="str">
        <f>+B85</f>
        <v>Expected Options Grant</v>
      </c>
      <c r="E184" s="349">
        <f>E85/$G73</f>
        <v>2.9649036890429605</v>
      </c>
      <c r="H184" s="353">
        <f>H185</f>
        <v>0.25</v>
      </c>
      <c r="I184" s="349">
        <f t="shared" si="2"/>
        <v>1.3261832239829452</v>
      </c>
      <c r="J184" s="351">
        <f>G73</f>
        <v>2454.5419999999999</v>
      </c>
      <c r="K184" s="352">
        <f>I184*J184</f>
        <v>3255.1724229615461</v>
      </c>
    </row>
    <row r="185" spans="2:11" ht="14.85" customHeight="1">
      <c r="B185" s="343" t="str">
        <f>+B86</f>
        <v>Common Stock</v>
      </c>
      <c r="E185" s="349">
        <f>E86/$G74</f>
        <v>3.4549036890429616</v>
      </c>
      <c r="H185" s="350">
        <f>IF($H$172=1,WACC!$D$19,WACC!$D$15)</f>
        <v>0.25</v>
      </c>
      <c r="I185" s="349">
        <f t="shared" si="2"/>
        <v>1.545357216768324</v>
      </c>
      <c r="J185" s="351">
        <f>G74</f>
        <v>27759.431</v>
      </c>
      <c r="K185" s="352">
        <f>I185*J185</f>
        <v>42898.237029232332</v>
      </c>
    </row>
    <row r="186" spans="2:11" ht="14.85" customHeight="1">
      <c r="B186" s="343"/>
      <c r="H186" s="338"/>
      <c r="K186" s="339"/>
    </row>
    <row r="187" spans="2:11" ht="14.85" customHeight="1">
      <c r="H187" s="338"/>
      <c r="J187" s="208" t="s">
        <v>3175</v>
      </c>
      <c r="K187" s="354">
        <f>ROUND(SUM(K176:K186),-1)</f>
        <v>231500</v>
      </c>
    </row>
    <row r="188" spans="2:11" ht="14.85" customHeight="1">
      <c r="H188" s="338"/>
      <c r="J188" s="208" t="s">
        <v>3176</v>
      </c>
      <c r="K188" s="355">
        <f>E160</f>
        <v>228549.97727441959</v>
      </c>
    </row>
    <row r="189" spans="2:11" ht="14.85" customHeight="1">
      <c r="H189" s="356"/>
      <c r="I189" s="264"/>
      <c r="J189" s="357" t="s">
        <v>3177</v>
      </c>
      <c r="K189" s="358">
        <f>K187-K188</f>
        <v>2950.0227255804057</v>
      </c>
    </row>
    <row r="190" spans="2:11" ht="14.85" customHeight="1">
      <c r="B190" s="359" t="s">
        <v>3170</v>
      </c>
      <c r="C190" s="336"/>
      <c r="D190" s="1834"/>
      <c r="E190" s="337"/>
      <c r="K190" s="360">
        <f>K188/K187-1</f>
        <v>-1.2743078728209123E-2</v>
      </c>
    </row>
    <row r="191" spans="2:11" ht="14.85" customHeight="1"/>
    <row r="192" spans="2:11" ht="14.85" customHeight="1">
      <c r="B192" s="182" t="str">
        <f t="shared" ref="B192:B200" si="3">B175</f>
        <v>Series A</v>
      </c>
    </row>
    <row r="193" spans="2:5" ht="14.85" customHeight="1">
      <c r="B193" s="179" t="str">
        <f t="shared" si="3"/>
        <v>Debt-Like Component</v>
      </c>
      <c r="E193" s="349">
        <f>E176*(1/(1+$H176)^E$12)</f>
        <v>0.83684849363577063</v>
      </c>
    </row>
    <row r="194" spans="2:5" ht="14.85" customHeight="1">
      <c r="B194" s="179" t="str">
        <f t="shared" si="3"/>
        <v>Equity-Like Component</v>
      </c>
      <c r="E194" s="349">
        <f>E177*(1/(1+$H177)^E$12)</f>
        <v>0.97299738583405637</v>
      </c>
    </row>
    <row r="195" spans="2:5" ht="14.85" customHeight="1">
      <c r="B195" s="182" t="str">
        <f t="shared" si="3"/>
        <v>Series B</v>
      </c>
    </row>
    <row r="196" spans="2:5" ht="14.85" customHeight="1">
      <c r="B196" s="179" t="str">
        <f t="shared" si="3"/>
        <v>Debt-Like Component</v>
      </c>
      <c r="E196" s="349">
        <f>E179*(1/(1+$H179)^E$12)</f>
        <v>1.5401707632566335</v>
      </c>
    </row>
    <row r="197" spans="2:5" ht="14.85" customHeight="1">
      <c r="B197" s="179" t="str">
        <f t="shared" si="3"/>
        <v>Equity-Like Component</v>
      </c>
      <c r="E197" s="349">
        <f>E180*(1/(1+$H180)^E$12)</f>
        <v>0.49196238559934269</v>
      </c>
    </row>
    <row r="198" spans="2:5" ht="14.85" customHeight="1">
      <c r="B198" s="182" t="str">
        <f t="shared" si="3"/>
        <v>Series C</v>
      </c>
    </row>
    <row r="199" spans="2:5" ht="14.85" customHeight="1">
      <c r="B199" s="179" t="str">
        <f t="shared" si="3"/>
        <v>Debt-Like Component</v>
      </c>
      <c r="E199" s="349">
        <f>E182*(1/(1+$H182)^E$12)</f>
        <v>1.4796881907969441</v>
      </c>
    </row>
    <row r="200" spans="2:5" ht="14.85" customHeight="1">
      <c r="B200" s="179" t="str">
        <f t="shared" si="3"/>
        <v>Equity-Like Component</v>
      </c>
      <c r="E200" s="349">
        <f>E183*(1/(1+$H183)^E$12)</f>
        <v>0.53332924616104016</v>
      </c>
    </row>
    <row r="201" spans="2:5" ht="14.85" customHeight="1">
      <c r="B201" s="182" t="str">
        <f>B184</f>
        <v>Expected Options Grant</v>
      </c>
      <c r="E201" s="349">
        <f>E184*(1/(1+$H184)^E$12)</f>
        <v>1.3261832239829452</v>
      </c>
    </row>
    <row r="202" spans="2:5" ht="14.85" customHeight="1">
      <c r="B202" s="182" t="str">
        <f>B185</f>
        <v>Common Stock</v>
      </c>
      <c r="E202" s="349">
        <f>E185*(1/(1+$H185)^E$12)</f>
        <v>1.545357216768324</v>
      </c>
    </row>
    <row r="203" spans="2:5" ht="14.85" customHeight="1"/>
    <row r="204" spans="2:5" ht="14.85" customHeight="1"/>
    <row r="205" spans="2:5" ht="14.85" customHeight="1"/>
    <row r="206" spans="2:5" ht="14.85" customHeight="1"/>
    <row r="207" spans="2:5" ht="14.85" customHeight="1"/>
    <row r="208" spans="2:5"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sheetData>
  <conditionalFormatting sqref="B4:D4">
    <cfRule type="cellIs" dxfId="275" priority="37" stopIfTrue="1" operator="equal">
      <formula>"input"</formula>
    </cfRule>
  </conditionalFormatting>
  <conditionalFormatting sqref="E4">
    <cfRule type="cellIs" dxfId="274" priority="31" stopIfTrue="1" operator="equal">
      <formula>"input"</formula>
    </cfRule>
  </conditionalFormatting>
  <conditionalFormatting sqref="E4">
    <cfRule type="cellIs" dxfId="273" priority="32" stopIfTrue="1" operator="equal">
      <formula>"input"</formula>
    </cfRule>
  </conditionalFormatting>
  <conditionalFormatting sqref="E41:E43 E45">
    <cfRule type="cellIs" dxfId="272" priority="27" operator="equal">
      <formula>0</formula>
    </cfRule>
    <cfRule type="cellIs" dxfId="271" priority="28" operator="equal">
      <formula>0</formula>
    </cfRule>
  </conditionalFormatting>
  <conditionalFormatting sqref="E97">
    <cfRule type="cellIs" dxfId="270" priority="10" operator="equal">
      <formula>0</formula>
    </cfRule>
  </conditionalFormatting>
  <conditionalFormatting sqref="D41:D43 D45">
    <cfRule type="cellIs" dxfId="269" priority="8" operator="equal">
      <formula>0</formula>
    </cfRule>
    <cfRule type="cellIs" dxfId="268" priority="9" operator="equal">
      <formula>0</formula>
    </cfRule>
  </conditionalFormatting>
  <conditionalFormatting sqref="D97">
    <cfRule type="cellIs" dxfId="267" priority="7" operator="equal">
      <formula>0</formula>
    </cfRule>
  </conditionalFormatting>
  <conditionalFormatting sqref="E27 E31 E34:E36 E38 E29">
    <cfRule type="cellIs" dxfId="266" priority="5" operator="equal">
      <formula>0</formula>
    </cfRule>
    <cfRule type="cellIs" dxfId="265" priority="6" operator="equal">
      <formula>0</formula>
    </cfRule>
  </conditionalFormatting>
  <conditionalFormatting sqref="D27 D31 D34:D36 D38 D29">
    <cfRule type="cellIs" dxfId="264" priority="3" operator="equal">
      <formula>0</formula>
    </cfRule>
    <cfRule type="cellIs" dxfId="263" priority="4" operator="equal">
      <formula>0</formula>
    </cfRule>
  </conditionalFormatting>
  <conditionalFormatting sqref="D28:E28">
    <cfRule type="cellIs" dxfId="262" priority="1" operator="equal">
      <formula>0</formula>
    </cfRule>
    <cfRule type="cellIs" dxfId="261" priority="2" operator="equal">
      <formula>0</formula>
    </cfRule>
  </conditionalFormatting>
  <pageMargins left="0.5" right="0.5" top="0.5" bottom="0.5" header="0.5" footer="0.5"/>
  <pageSetup scale="85" fitToWidth="0" fitToHeight="0" orientation="landscape" r:id="rId1"/>
  <rowBreaks count="4" manualBreakCount="4">
    <brk id="47" max="13" man="1"/>
    <brk id="78" max="5" man="1"/>
    <brk id="113" max="5" man="1"/>
    <brk id="145" max="5"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8"/>
  <dimension ref="A1:R622"/>
  <sheetViews>
    <sheetView showGridLines="0" view="pageBreakPreview" topLeftCell="A22" zoomScale="85" zoomScaleNormal="85" zoomScaleSheetLayoutView="85" workbookViewId="0"/>
  </sheetViews>
  <sheetFormatPr defaultRowHeight="12.75" outlineLevelRow="1"/>
  <cols>
    <col min="1" max="1" width="4.5" style="179" customWidth="1"/>
    <col min="2" max="2" width="52.1640625" style="179" customWidth="1"/>
    <col min="3" max="3" width="2.83203125" style="179" customWidth="1"/>
    <col min="4" max="10" width="18.1640625" style="179" customWidth="1"/>
    <col min="11" max="11" width="4.5" style="179" customWidth="1"/>
    <col min="12" max="12" width="14.83203125" style="179" customWidth="1"/>
    <col min="13" max="13" width="1.83203125" style="179" customWidth="1"/>
    <col min="14" max="14" width="14.83203125" style="203" customWidth="1"/>
    <col min="15" max="18" width="14.83203125" style="179" customWidth="1"/>
    <col min="19" max="16384" width="9.33203125" style="179"/>
  </cols>
  <sheetData>
    <row r="1" spans="2:14" ht="10.7" customHeight="1" thickBot="1"/>
    <row r="2" spans="2:14" ht="16.5" customHeight="1" thickTop="1">
      <c r="B2" s="187" t="str">
        <f>'MASTER PubCo Inputs'!$C$5</f>
        <v>Decibel Therapeutics, Inc.</v>
      </c>
      <c r="C2" s="187"/>
      <c r="D2" s="187"/>
      <c r="E2" s="187"/>
      <c r="F2" s="187"/>
      <c r="G2" s="187"/>
      <c r="H2" s="187"/>
      <c r="I2" s="187"/>
      <c r="J2" s="187"/>
    </row>
    <row r="3" spans="2:14" ht="15.75" customHeight="1">
      <c r="B3" s="188" t="str">
        <f>VLOOKUP(B4,Outline!$E$8:$G$75,COLUMNS(Outline!$E$8:$G$8),FALSE)</f>
        <v>Workpaper #4</v>
      </c>
      <c r="C3" s="188"/>
      <c r="D3" s="188"/>
      <c r="E3" s="188"/>
      <c r="F3" s="188"/>
      <c r="G3" s="188"/>
      <c r="H3" s="188"/>
      <c r="I3" s="188"/>
      <c r="J3" s="188"/>
    </row>
    <row r="4" spans="2:14" ht="16.5" customHeight="1" thickBot="1">
      <c r="B4" s="726" t="s">
        <v>2004</v>
      </c>
      <c r="C4" s="726"/>
      <c r="D4" s="726"/>
      <c r="E4" s="726"/>
      <c r="F4" s="726"/>
      <c r="G4" s="726"/>
      <c r="H4" s="726"/>
      <c r="I4" s="726"/>
      <c r="J4" s="727" t="str">
        <f>+'MASTER PubCo Inputs'!$C$20</f>
        <v>(in thousands of USD and shares, except price per share)</v>
      </c>
    </row>
    <row r="5" spans="2:14" ht="14.85" customHeight="1" thickTop="1"/>
    <row r="6" spans="2:14" ht="14.85" customHeight="1"/>
    <row r="7" spans="2:14" ht="14.85" customHeight="1">
      <c r="B7" s="545" t="s">
        <v>387</v>
      </c>
      <c r="C7" s="546"/>
      <c r="D7" s="546"/>
      <c r="E7" s="1527" t="s">
        <v>70</v>
      </c>
      <c r="F7" s="546"/>
      <c r="G7" s="546"/>
      <c r="H7" s="546"/>
      <c r="I7" s="546"/>
      <c r="J7" s="1822"/>
    </row>
    <row r="8" spans="2:14" s="549" customFormat="1" ht="14.85" customHeight="1">
      <c r="B8" s="548"/>
      <c r="C8" s="548"/>
      <c r="D8" s="548"/>
      <c r="E8" s="548"/>
      <c r="F8" s="548"/>
      <c r="G8" s="548"/>
      <c r="H8" s="548"/>
      <c r="I8" s="548"/>
      <c r="J8" s="548"/>
      <c r="N8" s="550"/>
    </row>
    <row r="9" spans="2:14" ht="14.85" customHeight="1">
      <c r="B9" s="179" t="s">
        <v>385</v>
      </c>
      <c r="C9" s="551"/>
      <c r="D9" s="253">
        <f>'Hybrid OPM'!J52</f>
        <v>160203.87527848835</v>
      </c>
      <c r="E9" s="179" t="str">
        <f>'Hybrid OPM'!B3</f>
        <v>Workpaper #2</v>
      </c>
    </row>
    <row r="10" spans="2:14" ht="14.85" customHeight="1">
      <c r="B10" s="179" t="s">
        <v>386</v>
      </c>
      <c r="D10" s="553">
        <v>2.5</v>
      </c>
      <c r="E10" s="179" t="s">
        <v>2292</v>
      </c>
    </row>
    <row r="11" spans="2:14" ht="14.85" customHeight="1">
      <c r="B11" s="549" t="s">
        <v>74</v>
      </c>
      <c r="C11" s="554"/>
      <c r="D11" s="555">
        <f>'Asset Vol Hybrid'!$Q$27</f>
        <v>0.69599999999999995</v>
      </c>
      <c r="E11" s="179" t="str">
        <f>'Asset Vol Hybrid'!$B$3</f>
        <v>Workpaper #7</v>
      </c>
      <c r="G11" s="329"/>
    </row>
    <row r="12" spans="2:14" ht="14.85" customHeight="1">
      <c r="B12" s="179" t="s">
        <v>72</v>
      </c>
      <c r="C12" s="554"/>
      <c r="D12" s="556">
        <f>'Asset Vol Hybrid'!$O$27</f>
        <v>2.5399999999999999E-2</v>
      </c>
      <c r="E12" s="179" t="str">
        <f>'Risk-Free Rates_Hybrid'!B3</f>
        <v>Workpaper #11</v>
      </c>
      <c r="G12" s="329"/>
    </row>
    <row r="13" spans="2:14" ht="14.85" customHeight="1">
      <c r="B13" s="179" t="s">
        <v>73</v>
      </c>
      <c r="D13" s="557">
        <v>0</v>
      </c>
      <c r="E13" s="179" t="s">
        <v>2292</v>
      </c>
      <c r="G13" s="329"/>
    </row>
    <row r="14" spans="2:14" ht="14.85" customHeight="1">
      <c r="D14" s="324"/>
      <c r="G14" s="329"/>
    </row>
    <row r="15" spans="2:14" ht="14.85" customHeight="1">
      <c r="D15" s="558">
        <v>1</v>
      </c>
      <c r="E15" s="559">
        <f t="shared" ref="E15:J15" si="0">D15+1</f>
        <v>2</v>
      </c>
      <c r="F15" s="559">
        <f t="shared" si="0"/>
        <v>3</v>
      </c>
      <c r="G15" s="559">
        <f t="shared" si="0"/>
        <v>4</v>
      </c>
      <c r="H15" s="559">
        <f t="shared" si="0"/>
        <v>5</v>
      </c>
      <c r="I15" s="559">
        <f t="shared" si="0"/>
        <v>6</v>
      </c>
      <c r="J15" s="1820">
        <f t="shared" si="0"/>
        <v>7</v>
      </c>
    </row>
    <row r="16" spans="2:14" s="200" customFormat="1" ht="76.5">
      <c r="B16" s="560" t="s">
        <v>388</v>
      </c>
      <c r="D16" s="561" t="str">
        <f t="array" ref="D16:J16">TRANSPOSE('Econ Rights'!O15:O21)</f>
        <v>Preferred Series B and Series C Receives Liquidation Preference</v>
      </c>
      <c r="E16" s="366" t="str">
        <v>Preferred Series A Receives Liquidation Preference</v>
      </c>
      <c r="F16" s="366" t="str">
        <v>Common Starts Receiving Value</v>
      </c>
      <c r="G16" s="366" t="str">
        <v>Expected Options Grant Exercise at $0.49</v>
      </c>
      <c r="H16" s="366" t="str">
        <v>Preferred Series A Converts to Common</v>
      </c>
      <c r="I16" s="366" t="str">
        <v>Preferred Series C Converts to Common</v>
      </c>
      <c r="J16" s="1821" t="str">
        <v>Preferred Series B Converts to Common</v>
      </c>
      <c r="L16" s="562"/>
      <c r="N16" s="265"/>
    </row>
    <row r="17" spans="2:18" ht="14.85" customHeight="1"/>
    <row r="18" spans="2:18" ht="14.85" customHeight="1">
      <c r="B18" s="182" t="s">
        <v>391</v>
      </c>
      <c r="N18" s="286" t="str">
        <f>B18</f>
        <v>Liquidation Preference</v>
      </c>
      <c r="O18" s="286"/>
      <c r="P18" s="286" t="s">
        <v>3364</v>
      </c>
      <c r="R18" s="286" t="s">
        <v>3783</v>
      </c>
    </row>
    <row r="19" spans="2:18" ht="14.85" customHeight="1">
      <c r="B19" s="252" t="str">
        <f>'Cap Table'!$D$7</f>
        <v>Series A</v>
      </c>
      <c r="D19" s="285">
        <v>0</v>
      </c>
      <c r="E19" s="285">
        <f>N19+P19</f>
        <v>79192.432080178041</v>
      </c>
      <c r="F19" s="285">
        <f t="shared" ref="F19:G21" si="1">E19</f>
        <v>79192.432080178041</v>
      </c>
      <c r="G19" s="285">
        <f t="shared" si="1"/>
        <v>79192.432080178041</v>
      </c>
      <c r="H19" s="285">
        <v>0</v>
      </c>
      <c r="I19" s="285">
        <f>H19</f>
        <v>0</v>
      </c>
      <c r="J19" s="285">
        <f>I19</f>
        <v>0</v>
      </c>
      <c r="L19" s="255"/>
      <c r="N19" s="563">
        <f>SUM('Econ Rights'!$D$17:$H$17)</f>
        <v>57758.734000000004</v>
      </c>
      <c r="P19" s="563">
        <f>SUM('Econ Rights'!$D$29:$H$29)</f>
        <v>21433.698080178041</v>
      </c>
      <c r="R19" s="1466">
        <f>SUM(N19:P19)/N33</f>
        <v>1.3710901641330651</v>
      </c>
    </row>
    <row r="20" spans="2:18" ht="14.85" customHeight="1">
      <c r="B20" s="252" t="str">
        <f>'Cap Table'!$E$7</f>
        <v>Series B</v>
      </c>
      <c r="D20" s="285">
        <f>N20+P20</f>
        <v>31542.641837890234</v>
      </c>
      <c r="E20" s="285">
        <f>D20</f>
        <v>31542.641837890234</v>
      </c>
      <c r="F20" s="285">
        <f t="shared" si="1"/>
        <v>31542.641837890234</v>
      </c>
      <c r="G20" s="285">
        <f t="shared" si="1"/>
        <v>31542.641837890234</v>
      </c>
      <c r="H20" s="285">
        <f>G20</f>
        <v>31542.641837890234</v>
      </c>
      <c r="I20" s="285">
        <f>H20</f>
        <v>31542.641837890234</v>
      </c>
      <c r="J20" s="285">
        <v>0</v>
      </c>
      <c r="N20" s="563">
        <f>'Econ Rights'!$I$17</f>
        <v>25000</v>
      </c>
      <c r="P20" s="563">
        <f>'Econ Rights'!$I$29</f>
        <v>6542.6418378902345</v>
      </c>
      <c r="R20" s="1466">
        <f>SUM(N20:P20)/N34</f>
        <v>2.5234113470312187</v>
      </c>
    </row>
    <row r="21" spans="2:18" ht="14.85" customHeight="1">
      <c r="B21" s="252" t="str">
        <f>'Cap Table'!$F$7</f>
        <v>Series C</v>
      </c>
      <c r="D21" s="285">
        <f>N21+P21</f>
        <v>66738.003444880625</v>
      </c>
      <c r="E21" s="285">
        <f>D21</f>
        <v>66738.003444880625</v>
      </c>
      <c r="F21" s="285">
        <f t="shared" si="1"/>
        <v>66738.003444880625</v>
      </c>
      <c r="G21" s="285">
        <f t="shared" si="1"/>
        <v>66738.003444880625</v>
      </c>
      <c r="H21" s="285">
        <f>G21</f>
        <v>66738.003444880625</v>
      </c>
      <c r="I21" s="285">
        <v>0</v>
      </c>
      <c r="J21" s="285">
        <f>I21</f>
        <v>0</v>
      </c>
      <c r="N21" s="563">
        <f>'Econ Rights'!$J$17</f>
        <v>55057.161999999997</v>
      </c>
      <c r="P21" s="563">
        <f>'Econ Rights'!$J$29</f>
        <v>11680.841444880634</v>
      </c>
      <c r="R21" s="1466">
        <f>SUM(N21:P21)/N35</f>
        <v>2.4243168743380066</v>
      </c>
    </row>
    <row r="22" spans="2:18" ht="14.85" customHeight="1">
      <c r="B22" s="264"/>
      <c r="C22" s="264"/>
      <c r="D22" s="264"/>
      <c r="E22" s="264"/>
      <c r="F22" s="264"/>
      <c r="G22" s="264"/>
      <c r="H22" s="264"/>
      <c r="I22" s="264"/>
      <c r="J22" s="264"/>
      <c r="N22" s="567"/>
    </row>
    <row r="23" spans="2:18" ht="14.85" customHeight="1">
      <c r="B23" s="286" t="s">
        <v>544</v>
      </c>
      <c r="D23" s="309">
        <f t="shared" ref="D23:J23" si="2">SUM(D19:D21)</f>
        <v>98280.645282770856</v>
      </c>
      <c r="E23" s="309">
        <f t="shared" si="2"/>
        <v>177473.07736294891</v>
      </c>
      <c r="F23" s="309">
        <f t="shared" si="2"/>
        <v>177473.07736294891</v>
      </c>
      <c r="G23" s="309">
        <f t="shared" si="2"/>
        <v>177473.07736294891</v>
      </c>
      <c r="H23" s="309">
        <f t="shared" si="2"/>
        <v>98280.645282770856</v>
      </c>
      <c r="I23" s="309">
        <f t="shared" si="2"/>
        <v>31542.641837890234</v>
      </c>
      <c r="J23" s="309">
        <f t="shared" si="2"/>
        <v>0</v>
      </c>
    </row>
    <row r="24" spans="2:18" ht="14.85" hidden="1" customHeight="1" outlineLevel="1"/>
    <row r="25" spans="2:18" ht="14.85" hidden="1" customHeight="1" outlineLevel="1">
      <c r="B25" s="182" t="s">
        <v>619</v>
      </c>
      <c r="N25" s="286" t="str">
        <f>B25</f>
        <v>Capped Value</v>
      </c>
    </row>
    <row r="26" spans="2:18" ht="14.85" hidden="1" customHeight="1" outlineLevel="1">
      <c r="B26" s="252" t="str">
        <f>'Cap Table'!$D$7</f>
        <v>Series A</v>
      </c>
      <c r="D26" s="263">
        <f t="shared" ref="D26:J26" si="3">D19</f>
        <v>0</v>
      </c>
      <c r="E26" s="263">
        <f t="shared" si="3"/>
        <v>79192.432080178041</v>
      </c>
      <c r="F26" s="263">
        <f t="shared" si="3"/>
        <v>79192.432080178041</v>
      </c>
      <c r="G26" s="263">
        <f t="shared" si="3"/>
        <v>79192.432080178041</v>
      </c>
      <c r="H26" s="263">
        <f t="shared" si="3"/>
        <v>0</v>
      </c>
      <c r="I26" s="263">
        <f t="shared" si="3"/>
        <v>0</v>
      </c>
      <c r="J26" s="263">
        <f t="shared" si="3"/>
        <v>0</v>
      </c>
      <c r="L26" s="564" t="s">
        <v>620</v>
      </c>
      <c r="N26" s="565"/>
    </row>
    <row r="27" spans="2:18" ht="14.85" hidden="1" customHeight="1" outlineLevel="1">
      <c r="B27" s="252" t="str">
        <f>'Cap Table'!$E$7</f>
        <v>Series B</v>
      </c>
      <c r="D27" s="263">
        <f>D20</f>
        <v>31542.641837890234</v>
      </c>
      <c r="E27" s="263">
        <f t="shared" ref="E27:J27" si="4">E20</f>
        <v>31542.641837890234</v>
      </c>
      <c r="F27" s="263">
        <f t="shared" si="4"/>
        <v>31542.641837890234</v>
      </c>
      <c r="G27" s="263">
        <f t="shared" si="4"/>
        <v>31542.641837890234</v>
      </c>
      <c r="H27" s="263">
        <f t="shared" si="4"/>
        <v>31542.641837890234</v>
      </c>
      <c r="I27" s="263">
        <f t="shared" si="4"/>
        <v>31542.641837890234</v>
      </c>
      <c r="J27" s="263">
        <f t="shared" si="4"/>
        <v>0</v>
      </c>
      <c r="L27" s="564" t="s">
        <v>620</v>
      </c>
      <c r="N27" s="566"/>
    </row>
    <row r="28" spans="2:18" ht="14.85" hidden="1" customHeight="1" outlineLevel="1">
      <c r="B28" s="252" t="str">
        <f>'Cap Table'!$F$7</f>
        <v>Series C</v>
      </c>
      <c r="D28" s="263">
        <f t="shared" ref="D28:J28" si="5">D21</f>
        <v>66738.003444880625</v>
      </c>
      <c r="E28" s="263">
        <f t="shared" si="5"/>
        <v>66738.003444880625</v>
      </c>
      <c r="F28" s="263">
        <f t="shared" si="5"/>
        <v>66738.003444880625</v>
      </c>
      <c r="G28" s="263">
        <f t="shared" si="5"/>
        <v>66738.003444880625</v>
      </c>
      <c r="H28" s="263">
        <f t="shared" si="5"/>
        <v>66738.003444880625</v>
      </c>
      <c r="I28" s="263">
        <f t="shared" si="5"/>
        <v>0</v>
      </c>
      <c r="J28" s="263">
        <f t="shared" si="5"/>
        <v>0</v>
      </c>
      <c r="L28" s="564" t="s">
        <v>620</v>
      </c>
      <c r="N28" s="566"/>
    </row>
    <row r="29" spans="2:18" ht="14.85" hidden="1" customHeight="1" outlineLevel="1">
      <c r="B29" s="264"/>
      <c r="C29" s="264"/>
      <c r="D29" s="264"/>
      <c r="E29" s="264"/>
      <c r="F29" s="264"/>
      <c r="G29" s="264"/>
      <c r="H29" s="264"/>
      <c r="I29" s="264"/>
      <c r="J29" s="264"/>
      <c r="N29" s="567"/>
    </row>
    <row r="30" spans="2:18" ht="14.85" hidden="1" customHeight="1" outlineLevel="1">
      <c r="B30" s="286" t="s">
        <v>163</v>
      </c>
      <c r="D30" s="309">
        <f t="shared" ref="D30:J30" si="6">SUM(D26:D28)</f>
        <v>98280.645282770856</v>
      </c>
      <c r="E30" s="309">
        <f t="shared" si="6"/>
        <v>177473.07736294891</v>
      </c>
      <c r="F30" s="309">
        <f t="shared" si="6"/>
        <v>177473.07736294891</v>
      </c>
      <c r="G30" s="309">
        <f t="shared" si="6"/>
        <v>177473.07736294891</v>
      </c>
      <c r="H30" s="309">
        <f t="shared" si="6"/>
        <v>98280.645282770856</v>
      </c>
      <c r="I30" s="309">
        <f t="shared" si="6"/>
        <v>31542.641837890234</v>
      </c>
      <c r="J30" s="309">
        <f t="shared" si="6"/>
        <v>0</v>
      </c>
    </row>
    <row r="31" spans="2:18" ht="14.85" customHeight="1" collapsed="1"/>
    <row r="32" spans="2:18" ht="14.85" customHeight="1">
      <c r="B32" s="182" t="s">
        <v>547</v>
      </c>
      <c r="N32" s="286" t="str">
        <f>+B32</f>
        <v>Shares Outstanding / Converted to Common Stock</v>
      </c>
    </row>
    <row r="33" spans="2:16" ht="14.85" customHeight="1">
      <c r="B33" s="252" t="str">
        <f>+$B19</f>
        <v>Series A</v>
      </c>
      <c r="D33" s="285">
        <f>IF(SUM(D19:$J19)=0,$N33,0)</f>
        <v>0</v>
      </c>
      <c r="E33" s="285">
        <f>IF(SUM(E19:$J19)=0,$N33,0)</f>
        <v>0</v>
      </c>
      <c r="F33" s="285">
        <f>IF(SUM(F19:$J19)=0,$N33,0)</f>
        <v>0</v>
      </c>
      <c r="G33" s="285">
        <f>IF(SUM(G19:$J19)=0,$N33,0)</f>
        <v>0</v>
      </c>
      <c r="H33" s="285">
        <f>IF(SUM(H19:$J19)=0,$N33,0)</f>
        <v>57758.733999999997</v>
      </c>
      <c r="I33" s="285">
        <f>IF(SUM(I19:$J19)=0,$N33,0)</f>
        <v>57758.733999999997</v>
      </c>
      <c r="J33" s="285">
        <f>IF(SUM(J19:$J19)=0,$N33,0)</f>
        <v>57758.733999999997</v>
      </c>
      <c r="N33" s="563">
        <f>+'Cap Table'!$D$11*'Cap Table'!$D$19</f>
        <v>57758.733999999997</v>
      </c>
    </row>
    <row r="34" spans="2:16" ht="14.85" customHeight="1">
      <c r="B34" s="252" t="str">
        <f>+$B20</f>
        <v>Series B</v>
      </c>
      <c r="D34" s="285">
        <f>IF(SUM(D20:$J20)=0,$N34,0)</f>
        <v>0</v>
      </c>
      <c r="E34" s="285">
        <f>IF(SUM(E20:$J20)=0,$N34,0)</f>
        <v>0</v>
      </c>
      <c r="F34" s="285">
        <f>IF(SUM(F20:$J20)=0,$N34,0)</f>
        <v>0</v>
      </c>
      <c r="G34" s="285">
        <f>IF(SUM(G20:$J20)=0,$N34,0)</f>
        <v>0</v>
      </c>
      <c r="H34" s="285">
        <f>IF(SUM(H20:$J20)=0,$N34,0)</f>
        <v>0</v>
      </c>
      <c r="I34" s="285">
        <f>IF(SUM(I20:$J20)=0,$N34,0)</f>
        <v>0</v>
      </c>
      <c r="J34" s="285">
        <f>IF(SUM(J20:$J20)=0,$N34,0)</f>
        <v>12500</v>
      </c>
      <c r="N34" s="563">
        <f>+'Cap Table'!$E$11*'Cap Table'!$E$19</f>
        <v>12500</v>
      </c>
    </row>
    <row r="35" spans="2:16" ht="14.85" customHeight="1">
      <c r="B35" s="252" t="str">
        <f>+$B21</f>
        <v>Series C</v>
      </c>
      <c r="D35" s="285">
        <f>IF(SUM(D21:$J21)=0,$N35,0)</f>
        <v>0</v>
      </c>
      <c r="E35" s="285">
        <f>IF(SUM(E21:$J21)=0,$N35,0)</f>
        <v>0</v>
      </c>
      <c r="F35" s="285">
        <f>IF(SUM(F21:$J21)=0,$N35,0)</f>
        <v>0</v>
      </c>
      <c r="G35" s="285">
        <f>IF(SUM(G21:$J21)=0,$N35,0)</f>
        <v>0</v>
      </c>
      <c r="H35" s="285">
        <f>IF(SUM(H21:$J21)=0,$N35,0)</f>
        <v>0</v>
      </c>
      <c r="I35" s="285">
        <f>IF(SUM(I21:$J21)=0,$N35,0)</f>
        <v>27528.580999999998</v>
      </c>
      <c r="J35" s="285">
        <f>IF(SUM(J21:$J21)=0,$N35,0)</f>
        <v>27528.580999999998</v>
      </c>
      <c r="N35" s="563">
        <f>+'Cap Table'!$F$11*'Cap Table'!$F$19</f>
        <v>27528.580999999998</v>
      </c>
    </row>
    <row r="36" spans="2:16" ht="14.85" customHeight="1">
      <c r="B36" s="313" t="str">
        <f>'Cap Table'!$B25</f>
        <v>Expected Options Grant</v>
      </c>
      <c r="D36" s="285">
        <f>IF(D41&lt;$P$36,0,$N$36)</f>
        <v>0</v>
      </c>
      <c r="E36" s="285">
        <f t="shared" ref="E36:J36" si="7">IF(E41&lt;$P$36,0,$N$36)</f>
        <v>0</v>
      </c>
      <c r="F36" s="285">
        <f t="shared" si="7"/>
        <v>0</v>
      </c>
      <c r="G36" s="285">
        <f t="shared" si="7"/>
        <v>2454.5419999999999</v>
      </c>
      <c r="H36" s="285">
        <f t="shared" si="7"/>
        <v>2454.5419999999999</v>
      </c>
      <c r="I36" s="285">
        <f t="shared" si="7"/>
        <v>2454.5419999999999</v>
      </c>
      <c r="J36" s="285">
        <f t="shared" si="7"/>
        <v>2454.5419999999999</v>
      </c>
      <c r="N36" s="563">
        <f>+'Cap Table'!$D25</f>
        <v>2454.5419999999999</v>
      </c>
      <c r="P36" s="568">
        <f>'Cap Table'!E25</f>
        <v>0.49</v>
      </c>
    </row>
    <row r="37" spans="2:16" ht="14.85" customHeight="1">
      <c r="B37" s="314" t="str">
        <f>'Cap Table'!$K7 &amp;" Stock"</f>
        <v>Common Stock</v>
      </c>
      <c r="D37" s="285">
        <v>0</v>
      </c>
      <c r="E37" s="285">
        <v>0</v>
      </c>
      <c r="F37" s="285">
        <f>N37</f>
        <v>27759.431</v>
      </c>
      <c r="G37" s="285">
        <f>F37</f>
        <v>27759.431</v>
      </c>
      <c r="H37" s="285">
        <f>G37</f>
        <v>27759.431</v>
      </c>
      <c r="I37" s="285">
        <f>H37</f>
        <v>27759.431</v>
      </c>
      <c r="J37" s="285">
        <f>I37</f>
        <v>27759.431</v>
      </c>
      <c r="N37" s="563">
        <f>+'Cap Table'!K11</f>
        <v>27759.431</v>
      </c>
      <c r="P37" s="349"/>
    </row>
    <row r="38" spans="2:16" ht="14.85" customHeight="1" thickBot="1">
      <c r="B38" s="264"/>
      <c r="C38" s="264"/>
      <c r="D38" s="264"/>
      <c r="E38" s="264"/>
      <c r="F38" s="264"/>
      <c r="G38" s="264"/>
      <c r="H38" s="264"/>
      <c r="I38" s="264"/>
      <c r="J38" s="264"/>
      <c r="N38" s="569"/>
    </row>
    <row r="39" spans="2:16" ht="14.85" customHeight="1" thickBot="1">
      <c r="B39" s="286" t="s">
        <v>163</v>
      </c>
      <c r="D39" s="309">
        <f t="shared" ref="D39:J39" si="8">SUM(D33:D37)</f>
        <v>0</v>
      </c>
      <c r="E39" s="309">
        <f t="shared" si="8"/>
        <v>0</v>
      </c>
      <c r="F39" s="309">
        <f t="shared" si="8"/>
        <v>27759.431</v>
      </c>
      <c r="G39" s="309">
        <f t="shared" si="8"/>
        <v>30213.973000000002</v>
      </c>
      <c r="H39" s="309">
        <f t="shared" si="8"/>
        <v>87972.706999999995</v>
      </c>
      <c r="I39" s="309">
        <f t="shared" si="8"/>
        <v>115501.288</v>
      </c>
      <c r="J39" s="309">
        <f t="shared" si="8"/>
        <v>128001.288</v>
      </c>
      <c r="L39" s="570" t="str">
        <f>IF(N39&lt;&gt;('Cap Table'!M21-'Cap Table'!M15+N36),"ERROR","")</f>
        <v/>
      </c>
      <c r="N39" s="309">
        <f>SUM(N33:N37)</f>
        <v>128001.288</v>
      </c>
    </row>
    <row r="40" spans="2:16" ht="14.85" customHeight="1"/>
    <row r="41" spans="2:16" ht="14.85" customHeight="1">
      <c r="B41" s="252" t="s">
        <v>393</v>
      </c>
      <c r="D41" s="1817">
        <f t="array" ref="D41:J41">TRANSPOSE('Econ Rights'!M15:M21)</f>
        <v>0</v>
      </c>
      <c r="E41" s="1817">
        <v>0</v>
      </c>
      <c r="F41" s="1817">
        <v>0</v>
      </c>
      <c r="G41" s="1817">
        <v>0.49</v>
      </c>
      <c r="H41" s="1817">
        <v>1.3710901641330651</v>
      </c>
      <c r="I41" s="1817">
        <v>2.4243168743380066</v>
      </c>
      <c r="J41" s="1817">
        <v>2.5234113470312187</v>
      </c>
    </row>
    <row r="42" spans="2:16" ht="14.85" customHeight="1">
      <c r="D42" s="264"/>
      <c r="E42" s="264"/>
      <c r="F42" s="264"/>
      <c r="G42" s="264"/>
      <c r="H42" s="264"/>
      <c r="I42" s="264"/>
      <c r="J42" s="264"/>
    </row>
    <row r="43" spans="2:16" ht="14.85" customHeight="1">
      <c r="B43" s="858" t="s">
        <v>2265</v>
      </c>
      <c r="C43" s="1528"/>
      <c r="D43" s="571">
        <f>D39*D41</f>
        <v>0</v>
      </c>
      <c r="E43" s="571">
        <f t="shared" ref="E43:J43" si="9">E39*E41</f>
        <v>0</v>
      </c>
      <c r="F43" s="571">
        <f t="shared" si="9"/>
        <v>0</v>
      </c>
      <c r="G43" s="571">
        <f t="shared" si="9"/>
        <v>14804.84677</v>
      </c>
      <c r="H43" s="571">
        <f t="shared" si="9"/>
        <v>120618.51327986004</v>
      </c>
      <c r="I43" s="571">
        <f t="shared" si="9"/>
        <v>280011.7215061739</v>
      </c>
      <c r="J43" s="571">
        <f t="shared" si="9"/>
        <v>322999.90257381095</v>
      </c>
    </row>
    <row r="44" spans="2:16" ht="14.85" customHeight="1"/>
    <row r="45" spans="2:16" ht="14.85" customHeight="1">
      <c r="B45" s="252" t="s">
        <v>394</v>
      </c>
      <c r="D45" s="285">
        <f t="shared" ref="D45:J45" si="10">-SUMPRODUCT(D36:D36,$P$36:$P$36)</f>
        <v>0</v>
      </c>
      <c r="E45" s="285">
        <f t="shared" si="10"/>
        <v>0</v>
      </c>
      <c r="F45" s="285">
        <f t="shared" si="10"/>
        <v>0</v>
      </c>
      <c r="G45" s="285">
        <f t="shared" si="10"/>
        <v>-1202.72558</v>
      </c>
      <c r="H45" s="285">
        <f t="shared" si="10"/>
        <v>-1202.72558</v>
      </c>
      <c r="I45" s="285">
        <f t="shared" si="10"/>
        <v>-1202.72558</v>
      </c>
      <c r="J45" s="285">
        <f t="shared" si="10"/>
        <v>-1202.72558</v>
      </c>
    </row>
    <row r="46" spans="2:16" ht="14.85" customHeight="1">
      <c r="B46" s="264"/>
      <c r="C46" s="264"/>
      <c r="D46" s="264"/>
      <c r="E46" s="264"/>
      <c r="F46" s="264"/>
      <c r="G46" s="264"/>
      <c r="H46" s="264"/>
      <c r="I46" s="264"/>
      <c r="J46" s="264"/>
    </row>
    <row r="47" spans="2:16" ht="14.85" customHeight="1">
      <c r="B47" s="286" t="s">
        <v>395</v>
      </c>
      <c r="D47" s="571">
        <f t="shared" ref="D47:J47" si="11">SUM(D43:D45)+D23</f>
        <v>98280.645282770856</v>
      </c>
      <c r="E47" s="571">
        <f t="shared" si="11"/>
        <v>177473.07736294891</v>
      </c>
      <c r="F47" s="571">
        <f t="shared" si="11"/>
        <v>177473.07736294891</v>
      </c>
      <c r="G47" s="571">
        <f t="shared" si="11"/>
        <v>191075.19855294892</v>
      </c>
      <c r="H47" s="571">
        <f t="shared" si="11"/>
        <v>217696.43298263091</v>
      </c>
      <c r="I47" s="571">
        <f t="shared" si="11"/>
        <v>310351.63776406413</v>
      </c>
      <c r="J47" s="571">
        <f t="shared" si="11"/>
        <v>321797.17699381092</v>
      </c>
    </row>
    <row r="48" spans="2:16" ht="14.85" customHeight="1">
      <c r="B48" s="286"/>
      <c r="D48" s="309"/>
      <c r="E48" s="309"/>
      <c r="F48" s="309"/>
      <c r="G48" s="309"/>
      <c r="H48" s="309"/>
      <c r="I48" s="309"/>
      <c r="J48" s="309"/>
    </row>
    <row r="49" spans="1:14" ht="14.85" customHeight="1"/>
    <row r="50" spans="1:14" s="200" customFormat="1" ht="14.85" customHeight="1">
      <c r="A50" s="572"/>
      <c r="B50" s="573" t="s">
        <v>397</v>
      </c>
      <c r="D50" s="574">
        <f>D$15</f>
        <v>1</v>
      </c>
      <c r="E50" s="575">
        <f t="shared" ref="E50:J50" si="12">E$15</f>
        <v>2</v>
      </c>
      <c r="F50" s="575">
        <f t="shared" si="12"/>
        <v>3</v>
      </c>
      <c r="G50" s="575">
        <f t="shared" si="12"/>
        <v>4</v>
      </c>
      <c r="H50" s="575">
        <f t="shared" si="12"/>
        <v>5</v>
      </c>
      <c r="I50" s="575">
        <f t="shared" si="12"/>
        <v>6</v>
      </c>
      <c r="J50" s="1823">
        <f t="shared" si="12"/>
        <v>7</v>
      </c>
      <c r="N50" s="265"/>
    </row>
    <row r="51" spans="1:14" ht="14.85" customHeight="1"/>
    <row r="52" spans="1:14" ht="14.85" customHeight="1">
      <c r="B52" s="179" t="s">
        <v>398</v>
      </c>
      <c r="D52" s="576">
        <v>1E-10</v>
      </c>
      <c r="E52" s="576">
        <f t="shared" ref="E52:J52" si="13">D53</f>
        <v>98280.645282770856</v>
      </c>
      <c r="F52" s="576">
        <f t="shared" si="13"/>
        <v>177473.07736294891</v>
      </c>
      <c r="G52" s="576">
        <f t="shared" si="13"/>
        <v>191075.19855294892</v>
      </c>
      <c r="H52" s="576">
        <f t="shared" si="13"/>
        <v>217696.43298263091</v>
      </c>
      <c r="I52" s="576">
        <f t="shared" si="13"/>
        <v>310351.63776406413</v>
      </c>
      <c r="J52" s="576">
        <f t="shared" si="13"/>
        <v>321797.17699381092</v>
      </c>
    </row>
    <row r="53" spans="1:14" ht="14.85" customHeight="1">
      <c r="B53" s="179" t="s">
        <v>399</v>
      </c>
      <c r="D53" s="576">
        <f>D47</f>
        <v>98280.645282770856</v>
      </c>
      <c r="E53" s="576">
        <f t="shared" ref="E53:J53" si="14">IF(F47=0,"n/a",IF(D53=E47,F47,E47))</f>
        <v>177473.07736294891</v>
      </c>
      <c r="F53" s="576">
        <f t="shared" si="14"/>
        <v>191075.19855294892</v>
      </c>
      <c r="G53" s="576">
        <f t="shared" si="14"/>
        <v>217696.43298263091</v>
      </c>
      <c r="H53" s="576">
        <f t="shared" si="14"/>
        <v>310351.63776406413</v>
      </c>
      <c r="I53" s="576">
        <f t="shared" si="14"/>
        <v>321797.17699381092</v>
      </c>
      <c r="J53" s="576" t="str">
        <f t="shared" si="14"/>
        <v>n/a</v>
      </c>
    </row>
    <row r="54" spans="1:14" ht="14.85" customHeight="1"/>
    <row r="55" spans="1:14" ht="14.85" hidden="1" customHeight="1" outlineLevel="1">
      <c r="B55" s="179" t="s">
        <v>403</v>
      </c>
      <c r="D55" s="255">
        <f t="shared" ref="D55:J55" si="15">(LN($D$9/D52)+($D$12+$D$11^2/2)*$D$10)/($D$11*SQRT($D$10))</f>
        <v>32.421591050091372</v>
      </c>
      <c r="E55" s="255">
        <f t="shared" si="15"/>
        <v>1.0519481213149378</v>
      </c>
      <c r="F55" s="255">
        <f t="shared" si="15"/>
        <v>0.51491358418041722</v>
      </c>
      <c r="G55" s="255">
        <f t="shared" si="15"/>
        <v>0.44780774442168553</v>
      </c>
      <c r="H55" s="255">
        <f t="shared" si="15"/>
        <v>0.32928183130236666</v>
      </c>
      <c r="I55" s="255">
        <f t="shared" si="15"/>
        <v>7.0526557547574802E-3</v>
      </c>
      <c r="J55" s="255">
        <f t="shared" si="15"/>
        <v>-2.5856379078522358E-2</v>
      </c>
    </row>
    <row r="56" spans="1:14" ht="14.85" hidden="1" customHeight="1" outlineLevel="1">
      <c r="B56" s="179" t="s">
        <v>405</v>
      </c>
      <c r="D56" s="255">
        <f>D55-$D$11*SQRT($D$10)</f>
        <v>31.321118424352775</v>
      </c>
      <c r="E56" s="255">
        <f t="shared" ref="E56:J56" si="16">E55-$D$11*SQRT($D$10)</f>
        <v>-4.8524504423658188E-2</v>
      </c>
      <c r="F56" s="255">
        <f t="shared" si="16"/>
        <v>-0.58555904155817873</v>
      </c>
      <c r="G56" s="255">
        <f t="shared" si="16"/>
        <v>-0.65266488131691047</v>
      </c>
      <c r="H56" s="255">
        <f t="shared" si="16"/>
        <v>-0.77119079443622929</v>
      </c>
      <c r="I56" s="255">
        <f t="shared" si="16"/>
        <v>-1.0934199699838385</v>
      </c>
      <c r="J56" s="255">
        <f t="shared" si="16"/>
        <v>-1.1263290048171184</v>
      </c>
    </row>
    <row r="57" spans="1:14" ht="14.85" hidden="1" customHeight="1" outlineLevel="1">
      <c r="D57" s="255"/>
      <c r="E57" s="255"/>
      <c r="F57" s="255"/>
      <c r="G57" s="255"/>
      <c r="H57" s="255"/>
      <c r="I57" s="255"/>
      <c r="J57" s="255"/>
    </row>
    <row r="58" spans="1:14" ht="14.85" hidden="1" customHeight="1" outlineLevel="1">
      <c r="B58" s="179" t="s">
        <v>404</v>
      </c>
      <c r="D58" s="255">
        <f>(LN($D$9/D53)+($D$12+$D$11^2/2)*$D$10)/($D$11*SQRT($D$10))</f>
        <v>1.0519481213149378</v>
      </c>
      <c r="E58" s="576">
        <f t="shared" ref="E58:J58" si="17">IF(E53="n/a","n/a",(LN($D$9/E53)+($D$12+$D$11^2/2)*$D$10)/($D$11*SQRT($D$10)))</f>
        <v>0.51491358418041722</v>
      </c>
      <c r="F58" s="576">
        <f t="shared" si="17"/>
        <v>0.44780774442168553</v>
      </c>
      <c r="G58" s="576">
        <f t="shared" si="17"/>
        <v>0.32928183130236666</v>
      </c>
      <c r="H58" s="576">
        <f t="shared" si="17"/>
        <v>7.0526557547574802E-3</v>
      </c>
      <c r="I58" s="576">
        <f t="shared" si="17"/>
        <v>-2.5856379078522358E-2</v>
      </c>
      <c r="J58" s="576" t="str">
        <f t="shared" si="17"/>
        <v>n/a</v>
      </c>
    </row>
    <row r="59" spans="1:14" ht="14.85" hidden="1" customHeight="1" outlineLevel="1">
      <c r="B59" s="179" t="s">
        <v>406</v>
      </c>
      <c r="D59" s="255">
        <f>D58-$D$11*SQRT($D$10)</f>
        <v>-4.8524504423658188E-2</v>
      </c>
      <c r="E59" s="576">
        <f t="shared" ref="E59:J59" si="18">IF(E53="n/a","n/a",E58-$D$11*SQRT($D$10))</f>
        <v>-0.58555904155817873</v>
      </c>
      <c r="F59" s="576">
        <f t="shared" si="18"/>
        <v>-0.65266488131691047</v>
      </c>
      <c r="G59" s="576">
        <f t="shared" si="18"/>
        <v>-0.77119079443622929</v>
      </c>
      <c r="H59" s="576">
        <f t="shared" si="18"/>
        <v>-1.0934199699838385</v>
      </c>
      <c r="I59" s="576">
        <f t="shared" si="18"/>
        <v>-1.1263290048171184</v>
      </c>
      <c r="J59" s="576" t="str">
        <f t="shared" si="18"/>
        <v>n/a</v>
      </c>
    </row>
    <row r="60" spans="1:14" ht="14.85" hidden="1" customHeight="1" outlineLevel="1">
      <c r="D60" s="255"/>
      <c r="E60" s="255"/>
      <c r="F60" s="255"/>
      <c r="G60" s="255"/>
      <c r="H60" s="255"/>
      <c r="I60" s="255"/>
      <c r="J60" s="255"/>
    </row>
    <row r="61" spans="1:14" ht="14.85" customHeight="1" collapsed="1">
      <c r="B61" s="179" t="s">
        <v>400</v>
      </c>
      <c r="D61" s="255">
        <f>$D$9*NORMSDIST(D55)-D52*EXP(-$D$12*$D$10)*NORMSDIST(D56)</f>
        <v>160203.87527848827</v>
      </c>
      <c r="E61" s="255">
        <f t="shared" ref="E61:J61" si="19">$D$9*NORMSDIST(E55)-E52*EXP(-$D$12*$D$10)*NORMSDIST(E56)</f>
        <v>92416.042576902808</v>
      </c>
      <c r="F61" s="255">
        <f t="shared" si="19"/>
        <v>65130.117006801513</v>
      </c>
      <c r="G61" s="255">
        <f t="shared" si="19"/>
        <v>61711.285228974382</v>
      </c>
      <c r="H61" s="255">
        <f t="shared" si="19"/>
        <v>55765.62384380104</v>
      </c>
      <c r="I61" s="255">
        <f t="shared" si="19"/>
        <v>40619.975884002568</v>
      </c>
      <c r="J61" s="255">
        <f t="shared" si="19"/>
        <v>39185.835368141459</v>
      </c>
    </row>
    <row r="62" spans="1:14" ht="14.85" customHeight="1">
      <c r="B62" s="179" t="s">
        <v>401</v>
      </c>
      <c r="D62" s="255">
        <f>$D$9*NORMSDIST(D58)-D53*EXP(-$D$12*$D$10)*NORMSDIST(D59)</f>
        <v>92416.042576902808</v>
      </c>
      <c r="E62" s="576">
        <f t="shared" ref="E62:J62" si="20">IF(E53="n/a","n/a",$D$9*NORMSDIST(E58)-E53*EXP(-$D$12*$D$10)*NORMSDIST(E59))</f>
        <v>65130.117006801513</v>
      </c>
      <c r="F62" s="576">
        <f t="shared" si="20"/>
        <v>61711.285228974382</v>
      </c>
      <c r="G62" s="576">
        <f t="shared" si="20"/>
        <v>55765.62384380104</v>
      </c>
      <c r="H62" s="576">
        <f t="shared" si="20"/>
        <v>40619.975884002568</v>
      </c>
      <c r="I62" s="576">
        <f t="shared" si="20"/>
        <v>39185.835368141459</v>
      </c>
      <c r="J62" s="576" t="str">
        <f t="shared" si="20"/>
        <v>n/a</v>
      </c>
    </row>
    <row r="63" spans="1:14" ht="14.85" customHeight="1"/>
    <row r="64" spans="1:14" ht="14.85" customHeight="1">
      <c r="B64" s="182" t="s">
        <v>402</v>
      </c>
      <c r="C64" s="182"/>
      <c r="D64" s="309">
        <f>D61-D62</f>
        <v>67787.832701585459</v>
      </c>
      <c r="E64" s="309">
        <f t="shared" ref="E64:J64" si="21">IF(E53="n/a",E61,E61-E62)</f>
        <v>27285.925570101295</v>
      </c>
      <c r="F64" s="309">
        <f>IF(F53="n/a",F61,F61-F62)</f>
        <v>3418.8317778271303</v>
      </c>
      <c r="G64" s="309">
        <f t="shared" si="21"/>
        <v>5945.6613851733418</v>
      </c>
      <c r="H64" s="309">
        <f t="shared" si="21"/>
        <v>15145.647959798473</v>
      </c>
      <c r="I64" s="309">
        <f t="shared" si="21"/>
        <v>1434.1405158611087</v>
      </c>
      <c r="J64" s="309">
        <f t="shared" si="21"/>
        <v>39185.835368141459</v>
      </c>
    </row>
    <row r="65" spans="2:14" ht="14.85" customHeight="1"/>
    <row r="66" spans="2:14" s="200" customFormat="1" ht="14.85" customHeight="1">
      <c r="B66" s="573" t="s">
        <v>396</v>
      </c>
      <c r="D66" s="574">
        <f>D$15</f>
        <v>1</v>
      </c>
      <c r="E66" s="575">
        <f t="shared" ref="E66:J66" si="22">E$15</f>
        <v>2</v>
      </c>
      <c r="F66" s="575">
        <f t="shared" si="22"/>
        <v>3</v>
      </c>
      <c r="G66" s="575">
        <f t="shared" si="22"/>
        <v>4</v>
      </c>
      <c r="H66" s="575">
        <f t="shared" si="22"/>
        <v>5</v>
      </c>
      <c r="I66" s="575">
        <f t="shared" si="22"/>
        <v>6</v>
      </c>
      <c r="J66" s="1823">
        <f t="shared" si="22"/>
        <v>7</v>
      </c>
      <c r="N66" s="265"/>
    </row>
    <row r="67" spans="2:14" ht="14.85" customHeight="1"/>
    <row r="68" spans="2:14" ht="14.85" customHeight="1">
      <c r="D68" s="1529" t="s">
        <v>390</v>
      </c>
      <c r="E68" s="1529" t="s">
        <v>390</v>
      </c>
      <c r="F68" s="1529" t="s">
        <v>315</v>
      </c>
      <c r="G68" s="1529" t="s">
        <v>315</v>
      </c>
      <c r="H68" s="1529" t="s">
        <v>315</v>
      </c>
      <c r="I68" s="1529" t="s">
        <v>315</v>
      </c>
      <c r="J68" s="1529" t="s">
        <v>315</v>
      </c>
    </row>
    <row r="69" spans="2:14" ht="14.85" customHeight="1"/>
    <row r="70" spans="2:14" ht="14.85" customHeight="1">
      <c r="B70" s="252" t="str">
        <f>B33</f>
        <v>Series A</v>
      </c>
      <c r="D70" s="285">
        <v>0</v>
      </c>
      <c r="E70" s="285">
        <f>E19</f>
        <v>79192.432080178041</v>
      </c>
      <c r="F70" s="285">
        <f>F33</f>
        <v>0</v>
      </c>
      <c r="G70" s="285">
        <f>G33</f>
        <v>0</v>
      </c>
      <c r="H70" s="285">
        <f>H33</f>
        <v>57758.733999999997</v>
      </c>
      <c r="I70" s="285">
        <f>I33</f>
        <v>57758.733999999997</v>
      </c>
      <c r="J70" s="285">
        <f>J33</f>
        <v>57758.733999999997</v>
      </c>
    </row>
    <row r="71" spans="2:14" ht="14.85" customHeight="1">
      <c r="B71" s="252" t="str">
        <f>B34</f>
        <v>Series B</v>
      </c>
      <c r="D71" s="285">
        <f>D20</f>
        <v>31542.641837890234</v>
      </c>
      <c r="E71" s="285">
        <v>0</v>
      </c>
      <c r="F71" s="285">
        <f t="shared" ref="F71:J74" si="23">F34</f>
        <v>0</v>
      </c>
      <c r="G71" s="285">
        <f t="shared" si="23"/>
        <v>0</v>
      </c>
      <c r="H71" s="285">
        <f t="shared" si="23"/>
        <v>0</v>
      </c>
      <c r="I71" s="285">
        <f t="shared" si="23"/>
        <v>0</v>
      </c>
      <c r="J71" s="285">
        <f t="shared" si="23"/>
        <v>12500</v>
      </c>
    </row>
    <row r="72" spans="2:14" ht="14.85" customHeight="1">
      <c r="B72" s="252" t="str">
        <f>B35</f>
        <v>Series C</v>
      </c>
      <c r="D72" s="285">
        <f>D21</f>
        <v>66738.003444880625</v>
      </c>
      <c r="E72" s="285">
        <v>0</v>
      </c>
      <c r="F72" s="285">
        <f t="shared" si="23"/>
        <v>0</v>
      </c>
      <c r="G72" s="285">
        <f t="shared" si="23"/>
        <v>0</v>
      </c>
      <c r="H72" s="285">
        <f t="shared" si="23"/>
        <v>0</v>
      </c>
      <c r="I72" s="285">
        <f t="shared" si="23"/>
        <v>27528.580999999998</v>
      </c>
      <c r="J72" s="285">
        <f t="shared" si="23"/>
        <v>27528.580999999998</v>
      </c>
    </row>
    <row r="73" spans="2:14" ht="14.85" customHeight="1">
      <c r="B73" s="313" t="str">
        <f>B36</f>
        <v>Expected Options Grant</v>
      </c>
      <c r="D73" s="285">
        <v>0</v>
      </c>
      <c r="E73" s="285">
        <v>0</v>
      </c>
      <c r="F73" s="285">
        <f t="shared" si="23"/>
        <v>0</v>
      </c>
      <c r="G73" s="285">
        <f t="shared" si="23"/>
        <v>2454.5419999999999</v>
      </c>
      <c r="H73" s="285">
        <f t="shared" si="23"/>
        <v>2454.5419999999999</v>
      </c>
      <c r="I73" s="285">
        <f t="shared" si="23"/>
        <v>2454.5419999999999</v>
      </c>
      <c r="J73" s="285">
        <f t="shared" si="23"/>
        <v>2454.5419999999999</v>
      </c>
    </row>
    <row r="74" spans="2:14" ht="14.85" customHeight="1">
      <c r="B74" s="252" t="str">
        <f>B37</f>
        <v>Common Stock</v>
      </c>
      <c r="D74" s="285">
        <v>0</v>
      </c>
      <c r="E74" s="285">
        <v>0</v>
      </c>
      <c r="F74" s="285">
        <f t="shared" si="23"/>
        <v>27759.431</v>
      </c>
      <c r="G74" s="285">
        <f t="shared" si="23"/>
        <v>27759.431</v>
      </c>
      <c r="H74" s="285">
        <f t="shared" si="23"/>
        <v>27759.431</v>
      </c>
      <c r="I74" s="285">
        <f t="shared" si="23"/>
        <v>27759.431</v>
      </c>
      <c r="J74" s="285">
        <f t="shared" si="23"/>
        <v>27759.431</v>
      </c>
    </row>
    <row r="75" spans="2:14" ht="14.85" customHeight="1">
      <c r="B75" s="264"/>
      <c r="C75" s="264"/>
      <c r="D75" s="264"/>
      <c r="E75" s="264"/>
      <c r="F75" s="264"/>
      <c r="G75" s="264"/>
      <c r="H75" s="264"/>
      <c r="I75" s="264"/>
      <c r="J75" s="264"/>
    </row>
    <row r="76" spans="2:14" ht="14.85" customHeight="1">
      <c r="B76" s="286" t="s">
        <v>2266</v>
      </c>
      <c r="D76" s="309">
        <f t="shared" ref="D76:J76" si="24">SUM(D70:D74)</f>
        <v>98280.645282770856</v>
      </c>
      <c r="E76" s="309">
        <f t="shared" si="24"/>
        <v>79192.432080178041</v>
      </c>
      <c r="F76" s="309">
        <f t="shared" si="24"/>
        <v>27759.431</v>
      </c>
      <c r="G76" s="309">
        <f t="shared" si="24"/>
        <v>30213.973000000002</v>
      </c>
      <c r="H76" s="309">
        <f t="shared" si="24"/>
        <v>87972.706999999995</v>
      </c>
      <c r="I76" s="309">
        <f t="shared" si="24"/>
        <v>115501.288</v>
      </c>
      <c r="J76" s="309">
        <f t="shared" si="24"/>
        <v>128001.288</v>
      </c>
    </row>
    <row r="77" spans="2:14" ht="14.85" customHeight="1"/>
    <row r="78" spans="2:14" ht="14.85" customHeight="1">
      <c r="B78" s="573" t="s">
        <v>2296</v>
      </c>
      <c r="C78" s="200"/>
      <c r="D78" s="574">
        <f>D$15</f>
        <v>1</v>
      </c>
      <c r="E78" s="575">
        <f t="shared" ref="E78:J78" si="25">E$15</f>
        <v>2</v>
      </c>
      <c r="F78" s="575">
        <f t="shared" si="25"/>
        <v>3</v>
      </c>
      <c r="G78" s="575">
        <f t="shared" si="25"/>
        <v>4</v>
      </c>
      <c r="H78" s="575">
        <f t="shared" si="25"/>
        <v>5</v>
      </c>
      <c r="I78" s="575">
        <f t="shared" si="25"/>
        <v>6</v>
      </c>
      <c r="J78" s="1823">
        <f t="shared" si="25"/>
        <v>7</v>
      </c>
    </row>
    <row r="79" spans="2:14" ht="14.85" customHeight="1"/>
    <row r="80" spans="2:14" ht="14.85" customHeight="1">
      <c r="B80" s="252" t="str">
        <f>B70</f>
        <v>Series A</v>
      </c>
      <c r="D80" s="257">
        <f t="shared" ref="D80:J84" si="26">D70/D$76</f>
        <v>0</v>
      </c>
      <c r="E80" s="257">
        <f t="shared" si="26"/>
        <v>1</v>
      </c>
      <c r="F80" s="257">
        <f t="shared" si="26"/>
        <v>0</v>
      </c>
      <c r="G80" s="257">
        <f t="shared" si="26"/>
        <v>0</v>
      </c>
      <c r="H80" s="257">
        <f t="shared" si="26"/>
        <v>0.65655287838306486</v>
      </c>
      <c r="I80" s="257">
        <f t="shared" si="26"/>
        <v>0.50007004250896314</v>
      </c>
      <c r="J80" s="257">
        <f t="shared" si="26"/>
        <v>0.45123556881708876</v>
      </c>
    </row>
    <row r="81" spans="2:14" ht="14.85" customHeight="1">
      <c r="B81" s="252" t="str">
        <f>B71</f>
        <v>Series B</v>
      </c>
      <c r="D81" s="257">
        <f t="shared" si="26"/>
        <v>0.32094459440245288</v>
      </c>
      <c r="E81" s="257">
        <f t="shared" si="26"/>
        <v>0</v>
      </c>
      <c r="F81" s="257">
        <f t="shared" si="26"/>
        <v>0</v>
      </c>
      <c r="G81" s="257">
        <f t="shared" si="26"/>
        <v>0</v>
      </c>
      <c r="H81" s="257">
        <f t="shared" si="26"/>
        <v>0</v>
      </c>
      <c r="I81" s="257">
        <f t="shared" si="26"/>
        <v>0</v>
      </c>
      <c r="J81" s="257">
        <f t="shared" si="26"/>
        <v>9.7655267343872351E-2</v>
      </c>
    </row>
    <row r="82" spans="2:14" ht="14.85" customHeight="1">
      <c r="B82" s="252" t="str">
        <f>B72</f>
        <v>Series C</v>
      </c>
      <c r="D82" s="257">
        <f t="shared" si="26"/>
        <v>0.67905540559754718</v>
      </c>
      <c r="E82" s="257">
        <f t="shared" si="26"/>
        <v>0</v>
      </c>
      <c r="F82" s="257">
        <f t="shared" si="26"/>
        <v>0</v>
      </c>
      <c r="G82" s="257">
        <f t="shared" si="26"/>
        <v>0</v>
      </c>
      <c r="H82" s="257">
        <f t="shared" si="26"/>
        <v>0</v>
      </c>
      <c r="I82" s="257">
        <f t="shared" si="26"/>
        <v>0.23834003478818347</v>
      </c>
      <c r="J82" s="257">
        <f t="shared" si="26"/>
        <v>0.21506487497219559</v>
      </c>
    </row>
    <row r="83" spans="2:14" ht="14.85" customHeight="1">
      <c r="B83" s="252" t="str">
        <f>B73</f>
        <v>Expected Options Grant</v>
      </c>
      <c r="D83" s="257">
        <f t="shared" si="26"/>
        <v>0</v>
      </c>
      <c r="E83" s="257">
        <f t="shared" si="26"/>
        <v>0</v>
      </c>
      <c r="F83" s="257">
        <f t="shared" si="26"/>
        <v>0</v>
      </c>
      <c r="G83" s="257">
        <f t="shared" si="26"/>
        <v>8.123863750060277E-2</v>
      </c>
      <c r="H83" s="257">
        <f t="shared" si="26"/>
        <v>2.7901176213663632E-2</v>
      </c>
      <c r="I83" s="257">
        <f t="shared" si="26"/>
        <v>2.1251208904267804E-2</v>
      </c>
      <c r="J83" s="257">
        <f t="shared" si="26"/>
        <v>1.9175916417341048E-2</v>
      </c>
    </row>
    <row r="84" spans="2:14" ht="14.85" customHeight="1">
      <c r="B84" s="252" t="str">
        <f>B74</f>
        <v>Common Stock</v>
      </c>
      <c r="D84" s="257">
        <f t="shared" si="26"/>
        <v>0</v>
      </c>
      <c r="E84" s="257">
        <f t="shared" si="26"/>
        <v>0</v>
      </c>
      <c r="F84" s="257">
        <f t="shared" si="26"/>
        <v>1</v>
      </c>
      <c r="G84" s="257">
        <f t="shared" si="26"/>
        <v>0.91876136249939722</v>
      </c>
      <c r="H84" s="257">
        <f t="shared" si="26"/>
        <v>0.31554594540327152</v>
      </c>
      <c r="I84" s="257">
        <f t="shared" si="26"/>
        <v>0.24033871379858551</v>
      </c>
      <c r="J84" s="257">
        <f t="shared" si="26"/>
        <v>0.21686837244950222</v>
      </c>
    </row>
    <row r="85" spans="2:14" ht="14.85" customHeight="1">
      <c r="B85" s="856"/>
      <c r="C85" s="264"/>
      <c r="D85" s="264"/>
      <c r="E85" s="264"/>
      <c r="F85" s="264"/>
      <c r="G85" s="264"/>
      <c r="H85" s="264"/>
      <c r="I85" s="264"/>
      <c r="J85" s="264"/>
    </row>
    <row r="86" spans="2:14" ht="14.85" customHeight="1">
      <c r="B86" s="343" t="s">
        <v>2297</v>
      </c>
      <c r="D86" s="389">
        <f t="shared" ref="D86:J86" si="27">SUM(D80:D84)</f>
        <v>1</v>
      </c>
      <c r="E86" s="389">
        <f t="shared" si="27"/>
        <v>1</v>
      </c>
      <c r="F86" s="389">
        <f t="shared" si="27"/>
        <v>1</v>
      </c>
      <c r="G86" s="389">
        <f t="shared" si="27"/>
        <v>1</v>
      </c>
      <c r="H86" s="389">
        <f t="shared" si="27"/>
        <v>1</v>
      </c>
      <c r="I86" s="389">
        <f t="shared" si="27"/>
        <v>0.99999999999999989</v>
      </c>
      <c r="J86" s="389">
        <f t="shared" si="27"/>
        <v>1</v>
      </c>
    </row>
    <row r="87" spans="2:14" ht="14.85" customHeight="1"/>
    <row r="88" spans="2:14" s="200" customFormat="1" ht="14.85" customHeight="1">
      <c r="B88" s="573" t="s">
        <v>407</v>
      </c>
      <c r="D88" s="574">
        <f>D$15</f>
        <v>1</v>
      </c>
      <c r="E88" s="575">
        <f t="shared" ref="E88:J88" si="28">E$15</f>
        <v>2</v>
      </c>
      <c r="F88" s="575">
        <f t="shared" si="28"/>
        <v>3</v>
      </c>
      <c r="G88" s="575">
        <f t="shared" si="28"/>
        <v>4</v>
      </c>
      <c r="H88" s="575">
        <f t="shared" si="28"/>
        <v>5</v>
      </c>
      <c r="I88" s="575">
        <f t="shared" si="28"/>
        <v>6</v>
      </c>
      <c r="J88" s="1823">
        <f t="shared" si="28"/>
        <v>7</v>
      </c>
      <c r="L88" s="579" t="s">
        <v>163</v>
      </c>
      <c r="N88" s="265"/>
    </row>
    <row r="89" spans="2:14" ht="14.85" customHeight="1"/>
    <row r="90" spans="2:14" ht="14.85" customHeight="1">
      <c r="B90" s="252" t="str">
        <f>B70</f>
        <v>Series A</v>
      </c>
      <c r="D90" s="255">
        <f>D$64*D80</f>
        <v>0</v>
      </c>
      <c r="E90" s="255">
        <f t="shared" ref="E90:J90" si="29">E$64*E80</f>
        <v>27285.925570101295</v>
      </c>
      <c r="F90" s="255">
        <f t="shared" si="29"/>
        <v>0</v>
      </c>
      <c r="G90" s="255">
        <f t="shared" si="29"/>
        <v>0</v>
      </c>
      <c r="H90" s="255">
        <f t="shared" si="29"/>
        <v>9943.9187629822809</v>
      </c>
      <c r="I90" s="255">
        <f t="shared" si="29"/>
        <v>717.17070873049101</v>
      </c>
      <c r="J90" s="255">
        <f t="shared" si="29"/>
        <v>17682.042711916107</v>
      </c>
      <c r="L90" s="255">
        <f>SUM(D90:J90)</f>
        <v>55629.057753730172</v>
      </c>
    </row>
    <row r="91" spans="2:14" ht="14.85" customHeight="1">
      <c r="B91" s="252" t="str">
        <f>B71</f>
        <v>Series B</v>
      </c>
      <c r="D91" s="255">
        <f t="shared" ref="D91:J94" si="30">D$64*D81</f>
        <v>21756.138471831677</v>
      </c>
      <c r="E91" s="255">
        <f t="shared" si="30"/>
        <v>0</v>
      </c>
      <c r="F91" s="255">
        <f t="shared" si="30"/>
        <v>0</v>
      </c>
      <c r="G91" s="255">
        <f t="shared" si="30"/>
        <v>0</v>
      </c>
      <c r="H91" s="255">
        <f t="shared" si="30"/>
        <v>0</v>
      </c>
      <c r="I91" s="255">
        <f t="shared" si="30"/>
        <v>0</v>
      </c>
      <c r="J91" s="255">
        <f t="shared" si="30"/>
        <v>3826.7032289688227</v>
      </c>
      <c r="L91" s="255">
        <f>SUM(D91:J91)</f>
        <v>25582.841700800498</v>
      </c>
    </row>
    <row r="92" spans="2:14" ht="14.85" customHeight="1">
      <c r="B92" s="252" t="str">
        <f>B72</f>
        <v>Series C</v>
      </c>
      <c r="D92" s="255">
        <f t="shared" si="30"/>
        <v>46031.69422975379</v>
      </c>
      <c r="E92" s="255">
        <f t="shared" si="30"/>
        <v>0</v>
      </c>
      <c r="F92" s="255">
        <f t="shared" si="30"/>
        <v>0</v>
      </c>
      <c r="G92" s="255">
        <f t="shared" si="30"/>
        <v>0</v>
      </c>
      <c r="H92" s="255">
        <f t="shared" si="30"/>
        <v>0</v>
      </c>
      <c r="I92" s="255">
        <f t="shared" si="30"/>
        <v>341.81310044148006</v>
      </c>
      <c r="J92" s="255">
        <f t="shared" si="30"/>
        <v>8427.4967841303824</v>
      </c>
      <c r="L92" s="255">
        <f>SUM(D92:J92)</f>
        <v>54801.004114325653</v>
      </c>
    </row>
    <row r="93" spans="2:14" ht="14.85" customHeight="1">
      <c r="B93" s="252" t="str">
        <f>B73</f>
        <v>Expected Options Grant</v>
      </c>
      <c r="D93" s="255">
        <f t="shared" si="30"/>
        <v>0</v>
      </c>
      <c r="E93" s="255">
        <f t="shared" si="30"/>
        <v>0</v>
      </c>
      <c r="F93" s="255">
        <f t="shared" si="30"/>
        <v>0</v>
      </c>
      <c r="G93" s="255">
        <f t="shared" si="30"/>
        <v>483.01742997142884</v>
      </c>
      <c r="H93" s="255">
        <f t="shared" si="30"/>
        <v>422.58139259645225</v>
      </c>
      <c r="I93" s="255">
        <f t="shared" si="30"/>
        <v>30.477219700638816</v>
      </c>
      <c r="J93" s="255">
        <f t="shared" si="30"/>
        <v>751.42430376316736</v>
      </c>
      <c r="L93" s="255">
        <f>SUM(D93:J93)</f>
        <v>1687.5003460316873</v>
      </c>
    </row>
    <row r="94" spans="2:14" ht="14.85" customHeight="1">
      <c r="B94" s="252" t="str">
        <f>B74</f>
        <v>Common Stock</v>
      </c>
      <c r="D94" s="255">
        <f t="shared" si="30"/>
        <v>0</v>
      </c>
      <c r="E94" s="255">
        <f t="shared" si="30"/>
        <v>0</v>
      </c>
      <c r="F94" s="255">
        <f t="shared" si="30"/>
        <v>3418.8317778271303</v>
      </c>
      <c r="G94" s="255">
        <f t="shared" si="30"/>
        <v>5462.6439552019128</v>
      </c>
      <c r="H94" s="255">
        <f t="shared" si="30"/>
        <v>4779.1478042197396</v>
      </c>
      <c r="I94" s="255">
        <f t="shared" si="30"/>
        <v>344.67948698849881</v>
      </c>
      <c r="J94" s="255">
        <f t="shared" si="30"/>
        <v>8498.1683393629792</v>
      </c>
      <c r="L94" s="255">
        <f>SUM(D94:J94)</f>
        <v>22503.47136360026</v>
      </c>
    </row>
    <row r="95" spans="2:14" ht="14.85" customHeight="1">
      <c r="B95" s="578"/>
      <c r="C95" s="578"/>
      <c r="D95" s="264"/>
      <c r="E95" s="264"/>
      <c r="F95" s="264"/>
      <c r="G95" s="264"/>
      <c r="H95" s="264"/>
      <c r="I95" s="264"/>
      <c r="J95" s="264"/>
      <c r="L95" s="264"/>
    </row>
    <row r="96" spans="2:14" ht="14.85" customHeight="1">
      <c r="B96" s="182" t="s">
        <v>2267</v>
      </c>
      <c r="D96" s="309">
        <f t="shared" ref="D96:J96" si="31">SUM(D90:D94)</f>
        <v>67787.832701585459</v>
      </c>
      <c r="E96" s="309">
        <f t="shared" si="31"/>
        <v>27285.925570101295</v>
      </c>
      <c r="F96" s="309">
        <f t="shared" si="31"/>
        <v>3418.8317778271303</v>
      </c>
      <c r="G96" s="309">
        <f t="shared" si="31"/>
        <v>5945.6613851733418</v>
      </c>
      <c r="H96" s="309">
        <f t="shared" si="31"/>
        <v>15145.647959798473</v>
      </c>
      <c r="I96" s="309">
        <f t="shared" si="31"/>
        <v>1434.140515861109</v>
      </c>
      <c r="J96" s="309">
        <f t="shared" si="31"/>
        <v>39185.835368141459</v>
      </c>
      <c r="L96" s="309">
        <f>SUM(L90:L94)</f>
        <v>160203.87527848827</v>
      </c>
      <c r="N96" s="582">
        <f>L96-D9</f>
        <v>0</v>
      </c>
    </row>
    <row r="97" spans="2:10" ht="14.85" customHeight="1"/>
    <row r="98" spans="2:10" ht="14.85" customHeight="1"/>
    <row r="99" spans="2:10" ht="14.85" customHeight="1"/>
    <row r="100" spans="2:10" ht="14.85" customHeight="1">
      <c r="B100" s="179" t="s">
        <v>2298</v>
      </c>
      <c r="D100" s="583">
        <f>D47</f>
        <v>98280.645282770856</v>
      </c>
      <c r="E100" s="583">
        <f>F47-D47</f>
        <v>79192.432080178056</v>
      </c>
      <c r="F100" s="583">
        <f>G47-F47</f>
        <v>13602.121190000005</v>
      </c>
      <c r="G100" s="583">
        <f>H47-G47</f>
        <v>26621.234429681994</v>
      </c>
      <c r="H100" s="583">
        <f>I47-H47</f>
        <v>92655.204781433218</v>
      </c>
      <c r="I100" s="583">
        <f>J47-I47</f>
        <v>11445.539229746792</v>
      </c>
      <c r="J100" s="583"/>
    </row>
    <row r="101" spans="2:10" ht="14.85" customHeight="1"/>
    <row r="102" spans="2:10" ht="14.85" customHeight="1">
      <c r="B102" s="584" t="s">
        <v>2299</v>
      </c>
      <c r="D102" s="1530">
        <f t="shared" ref="D102:I102" si="32">D88</f>
        <v>1</v>
      </c>
      <c r="E102" s="1531">
        <f t="shared" si="32"/>
        <v>2</v>
      </c>
      <c r="F102" s="1531">
        <f t="shared" si="32"/>
        <v>3</v>
      </c>
      <c r="G102" s="1531">
        <f t="shared" si="32"/>
        <v>4</v>
      </c>
      <c r="H102" s="1531">
        <f t="shared" si="32"/>
        <v>5</v>
      </c>
      <c r="I102" s="1824">
        <f t="shared" si="32"/>
        <v>6</v>
      </c>
      <c r="J102" s="1825"/>
    </row>
    <row r="103" spans="2:10" ht="14.85" customHeight="1"/>
    <row r="104" spans="2:10" ht="14.85" customHeight="1">
      <c r="B104" s="179" t="str">
        <f>B90</f>
        <v>Series A</v>
      </c>
      <c r="D104" s="680">
        <f t="shared" ref="D104:I108" si="33">D70/D$76*D$100</f>
        <v>0</v>
      </c>
      <c r="E104" s="680">
        <f t="shared" si="33"/>
        <v>79192.432080178056</v>
      </c>
      <c r="F104" s="680">
        <f t="shared" si="33"/>
        <v>0</v>
      </c>
      <c r="G104" s="680">
        <f t="shared" si="33"/>
        <v>0</v>
      </c>
      <c r="H104" s="680">
        <f t="shared" si="33"/>
        <v>60833.041396422297</v>
      </c>
      <c r="I104" s="680">
        <f t="shared" si="33"/>
        <v>5723.5712891574831</v>
      </c>
      <c r="J104" s="680"/>
    </row>
    <row r="105" spans="2:10" ht="14.85" customHeight="1">
      <c r="B105" s="179" t="str">
        <f>B91</f>
        <v>Series B</v>
      </c>
      <c r="D105" s="680">
        <f t="shared" si="33"/>
        <v>31542.641837890234</v>
      </c>
      <c r="E105" s="680">
        <f t="shared" si="33"/>
        <v>0</v>
      </c>
      <c r="F105" s="680">
        <f t="shared" si="33"/>
        <v>0</v>
      </c>
      <c r="G105" s="680">
        <f t="shared" si="33"/>
        <v>0</v>
      </c>
      <c r="H105" s="680">
        <f t="shared" si="33"/>
        <v>0</v>
      </c>
      <c r="I105" s="680">
        <f t="shared" si="33"/>
        <v>0</v>
      </c>
      <c r="J105" s="680"/>
    </row>
    <row r="106" spans="2:10" ht="14.85" customHeight="1">
      <c r="B106" s="179" t="str">
        <f>B92</f>
        <v>Series C</v>
      </c>
      <c r="D106" s="680">
        <f t="shared" si="33"/>
        <v>66738.003444880625</v>
      </c>
      <c r="E106" s="680">
        <f t="shared" si="33"/>
        <v>0</v>
      </c>
      <c r="F106" s="680">
        <f t="shared" si="33"/>
        <v>0</v>
      </c>
      <c r="G106" s="680">
        <f t="shared" si="33"/>
        <v>0</v>
      </c>
      <c r="H106" s="680">
        <f t="shared" si="33"/>
        <v>0</v>
      </c>
      <c r="I106" s="680">
        <f t="shared" si="33"/>
        <v>2727.9302181873691</v>
      </c>
      <c r="J106" s="680"/>
    </row>
    <row r="107" spans="2:10" ht="14.85" customHeight="1">
      <c r="B107" s="179" t="str">
        <f>B93</f>
        <v>Expected Options Grant</v>
      </c>
      <c r="D107" s="680">
        <f t="shared" si="33"/>
        <v>0</v>
      </c>
      <c r="E107" s="680">
        <f t="shared" si="33"/>
        <v>0</v>
      </c>
      <c r="F107" s="680">
        <f t="shared" si="33"/>
        <v>0</v>
      </c>
      <c r="G107" s="680">
        <f t="shared" si="33"/>
        <v>2162.6728136515012</v>
      </c>
      <c r="H107" s="680">
        <f t="shared" si="33"/>
        <v>2585.1891957198573</v>
      </c>
      <c r="I107" s="680">
        <f t="shared" si="33"/>
        <v>243.23154519334147</v>
      </c>
      <c r="J107" s="680"/>
    </row>
    <row r="108" spans="2:10" ht="14.85" customHeight="1">
      <c r="B108" s="264" t="str">
        <f>B94</f>
        <v>Common Stock</v>
      </c>
      <c r="C108" s="264"/>
      <c r="D108" s="700">
        <f t="shared" si="33"/>
        <v>0</v>
      </c>
      <c r="E108" s="700">
        <f t="shared" si="33"/>
        <v>0</v>
      </c>
      <c r="F108" s="700">
        <f t="shared" si="33"/>
        <v>13602.121190000005</v>
      </c>
      <c r="G108" s="700">
        <f t="shared" si="33"/>
        <v>24458.561616030493</v>
      </c>
      <c r="H108" s="700">
        <f t="shared" si="33"/>
        <v>29236.974189291068</v>
      </c>
      <c r="I108" s="700">
        <f t="shared" si="33"/>
        <v>2750.8061772085971</v>
      </c>
      <c r="J108" s="680"/>
    </row>
    <row r="109" spans="2:10" ht="14.85" customHeight="1">
      <c r="B109" s="182" t="s">
        <v>163</v>
      </c>
      <c r="D109" s="622">
        <f t="shared" ref="D109:I109" si="34">SUM(D104:D108)</f>
        <v>98280.645282770856</v>
      </c>
      <c r="E109" s="622">
        <f t="shared" si="34"/>
        <v>79192.432080178056</v>
      </c>
      <c r="F109" s="622">
        <f t="shared" si="34"/>
        <v>13602.121190000005</v>
      </c>
      <c r="G109" s="622">
        <f t="shared" si="34"/>
        <v>26621.234429681994</v>
      </c>
      <c r="H109" s="622">
        <f t="shared" si="34"/>
        <v>92655.204781433218</v>
      </c>
      <c r="I109" s="622">
        <f t="shared" si="34"/>
        <v>11445.53922974679</v>
      </c>
      <c r="J109" s="622"/>
    </row>
    <row r="110" spans="2:10" ht="14.85" customHeight="1"/>
    <row r="111" spans="2:10" ht="14.85" customHeight="1">
      <c r="B111" s="584" t="s">
        <v>2310</v>
      </c>
      <c r="D111" s="1530">
        <f t="shared" ref="D111:I111" si="35">D102</f>
        <v>1</v>
      </c>
      <c r="E111" s="1531">
        <f t="shared" si="35"/>
        <v>2</v>
      </c>
      <c r="F111" s="1531">
        <f t="shared" si="35"/>
        <v>3</v>
      </c>
      <c r="G111" s="1531">
        <f t="shared" si="35"/>
        <v>4</v>
      </c>
      <c r="H111" s="1531">
        <f t="shared" si="35"/>
        <v>5</v>
      </c>
      <c r="I111" s="1824">
        <f t="shared" si="35"/>
        <v>6</v>
      </c>
      <c r="J111" s="1825"/>
    </row>
    <row r="112" spans="2:10" ht="14.85" customHeight="1"/>
    <row r="113" spans="2:10" ht="14.85" customHeight="1">
      <c r="B113" s="179" t="str">
        <f>B104</f>
        <v>Series A</v>
      </c>
      <c r="D113" s="1466">
        <f>SUM($D104:D104)/$N33</f>
        <v>0</v>
      </c>
      <c r="E113" s="1466">
        <f>SUM($D104:E104)/$N33</f>
        <v>1.3710901641330653</v>
      </c>
      <c r="F113" s="1466">
        <f>SUM($D104:F104)/$N33</f>
        <v>1.3710901641330653</v>
      </c>
      <c r="G113" s="1466">
        <f>SUM($D104:G104)/$N33</f>
        <v>1.3710901641330653</v>
      </c>
      <c r="H113" s="1466">
        <f>SUM($D104:H104)/$N33</f>
        <v>2.424316874338007</v>
      </c>
      <c r="I113" s="1466">
        <f>SUM($D104:I104)/$N33</f>
        <v>2.5234113470312192</v>
      </c>
      <c r="J113" s="1466"/>
    </row>
    <row r="114" spans="2:10" ht="14.85" customHeight="1">
      <c r="B114" s="179" t="str">
        <f>B105</f>
        <v>Series B</v>
      </c>
      <c r="D114" s="1466">
        <f>SUM($D105:D105)/$N34</f>
        <v>2.5234113470312187</v>
      </c>
      <c r="E114" s="1466">
        <f>SUM($D105:E105)/$N34</f>
        <v>2.5234113470312187</v>
      </c>
      <c r="F114" s="1466">
        <f>SUM($D105:F105)/$N34</f>
        <v>2.5234113470312187</v>
      </c>
      <c r="G114" s="1466">
        <f>SUM($D105:G105)/$N34</f>
        <v>2.5234113470312187</v>
      </c>
      <c r="H114" s="1466">
        <f>SUM($D105:H105)/$N34</f>
        <v>2.5234113470312187</v>
      </c>
      <c r="I114" s="1466">
        <f>SUM($D105:I105)/$N34</f>
        <v>2.5234113470312187</v>
      </c>
      <c r="J114" s="1466"/>
    </row>
    <row r="115" spans="2:10" ht="14.85" customHeight="1">
      <c r="B115" s="179" t="str">
        <f>B106</f>
        <v>Series C</v>
      </c>
      <c r="D115" s="1466">
        <f>SUM($D106:D106)/$N35</f>
        <v>2.4243168743380066</v>
      </c>
      <c r="E115" s="1466">
        <f>SUM($D106:E106)/$N35</f>
        <v>2.4243168743380066</v>
      </c>
      <c r="F115" s="1466">
        <f>SUM($D106:F106)/$N35</f>
        <v>2.4243168743380066</v>
      </c>
      <c r="G115" s="1466">
        <f>SUM($D106:G106)/$N35</f>
        <v>2.4243168743380066</v>
      </c>
      <c r="H115" s="1466">
        <f>SUM($D106:H106)/$N35</f>
        <v>2.4243168743380066</v>
      </c>
      <c r="I115" s="1466">
        <f>SUM($D106:I106)/$N35</f>
        <v>2.5234113470312178</v>
      </c>
      <c r="J115" s="1466"/>
    </row>
    <row r="116" spans="2:10" ht="14.85" customHeight="1">
      <c r="B116" s="179" t="str">
        <f>B107</f>
        <v>Expected Options Grant</v>
      </c>
      <c r="D116" s="1466">
        <f>SUM($D107:D107)/$N36</f>
        <v>0</v>
      </c>
      <c r="E116" s="1466">
        <f>SUM($D107:E107)/$N36</f>
        <v>0</v>
      </c>
      <c r="F116" s="1466">
        <f>SUM($D107:F107)/$N36</f>
        <v>0</v>
      </c>
      <c r="G116" s="1466">
        <f>SUM($D107:G107)/$N36</f>
        <v>0.88109016413306485</v>
      </c>
      <c r="H116" s="1466">
        <f>SUM($D107:H107)/$N36</f>
        <v>1.9343168743380061</v>
      </c>
      <c r="I116" s="1466">
        <f>SUM($D107:I107)/$N36</f>
        <v>2.0334113470312181</v>
      </c>
      <c r="J116" s="1466"/>
    </row>
    <row r="117" spans="2:10" ht="14.85" customHeight="1">
      <c r="B117" s="264" t="str">
        <f>B108</f>
        <v>Common Stock</v>
      </c>
      <c r="C117" s="264"/>
      <c r="D117" s="1818">
        <f>SUM($D108:D108)/$N37</f>
        <v>0</v>
      </c>
      <c r="E117" s="1818">
        <f>SUM($D108:E108)/$N37</f>
        <v>0</v>
      </c>
      <c r="F117" s="1818">
        <f>SUM($D108:F108)/$N37</f>
        <v>0.49000000000000016</v>
      </c>
      <c r="G117" s="1818">
        <f>SUM($D108:G108)/$N37</f>
        <v>1.3710901641330651</v>
      </c>
      <c r="H117" s="1818">
        <f>SUM($D108:H108)/$N37</f>
        <v>2.4243168743380066</v>
      </c>
      <c r="I117" s="1818">
        <f>SUM($D108:I108)/$N37</f>
        <v>2.5234113470312183</v>
      </c>
      <c r="J117" s="1466"/>
    </row>
    <row r="118" spans="2:10" ht="14.85" customHeight="1">
      <c r="B118" s="182" t="s">
        <v>163</v>
      </c>
      <c r="D118" s="1819">
        <f t="shared" ref="D118:I118" si="36">SUM(D113:D117)</f>
        <v>4.9477282213692249</v>
      </c>
      <c r="E118" s="1819">
        <f t="shared" si="36"/>
        <v>6.3188183855022908</v>
      </c>
      <c r="F118" s="1819">
        <f t="shared" si="36"/>
        <v>6.808818385502291</v>
      </c>
      <c r="G118" s="1819">
        <f t="shared" si="36"/>
        <v>8.5709987137684216</v>
      </c>
      <c r="H118" s="1819">
        <f t="shared" si="36"/>
        <v>11.730678844383245</v>
      </c>
      <c r="I118" s="1819">
        <f t="shared" si="36"/>
        <v>12.127056735156092</v>
      </c>
      <c r="J118" s="1819"/>
    </row>
    <row r="119" spans="2:10" ht="14.85" customHeight="1"/>
    <row r="120" spans="2:10" ht="14.85" customHeight="1">
      <c r="B120" s="179" t="s">
        <v>2021</v>
      </c>
      <c r="D120" s="1532">
        <f t="shared" ref="D120:I120" si="37">NORMSDIST(D55)</f>
        <v>1</v>
      </c>
      <c r="E120" s="1532">
        <f t="shared" si="37"/>
        <v>0.85358832391885398</v>
      </c>
      <c r="F120" s="1532">
        <f t="shared" si="37"/>
        <v>0.69669329603576491</v>
      </c>
      <c r="G120" s="1532">
        <f t="shared" si="37"/>
        <v>0.67285402311823495</v>
      </c>
      <c r="H120" s="1532">
        <f t="shared" si="37"/>
        <v>0.62902866219023168</v>
      </c>
      <c r="I120" s="1532">
        <f t="shared" si="37"/>
        <v>0.50281357924511993</v>
      </c>
      <c r="J120" s="1532"/>
    </row>
    <row r="121" spans="2:10" ht="14.85" customHeight="1"/>
    <row r="122" spans="2:10" ht="14.85" customHeight="1">
      <c r="D122" s="310">
        <f t="shared" ref="D122:I122" si="38">NORMSDIST(D56)</f>
        <v>1</v>
      </c>
      <c r="E122" s="310">
        <f t="shared" si="38"/>
        <v>0.48064911786767578</v>
      </c>
      <c r="F122" s="310">
        <f t="shared" si="38"/>
        <v>0.27908593972121953</v>
      </c>
      <c r="G122" s="310">
        <f t="shared" si="38"/>
        <v>0.25698617381174238</v>
      </c>
      <c r="H122" s="310">
        <f t="shared" si="38"/>
        <v>0.22029692491151348</v>
      </c>
      <c r="I122" s="310">
        <f t="shared" si="38"/>
        <v>0.13710472471462318</v>
      </c>
      <c r="J122" s="310"/>
    </row>
    <row r="123" spans="2:10" ht="14.85" customHeight="1">
      <c r="B123" s="179" t="s">
        <v>1665</v>
      </c>
      <c r="D123" s="588">
        <f>D122-E122</f>
        <v>0.51935088213232428</v>
      </c>
      <c r="E123" s="310"/>
      <c r="F123" s="310"/>
      <c r="G123" s="310"/>
      <c r="H123" s="310"/>
      <c r="I123" s="310"/>
      <c r="J123" s="310"/>
    </row>
    <row r="124" spans="2:10" ht="14.85" customHeight="1"/>
    <row r="125" spans="2:10" ht="14.85" customHeight="1"/>
    <row r="126" spans="2:10" ht="14.85" customHeight="1">
      <c r="B126" s="1907" t="s">
        <v>110</v>
      </c>
      <c r="C126" s="1810"/>
      <c r="D126" s="1906" t="str">
        <f>IF(ROUND(D117,8)=ROUND(E41,8),"","Check")</f>
        <v/>
      </c>
      <c r="E126" s="1906" t="str">
        <f t="shared" ref="E126:I126" si="39">IF(ROUND(E117,8)=ROUND(F41,8),"","Check")</f>
        <v/>
      </c>
      <c r="F126" s="1906" t="str">
        <f t="shared" si="39"/>
        <v/>
      </c>
      <c r="G126" s="1906" t="str">
        <f t="shared" si="39"/>
        <v/>
      </c>
      <c r="H126" s="1906" t="str">
        <f t="shared" si="39"/>
        <v/>
      </c>
      <c r="I126" s="1906" t="str">
        <f t="shared" si="39"/>
        <v/>
      </c>
    </row>
    <row r="127" spans="2:10" ht="14.85" customHeight="1">
      <c r="D127" s="317" t="str">
        <f>IF(COUNTIF(D126:I126,B126)&gt;0,B126,"")</f>
        <v/>
      </c>
    </row>
    <row r="128" spans="2:10"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sheetData>
  <conditionalFormatting sqref="B4:I4">
    <cfRule type="cellIs" dxfId="260" priority="10" stopIfTrue="1" operator="equal">
      <formula>"input"</formula>
    </cfRule>
  </conditionalFormatting>
  <conditionalFormatting sqref="J4">
    <cfRule type="cellIs" dxfId="259" priority="1" stopIfTrue="1" operator="equal">
      <formula>"input"</formula>
    </cfRule>
  </conditionalFormatting>
  <conditionalFormatting sqref="J4">
    <cfRule type="cellIs" dxfId="258" priority="2" stopIfTrue="1" operator="equal">
      <formula>"input"</formula>
    </cfRule>
  </conditionalFormatting>
  <pageMargins left="0.5" right="0.5" top="0.5" bottom="0.5" header="0.5" footer="0.5"/>
  <pageSetup scale="80" fitToWidth="0" fitToHeight="0" pageOrder="overThenDown" orientation="landscape" r:id="rId1"/>
  <rowBreaks count="2" manualBreakCount="2">
    <brk id="48" max="19" man="1"/>
    <brk id="76" max="19" man="1"/>
  </rowBreaks>
  <legacyDrawing r:id="rId2"/>
  <legacyDrawingHF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66"/>
  <dimension ref="B1:N751"/>
  <sheetViews>
    <sheetView showGridLines="0" view="pageBreakPreview" zoomScale="80" zoomScaleNormal="100" zoomScaleSheetLayoutView="80" workbookViewId="0"/>
  </sheetViews>
  <sheetFormatPr defaultRowHeight="12.75"/>
  <cols>
    <col min="1" max="1" width="4.5" style="179" customWidth="1"/>
    <col min="2" max="2" width="55.83203125" style="179" customWidth="1"/>
    <col min="3" max="3" width="6.83203125" style="179" customWidth="1"/>
    <col min="4" max="4" width="33.6640625" style="179" customWidth="1"/>
    <col min="5" max="5" width="6.83203125" style="179" customWidth="1"/>
    <col min="6" max="6" width="33.6640625" style="179" customWidth="1"/>
    <col min="7" max="7" width="6.83203125" style="179" customWidth="1"/>
    <col min="8" max="8" width="27.6640625" style="179" customWidth="1"/>
    <col min="9" max="9" width="4.5" style="179" customWidth="1"/>
    <col min="10" max="10" width="9.33203125" style="179"/>
    <col min="11" max="11" width="15.33203125" style="179" bestFit="1" customWidth="1"/>
    <col min="12" max="12" width="11.5" style="179" bestFit="1" customWidth="1"/>
    <col min="13" max="13" width="9.33203125" style="179"/>
    <col min="14" max="14" width="10.6640625" style="179" customWidth="1"/>
    <col min="15" max="16384" width="9.33203125" style="179"/>
  </cols>
  <sheetData>
    <row r="1" spans="2:12" ht="10.7" customHeight="1" thickBot="1"/>
    <row r="2" spans="2:12" ht="16.5" customHeight="1" thickTop="1">
      <c r="B2" s="187" t="str">
        <f>'MASTER PubCo Inputs'!$C$5</f>
        <v>Decibel Therapeutics, Inc.</v>
      </c>
      <c r="C2" s="187"/>
      <c r="D2" s="187"/>
      <c r="E2" s="187"/>
      <c r="F2" s="187"/>
      <c r="G2" s="187"/>
      <c r="H2" s="187"/>
      <c r="K2" s="324"/>
      <c r="L2" s="324"/>
    </row>
    <row r="3" spans="2:12" ht="15.75" customHeight="1">
      <c r="B3" s="188" t="str">
        <f>VLOOKUP(B4,Outline!$E$8:$G$75,COLUMNS(Outline!$E$8:$G$8),FALSE)</f>
        <v>Workpaper #5</v>
      </c>
      <c r="C3" s="188"/>
      <c r="D3" s="188"/>
      <c r="E3" s="188"/>
      <c r="F3" s="188"/>
      <c r="G3" s="188"/>
      <c r="H3" s="188"/>
    </row>
    <row r="4" spans="2:12" ht="16.5" customHeight="1" thickBot="1">
      <c r="B4" s="726" t="s">
        <v>2005</v>
      </c>
      <c r="C4" s="726"/>
      <c r="D4" s="726"/>
      <c r="E4" s="726"/>
      <c r="F4" s="726"/>
      <c r="G4" s="726"/>
      <c r="H4" s="727" t="str">
        <f>+'MASTER PubCo Inputs'!$C$20</f>
        <v>(in thousands of USD and shares, except price per share)</v>
      </c>
      <c r="L4" s="266"/>
    </row>
    <row r="5" spans="2:12" ht="14.85" customHeight="1" thickTop="1">
      <c r="L5" s="349"/>
    </row>
    <row r="6" spans="2:12" ht="14.85" customHeight="1">
      <c r="L6" s="349"/>
    </row>
    <row r="7" spans="2:12" ht="14.85" customHeight="1">
      <c r="B7" s="596" t="s">
        <v>408</v>
      </c>
      <c r="C7" s="597"/>
      <c r="D7" s="598" t="s">
        <v>317</v>
      </c>
      <c r="E7" s="598"/>
      <c r="F7" s="598" t="s">
        <v>315</v>
      </c>
      <c r="G7" s="598"/>
      <c r="H7" s="1941" t="s">
        <v>409</v>
      </c>
      <c r="L7" s="1521"/>
    </row>
    <row r="8" spans="2:12" ht="14.85" customHeight="1"/>
    <row r="9" spans="2:12" ht="14.85" customHeight="1">
      <c r="B9" s="179" t="str">
        <f>'OPM 1 Hybrid'!B90</f>
        <v>Series A</v>
      </c>
      <c r="D9" s="253">
        <f>'OPM 1 Hybrid'!$L90</f>
        <v>55629.057753730172</v>
      </c>
      <c r="E9" s="601"/>
      <c r="F9" s="253">
        <f>'Cap Table'!$D$11</f>
        <v>57758.733999999997</v>
      </c>
      <c r="G9" s="263"/>
      <c r="H9" s="602">
        <f>D9/F9</f>
        <v>0.96312806568319476</v>
      </c>
    </row>
    <row r="10" spans="2:12" ht="14.85" customHeight="1">
      <c r="B10" s="179" t="str">
        <f>'OPM 1 Hybrid'!B91</f>
        <v>Series B</v>
      </c>
      <c r="D10" s="253">
        <f>'OPM 1 Hybrid'!$L91</f>
        <v>25582.841700800498</v>
      </c>
      <c r="E10" s="601"/>
      <c r="F10" s="253">
        <f>'Cap Table'!$E$11</f>
        <v>12500</v>
      </c>
      <c r="G10" s="263"/>
      <c r="H10" s="602">
        <f>D10/F10</f>
        <v>2.0466273360640397</v>
      </c>
    </row>
    <row r="11" spans="2:12" ht="14.85" customHeight="1">
      <c r="B11" s="179" t="str">
        <f>'OPM 1 Hybrid'!B92</f>
        <v>Series C</v>
      </c>
      <c r="D11" s="253">
        <f>'OPM 1 Hybrid'!$L92</f>
        <v>54801.004114325653</v>
      </c>
      <c r="E11" s="601"/>
      <c r="F11" s="253">
        <f>'Cap Table'!$F$11</f>
        <v>27528.580999999998</v>
      </c>
      <c r="G11" s="263"/>
      <c r="H11" s="602">
        <f>D11/F11</f>
        <v>1.990694838732358</v>
      </c>
    </row>
    <row r="12" spans="2:12" ht="14.85" customHeight="1">
      <c r="B12" s="179" t="s">
        <v>546</v>
      </c>
      <c r="D12" s="253">
        <f>SUM('OPM 1 Hybrid'!L93:L93)</f>
        <v>1687.5003460316873</v>
      </c>
      <c r="E12" s="601"/>
      <c r="F12" s="253">
        <f>SUM('Cap Table'!D25:D25)</f>
        <v>2454.5419999999999</v>
      </c>
      <c r="G12" s="263"/>
      <c r="H12" s="602">
        <f>D12/F12</f>
        <v>0.68750110857002544</v>
      </c>
    </row>
    <row r="13" spans="2:12" ht="14.85" customHeight="1">
      <c r="B13" s="179" t="str">
        <f>'OPM 1 Hybrid'!B94</f>
        <v>Common Stock</v>
      </c>
      <c r="C13" s="512"/>
      <c r="D13" s="253">
        <f>'OPM 1 Hybrid'!L94</f>
        <v>22503.47136360026</v>
      </c>
      <c r="E13" s="601"/>
      <c r="F13" s="253">
        <f>'Cap Table'!K11</f>
        <v>27759.431</v>
      </c>
      <c r="G13" s="263"/>
      <c r="H13" s="602">
        <f>D13/F13</f>
        <v>0.81066039731146722</v>
      </c>
    </row>
    <row r="14" spans="2:12" ht="14.85" customHeight="1">
      <c r="B14" s="264"/>
      <c r="C14" s="264"/>
      <c r="D14" s="604"/>
      <c r="E14" s="604"/>
      <c r="F14" s="604"/>
      <c r="G14" s="264"/>
      <c r="H14" s="569"/>
    </row>
    <row r="15" spans="2:12" ht="14.85" customHeight="1">
      <c r="B15" s="182" t="str">
        <f>'OPM 1 Hybrid'!B96</f>
        <v>Total Tranche Value</v>
      </c>
      <c r="D15" s="605">
        <f>SUM(D9:D13)</f>
        <v>160203.87527848827</v>
      </c>
      <c r="E15" s="576"/>
      <c r="F15" s="605">
        <f>SUM(F9:F13)</f>
        <v>128001.288</v>
      </c>
      <c r="H15" s="203"/>
    </row>
    <row r="16" spans="2:12" ht="14.85" customHeight="1"/>
    <row r="17" spans="4:14" ht="14.85" customHeight="1">
      <c r="K17" s="324"/>
    </row>
    <row r="18" spans="4:14" ht="14.85" customHeight="1">
      <c r="D18" s="1533" t="s">
        <v>110</v>
      </c>
      <c r="F18" s="1533" t="s">
        <v>110</v>
      </c>
    </row>
    <row r="19" spans="4:14" ht="14.85" customHeight="1">
      <c r="D19" s="1534" t="str">
        <f>IF((D15&lt;&gt;'OPM 1 Hybrid'!L96),"Check","")</f>
        <v/>
      </c>
      <c r="F19" s="1534" t="str">
        <f>IF((F15&lt;&gt;'Cap Table'!M21),"Check","")</f>
        <v/>
      </c>
      <c r="N19" s="201"/>
    </row>
    <row r="20" spans="4:14" ht="14.85" customHeight="1">
      <c r="K20" s="257"/>
    </row>
    <row r="21" spans="4:14" ht="14.85" customHeight="1">
      <c r="K21" s="257"/>
    </row>
    <row r="22" spans="4:14" ht="14.85" customHeight="1">
      <c r="K22" s="376"/>
      <c r="N22" s="349"/>
    </row>
    <row r="23" spans="4:14" ht="14.85" customHeight="1">
      <c r="K23" s="257"/>
    </row>
    <row r="24" spans="4:14" ht="14.85" customHeight="1">
      <c r="K24" s="257"/>
    </row>
    <row r="25" spans="4:14" ht="14.85" customHeight="1"/>
    <row r="26" spans="4:14" ht="14.85" customHeight="1"/>
    <row r="27" spans="4:14" ht="14.85" customHeight="1">
      <c r="N27" s="201"/>
    </row>
    <row r="28" spans="4:14" ht="14.85" customHeight="1">
      <c r="K28" s="360"/>
    </row>
    <row r="29" spans="4:14" ht="14.85" customHeight="1">
      <c r="K29" s="360"/>
    </row>
    <row r="30" spans="4:14" ht="14.85" customHeight="1">
      <c r="K30" s="607"/>
      <c r="N30" s="349"/>
    </row>
    <row r="31" spans="4:14" ht="14.85" customHeight="1">
      <c r="K31" s="360"/>
    </row>
    <row r="32" spans="4:14" ht="14.85" customHeight="1">
      <c r="K32" s="360"/>
    </row>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sheetData>
  <dataConsolidate link="1"/>
  <conditionalFormatting sqref="B4:G4">
    <cfRule type="cellIs" dxfId="257" priority="9" stopIfTrue="1" operator="equal">
      <formula>"input"</formula>
    </cfRule>
  </conditionalFormatting>
  <conditionalFormatting sqref="H4">
    <cfRule type="cellIs" dxfId="256" priority="1" stopIfTrue="1" operator="equal">
      <formula>"input"</formula>
    </cfRule>
  </conditionalFormatting>
  <conditionalFormatting sqref="H4">
    <cfRule type="cellIs" dxfId="255" priority="2" stopIfTrue="1" operator="equal">
      <formula>"input"</formula>
    </cfRule>
  </conditionalFormatting>
  <pageMargins left="0.5" right="0.5" top="0.5" bottom="0.5" header="0.5" footer="0.5"/>
  <pageSetup scale="85" fitToWidth="0" fitToHeight="0" orientation="landscape" r:id="rId1"/>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7"/>
  <dimension ref="A1:I772"/>
  <sheetViews>
    <sheetView showGridLines="0" view="pageBreakPreview" zoomScale="80" zoomScaleNormal="100" zoomScaleSheetLayoutView="80" workbookViewId="0">
      <selection activeCell="A58" sqref="A58"/>
    </sheetView>
  </sheetViews>
  <sheetFormatPr defaultRowHeight="12.75" outlineLevelRow="1"/>
  <cols>
    <col min="1" max="1" width="4.5" style="179" customWidth="1"/>
    <col min="2" max="2" width="68.1640625" style="179" customWidth="1"/>
    <col min="3" max="3" width="2.83203125" style="179" customWidth="1"/>
    <col min="4" max="7" width="20.83203125" style="179" customWidth="1"/>
    <col min="8" max="8" width="2.83203125" style="179" customWidth="1"/>
    <col min="9" max="9" width="40.1640625" style="179" customWidth="1"/>
    <col min="10" max="10" width="4.5" style="179" customWidth="1"/>
    <col min="11" max="16384" width="9.33203125" style="179"/>
  </cols>
  <sheetData>
    <row r="1" spans="2:9" ht="10.7" customHeight="1" thickBot="1"/>
    <row r="2" spans="2:9" ht="16.5" customHeight="1" thickTop="1">
      <c r="B2" s="187" t="str">
        <f>'MASTER PubCo Inputs'!$C$5</f>
        <v>Decibel Therapeutics, Inc.</v>
      </c>
      <c r="C2" s="187"/>
      <c r="D2" s="187"/>
      <c r="E2" s="187"/>
      <c r="F2" s="187"/>
      <c r="G2" s="187"/>
      <c r="H2" s="187"/>
      <c r="I2" s="187"/>
    </row>
    <row r="3" spans="2:9" ht="15.75" customHeight="1">
      <c r="B3" s="188" t="str">
        <f>VLOOKUP(B4,Outline!$E$8:$G$75,COLUMNS(Outline!$E$8:$G$8),FALSE)</f>
        <v>Workpaper #6</v>
      </c>
      <c r="C3" s="188"/>
      <c r="D3" s="188"/>
      <c r="E3" s="188"/>
      <c r="F3" s="188"/>
      <c r="G3" s="188"/>
      <c r="H3" s="188"/>
      <c r="I3" s="188"/>
    </row>
    <row r="4" spans="2:9" ht="16.5" customHeight="1" thickBot="1">
      <c r="B4" s="726" t="s">
        <v>3637</v>
      </c>
      <c r="C4" s="726"/>
      <c r="D4" s="726"/>
      <c r="E4" s="726"/>
      <c r="F4" s="726"/>
      <c r="G4" s="726"/>
      <c r="H4" s="726"/>
      <c r="I4" s="727"/>
    </row>
    <row r="5" spans="2:9" ht="14.85" customHeight="1" thickTop="1"/>
    <row r="6" spans="2:9" ht="14.85" customHeight="1"/>
    <row r="7" spans="2:9" ht="14.85" customHeight="1">
      <c r="B7" s="1960" t="s">
        <v>588</v>
      </c>
      <c r="C7" s="1961"/>
      <c r="D7" s="1961"/>
      <c r="E7" s="1961" t="str">
        <f>'IPO Waterfall'!D7</f>
        <v>IPO Early</v>
      </c>
      <c r="F7" s="1961" t="str">
        <f>'IPO Waterfall'!E7</f>
        <v>IPO Late</v>
      </c>
      <c r="G7" s="1962" t="s">
        <v>571</v>
      </c>
      <c r="I7" s="1963" t="s">
        <v>70</v>
      </c>
    </row>
    <row r="8" spans="2:9" ht="14.85" customHeight="1">
      <c r="D8" s="273"/>
      <c r="I8" s="1141"/>
    </row>
    <row r="9" spans="2:9" ht="14.85" customHeight="1">
      <c r="B9" s="179" t="s">
        <v>2042</v>
      </c>
      <c r="D9" s="263"/>
      <c r="E9" s="263">
        <f>'IPO Waterfall'!D12</f>
        <v>1.6027397260273972</v>
      </c>
      <c r="F9" s="263">
        <f>'IPO Waterfall'!E12</f>
        <v>3.6054794520547944</v>
      </c>
      <c r="G9" s="263">
        <f>'OPM 1 Hybrid'!$D$10</f>
        <v>2.5</v>
      </c>
      <c r="I9" s="185" t="str">
        <f>'OPM 1 Hybrid'!B3&amp;" &amp; "&amp;'IPO Waterfall'!B3</f>
        <v>Workpaper #4 &amp; Workpaper #3</v>
      </c>
    </row>
    <row r="10" spans="2:9" ht="14.85" customHeight="1">
      <c r="B10" s="179" t="s">
        <v>2043</v>
      </c>
      <c r="E10" s="1966"/>
      <c r="F10" s="1966"/>
      <c r="G10" s="564">
        <v>1</v>
      </c>
      <c r="I10" s="1142" t="s">
        <v>261</v>
      </c>
    </row>
    <row r="11" spans="2:9" ht="14.85" customHeight="1">
      <c r="B11" s="1948" t="s">
        <v>2044</v>
      </c>
      <c r="C11" s="1964"/>
      <c r="D11" s="1965">
        <f>SUM(D9:D10)</f>
        <v>0</v>
      </c>
      <c r="E11" s="1965">
        <f t="shared" ref="E11:G11" si="0">SUM(E9:E10)</f>
        <v>1.6027397260273972</v>
      </c>
      <c r="F11" s="1965">
        <f t="shared" si="0"/>
        <v>3.6054794520547944</v>
      </c>
      <c r="G11" s="1965">
        <f t="shared" si="0"/>
        <v>3.5</v>
      </c>
    </row>
    <row r="12" spans="2:9" ht="14.85" customHeight="1">
      <c r="B12" s="1948"/>
      <c r="C12" s="1964"/>
      <c r="D12" s="857"/>
      <c r="F12" s="185"/>
    </row>
    <row r="13" spans="2:9" ht="14.85" customHeight="1">
      <c r="B13" s="1169" t="s">
        <v>474</v>
      </c>
      <c r="C13" s="1170"/>
      <c r="D13" s="1073"/>
      <c r="E13" s="1073" t="str">
        <f>'IPO Waterfall'!D7</f>
        <v>IPO Early</v>
      </c>
      <c r="F13" s="1073" t="str">
        <f>'IPO Waterfall'!E7</f>
        <v>IPO Late</v>
      </c>
      <c r="G13" s="1234" t="s">
        <v>571</v>
      </c>
      <c r="I13" s="1140" t="s">
        <v>70</v>
      </c>
    </row>
    <row r="14" spans="2:9" ht="14.85" customHeight="1"/>
    <row r="15" spans="2:9" ht="14.85" customHeight="1">
      <c r="B15" s="1145" t="s">
        <v>71</v>
      </c>
      <c r="C15" s="691"/>
      <c r="D15" s="1535"/>
      <c r="E15" s="1967">
        <f>E11</f>
        <v>1.6027397260273972</v>
      </c>
      <c r="F15" s="1967">
        <f t="shared" ref="F15:G15" si="1">F11</f>
        <v>3.6054794520547944</v>
      </c>
      <c r="G15" s="1968">
        <f t="shared" si="1"/>
        <v>3.5</v>
      </c>
      <c r="I15" s="1147"/>
    </row>
    <row r="16" spans="2:9" ht="14.85" customHeight="1">
      <c r="B16" s="338" t="s">
        <v>72</v>
      </c>
      <c r="D16" s="554"/>
      <c r="E16" s="554">
        <f>'Risk-Free Rates_Hybrid'!$E$27</f>
        <v>2.3965753424657534E-2</v>
      </c>
      <c r="F16" s="554">
        <f>'Risk-Free Rates_Hybrid'!$E$35</f>
        <v>2.6484383561643836E-2</v>
      </c>
      <c r="G16" s="1538">
        <f>'Risk-Free Rates_Hybrid'!$E$51</f>
        <v>2.64E-2</v>
      </c>
      <c r="I16" s="606" t="str">
        <f>'Risk-Free Rates_Hybrid'!B3</f>
        <v>Workpaper #11</v>
      </c>
    </row>
    <row r="17" spans="2:9" ht="14.85" customHeight="1">
      <c r="B17" s="338" t="s">
        <v>73</v>
      </c>
      <c r="D17" s="887"/>
      <c r="E17" s="887">
        <v>0</v>
      </c>
      <c r="F17" s="887">
        <v>0</v>
      </c>
      <c r="G17" s="1148">
        <v>0</v>
      </c>
      <c r="I17" s="549"/>
    </row>
    <row r="18" spans="2:9" ht="14.85" customHeight="1">
      <c r="B18" s="338" t="s">
        <v>74</v>
      </c>
      <c r="D18" s="919"/>
      <c r="E18" s="919">
        <f>'Asset Vol_IPO_Early'!Q29</f>
        <v>0.96997780715075876</v>
      </c>
      <c r="F18" s="919">
        <f>'Asset Vol_IPO_Late'!Q29</f>
        <v>0.87528275802658995</v>
      </c>
      <c r="G18" s="1539">
        <f>'Asset Vol Hybrid DLOM'!Q29</f>
        <v>0.86884448617108778</v>
      </c>
      <c r="I18" s="1147" t="str">
        <f>'Asset Vol_IPO_Late'!B3&amp;" &amp; "&amp;'Asset Vol Hybrid'!B3</f>
        <v>Workpaper #10 &amp; Workpaper #7</v>
      </c>
    </row>
    <row r="19" spans="2:9" ht="14.85" customHeight="1">
      <c r="B19" s="338"/>
      <c r="G19" s="339"/>
    </row>
    <row r="20" spans="2:9" ht="14.85" customHeight="1">
      <c r="B20" s="338" t="s">
        <v>75</v>
      </c>
      <c r="D20" s="325"/>
      <c r="E20" s="325">
        <f>E18^2*E15</f>
        <v>1.5079488044480049</v>
      </c>
      <c r="F20" s="325">
        <f>F18^2*F15</f>
        <v>2.7622295806909651</v>
      </c>
      <c r="G20" s="1149">
        <f>G18^2*G15</f>
        <v>2.6421175940246551</v>
      </c>
    </row>
    <row r="21" spans="2:9" ht="14.85" customHeight="1">
      <c r="B21" s="338" t="s">
        <v>76</v>
      </c>
      <c r="D21" s="325"/>
      <c r="E21" s="325">
        <f>(E18^2*E15+LN(2*(EXP(E20)-E18^2*E15-1))-2*LN(EXP(E20)-1))^0.5</f>
        <v>0.61928148882873191</v>
      </c>
      <c r="F21" s="325">
        <f>(F18^2*F15+LN(2*(EXP(F20)-F18^2*F15-1))-2*LN(EXP(F20)-1))^0.5</f>
        <v>0.74319924066065768</v>
      </c>
      <c r="G21" s="1149">
        <f>(G18^2*G15+LN(2*(EXP(G20)-G18^2*G15-1))-2*LN(EXP(G20)-1))^0.5</f>
        <v>0.7352941092406956</v>
      </c>
    </row>
    <row r="22" spans="2:9" ht="14.85" customHeight="1">
      <c r="B22" s="338" t="s">
        <v>77</v>
      </c>
      <c r="D22" s="325"/>
      <c r="E22" s="325">
        <f>((E16-E17)*E15)/E21+0.5*E21</f>
        <v>0.3716656325642177</v>
      </c>
      <c r="F22" s="325">
        <f>((F16-F17)*F15)/F21+0.5*F21</f>
        <v>0.50008320253496208</v>
      </c>
      <c r="G22" s="1149">
        <f>((G16-G17)*G15)/G21+0.5*G21</f>
        <v>0.49331105605702086</v>
      </c>
    </row>
    <row r="23" spans="2:9" ht="14.85" customHeight="1">
      <c r="B23" s="338" t="s">
        <v>78</v>
      </c>
      <c r="D23" s="325"/>
      <c r="E23" s="325">
        <f>((E16-E17)*E15)/E21-0.5*E21</f>
        <v>-0.24761585626451418</v>
      </c>
      <c r="F23" s="325">
        <f>((F16-F17)*F15)/F21-0.5*F21</f>
        <v>-0.2431160381256956</v>
      </c>
      <c r="G23" s="1149">
        <f>((G16-G17)*G15)/G21-0.5*G21</f>
        <v>-0.24198305318367477</v>
      </c>
    </row>
    <row r="24" spans="2:9" ht="14.85" customHeight="1">
      <c r="B24" s="338"/>
      <c r="D24" s="1150"/>
      <c r="E24" s="1150"/>
      <c r="F24" s="1150"/>
      <c r="G24" s="1151"/>
    </row>
    <row r="25" spans="2:9" ht="14.85" customHeight="1">
      <c r="B25" s="1152" t="s">
        <v>79</v>
      </c>
      <c r="C25" s="1153"/>
      <c r="D25" s="1154"/>
      <c r="E25" s="1154">
        <f>EXP((E16-E17)*E15)*NORMSDIST(E22)-NORMSDIST(E23)</f>
        <v>0.26796746855447001</v>
      </c>
      <c r="F25" s="1154">
        <f>EXP((F16-F17)*F15)*NORMSDIST(F22)-NORMSDIST(F23)</f>
        <v>0.35681912970357671</v>
      </c>
      <c r="G25" s="1155">
        <f>EXP((G16-G17)*G15)*NORMSDIST(G22)-NORMSDIST(G23)</f>
        <v>0.35141455288234347</v>
      </c>
    </row>
    <row r="26" spans="2:9" ht="14.85" customHeight="1"/>
    <row r="27" spans="2:9" ht="14.85" hidden="1" customHeight="1" outlineLevel="1">
      <c r="B27" s="1233" t="s">
        <v>80</v>
      </c>
      <c r="C27" s="1073"/>
      <c r="D27" s="1073"/>
      <c r="E27" s="1073"/>
      <c r="F27" s="1073"/>
      <c r="G27" s="1234" t="str">
        <f>G13</f>
        <v>OPM</v>
      </c>
    </row>
    <row r="28" spans="2:9" ht="14.85" hidden="1" customHeight="1" outlineLevel="1"/>
    <row r="29" spans="2:9" ht="14.85" hidden="1" customHeight="1" outlineLevel="1">
      <c r="B29" s="1145" t="s">
        <v>81</v>
      </c>
      <c r="C29" s="691"/>
      <c r="D29" s="1541"/>
      <c r="E29" s="1541">
        <v>1</v>
      </c>
      <c r="F29" s="1541">
        <v>1</v>
      </c>
      <c r="G29" s="1542">
        <v>1</v>
      </c>
    </row>
    <row r="30" spans="2:9" ht="14.85" hidden="1" customHeight="1" outlineLevel="1">
      <c r="B30" s="338" t="s">
        <v>82</v>
      </c>
      <c r="D30" s="349"/>
      <c r="E30" s="349">
        <v>1</v>
      </c>
      <c r="F30" s="349">
        <v>1</v>
      </c>
      <c r="G30" s="593">
        <v>1</v>
      </c>
    </row>
    <row r="31" spans="2:9" ht="14.85" hidden="1" customHeight="1" outlineLevel="1">
      <c r="B31" s="338" t="s">
        <v>83</v>
      </c>
      <c r="D31" s="255"/>
      <c r="E31" s="255">
        <f t="shared" ref="E31:G32" si="2">E15</f>
        <v>1.6027397260273972</v>
      </c>
      <c r="F31" s="255">
        <f t="shared" si="2"/>
        <v>3.6054794520547944</v>
      </c>
      <c r="G31" s="653">
        <f t="shared" si="2"/>
        <v>3.5</v>
      </c>
      <c r="I31" s="606"/>
    </row>
    <row r="32" spans="2:9" ht="14.85" hidden="1" customHeight="1" outlineLevel="1">
      <c r="B32" s="338" t="s">
        <v>72</v>
      </c>
      <c r="D32" s="360"/>
      <c r="E32" s="360">
        <f t="shared" si="2"/>
        <v>2.3965753424657534E-2</v>
      </c>
      <c r="F32" s="360">
        <f t="shared" si="2"/>
        <v>2.6484383561643836E-2</v>
      </c>
      <c r="G32" s="1156">
        <f t="shared" si="2"/>
        <v>2.64E-2</v>
      </c>
      <c r="I32" s="606" t="str">
        <f>+I16</f>
        <v>Workpaper #11</v>
      </c>
    </row>
    <row r="33" spans="2:9" ht="14.85" hidden="1" customHeight="1" outlineLevel="1">
      <c r="B33" s="338" t="s">
        <v>74</v>
      </c>
      <c r="D33" s="257"/>
      <c r="E33" s="257">
        <f>E18</f>
        <v>0.96997780715075876</v>
      </c>
      <c r="F33" s="257">
        <f>F18</f>
        <v>0.87528275802658995</v>
      </c>
      <c r="G33" s="494">
        <f>G18</f>
        <v>0.86884448617108778</v>
      </c>
      <c r="I33" s="606" t="str">
        <f>+I18</f>
        <v>Workpaper #10 &amp; Workpaper #7</v>
      </c>
    </row>
    <row r="34" spans="2:9" ht="14.85" hidden="1" customHeight="1" outlineLevel="1">
      <c r="B34" s="338"/>
      <c r="G34" s="339"/>
    </row>
    <row r="35" spans="2:9" ht="14.85" hidden="1" customHeight="1" outlineLevel="1">
      <c r="B35" s="338" t="s">
        <v>84</v>
      </c>
      <c r="D35" s="325"/>
      <c r="E35" s="325">
        <f>(LN(E29/E30)+(E32+E33^2/2)*E31)/(E33*SQRT(E31))</f>
        <v>0.64527240585591084</v>
      </c>
      <c r="F35" s="325">
        <f>(LN(F29/F30)+(F32+F33^2/2)*F31)/(F33*SQRT(F31))</f>
        <v>0.88845219322125246</v>
      </c>
      <c r="G35" s="1149">
        <f>(LN(G29/G30)+(G32+G33^2/2)*G31)/(G33*SQRT(G31))</f>
        <v>0.86957507239602649</v>
      </c>
    </row>
    <row r="36" spans="2:9" ht="14.85" hidden="1" customHeight="1" outlineLevel="1">
      <c r="B36" s="338" t="s">
        <v>85</v>
      </c>
      <c r="D36" s="325"/>
      <c r="E36" s="325">
        <f>E35-E33*SQRT(E31)</f>
        <v>-0.5827132636239919</v>
      </c>
      <c r="F36" s="325">
        <f>F35-F33*SQRT(F31)</f>
        <v>-0.77354346883414704</v>
      </c>
      <c r="G36" s="1149">
        <f>G35-G33*SQRT(G31)</f>
        <v>-0.75588412242390346</v>
      </c>
    </row>
    <row r="37" spans="2:9" ht="14.85" hidden="1" customHeight="1" outlineLevel="1">
      <c r="B37" s="338"/>
      <c r="G37" s="339"/>
    </row>
    <row r="38" spans="2:9" ht="14.85" hidden="1" customHeight="1" outlineLevel="1">
      <c r="B38" s="1152" t="s">
        <v>79</v>
      </c>
      <c r="C38" s="264"/>
      <c r="D38" s="1154"/>
      <c r="E38" s="1154">
        <f>E30*EXP(-E32*E31)*NORMSDIST(-E36)-E29*NORMSDIST(-E35)</f>
        <v>0.43345170308464354</v>
      </c>
      <c r="F38" s="1154">
        <f>F30*EXP(-F32*F31)*NORMSDIST(-F36)-F29*NORMSDIST(-F35)</f>
        <v>0.52217861234638807</v>
      </c>
      <c r="G38" s="1155">
        <f>G30*EXP(-G32*G31)*NORMSDIST(-G36)-G29*NORMSDIST(-G35)</f>
        <v>0.51446071017884498</v>
      </c>
    </row>
    <row r="39" spans="2:9" ht="14.85" hidden="1" customHeight="1" outlineLevel="1"/>
    <row r="40" spans="2:9" ht="14.85" customHeight="1" collapsed="1">
      <c r="B40" s="1233" t="s">
        <v>470</v>
      </c>
      <c r="C40" s="1073"/>
      <c r="D40" s="1073"/>
      <c r="E40" s="1073" t="str">
        <f>E13</f>
        <v>IPO Early</v>
      </c>
      <c r="F40" s="1073" t="str">
        <f>F13</f>
        <v>IPO Late</v>
      </c>
      <c r="G40" s="1234" t="str">
        <f>G13</f>
        <v>OPM</v>
      </c>
    </row>
    <row r="41" spans="2:9" ht="14.85" customHeight="1"/>
    <row r="42" spans="2:9" ht="14.85" customHeight="1">
      <c r="B42" s="1145" t="s">
        <v>83</v>
      </c>
      <c r="C42" s="691"/>
      <c r="D42" s="1543"/>
      <c r="E42" s="1543">
        <f>+E31</f>
        <v>1.6027397260273972</v>
      </c>
      <c r="F42" s="1543">
        <f>+F31</f>
        <v>3.6054794520547944</v>
      </c>
      <c r="G42" s="1544">
        <f>+G31</f>
        <v>3.5</v>
      </c>
      <c r="I42" s="606"/>
    </row>
    <row r="43" spans="2:9" ht="14.85" customHeight="1">
      <c r="B43" s="338" t="s">
        <v>81</v>
      </c>
      <c r="D43" s="349"/>
      <c r="E43" s="349">
        <f t="shared" ref="E43:G44" si="3">+E29</f>
        <v>1</v>
      </c>
      <c r="F43" s="349">
        <f t="shared" si="3"/>
        <v>1</v>
      </c>
      <c r="G43" s="593">
        <f t="shared" si="3"/>
        <v>1</v>
      </c>
    </row>
    <row r="44" spans="2:9" ht="14.85" customHeight="1">
      <c r="B44" s="338" t="s">
        <v>82</v>
      </c>
      <c r="D44" s="349"/>
      <c r="E44" s="349">
        <f t="shared" si="3"/>
        <v>1</v>
      </c>
      <c r="F44" s="349">
        <f t="shared" si="3"/>
        <v>1</v>
      </c>
      <c r="G44" s="593">
        <f t="shared" si="3"/>
        <v>1</v>
      </c>
    </row>
    <row r="45" spans="2:9" ht="14.85" customHeight="1">
      <c r="B45" s="338" t="s">
        <v>73</v>
      </c>
      <c r="D45" s="360"/>
      <c r="E45" s="360">
        <f t="shared" ref="E45:G46" si="4">+E17</f>
        <v>0</v>
      </c>
      <c r="F45" s="360">
        <f t="shared" si="4"/>
        <v>0</v>
      </c>
      <c r="G45" s="1156">
        <f t="shared" si="4"/>
        <v>0</v>
      </c>
    </row>
    <row r="46" spans="2:9" ht="14.85" customHeight="1">
      <c r="B46" s="338" t="s">
        <v>74</v>
      </c>
      <c r="D46" s="257"/>
      <c r="E46" s="257">
        <f t="shared" si="4"/>
        <v>0.96997780715075876</v>
      </c>
      <c r="F46" s="257">
        <f t="shared" si="4"/>
        <v>0.87528275802658995</v>
      </c>
      <c r="G46" s="494">
        <f t="shared" si="4"/>
        <v>0.86884448617108778</v>
      </c>
      <c r="I46" s="606" t="str">
        <f>+I33</f>
        <v>Workpaper #10 &amp; Workpaper #7</v>
      </c>
    </row>
    <row r="47" spans="2:9" ht="14.85" customHeight="1">
      <c r="B47" s="338"/>
      <c r="G47" s="339"/>
    </row>
    <row r="48" spans="2:9" ht="14.85" customHeight="1">
      <c r="B48" s="338" t="s">
        <v>472</v>
      </c>
      <c r="D48" s="325"/>
      <c r="E48" s="325">
        <f>LN(2*(EXP((E46^2)*E42)-((E46^2)*E42)-1))-2*(LN((E46^2)*E42))</f>
        <v>0.5695356092600008</v>
      </c>
      <c r="F48" s="325">
        <f>LN(2*(EXP((F46^2)*F42)-((F46^2)*F42)-1))-2*(LN((F46^2)*F42))</f>
        <v>1.1520324244179401</v>
      </c>
      <c r="G48" s="1149">
        <f>LN(2*(EXP((G46^2)*G42)-((G46^2)*G42)-1))-2*(LN((G46^2)*G42))</f>
        <v>1.0918676826428175</v>
      </c>
    </row>
    <row r="49" spans="1:7" ht="14.85" customHeight="1">
      <c r="B49" s="338" t="s">
        <v>473</v>
      </c>
      <c r="D49" s="325"/>
      <c r="E49" s="325">
        <f>SQRT(E48)</f>
        <v>0.75467583057893195</v>
      </c>
      <c r="F49" s="325">
        <f>SQRT(F48)</f>
        <v>1.0733277339274989</v>
      </c>
      <c r="G49" s="1149">
        <f>SQRT(G48)</f>
        <v>1.0449247258261323</v>
      </c>
    </row>
    <row r="50" spans="1:7" ht="14.85" customHeight="1">
      <c r="B50" s="338"/>
      <c r="G50" s="339"/>
    </row>
    <row r="51" spans="1:7" ht="14.85" customHeight="1">
      <c r="B51" s="1152" t="s">
        <v>79</v>
      </c>
      <c r="C51" s="264"/>
      <c r="D51" s="1154"/>
      <c r="E51" s="1154">
        <f>EXP(-E45*E42)*E44*(2*NORMSDIST(E49/2)-1)</f>
        <v>0.29407750121532139</v>
      </c>
      <c r="F51" s="1154">
        <f>EXP(-F45*F42)*F44*(2*NORMSDIST(F49/2)-1)</f>
        <v>0.40850018076002304</v>
      </c>
      <c r="G51" s="1155">
        <f>EXP(-G45*G42)*G44*(2*NORMSDIST(G49/2)-1)</f>
        <v>0.39865155496488791</v>
      </c>
    </row>
    <row r="52" spans="1:7" ht="14.85" customHeight="1"/>
    <row r="53" spans="1:7" ht="14.85" customHeight="1">
      <c r="B53" s="1163" t="s">
        <v>475</v>
      </c>
      <c r="C53" s="1164"/>
      <c r="D53" s="1165"/>
      <c r="E53" s="1165">
        <f>MROUND(AVERAGE(E51,E25),5%)</f>
        <v>0.30000000000000004</v>
      </c>
      <c r="F53" s="1165">
        <f t="shared" ref="F53:G53" si="5">MROUND(AVERAGE(F51,F25),5%)</f>
        <v>0.4</v>
      </c>
      <c r="G53" s="1166">
        <f t="shared" si="5"/>
        <v>0.4</v>
      </c>
    </row>
    <row r="54" spans="1:7" ht="14.85" customHeight="1"/>
    <row r="55" spans="1:7" ht="14.85" customHeight="1">
      <c r="B55" s="1163" t="s">
        <v>475</v>
      </c>
      <c r="C55" s="1164"/>
      <c r="D55" s="1165"/>
      <c r="E55" s="1165">
        <f>MROUND(AVERAGE(E51,E25),5%)</f>
        <v>0.30000000000000004</v>
      </c>
      <c r="F55" s="1165">
        <f>MROUND(AVERAGE(F51,F25),5%)</f>
        <v>0.4</v>
      </c>
      <c r="G55" s="1166">
        <f>MROUND(AVERAGE(G51,G25),5%)</f>
        <v>0.4</v>
      </c>
    </row>
    <row r="56" spans="1:7" ht="14.85" customHeight="1"/>
    <row r="57" spans="1:7" ht="14.85" customHeight="1">
      <c r="B57" s="272" t="s">
        <v>86</v>
      </c>
    </row>
    <row r="58" spans="1:7" ht="14.85" customHeight="1">
      <c r="A58" s="276" t="str">
        <f>I10</f>
        <v>(1)</v>
      </c>
      <c r="B58" s="2060" t="str">
        <f>"We applied an additional term of "&amp;TEXT(G10,"0.0")&amp;" year to account for a structured exit for a biopharma company in which cash flows to a preferred shareholder and a common shareholder would accrue over a period given the split of deal value between upfront and milestone payments."</f>
        <v>We applied an additional term of 1.0 year to account for a structured exit for a biopharma company in which cash flows to a preferred shareholder and a common shareholder would accrue over a period given the split of deal value between upfront and milestone payments.</v>
      </c>
      <c r="C58" s="2060"/>
      <c r="D58" s="2060"/>
      <c r="E58" s="2060"/>
      <c r="F58" s="2060"/>
    </row>
    <row r="59" spans="1:7" ht="14.85" customHeight="1"/>
    <row r="60" spans="1:7" ht="14.85" customHeight="1"/>
    <row r="61" spans="1:7" ht="14.85" customHeight="1"/>
    <row r="62" spans="1:7" ht="14.85" customHeight="1"/>
    <row r="63" spans="1:7" ht="14.85" customHeight="1"/>
    <row r="64" spans="1:7"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row r="768" ht="14.85" customHeight="1"/>
    <row r="769" ht="14.85" customHeight="1"/>
    <row r="770" ht="14.85" customHeight="1"/>
    <row r="771" ht="14.85" customHeight="1"/>
    <row r="772" ht="14.85" customHeight="1"/>
  </sheetData>
  <mergeCells count="1">
    <mergeCell ref="B58:F58"/>
  </mergeCells>
  <conditionalFormatting sqref="B4:D4 F4:H4">
    <cfRule type="cellIs" dxfId="254" priority="6" stopIfTrue="1" operator="equal">
      <formula>"input"</formula>
    </cfRule>
  </conditionalFormatting>
  <conditionalFormatting sqref="I4">
    <cfRule type="cellIs" dxfId="253" priority="4" stopIfTrue="1" operator="equal">
      <formula>"input"</formula>
    </cfRule>
  </conditionalFormatting>
  <conditionalFormatting sqref="I4">
    <cfRule type="cellIs" dxfId="252" priority="5" stopIfTrue="1" operator="equal">
      <formula>"input"</formula>
    </cfRule>
  </conditionalFormatting>
  <conditionalFormatting sqref="E4">
    <cfRule type="cellIs" dxfId="251" priority="3" stopIfTrue="1" operator="equal">
      <formula>"input"</formula>
    </cfRule>
  </conditionalFormatting>
  <conditionalFormatting sqref="G10">
    <cfRule type="cellIs" dxfId="250" priority="1" operator="equal">
      <formula>0</formula>
    </cfRule>
  </conditionalFormatting>
  <pageMargins left="0.5" right="0.5" top="0.5" bottom="0.5" header="0.5" footer="0.5"/>
  <pageSetup scale="73" fitToWidth="0" fitToHeight="0" orientation="landscape" r:id="rId1"/>
  <legacyDrawingHF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68"/>
  <dimension ref="A1:AI743"/>
  <sheetViews>
    <sheetView showGridLines="0" view="pageBreakPreview" zoomScale="80" zoomScaleNormal="100" zoomScaleSheetLayoutView="80" workbookViewId="0">
      <selection sqref="A1:Z1048576"/>
    </sheetView>
  </sheetViews>
  <sheetFormatPr defaultRowHeight="12.75" outlineLevelRow="1" outlineLevelCol="1"/>
  <cols>
    <col min="1" max="1" width="4.5" style="179" customWidth="1"/>
    <col min="2" max="2" width="39.6640625" style="179" customWidth="1"/>
    <col min="3" max="3" width="2.83203125" style="179" customWidth="1"/>
    <col min="4" max="4" width="13.1640625" style="179" customWidth="1"/>
    <col min="5" max="5" width="10.83203125" style="179" hidden="1" customWidth="1" outlineLevel="1"/>
    <col min="6" max="7" width="9.83203125" style="179" hidden="1" customWidth="1" outlineLevel="1"/>
    <col min="8" max="8" width="12.83203125" style="179" customWidth="1" collapsed="1"/>
    <col min="9" max="11" width="12.83203125" style="179" customWidth="1"/>
    <col min="12" max="12" width="2.83203125" style="179" customWidth="1"/>
    <col min="13" max="14" width="12" style="179" customWidth="1"/>
    <col min="15" max="15" width="12.83203125" style="179" customWidth="1"/>
    <col min="16" max="16" width="2.83203125" style="549" customWidth="1"/>
    <col min="17" max="17" width="11.5" style="179" customWidth="1"/>
    <col min="18" max="18" width="2.83203125" style="179" customWidth="1"/>
    <col min="19" max="19" width="11.6640625" style="179" hidden="1" customWidth="1" outlineLevel="1"/>
    <col min="20" max="23" width="8.83203125" style="179" hidden="1" customWidth="1" outlineLevel="1"/>
    <col min="24" max="24" width="13.33203125" style="179" customWidth="1" collapsed="1"/>
    <col min="25" max="25" width="13.33203125" style="179" customWidth="1"/>
    <col min="26" max="26" width="4.5" style="179" customWidth="1"/>
    <col min="27" max="27" width="17.5" style="179" bestFit="1" customWidth="1"/>
    <col min="28" max="28" width="14.33203125" style="179" bestFit="1" customWidth="1"/>
    <col min="29" max="29" width="9.6640625" style="179" bestFit="1" customWidth="1"/>
    <col min="30" max="30" width="10.1640625" style="179" bestFit="1" customWidth="1"/>
    <col min="31" max="16384" width="9.33203125" style="179"/>
  </cols>
  <sheetData>
    <row r="1" spans="2:35" ht="10.7" customHeight="1" thickBot="1">
      <c r="P1" s="179"/>
    </row>
    <row r="2" spans="2:35"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AA2" s="909" t="s">
        <v>87</v>
      </c>
      <c r="AB2" s="910">
        <f>+'Comp.1'!$AL$2</f>
        <v>43245</v>
      </c>
    </row>
    <row r="3" spans="2:35" ht="15.75" customHeight="1">
      <c r="B3" s="188" t="str">
        <f>VLOOKUP(B4,Outline!$E$8:$G$75,COLUMNS(Outline!$E$8:$G$8),FALSE)</f>
        <v>Workpaper #7</v>
      </c>
      <c r="C3" s="188"/>
      <c r="D3" s="188"/>
      <c r="E3" s="188"/>
      <c r="F3" s="188"/>
      <c r="G3" s="188"/>
      <c r="H3" s="188"/>
      <c r="I3" s="188"/>
      <c r="J3" s="188"/>
      <c r="K3" s="188"/>
      <c r="L3" s="188"/>
      <c r="M3" s="188"/>
      <c r="N3" s="188"/>
      <c r="O3" s="188"/>
      <c r="P3" s="188"/>
      <c r="Q3" s="188"/>
      <c r="R3" s="188"/>
      <c r="S3" s="188"/>
      <c r="T3" s="188"/>
      <c r="U3" s="188"/>
      <c r="V3" s="188"/>
      <c r="W3" s="188"/>
      <c r="X3" s="188"/>
      <c r="Y3" s="188"/>
      <c r="AA3" s="911" t="s">
        <v>462</v>
      </c>
      <c r="AB3" s="912" t="str">
        <f>+'Comp.1'!$AL$3</f>
        <v>F</v>
      </c>
    </row>
    <row r="4" spans="2:35" ht="16.5" customHeight="1" thickBot="1">
      <c r="B4" s="726" t="s">
        <v>3635</v>
      </c>
      <c r="C4" s="726"/>
      <c r="D4" s="726"/>
      <c r="E4" s="726"/>
      <c r="F4" s="726"/>
      <c r="G4" s="726"/>
      <c r="H4" s="726"/>
      <c r="I4" s="726"/>
      <c r="J4" s="727"/>
      <c r="K4" s="727"/>
      <c r="L4" s="727"/>
      <c r="M4" s="727"/>
      <c r="N4" s="727"/>
      <c r="O4" s="727"/>
      <c r="P4" s="727"/>
      <c r="Q4" s="727"/>
      <c r="R4" s="727"/>
      <c r="S4" s="727"/>
      <c r="T4" s="727"/>
      <c r="U4" s="727"/>
      <c r="V4" s="727"/>
      <c r="W4" s="727"/>
      <c r="X4" s="727"/>
      <c r="Y4" s="727" t="str">
        <f>+'MASTER PubCo Inputs'!$C$24</f>
        <v>(in millions of USD)</v>
      </c>
      <c r="AA4" s="911" t="s">
        <v>463</v>
      </c>
      <c r="AB4" s="912" t="str">
        <f>+'Comp.1'!$AL$4</f>
        <v>USD</v>
      </c>
    </row>
    <row r="5" spans="2:35" ht="14.85" customHeight="1" thickTop="1">
      <c r="B5" s="549"/>
      <c r="AA5" s="378" t="s">
        <v>89</v>
      </c>
      <c r="AB5" s="913" t="str">
        <f>+'Comp.1'!$AL$5</f>
        <v>H</v>
      </c>
    </row>
    <row r="6" spans="2:35" ht="14.85" hidden="1" customHeight="1" outlineLevel="1">
      <c r="N6" s="551">
        <f>'OPM 1 Hybrid'!D10</f>
        <v>2.5</v>
      </c>
      <c r="O6" s="554">
        <f>'Risk-Free Rates_Hybrid'!E43</f>
        <v>2.5399999999999999E-2</v>
      </c>
      <c r="Q6" s="263">
        <f>HLOOKUP(ROUND(N6,0),'Equity Vol'!$D$8:$H$8,1,TRUE)</f>
        <v>3</v>
      </c>
    </row>
    <row r="7" spans="2:35" ht="14.85" customHeight="1" collapsed="1">
      <c r="D7" s="1169" t="s">
        <v>91</v>
      </c>
      <c r="E7" s="1170"/>
      <c r="F7" s="1170"/>
      <c r="G7" s="1170"/>
      <c r="H7" s="1170"/>
      <c r="I7" s="1170"/>
      <c r="J7" s="1170"/>
      <c r="K7" s="1171"/>
      <c r="M7" s="1169" t="s">
        <v>92</v>
      </c>
      <c r="N7" s="1170"/>
      <c r="O7" s="1170"/>
      <c r="P7" s="1172"/>
      <c r="Q7" s="1171"/>
      <c r="S7" s="1169" t="s">
        <v>93</v>
      </c>
      <c r="T7" s="1170"/>
      <c r="U7" s="1170"/>
      <c r="V7" s="1170"/>
      <c r="W7" s="1170"/>
      <c r="X7" s="1007"/>
      <c r="Y7" s="1171"/>
    </row>
    <row r="8" spans="2:35" s="200" customFormat="1" ht="39.950000000000003" customHeight="1">
      <c r="B8" s="1175" t="s">
        <v>733</v>
      </c>
      <c r="D8" s="1176" t="s">
        <v>94</v>
      </c>
      <c r="E8" s="1177" t="s">
        <v>95</v>
      </c>
      <c r="F8" s="1177" t="s">
        <v>96</v>
      </c>
      <c r="G8" s="1177" t="s">
        <v>97</v>
      </c>
      <c r="H8" s="1177" t="s">
        <v>98</v>
      </c>
      <c r="I8" s="1177" t="s">
        <v>99</v>
      </c>
      <c r="J8" s="1177" t="s">
        <v>100</v>
      </c>
      <c r="K8" s="1178" t="s">
        <v>101</v>
      </c>
      <c r="L8" s="265"/>
      <c r="M8" s="1176" t="s">
        <v>73</v>
      </c>
      <c r="N8" s="1177" t="s">
        <v>102</v>
      </c>
      <c r="O8" s="1178" t="s">
        <v>72</v>
      </c>
      <c r="P8" s="1016"/>
      <c r="Q8" s="1179" t="s">
        <v>103</v>
      </c>
      <c r="R8" s="1016"/>
      <c r="S8" s="1176" t="s">
        <v>104</v>
      </c>
      <c r="T8" s="1177" t="s">
        <v>84</v>
      </c>
      <c r="U8" s="1177" t="s">
        <v>85</v>
      </c>
      <c r="V8" s="1177" t="s">
        <v>105</v>
      </c>
      <c r="W8" s="1177" t="s">
        <v>106</v>
      </c>
      <c r="X8" s="1017" t="s">
        <v>107</v>
      </c>
      <c r="Y8" s="1178" t="s">
        <v>3229</v>
      </c>
      <c r="AA8" s="562" t="s">
        <v>108</v>
      </c>
      <c r="AB8" s="454" t="s">
        <v>109</v>
      </c>
      <c r="AC8" s="454" t="s">
        <v>110</v>
      </c>
      <c r="AD8" s="1180"/>
    </row>
    <row r="9" spans="2:35" ht="14.85" customHeight="1"/>
    <row r="10" spans="2:35" ht="14.85" customHeight="1">
      <c r="B10" s="179" t="str">
        <f>'Comp.1'!B12</f>
        <v>Editas Medicine, Inc.</v>
      </c>
      <c r="D10" s="255">
        <f>IF($B10="(Invalid Identifier)","",'Beta Calc'!K10)</f>
        <v>1705.3104800000001</v>
      </c>
      <c r="E10" s="255">
        <f>IF($B10="(Invalid Identifier)","",'Beta Calc'!L10)</f>
        <v>33.19</v>
      </c>
      <c r="F10" s="255" t="str">
        <f>IF($B10="(Invalid Identifier)","",'Beta Calc'!M10)</f>
        <v>n/a</v>
      </c>
      <c r="G10" s="255" t="str">
        <f>IF($B10="(Invalid Identifier)","",'Beta Calc'!N10)</f>
        <v>n/a</v>
      </c>
      <c r="H10" s="255">
        <f t="shared" ref="H10:H14" si="0">SUM(E10:G10)</f>
        <v>33.19</v>
      </c>
      <c r="I10" s="255">
        <f t="shared" ref="I10:I14" si="1">SUM(D10:G10)</f>
        <v>1738.5004800000002</v>
      </c>
      <c r="J10" s="255">
        <f>IF($B10="(Invalid Identifier)","",'Beta Calc'!Q10)</f>
        <v>358.82100000000003</v>
      </c>
      <c r="K10" s="576">
        <f t="shared" ref="K10:K14" si="2">IFERROR(I10-J10,"n/a")</f>
        <v>1379.6794800000002</v>
      </c>
      <c r="M10" s="384">
        <f>IFERROR('Capital IQ Sheet-GPC'!AT13,"n/a")</f>
        <v>0</v>
      </c>
      <c r="N10" s="255">
        <f t="shared" ref="N10:O18" si="3">N$6</f>
        <v>2.5</v>
      </c>
      <c r="O10" s="1181">
        <f t="shared" si="3"/>
        <v>2.5399999999999999E-2</v>
      </c>
      <c r="P10" s="1162"/>
      <c r="Q10" s="1182">
        <f>IFERROR(HLOOKUP($Q$6,'Equity Vol'!$B$8:$H10,ROWS('Equity Vol'!$C$8:$C10),FALSE),"n/a")</f>
        <v>0.78204917356370451</v>
      </c>
      <c r="R10" s="303"/>
      <c r="S10" s="1183">
        <f t="shared" ref="S10:S14" si="4">IFERROR(IF(Q10="n/a","n/a",Q10^2),"n/a")</f>
        <v>0.61160090987167326</v>
      </c>
      <c r="T10" s="1183">
        <f t="shared" ref="T10:T14" si="5">IF(OR(K10="n/a",S10="n/a"),"n/a",IF(H10=0,0,IF(M10=0,(LN(K10/H10)+((O10+(S10/2))*N10))/((S10*N10)^0.5),(LN(K10/H10)+((O10-M10+(S10/2))*N10))/((S10*N10)^0.5))))</f>
        <v>3.683990851918443</v>
      </c>
      <c r="U10" s="1184">
        <f t="shared" ref="U10:U14" si="6">IF(T10="n/a","n/a",IF(H10=0,0,T10-(S10*N10)^0.5))</f>
        <v>2.4474625365616198</v>
      </c>
      <c r="V10" s="1184">
        <f t="shared" ref="V10:V14" si="7">IF(OR(T10="n/a",S10="n/a"),"n/a",IF(H10=0,0,NORMSDIST(T10)))</f>
        <v>0.99988519475762727</v>
      </c>
      <c r="W10" s="1184">
        <f t="shared" ref="W10:W14" si="8">IF(OR(U10="n/a",S10="n/a"),"n/a",IF(H10=0,0,NORMSDIST(U10)))</f>
        <v>0.99280669596697135</v>
      </c>
      <c r="X10" s="576">
        <f t="shared" ref="X10:X18" si="9">IF(OR(K10="n/a",S10="n/a"),"n/a",IF(M10=0,(K10*V10)-((H10*EXP(1)^(-O10*N10))*W10),(K10*(2.718^(-M10*N10))*V10)-(H10*(2.718^(-O10*N10))*W10)))</f>
        <v>1348.5971862609695</v>
      </c>
      <c r="Y10" s="1182">
        <f t="shared" ref="Y10:Y18" si="10">IFERROR(IF(LEN(B10)&gt;0,IF(H10=0,Q10,IF(ISERROR(Q10/((K10/X10)*V10)),"n/a",Q10/((K10/X10)*V10)))),"n/a")</f>
        <v>0.76451844485970966</v>
      </c>
      <c r="AA10" s="932" t="str">
        <f>IF('MASTER PubCo Inputs'!B28=0,"",'MASTER PubCo Inputs'!B28)</f>
        <v>NasdaqGS:EDIT</v>
      </c>
      <c r="AB10" s="255">
        <f>IF($B10="(Invalid Identifier)","",'Beta Calc'!Z10)</f>
        <v>1379.67948</v>
      </c>
      <c r="AC10" s="933">
        <f t="shared" ref="AC10:AC14" si="11">IF($B10="(Invalid Identifier)","",K10-AB10)</f>
        <v>2.2737367544323206E-13</v>
      </c>
      <c r="AI10" s="934"/>
    </row>
    <row r="11" spans="2:35" ht="14.85" customHeight="1">
      <c r="B11" s="179" t="str">
        <f>'Comp.1'!B13</f>
        <v>Oxford BioMedica plc</v>
      </c>
      <c r="D11" s="255">
        <f>IF($B11="(Invalid Identifier)","",'Beta Calc'!K11)</f>
        <v>655.68985999999995</v>
      </c>
      <c r="E11" s="255">
        <f>IF($B11="(Invalid Identifier)","",'Beta Calc'!L11)</f>
        <v>49.826320000000003</v>
      </c>
      <c r="F11" s="255" t="str">
        <f>IF($B11="(Invalid Identifier)","",'Beta Calc'!M11)</f>
        <v>n/a</v>
      </c>
      <c r="G11" s="255" t="str">
        <f>IF($B11="(Invalid Identifier)","",'Beta Calc'!N11)</f>
        <v>n/a</v>
      </c>
      <c r="H11" s="255">
        <f t="shared" si="0"/>
        <v>49.826320000000003</v>
      </c>
      <c r="I11" s="255">
        <f t="shared" si="1"/>
        <v>705.51617999999996</v>
      </c>
      <c r="J11" s="255">
        <f>IF($B11="(Invalid Identifier)","",'Beta Calc'!Q11)</f>
        <v>19.367439999999998</v>
      </c>
      <c r="K11" s="576">
        <f t="shared" si="2"/>
        <v>686.14873999999998</v>
      </c>
      <c r="M11" s="384">
        <f>IFERROR('Capital IQ Sheet-GPC'!AT14,"n/a")</f>
        <v>0</v>
      </c>
      <c r="N11" s="255">
        <f t="shared" si="3"/>
        <v>2.5</v>
      </c>
      <c r="O11" s="1181">
        <f t="shared" si="3"/>
        <v>2.5399999999999999E-2</v>
      </c>
      <c r="P11" s="1162"/>
      <c r="Q11" s="1182">
        <f>IFERROR(HLOOKUP($Q$6,'Equity Vol'!$B$8:$H11,ROWS('Equity Vol'!$C$8:$C11),FALSE),"n/a")</f>
        <v>0.59784182919662132</v>
      </c>
      <c r="R11" s="303"/>
      <c r="S11" s="1183">
        <f t="shared" si="4"/>
        <v>0.35741485273716217</v>
      </c>
      <c r="T11" s="1183">
        <f t="shared" si="5"/>
        <v>3.3142028735960434</v>
      </c>
      <c r="U11" s="1184">
        <f t="shared" si="6"/>
        <v>2.3689319432047053</v>
      </c>
      <c r="V11" s="1184">
        <f t="shared" si="7"/>
        <v>0.99954047600480389</v>
      </c>
      <c r="W11" s="1184">
        <f t="shared" si="8"/>
        <v>0.99108023210967655</v>
      </c>
      <c r="X11" s="576">
        <f t="shared" si="9"/>
        <v>639.48982110516715</v>
      </c>
      <c r="Y11" s="1182">
        <f t="shared" si="10"/>
        <v>0.55744404269829162</v>
      </c>
      <c r="AA11" s="932" t="str">
        <f>IF('MASTER PubCo Inputs'!B29=0,"",'MASTER PubCo Inputs'!B29)</f>
        <v>LSE:OXB</v>
      </c>
      <c r="AB11" s="255">
        <f>IF($B11="(Invalid Identifier)","",'Beta Calc'!Z11)</f>
        <v>685.68294000000003</v>
      </c>
      <c r="AC11" s="933">
        <f t="shared" si="11"/>
        <v>0.4657999999999447</v>
      </c>
      <c r="AI11" s="934"/>
    </row>
    <row r="12" spans="2:35" ht="14.85" customHeight="1">
      <c r="B12" s="179" t="str">
        <f>'Comp.1'!B14</f>
        <v>Fennec Pharmaceuticals Inc.</v>
      </c>
      <c r="D12" s="255">
        <f>IF($B12="(Invalid Identifier)","",'Beta Calc'!K12)</f>
        <v>205.66506000000001</v>
      </c>
      <c r="E12" s="255">
        <f>IF($B12="(Invalid Identifier)","",'Beta Calc'!L12)</f>
        <v>0</v>
      </c>
      <c r="F12" s="255" t="str">
        <f>IF($B12="(Invalid Identifier)","",'Beta Calc'!M12)</f>
        <v>n/a</v>
      </c>
      <c r="G12" s="255" t="str">
        <f>IF($B12="(Invalid Identifier)","",'Beta Calc'!N12)</f>
        <v>n/a</v>
      </c>
      <c r="H12" s="255">
        <f t="shared" si="0"/>
        <v>0</v>
      </c>
      <c r="I12" s="255">
        <f t="shared" si="1"/>
        <v>205.66506000000001</v>
      </c>
      <c r="J12" s="255">
        <f>IF($B12="(Invalid Identifier)","",'Beta Calc'!Q12)</f>
        <v>26.719000000000001</v>
      </c>
      <c r="K12" s="576">
        <f t="shared" si="2"/>
        <v>178.94606000000002</v>
      </c>
      <c r="M12" s="384">
        <f>IFERROR('Capital IQ Sheet-GPC'!AT15,"n/a")</f>
        <v>0</v>
      </c>
      <c r="N12" s="255">
        <f t="shared" si="3"/>
        <v>2.5</v>
      </c>
      <c r="O12" s="1181">
        <f t="shared" si="3"/>
        <v>2.5399999999999999E-2</v>
      </c>
      <c r="P12" s="1162"/>
      <c r="Q12" s="1182">
        <f>IFERROR(HLOOKUP($Q$6,'Equity Vol'!$B$8:$H12,ROWS('Equity Vol'!$C$8:$C12),FALSE),"n/a")</f>
        <v>1.387449122489415</v>
      </c>
      <c r="R12" s="303"/>
      <c r="S12" s="1183">
        <f t="shared" si="4"/>
        <v>1.9250150674966477</v>
      </c>
      <c r="T12" s="1183">
        <f t="shared" si="5"/>
        <v>0</v>
      </c>
      <c r="U12" s="1184">
        <f t="shared" si="6"/>
        <v>0</v>
      </c>
      <c r="V12" s="1184">
        <f t="shared" si="7"/>
        <v>0</v>
      </c>
      <c r="W12" s="1184">
        <f t="shared" si="8"/>
        <v>0</v>
      </c>
      <c r="X12" s="576">
        <f t="shared" si="9"/>
        <v>0</v>
      </c>
      <c r="Y12" s="1182">
        <f t="shared" si="10"/>
        <v>1.387449122489415</v>
      </c>
      <c r="AA12" s="932" t="str">
        <f>IF('MASTER PubCo Inputs'!B30=0,"",'MASTER PubCo Inputs'!B30)</f>
        <v>NasdaqCM:FENC</v>
      </c>
      <c r="AB12" s="255">
        <f>IF($B12="(Invalid Identifier)","",'Beta Calc'!Z12)</f>
        <v>178.94605999999999</v>
      </c>
      <c r="AC12" s="933">
        <f t="shared" si="11"/>
        <v>2.8421709430404007E-14</v>
      </c>
      <c r="AI12" s="934"/>
    </row>
    <row r="13" spans="2:35" ht="14.85" customHeight="1">
      <c r="B13" s="179" t="str">
        <f>'Comp.1'!B15</f>
        <v>ProQR Therapeutics N.V.</v>
      </c>
      <c r="D13" s="255">
        <f>IF($B13="(Invalid Identifier)","",'Beta Calc'!K13)</f>
        <v>188.339</v>
      </c>
      <c r="E13" s="255">
        <f>IF($B13="(Invalid Identifier)","",'Beta Calc'!L13)</f>
        <v>8.6983700000000006</v>
      </c>
      <c r="F13" s="255" t="str">
        <f>IF($B13="(Invalid Identifier)","",'Beta Calc'!M13)</f>
        <v>n/a</v>
      </c>
      <c r="G13" s="255">
        <f>IF($B13="(Invalid Identifier)","",'Beta Calc'!N13)</f>
        <v>-4.5629999999999997E-2</v>
      </c>
      <c r="H13" s="255">
        <f t="shared" si="0"/>
        <v>8.6527400000000014</v>
      </c>
      <c r="I13" s="255">
        <f t="shared" si="1"/>
        <v>196.99174000000002</v>
      </c>
      <c r="J13" s="255">
        <f>IF($B13="(Invalid Identifier)","",'Beta Calc'!Q13)</f>
        <v>57.755760000000002</v>
      </c>
      <c r="K13" s="576">
        <f t="shared" si="2"/>
        <v>139.23598000000001</v>
      </c>
      <c r="M13" s="384">
        <f>IFERROR('Capital IQ Sheet-GPC'!AT16,"n/a")</f>
        <v>0</v>
      </c>
      <c r="N13" s="255">
        <f t="shared" si="3"/>
        <v>2.5</v>
      </c>
      <c r="O13" s="1181">
        <f t="shared" si="3"/>
        <v>2.5399999999999999E-2</v>
      </c>
      <c r="P13" s="1162"/>
      <c r="Q13" s="1182">
        <f>IFERROR(HLOOKUP($Q$6,'Equity Vol'!$B$8:$H13,ROWS('Equity Vol'!$C$8:$C13),FALSE),"n/a")</f>
        <v>0.73107336829310765</v>
      </c>
      <c r="R13" s="303"/>
      <c r="S13" s="1183">
        <f t="shared" si="4"/>
        <v>0.53446826982742979</v>
      </c>
      <c r="T13" s="1183">
        <f t="shared" si="5"/>
        <v>3.0364157684623216</v>
      </c>
      <c r="U13" s="1184">
        <f t="shared" si="6"/>
        <v>1.8804872782136495</v>
      </c>
      <c r="V13" s="1184">
        <f t="shared" si="7"/>
        <v>0.99880295505301819</v>
      </c>
      <c r="W13" s="1184">
        <f t="shared" si="8"/>
        <v>0.96997915070808027</v>
      </c>
      <c r="X13" s="576">
        <f t="shared" si="9"/>
        <v>131.19271620321425</v>
      </c>
      <c r="Y13" s="1182">
        <f t="shared" si="10"/>
        <v>0.68966691587651918</v>
      </c>
      <c r="AA13" s="932" t="str">
        <f>IF('MASTER PubCo Inputs'!B31=0,"",'MASTER PubCo Inputs'!B31)</f>
        <v>NasdaqGM:PRQR</v>
      </c>
      <c r="AB13" s="255">
        <f>IF($B13="(Invalid Identifier)","",'Beta Calc'!Z13)</f>
        <v>150.9237</v>
      </c>
      <c r="AC13" s="933">
        <f t="shared" si="11"/>
        <v>-11.687719999999985</v>
      </c>
      <c r="AI13" s="934"/>
    </row>
    <row r="14" spans="2:35" ht="14.85" customHeight="1">
      <c r="B14" s="179" t="str">
        <f>'Comp.1'!B16</f>
        <v>Genkyotex SA</v>
      </c>
      <c r="D14" s="255">
        <f>IF($B14="(Invalid Identifier)","",'Beta Calc'!K14)</f>
        <v>138.52769000000001</v>
      </c>
      <c r="E14" s="255">
        <f>IF($B14="(Invalid Identifier)","",'Beta Calc'!L14)</f>
        <v>0.48391000000000001</v>
      </c>
      <c r="F14" s="255" t="str">
        <f>IF($B14="(Invalid Identifier)","",'Beta Calc'!M14)</f>
        <v>n/a</v>
      </c>
      <c r="G14" s="255" t="str">
        <f>IF($B14="(Invalid Identifier)","",'Beta Calc'!N14)</f>
        <v>n/a</v>
      </c>
      <c r="H14" s="255">
        <f t="shared" si="0"/>
        <v>0.48391000000000001</v>
      </c>
      <c r="I14" s="255">
        <f t="shared" si="1"/>
        <v>139.01160000000002</v>
      </c>
      <c r="J14" s="255">
        <f>IF($B14="(Invalid Identifier)","",'Beta Calc'!Q14)</f>
        <v>13.622719999999999</v>
      </c>
      <c r="K14" s="576">
        <f t="shared" si="2"/>
        <v>125.38888000000001</v>
      </c>
      <c r="M14" s="384">
        <f>IFERROR('Capital IQ Sheet-GPC'!AT17,"n/a")</f>
        <v>0</v>
      </c>
      <c r="N14" s="255">
        <f t="shared" si="3"/>
        <v>2.5</v>
      </c>
      <c r="O14" s="1181">
        <f t="shared" si="3"/>
        <v>2.5399999999999999E-2</v>
      </c>
      <c r="P14" s="1162"/>
      <c r="Q14" s="1182">
        <f>IFERROR(HLOOKUP($Q$6,'Equity Vol'!$B$8:$H14,ROWS('Equity Vol'!$C$8:$C14),FALSE),"n/a")</f>
        <v>0.3917886476836604</v>
      </c>
      <c r="R14" s="303"/>
      <c r="S14" s="1183">
        <f t="shared" si="4"/>
        <v>0.15349834445379137</v>
      </c>
      <c r="T14" s="1183">
        <f t="shared" si="5"/>
        <v>9.3832278596868601</v>
      </c>
      <c r="U14" s="1184">
        <f t="shared" si="6"/>
        <v>8.7637556156480514</v>
      </c>
      <c r="V14" s="1184">
        <f t="shared" si="7"/>
        <v>1</v>
      </c>
      <c r="W14" s="1184">
        <f t="shared" si="8"/>
        <v>1</v>
      </c>
      <c r="X14" s="576">
        <f t="shared" si="9"/>
        <v>124.93474298892923</v>
      </c>
      <c r="Y14" s="1182">
        <f t="shared" si="10"/>
        <v>0.39036965641880084</v>
      </c>
      <c r="AA14" s="932" t="str">
        <f>IF('MASTER PubCo Inputs'!B32=0,"",'MASTER PubCo Inputs'!B32)</f>
        <v>ENXTPA:GKTX</v>
      </c>
      <c r="AB14" s="255">
        <f>IF($B14="(Invalid Identifier)","",'Beta Calc'!Z14)</f>
        <v>125.77329</v>
      </c>
      <c r="AC14" s="933">
        <f t="shared" si="11"/>
        <v>-0.38440999999998837</v>
      </c>
      <c r="AI14" s="934"/>
    </row>
    <row r="15" spans="2:35" ht="14.85" customHeight="1">
      <c r="B15" s="179" t="str">
        <f>'Comp.1'!B17</f>
        <v>Novus Therapeutics, Inc.</v>
      </c>
      <c r="D15" s="255">
        <f>IF($B15="(Invalid Identifier)","",'Beta Calc'!K15)</f>
        <v>74.033280000000005</v>
      </c>
      <c r="E15" s="255">
        <f>IF($B15="(Invalid Identifier)","",'Beta Calc'!L15)</f>
        <v>0</v>
      </c>
      <c r="F15" s="255" t="str">
        <f>IF($B15="(Invalid Identifier)","",'Beta Calc'!M15)</f>
        <v>n/a</v>
      </c>
      <c r="G15" s="255" t="str">
        <f>IF($B15="(Invalid Identifier)","",'Beta Calc'!N15)</f>
        <v>n/a</v>
      </c>
      <c r="H15" s="255">
        <f t="shared" ref="H15:H18" si="12">SUM(E15:G15)</f>
        <v>0</v>
      </c>
      <c r="I15" s="255">
        <f t="shared" ref="I15:I18" si="13">SUM(D15:G15)</f>
        <v>74.033280000000005</v>
      </c>
      <c r="J15" s="255">
        <f>IF($B15="(Invalid Identifier)","",'Beta Calc'!Q15)</f>
        <v>22.523</v>
      </c>
      <c r="K15" s="576">
        <f t="shared" ref="K15:K18" si="14">IFERROR(I15-J15,"n/a")</f>
        <v>51.510280000000009</v>
      </c>
      <c r="M15" s="384">
        <f>IFERROR('Capital IQ Sheet-GPC'!AT18,"n/a")</f>
        <v>0</v>
      </c>
      <c r="N15" s="255">
        <f t="shared" si="3"/>
        <v>2.5</v>
      </c>
      <c r="O15" s="1181">
        <f t="shared" si="3"/>
        <v>2.5399999999999999E-2</v>
      </c>
      <c r="P15" s="1162"/>
      <c r="Q15" s="1182">
        <f>IFERROR(HLOOKUP($Q$6,'Equity Vol'!$B$8:$H15,ROWS('Equity Vol'!$C$8:$C15),FALSE),"n/a")</f>
        <v>0.69646624513060806</v>
      </c>
      <c r="R15" s="303"/>
      <c r="S15" s="1183">
        <f t="shared" ref="S15:S18" si="15">IFERROR(IF(Q15="n/a","n/a",Q15^2),"n/a")</f>
        <v>0.48506523060632822</v>
      </c>
      <c r="T15" s="1183">
        <f t="shared" ref="T15:T18" si="16">IF(OR(K15="n/a",S15="n/a"),"n/a",IF(H15=0,0,IF(M15=0,(LN(K15/H15)+((O15+(S15/2))*N15))/((S15*N15)^0.5),(LN(K15/H15)+((O15-M15+(S15/2))*N15))/((S15*N15)^0.5))))</f>
        <v>0</v>
      </c>
      <c r="U15" s="1184">
        <f t="shared" ref="U15:U18" si="17">IF(T15="n/a","n/a",IF(H15=0,0,T15-(S15*N15)^0.5))</f>
        <v>0</v>
      </c>
      <c r="V15" s="1184">
        <f t="shared" ref="V15:V18" si="18">IF(OR(T15="n/a",S15="n/a"),"n/a",IF(H15=0,0,NORMSDIST(T15)))</f>
        <v>0</v>
      </c>
      <c r="W15" s="1184">
        <f t="shared" ref="W15:W18" si="19">IF(OR(U15="n/a",S15="n/a"),"n/a",IF(H15=0,0,NORMSDIST(U15)))</f>
        <v>0</v>
      </c>
      <c r="X15" s="576">
        <f t="shared" si="9"/>
        <v>0</v>
      </c>
      <c r="Y15" s="1182">
        <f t="shared" si="10"/>
        <v>0.69646624513060806</v>
      </c>
      <c r="AA15" s="932" t="str">
        <f>IF('MASTER PubCo Inputs'!B33=0,"",'MASTER PubCo Inputs'!B33)</f>
        <v>NasdaqCM:NVUS</v>
      </c>
      <c r="AB15" s="255">
        <f>IF($B15="(Invalid Identifier)","",'Beta Calc'!Z15)</f>
        <v>51.510280000000002</v>
      </c>
      <c r="AC15" s="933">
        <f t="shared" ref="AC15:AC18" si="20">IF($B15="(Invalid Identifier)","",K15-AB15)</f>
        <v>7.1054273576010019E-15</v>
      </c>
      <c r="AI15" s="934"/>
    </row>
    <row r="16" spans="2:35" ht="14.85" customHeight="1">
      <c r="B16" s="179" t="str">
        <f>'Comp.1'!B18</f>
        <v>Sensorion SA</v>
      </c>
      <c r="D16" s="255">
        <f>IF($B16="(Invalid Identifier)","",'Beta Calc'!K16)</f>
        <v>37.159999999999997</v>
      </c>
      <c r="E16" s="255">
        <f>IF($B16="(Invalid Identifier)","",'Beta Calc'!L16)</f>
        <v>2.6891699999999998</v>
      </c>
      <c r="F16" s="255">
        <f>IF($B16="(Invalid Identifier)","",'Beta Calc'!M16)</f>
        <v>0</v>
      </c>
      <c r="G16" s="255">
        <f>IF($B16="(Invalid Identifier)","",'Beta Calc'!N16)</f>
        <v>0</v>
      </c>
      <c r="H16" s="255">
        <f t="shared" si="12"/>
        <v>2.6891699999999998</v>
      </c>
      <c r="I16" s="255">
        <f t="shared" si="13"/>
        <v>39.849169999999994</v>
      </c>
      <c r="J16" s="255">
        <f>IF($B16="(Invalid Identifier)","",'Beta Calc'!Q16)</f>
        <v>9.1175599999999992</v>
      </c>
      <c r="K16" s="576">
        <f t="shared" si="14"/>
        <v>30.731609999999996</v>
      </c>
      <c r="M16" s="384">
        <f>IFERROR('Capital IQ Sheet-GPC'!AT19,"n/a")</f>
        <v>0</v>
      </c>
      <c r="N16" s="255">
        <f t="shared" si="3"/>
        <v>2.5</v>
      </c>
      <c r="O16" s="1181">
        <f t="shared" si="3"/>
        <v>2.5399999999999999E-2</v>
      </c>
      <c r="P16" s="1162"/>
      <c r="Q16" s="1182">
        <f>IFERROR(HLOOKUP($Q$6,'Equity Vol'!$B$8:$H16,ROWS('Equity Vol'!$C$8:$C16),FALSE),"n/a")</f>
        <v>0.63297354727902455</v>
      </c>
      <c r="R16" s="303"/>
      <c r="S16" s="1183">
        <f t="shared" si="15"/>
        <v>0.40065551155499152</v>
      </c>
      <c r="T16" s="1183">
        <f t="shared" si="16"/>
        <v>2.9979230992337333</v>
      </c>
      <c r="U16" s="1184">
        <f t="shared" si="17"/>
        <v>1.9971040452147371</v>
      </c>
      <c r="V16" s="1184">
        <f t="shared" si="18"/>
        <v>0.9986408687307281</v>
      </c>
      <c r="W16" s="1184">
        <f t="shared" si="19"/>
        <v>0.97709305919986589</v>
      </c>
      <c r="X16" s="576">
        <f t="shared" si="9"/>
        <v>28.223935883751071</v>
      </c>
      <c r="Y16" s="1182">
        <f t="shared" si="10"/>
        <v>0.58211459624174267</v>
      </c>
      <c r="AA16" s="932" t="str">
        <f>IF('MASTER PubCo Inputs'!B34=0,"",'MASTER PubCo Inputs'!B34)</f>
        <v>ENXTPA:ALSEN</v>
      </c>
      <c r="AB16" s="255">
        <f>IF($B16="(Invalid Identifier)","",'Beta Calc'!Z16)</f>
        <v>30.919689999999999</v>
      </c>
      <c r="AC16" s="933">
        <f t="shared" si="20"/>
        <v>-0.18808000000000291</v>
      </c>
      <c r="AI16" s="934"/>
    </row>
    <row r="17" spans="1:35" ht="14.85" customHeight="1">
      <c r="B17" s="179" t="str">
        <f>'Comp.1'!B19</f>
        <v>Otonomy, Inc.</v>
      </c>
      <c r="D17" s="255">
        <f>IF($B17="(Invalid Identifier)","",'Beta Calc'!K17)</f>
        <v>136.06998999999999</v>
      </c>
      <c r="E17" s="255">
        <f>IF($B17="(Invalid Identifier)","",'Beta Calc'!L17)</f>
        <v>0</v>
      </c>
      <c r="F17" s="255">
        <f>IF($B17="(Invalid Identifier)","",'Beta Calc'!M17)</f>
        <v>0</v>
      </c>
      <c r="G17" s="255">
        <f>IF($B17="(Invalid Identifier)","",'Beta Calc'!N17)</f>
        <v>0</v>
      </c>
      <c r="H17" s="255">
        <f t="shared" si="12"/>
        <v>0</v>
      </c>
      <c r="I17" s="255">
        <f t="shared" si="13"/>
        <v>136.06998999999999</v>
      </c>
      <c r="J17" s="255">
        <f>IF($B17="(Invalid Identifier)","",'Beta Calc'!Q17)</f>
        <v>110.224</v>
      </c>
      <c r="K17" s="576">
        <f t="shared" si="14"/>
        <v>25.845989999999986</v>
      </c>
      <c r="M17" s="384">
        <f>IFERROR('Capital IQ Sheet-GPC'!AT20,"n/a")</f>
        <v>0</v>
      </c>
      <c r="N17" s="255">
        <f t="shared" si="3"/>
        <v>2.5</v>
      </c>
      <c r="O17" s="1181">
        <f t="shared" si="3"/>
        <v>2.5399999999999999E-2</v>
      </c>
      <c r="P17" s="1162"/>
      <c r="Q17" s="1182">
        <f>IFERROR(HLOOKUP($Q$6,'Equity Vol'!$B$8:$H17,ROWS('Equity Vol'!$C$8:$C17),FALSE),"n/a")</f>
        <v>1.2276350327527208</v>
      </c>
      <c r="R17" s="303"/>
      <c r="S17" s="1183">
        <f t="shared" si="15"/>
        <v>1.5070877736417738</v>
      </c>
      <c r="T17" s="1183">
        <f t="shared" si="16"/>
        <v>0</v>
      </c>
      <c r="U17" s="1184">
        <f t="shared" si="17"/>
        <v>0</v>
      </c>
      <c r="V17" s="1184">
        <f t="shared" si="18"/>
        <v>0</v>
      </c>
      <c r="W17" s="1184">
        <f t="shared" si="19"/>
        <v>0</v>
      </c>
      <c r="X17" s="576">
        <f t="shared" si="9"/>
        <v>0</v>
      </c>
      <c r="Y17" s="1182">
        <f t="shared" si="10"/>
        <v>1.2276350327527208</v>
      </c>
      <c r="AA17" s="932" t="str">
        <f>IF('MASTER PubCo Inputs'!B35=0,"",'MASTER PubCo Inputs'!B35)</f>
        <v>NasdaqGS:OTIC</v>
      </c>
      <c r="AB17" s="255">
        <f>IF($B17="(Invalid Identifier)","",'Beta Calc'!Z17)</f>
        <v>25.84599</v>
      </c>
      <c r="AC17" s="933">
        <f t="shared" si="20"/>
        <v>-1.4210854715202004E-14</v>
      </c>
      <c r="AI17" s="934"/>
    </row>
    <row r="18" spans="1:35" ht="14.85" customHeight="1">
      <c r="B18" s="179" t="str">
        <f>'Comp.1'!B20</f>
        <v>Auris Medical Holding AG</v>
      </c>
      <c r="D18" s="255">
        <f>IF($B18="(Invalid Identifier)","",'Beta Calc'!K18)</f>
        <v>7.2796900000000004</v>
      </c>
      <c r="E18" s="255">
        <f>IF($B18="(Invalid Identifier)","",'Beta Calc'!L18)</f>
        <v>9.06297</v>
      </c>
      <c r="F18" s="255">
        <f>IF($B18="(Invalid Identifier)","",'Beta Calc'!M18)</f>
        <v>0</v>
      </c>
      <c r="G18" s="255">
        <f>IF($B18="(Invalid Identifier)","",'Beta Calc'!N18)</f>
        <v>0</v>
      </c>
      <c r="H18" s="255">
        <f t="shared" si="12"/>
        <v>9.06297</v>
      </c>
      <c r="I18" s="255">
        <f t="shared" si="13"/>
        <v>16.342660000000002</v>
      </c>
      <c r="J18" s="255">
        <f>IF($B18="(Invalid Identifier)","",'Beta Calc'!Q18)</f>
        <v>13.2705</v>
      </c>
      <c r="K18" s="576">
        <f t="shared" si="14"/>
        <v>3.072160000000002</v>
      </c>
      <c r="M18" s="384">
        <f>IFERROR('Capital IQ Sheet-GPC'!AT21,"n/a")</f>
        <v>0</v>
      </c>
      <c r="N18" s="255">
        <f t="shared" si="3"/>
        <v>2.5</v>
      </c>
      <c r="O18" s="1181">
        <f t="shared" si="3"/>
        <v>2.5399999999999999E-2</v>
      </c>
      <c r="P18" s="1162"/>
      <c r="Q18" s="1182">
        <f>IFERROR(HLOOKUP($Q$6,'Equity Vol'!$B$8:$H18,ROWS('Equity Vol'!$C$8:$C18),FALSE),"n/a")</f>
        <v>1.0906921239872702</v>
      </c>
      <c r="R18" s="303"/>
      <c r="S18" s="1183">
        <f t="shared" si="15"/>
        <v>1.1896093093278628</v>
      </c>
      <c r="T18" s="1183">
        <f t="shared" si="16"/>
        <v>0.27178078219478047</v>
      </c>
      <c r="U18" s="1184">
        <f t="shared" si="17"/>
        <v>-1.4527548867084918</v>
      </c>
      <c r="V18" s="1184">
        <f t="shared" si="18"/>
        <v>0.60710470860281984</v>
      </c>
      <c r="W18" s="1184">
        <f t="shared" si="19"/>
        <v>7.3145910850262646E-2</v>
      </c>
      <c r="X18" s="576">
        <f t="shared" si="9"/>
        <v>1.2429902932680266</v>
      </c>
      <c r="Y18" s="1182">
        <f t="shared" si="10"/>
        <v>0.72687960380447481</v>
      </c>
      <c r="AA18" s="932" t="str">
        <f>IF('MASTER PubCo Inputs'!B36=0,"",'MASTER PubCo Inputs'!B36)</f>
        <v>NasdaqCM:EARS</v>
      </c>
      <c r="AB18" s="255">
        <f>IF($B18="(Invalid Identifier)","",'Beta Calc'!Z18)</f>
        <v>3.0721500000000002</v>
      </c>
      <c r="AC18" s="933">
        <f t="shared" si="20"/>
        <v>1.0000000001841869E-5</v>
      </c>
      <c r="AI18" s="934"/>
    </row>
    <row r="19" spans="1:35" ht="14.85" customHeight="1">
      <c r="D19" s="255"/>
      <c r="E19" s="255"/>
      <c r="F19" s="255"/>
      <c r="G19" s="255"/>
      <c r="H19" s="255"/>
      <c r="I19" s="255"/>
      <c r="J19" s="255"/>
      <c r="K19" s="255"/>
      <c r="R19" s="549"/>
    </row>
    <row r="20" spans="1:35" ht="14.85" customHeight="1">
      <c r="B20" s="935" t="s">
        <v>111</v>
      </c>
      <c r="C20" s="936"/>
      <c r="D20" s="938">
        <f t="shared" ref="D20:K20" si="21">MAX(D10:D18)</f>
        <v>1705.3104800000001</v>
      </c>
      <c r="E20" s="938">
        <f t="shared" si="21"/>
        <v>49.826320000000003</v>
      </c>
      <c r="F20" s="938">
        <f t="shared" si="21"/>
        <v>0</v>
      </c>
      <c r="G20" s="938">
        <f t="shared" si="21"/>
        <v>0</v>
      </c>
      <c r="H20" s="938">
        <f t="shared" si="21"/>
        <v>49.826320000000003</v>
      </c>
      <c r="I20" s="938">
        <f t="shared" si="21"/>
        <v>1738.5004800000002</v>
      </c>
      <c r="J20" s="938">
        <f t="shared" si="21"/>
        <v>358.82100000000003</v>
      </c>
      <c r="K20" s="938">
        <f t="shared" si="21"/>
        <v>1379.6794800000002</v>
      </c>
      <c r="L20" s="936"/>
      <c r="M20" s="1044">
        <f>MAX(M10:M18)</f>
        <v>0</v>
      </c>
      <c r="N20" s="938">
        <f>MAX(N10:N18)</f>
        <v>2.5</v>
      </c>
      <c r="O20" s="1185">
        <f>MAX(O10:O18)</f>
        <v>2.5399999999999999E-2</v>
      </c>
      <c r="P20" s="1186"/>
      <c r="Q20" s="1187">
        <f>MAX(Q10:Q18)</f>
        <v>1.387449122489415</v>
      </c>
      <c r="R20" s="1188"/>
      <c r="S20" s="1189">
        <f>MAX(S10:S19)</f>
        <v>1.9250150674966477</v>
      </c>
      <c r="T20" s="1189">
        <f>MAX(T10:T19)</f>
        <v>9.3832278596868601</v>
      </c>
      <c r="U20" s="1190">
        <f>MAX(U10:U19)</f>
        <v>8.7637556156480514</v>
      </c>
      <c r="V20" s="1190">
        <f>MAX(V10:V19)</f>
        <v>1</v>
      </c>
      <c r="W20" s="1190">
        <f>MAX(W10:W19)</f>
        <v>1</v>
      </c>
      <c r="X20" s="938">
        <f>MAX(X10:X18)</f>
        <v>1348.5971862609695</v>
      </c>
      <c r="Y20" s="1191">
        <f>MAX(Y10:Y18)</f>
        <v>1.387449122489415</v>
      </c>
      <c r="AB20" s="1192">
        <f>Y27</f>
        <v>0.69599999999999995</v>
      </c>
      <c r="AC20" s="1193" t="s">
        <v>1621</v>
      </c>
      <c r="AD20" s="1193"/>
      <c r="AE20" s="1193"/>
      <c r="AF20" s="591"/>
    </row>
    <row r="21" spans="1:35" ht="14.85" customHeight="1">
      <c r="B21" s="941" t="s">
        <v>115</v>
      </c>
      <c r="C21" s="942"/>
      <c r="D21" s="944">
        <f t="shared" ref="D21:K21" si="22">QUARTILE(D10:D18,3)</f>
        <v>205.66506000000001</v>
      </c>
      <c r="E21" s="944">
        <f t="shared" si="22"/>
        <v>9.06297</v>
      </c>
      <c r="F21" s="944">
        <f t="shared" si="22"/>
        <v>0</v>
      </c>
      <c r="G21" s="944">
        <f t="shared" si="22"/>
        <v>0</v>
      </c>
      <c r="H21" s="944">
        <f t="shared" si="22"/>
        <v>9.06297</v>
      </c>
      <c r="I21" s="944">
        <f t="shared" si="22"/>
        <v>205.66506000000001</v>
      </c>
      <c r="J21" s="944">
        <f t="shared" si="22"/>
        <v>57.755760000000002</v>
      </c>
      <c r="K21" s="944">
        <f t="shared" si="22"/>
        <v>178.94606000000002</v>
      </c>
      <c r="L21" s="942"/>
      <c r="M21" s="1046">
        <f>QUARTILE(M10:M18,3)</f>
        <v>0</v>
      </c>
      <c r="N21" s="944">
        <f>QUARTILE(N10:N18,3)</f>
        <v>2.5</v>
      </c>
      <c r="O21" s="1194">
        <f>QUARTILE(O10:O18,3)</f>
        <v>2.5399999999999999E-2</v>
      </c>
      <c r="P21" s="1195"/>
      <c r="Q21" s="1196">
        <f>QUARTILE(Q10:Q18,3)</f>
        <v>1.0906921239872702</v>
      </c>
      <c r="R21" s="1197"/>
      <c r="S21" s="1198">
        <f>QUARTILE(S10:S19,3)</f>
        <v>1.1896093093278628</v>
      </c>
      <c r="T21" s="1198">
        <f>QUARTILE(T10:T19,3)</f>
        <v>3.3142028735960434</v>
      </c>
      <c r="U21" s="1199">
        <f>QUARTILE(U10:U19,3)</f>
        <v>2.3689319432047053</v>
      </c>
      <c r="V21" s="1199">
        <f>QUARTILE(V10:V19,3)</f>
        <v>0.99954047600480389</v>
      </c>
      <c r="W21" s="1199">
        <f>QUARTILE(W10:W19,3)</f>
        <v>0.99108023210967655</v>
      </c>
      <c r="X21" s="944">
        <f>QUARTILE(X10:X18,3)</f>
        <v>131.19271620321425</v>
      </c>
      <c r="Y21" s="1200">
        <f>QUARTILE(Y10:Y18,3)</f>
        <v>0.76451844485970966</v>
      </c>
      <c r="AB21" s="1201">
        <f>Y29</f>
        <v>0.69606925220797389</v>
      </c>
      <c r="AC21" s="179" t="s">
        <v>1622</v>
      </c>
      <c r="AF21" s="339"/>
    </row>
    <row r="22" spans="1:35" ht="14.85" customHeight="1">
      <c r="B22" s="941" t="s">
        <v>113</v>
      </c>
      <c r="C22" s="942"/>
      <c r="D22" s="944">
        <f t="shared" ref="D22:K22" si="23">AVERAGE(D10:D18)</f>
        <v>349.7861166666666</v>
      </c>
      <c r="E22" s="944">
        <f t="shared" si="23"/>
        <v>11.550082222222223</v>
      </c>
      <c r="F22" s="944">
        <f t="shared" si="23"/>
        <v>0</v>
      </c>
      <c r="G22" s="944">
        <f t="shared" si="23"/>
        <v>-1.1407499999999999E-2</v>
      </c>
      <c r="H22" s="944">
        <f t="shared" si="23"/>
        <v>11.545012222222223</v>
      </c>
      <c r="I22" s="944">
        <f t="shared" si="23"/>
        <v>361.33112888888883</v>
      </c>
      <c r="J22" s="944">
        <f t="shared" si="23"/>
        <v>70.157886666666684</v>
      </c>
      <c r="K22" s="944">
        <f t="shared" si="23"/>
        <v>291.17324222222226</v>
      </c>
      <c r="L22" s="942"/>
      <c r="M22" s="1046">
        <f>AVERAGE(M10:M18)</f>
        <v>0</v>
      </c>
      <c r="N22" s="944">
        <f>AVERAGE(N10:N18)</f>
        <v>2.5</v>
      </c>
      <c r="O22" s="1194">
        <f>AVERAGE(O10:O18)</f>
        <v>2.5400000000000002E-2</v>
      </c>
      <c r="P22" s="1195"/>
      <c r="Q22" s="1196">
        <f>AVERAGE(Q10:Q18)</f>
        <v>0.83755212115290367</v>
      </c>
      <c r="R22" s="1197"/>
      <c r="S22" s="1198">
        <f>AVERAGE(S10:S19)</f>
        <v>0.79604614105751781</v>
      </c>
      <c r="T22" s="1198">
        <f>AVERAGE(T10:T19)</f>
        <v>2.5208379150102425</v>
      </c>
      <c r="U22" s="1199">
        <f>AVERAGE(U10:U19)</f>
        <v>1.7783318369038084</v>
      </c>
      <c r="V22" s="1199">
        <f>AVERAGE(V10:V19)</f>
        <v>0.62266380034988855</v>
      </c>
      <c r="W22" s="1199">
        <f>AVERAGE(W10:W19)</f>
        <v>0.55601167209276192</v>
      </c>
      <c r="X22" s="944">
        <f>AVERAGE(X10:X18)</f>
        <v>252.63126585947774</v>
      </c>
      <c r="Y22" s="1200">
        <f>AVERAGE(Y10:Y18)</f>
        <v>0.78028262891914268</v>
      </c>
      <c r="AB22" s="1201">
        <f>Y23</f>
        <v>0.69646624513060806</v>
      </c>
      <c r="AC22" s="179" t="s">
        <v>1620</v>
      </c>
      <c r="AF22" s="1202"/>
    </row>
    <row r="23" spans="1:35" ht="14.85" customHeight="1">
      <c r="B23" s="941" t="s">
        <v>44</v>
      </c>
      <c r="C23" s="942"/>
      <c r="D23" s="944">
        <f t="shared" ref="D23:K23" si="24">MEDIAN(D10:D18)</f>
        <v>138.52769000000001</v>
      </c>
      <c r="E23" s="944">
        <f t="shared" si="24"/>
        <v>2.6891699999999998</v>
      </c>
      <c r="F23" s="944">
        <f t="shared" si="24"/>
        <v>0</v>
      </c>
      <c r="G23" s="944">
        <f t="shared" si="24"/>
        <v>0</v>
      </c>
      <c r="H23" s="944">
        <f t="shared" si="24"/>
        <v>2.6891699999999998</v>
      </c>
      <c r="I23" s="944">
        <f t="shared" si="24"/>
        <v>139.01160000000002</v>
      </c>
      <c r="J23" s="944">
        <f t="shared" si="24"/>
        <v>22.523</v>
      </c>
      <c r="K23" s="944">
        <f t="shared" si="24"/>
        <v>125.38888000000001</v>
      </c>
      <c r="L23" s="942"/>
      <c r="M23" s="1046">
        <f>MEDIAN(M10:M18)</f>
        <v>0</v>
      </c>
      <c r="N23" s="944">
        <f>MEDIAN(N10:N18)</f>
        <v>2.5</v>
      </c>
      <c r="O23" s="1194">
        <f>MEDIAN(O10:O18)</f>
        <v>2.5399999999999999E-2</v>
      </c>
      <c r="P23" s="1195"/>
      <c r="Q23" s="1196">
        <f>MEDIAN(Q10:Q18)</f>
        <v>0.73107336829310765</v>
      </c>
      <c r="R23" s="1197"/>
      <c r="S23" s="1198">
        <f>MEDIAN(S10:S19)</f>
        <v>0.53446826982742979</v>
      </c>
      <c r="T23" s="1198">
        <f>MEDIAN(T10:T19)</f>
        <v>2.9979230992337333</v>
      </c>
      <c r="U23" s="1199">
        <f>MEDIAN(U10:U19)</f>
        <v>1.8804872782136495</v>
      </c>
      <c r="V23" s="1199">
        <f>MEDIAN(V10:V19)</f>
        <v>0.9986408687307281</v>
      </c>
      <c r="W23" s="1199">
        <f>MEDIAN(W10:W19)</f>
        <v>0.96997915070808027</v>
      </c>
      <c r="X23" s="944">
        <f>MEDIAN(X10:X18)</f>
        <v>28.223935883751071</v>
      </c>
      <c r="Y23" s="1200">
        <f>MEDIAN(Y10:Y18)</f>
        <v>0.69646624513060806</v>
      </c>
      <c r="AB23" s="1203" t="str">
        <f>IF(ROUND(AB20,3)=ROUND(AB22,3),"","Update Volatility - OPM")</f>
        <v/>
      </c>
      <c r="AF23" s="339"/>
    </row>
    <row r="24" spans="1:35" ht="14.85" customHeight="1">
      <c r="B24" s="941" t="s">
        <v>114</v>
      </c>
      <c r="C24" s="942"/>
      <c r="D24" s="944">
        <f t="shared" ref="D24:K24" si="25">QUARTILE(D10:D18,1)</f>
        <v>74.033280000000005</v>
      </c>
      <c r="E24" s="944">
        <f t="shared" si="25"/>
        <v>0</v>
      </c>
      <c r="F24" s="944">
        <f t="shared" si="25"/>
        <v>0</v>
      </c>
      <c r="G24" s="944">
        <f t="shared" si="25"/>
        <v>-1.1407500000000001E-2</v>
      </c>
      <c r="H24" s="944">
        <f t="shared" si="25"/>
        <v>0</v>
      </c>
      <c r="I24" s="944">
        <f t="shared" si="25"/>
        <v>74.033280000000005</v>
      </c>
      <c r="J24" s="944">
        <f t="shared" si="25"/>
        <v>13.622719999999999</v>
      </c>
      <c r="K24" s="944">
        <f t="shared" si="25"/>
        <v>30.731609999999996</v>
      </c>
      <c r="L24" s="942"/>
      <c r="M24" s="1046">
        <f>QUARTILE(M10:M18,1)</f>
        <v>0</v>
      </c>
      <c r="N24" s="944">
        <f>QUARTILE(N10:N18,1)</f>
        <v>2.5</v>
      </c>
      <c r="O24" s="1194">
        <f>QUARTILE(O10:O18,1)</f>
        <v>2.5399999999999999E-2</v>
      </c>
      <c r="P24" s="1195"/>
      <c r="Q24" s="1196">
        <f>QUARTILE(Q10:Q18,1)</f>
        <v>0.63297354727902455</v>
      </c>
      <c r="R24" s="1197"/>
      <c r="S24" s="1198">
        <f>QUARTILE(S10:S19,1)</f>
        <v>0.40065551155499152</v>
      </c>
      <c r="T24" s="1198">
        <f>QUARTILE(T10:T19,1)</f>
        <v>0</v>
      </c>
      <c r="U24" s="1199">
        <f>QUARTILE(U10:U19,1)</f>
        <v>0</v>
      </c>
      <c r="V24" s="1199">
        <f>QUARTILE(V10:V19,1)</f>
        <v>0</v>
      </c>
      <c r="W24" s="1199">
        <f>QUARTILE(W10:W19,1)</f>
        <v>0</v>
      </c>
      <c r="X24" s="944">
        <f>QUARTILE(X10:X18,1)</f>
        <v>0</v>
      </c>
      <c r="Y24" s="1200">
        <f>QUARTILE(Y10:Y18,1)</f>
        <v>0.58211459624174267</v>
      </c>
      <c r="AB24" s="1204" t="str">
        <f>IF(ROUND(AB21,3)=ROUND(AB22,3),"","Update Volatility - DLOM")</f>
        <v/>
      </c>
      <c r="AC24" s="264"/>
      <c r="AD24" s="264"/>
      <c r="AE24" s="264"/>
      <c r="AF24" s="701"/>
    </row>
    <row r="25" spans="1:35" ht="14.85" customHeight="1">
      <c r="B25" s="946" t="s">
        <v>112</v>
      </c>
      <c r="C25" s="663"/>
      <c r="D25" s="672">
        <f t="shared" ref="D25:K25" si="26">MIN(D10:D18)</f>
        <v>7.2796900000000004</v>
      </c>
      <c r="E25" s="672">
        <f t="shared" si="26"/>
        <v>0</v>
      </c>
      <c r="F25" s="672">
        <f t="shared" si="26"/>
        <v>0</v>
      </c>
      <c r="G25" s="672">
        <f t="shared" si="26"/>
        <v>-4.5629999999999997E-2</v>
      </c>
      <c r="H25" s="672">
        <f t="shared" si="26"/>
        <v>0</v>
      </c>
      <c r="I25" s="672">
        <f t="shared" si="26"/>
        <v>16.342660000000002</v>
      </c>
      <c r="J25" s="672">
        <f t="shared" si="26"/>
        <v>9.1175599999999992</v>
      </c>
      <c r="K25" s="672">
        <f t="shared" si="26"/>
        <v>3.072160000000002</v>
      </c>
      <c r="L25" s="663"/>
      <c r="M25" s="1048">
        <f>MIN(M10:M18)</f>
        <v>0</v>
      </c>
      <c r="N25" s="672">
        <f>MIN(N10:N18)</f>
        <v>2.5</v>
      </c>
      <c r="O25" s="1205">
        <f>MIN(O10:O18)</f>
        <v>2.5399999999999999E-2</v>
      </c>
      <c r="P25" s="1206"/>
      <c r="Q25" s="1207">
        <f>MIN(Q10:Q18)</f>
        <v>0.3917886476836604</v>
      </c>
      <c r="R25" s="1208"/>
      <c r="S25" s="1209">
        <f>MIN(S10:S19)</f>
        <v>0.15349834445379137</v>
      </c>
      <c r="T25" s="1209">
        <f>MIN(T10:T19)</f>
        <v>0</v>
      </c>
      <c r="U25" s="1210">
        <f>MIN(U10:U19)</f>
        <v>-1.4527548867084918</v>
      </c>
      <c r="V25" s="1210">
        <f>MIN(V10:V19)</f>
        <v>0</v>
      </c>
      <c r="W25" s="1210">
        <f>MIN(W10:W19)</f>
        <v>0</v>
      </c>
      <c r="X25" s="672">
        <f>MIN(X10:X18)</f>
        <v>0</v>
      </c>
      <c r="Y25" s="1211">
        <f>MIN(Y10:Y18)</f>
        <v>0.39036965641880084</v>
      </c>
    </row>
    <row r="26" spans="1:35" ht="14.85" customHeight="1">
      <c r="AB26" s="865" t="str">
        <f>IF(AND(AB23=$AF$24,AB24=$AF$24),"","Check")</f>
        <v/>
      </c>
    </row>
    <row r="27" spans="1:35" ht="14.85" customHeight="1">
      <c r="B27" s="1212" t="str">
        <f>B2</f>
        <v>Decibel Therapeutics, Inc.</v>
      </c>
      <c r="C27" s="1213" t="s">
        <v>260</v>
      </c>
      <c r="D27" s="1866">
        <f>'Hybrid OPM'!C47/1000</f>
        <v>167</v>
      </c>
      <c r="E27" s="1866">
        <f>-'Hist BS'!$G$71</f>
        <v>0</v>
      </c>
      <c r="F27" s="1214"/>
      <c r="G27" s="1214"/>
      <c r="H27" s="1216">
        <f>SUM(E27:G27)</f>
        <v>0</v>
      </c>
      <c r="I27" s="1216">
        <f>SUM(D27:G27)</f>
        <v>167</v>
      </c>
      <c r="J27" s="1214"/>
      <c r="K27" s="1225">
        <f>I27-J27</f>
        <v>167</v>
      </c>
      <c r="L27" s="1214"/>
      <c r="M27" s="1217">
        <f>'DLOM Hybrid'!G17</f>
        <v>0</v>
      </c>
      <c r="N27" s="1218">
        <f>N$6</f>
        <v>2.5</v>
      </c>
      <c r="O27" s="1219">
        <f>O$6</f>
        <v>2.5399999999999999E-2</v>
      </c>
      <c r="P27" s="1220"/>
      <c r="Q27" s="1221">
        <v>0.69599999999999995</v>
      </c>
      <c r="R27" s="1214"/>
      <c r="S27" s="1222">
        <f>IF(Q27="n/a","n/a",Q27^2)</f>
        <v>0.48441599999999996</v>
      </c>
      <c r="T27" s="1222">
        <f>IF(OR(K27="n/a",S27="n/a"),"n/a",IF(H27=0,0,IF(M27=0,(LN(K27/H27)+((O27+(S27/2))*N27))/((S27*N27)^0.5),(LN(K27/H27)+((O27-M27+(S27/2))*N27))/((S27*N27)^0.5))))</f>
        <v>0</v>
      </c>
      <c r="U27" s="1223">
        <f>IF(T27="n/a","n/a",IF(H27=0,0,T27-(S27*N27)^0.5))</f>
        <v>0</v>
      </c>
      <c r="V27" s="1223">
        <f>IF(OR(T27="n/a",S27="n/a"),"n/a",IF(H27=0,0,NORMSDIST(T27)))</f>
        <v>0</v>
      </c>
      <c r="W27" s="1223">
        <f>IF(OR(U27="n/a",S27="n/a"),"n/a",IF(H27=0,0,NORMSDIST(U27)))</f>
        <v>0</v>
      </c>
      <c r="X27" s="1223">
        <f>IF(OR(K27="n/a",S27="n/a"),"n/a",IF(M27=0,(K27*V27)-((H27*EXP(1)^(-O27*N27))*W27),(K27*(2.718^(-M27*N27))*V27)-(H27*(2.718^(-O27*N27))*W27)))</f>
        <v>0</v>
      </c>
      <c r="Y27" s="1224">
        <f>IF(LEN(B27)&gt;0,IF(H27=0,Q27,IF(ISERROR(Q27/((K27/X27)*V27)),"n/a",Q27/((K27/X27)*V27))))</f>
        <v>0.69599999999999995</v>
      </c>
    </row>
    <row r="28" spans="1:35" ht="14.85" hidden="1" customHeight="1" outlineLevel="1"/>
    <row r="29" spans="1:35" ht="14.85" hidden="1" customHeight="1" outlineLevel="1">
      <c r="B29" s="1212" t="str">
        <f>B27</f>
        <v>Decibel Therapeutics, Inc.</v>
      </c>
      <c r="C29" s="1213" t="s">
        <v>299</v>
      </c>
      <c r="D29" s="1866">
        <f>D27-E29</f>
        <v>71.926241728313244</v>
      </c>
      <c r="E29" s="1867">
        <f>E27+SUM('OPM 1 Hybrid'!D64:E64)/1000</f>
        <v>95.073758271686756</v>
      </c>
      <c r="F29" s="1214"/>
      <c r="G29" s="1214"/>
      <c r="H29" s="1216">
        <f>SUM(E29:G29)</f>
        <v>95.073758271686756</v>
      </c>
      <c r="I29" s="1216">
        <f>SUM(D29:G29)</f>
        <v>167</v>
      </c>
      <c r="J29" s="1214"/>
      <c r="K29" s="1225">
        <f>I29-J29</f>
        <v>167</v>
      </c>
      <c r="L29" s="1214"/>
      <c r="M29" s="1226">
        <f>M27</f>
        <v>0</v>
      </c>
      <c r="N29" s="1218">
        <f>N$6</f>
        <v>2.5</v>
      </c>
      <c r="O29" s="1219">
        <f>O$6</f>
        <v>2.5399999999999999E-2</v>
      </c>
      <c r="P29" s="1220"/>
      <c r="Q29" s="1221">
        <v>0.91151257417834197</v>
      </c>
      <c r="R29" s="1214"/>
      <c r="S29" s="1222">
        <f>IF(Q29="n/a","n/a",Q29^2)</f>
        <v>0.83085517288522737</v>
      </c>
      <c r="T29" s="1222">
        <f>IF(OR(K29="n/a",S29="n/a"),"n/a",IF(H29=0,0,IF(M29=0,(LN(K29/H29)+((O29+(S29/2))*N29))/((S29*N29)^0.5),(LN(K29/H29)+((O29-M29+(S29/2))*N29))/((S29*N29)^0.5))))</f>
        <v>1.1555492065156872</v>
      </c>
      <c r="U29" s="1223">
        <f>IF(T29="n/a","n/a",IF(H29=0,0,T29-(S29*N29)^0.5))</f>
        <v>-0.28567871862768457</v>
      </c>
      <c r="V29" s="1223">
        <f>IF(OR(T29="n/a",S29="n/a"),"n/a",IF(H29=0,0,NORMSDIST(T29)))</f>
        <v>0.87606720276972383</v>
      </c>
      <c r="W29" s="1223">
        <f>IF(OR(U29="n/a",S29="n/a"),"n/a",IF(H29=0,0,NORMSDIST(U29)))</f>
        <v>0.38756210289045984</v>
      </c>
      <c r="X29" s="1223">
        <f>IF(OR(K29="n/a",S29="n/a"),"n/a",IF(M29=0,(K29*V29)-((H29*EXP(1)^(-O29*N29))*W29),(K29*(2.718^(-M29*N29))*V29)-(H29*(2.718^(-O29*N29))*W29)))</f>
        <v>111.72328042248435</v>
      </c>
      <c r="Y29" s="1224">
        <f>IF(LEN(B29)&gt;0,IF(H29=0,Q29,IF(ISERROR(Q29/((K29/X29)*V29)),"n/a",Q29/((K29/X29)*V29))))</f>
        <v>0.69606925220797389</v>
      </c>
    </row>
    <row r="30" spans="1:35" ht="14.85" customHeight="1" collapsed="1"/>
    <row r="31" spans="1:35" ht="14.85" customHeight="1">
      <c r="B31" s="272" t="s">
        <v>86</v>
      </c>
    </row>
    <row r="32" spans="1:35" ht="14.85" customHeight="1">
      <c r="A32" s="273" t="s">
        <v>261</v>
      </c>
      <c r="B32" s="202" t="s">
        <v>3230</v>
      </c>
    </row>
    <row r="33" spans="1:26" s="275" customFormat="1" ht="14.85" customHeight="1">
      <c r="A33" s="273" t="s">
        <v>260</v>
      </c>
      <c r="B33" s="202" t="s">
        <v>961</v>
      </c>
      <c r="C33" s="179"/>
      <c r="D33" s="179"/>
      <c r="E33" s="179"/>
      <c r="F33" s="179"/>
      <c r="G33" s="179"/>
      <c r="H33" s="179"/>
      <c r="I33" s="179"/>
      <c r="J33" s="179"/>
      <c r="K33" s="179"/>
      <c r="L33" s="179"/>
      <c r="M33" s="179"/>
      <c r="N33" s="179"/>
      <c r="O33" s="179"/>
      <c r="P33" s="549"/>
      <c r="Q33" s="179"/>
      <c r="R33" s="179"/>
      <c r="S33" s="179"/>
      <c r="T33" s="179"/>
      <c r="U33" s="179"/>
      <c r="V33" s="179"/>
      <c r="W33" s="179"/>
      <c r="X33" s="179"/>
      <c r="Y33" s="179"/>
      <c r="Z33" s="179"/>
    </row>
    <row r="34" spans="1:26" s="275" customFormat="1" ht="14.85" customHeight="1">
      <c r="A34" s="273" t="s">
        <v>299</v>
      </c>
      <c r="B34" s="202" t="s">
        <v>962</v>
      </c>
      <c r="C34" s="179"/>
      <c r="D34" s="179"/>
      <c r="E34" s="179"/>
      <c r="F34" s="179"/>
      <c r="G34" s="179"/>
      <c r="H34" s="179"/>
      <c r="I34" s="179"/>
      <c r="J34" s="179"/>
      <c r="K34" s="179"/>
      <c r="L34" s="179"/>
      <c r="M34" s="179"/>
      <c r="N34" s="179"/>
      <c r="O34" s="179"/>
      <c r="P34" s="549"/>
      <c r="Q34" s="179"/>
      <c r="R34" s="179"/>
      <c r="S34" s="179"/>
      <c r="T34" s="179"/>
      <c r="U34" s="179"/>
      <c r="V34" s="179"/>
      <c r="W34" s="179"/>
      <c r="X34" s="179"/>
      <c r="Y34" s="179"/>
      <c r="Z34" s="179"/>
    </row>
    <row r="35" spans="1:26" ht="14.85" customHeight="1"/>
    <row r="36" spans="1:26" ht="14.85" customHeight="1">
      <c r="B36" s="272" t="s">
        <v>116</v>
      </c>
    </row>
    <row r="37" spans="1:26" ht="14.85" customHeight="1"/>
    <row r="38" spans="1:26" ht="14.85" customHeight="1">
      <c r="B38" s="179" t="s">
        <v>1650</v>
      </c>
    </row>
    <row r="39" spans="1:26" ht="14.85" customHeight="1">
      <c r="B39" s="179" t="s">
        <v>1651</v>
      </c>
    </row>
    <row r="40" spans="1:26" ht="14.85" customHeight="1">
      <c r="B40" s="179" t="s">
        <v>1652</v>
      </c>
    </row>
    <row r="41" spans="1:26" ht="14.85" customHeight="1">
      <c r="B41" s="179" t="s">
        <v>1653</v>
      </c>
    </row>
    <row r="42" spans="1:26" ht="14.85" customHeight="1">
      <c r="B42" s="179" t="s">
        <v>1654</v>
      </c>
    </row>
    <row r="43" spans="1:26" ht="14.85" customHeight="1">
      <c r="B43" s="179" t="s">
        <v>1655</v>
      </c>
    </row>
    <row r="44" spans="1:26" ht="14.85" customHeight="1">
      <c r="B44" s="179" t="s">
        <v>1656</v>
      </c>
    </row>
    <row r="45" spans="1:26" ht="14.85" customHeight="1"/>
    <row r="46" spans="1:26" ht="14.85" customHeight="1">
      <c r="B46" s="179" t="s">
        <v>1657</v>
      </c>
    </row>
    <row r="47" spans="1:26" ht="14.85" customHeight="1">
      <c r="B47" s="179" t="s">
        <v>1658</v>
      </c>
    </row>
    <row r="48" spans="1:26" ht="14.85" customHeight="1">
      <c r="B48" s="179" t="s">
        <v>1659</v>
      </c>
    </row>
    <row r="49" spans="2:2" ht="14.85" customHeight="1">
      <c r="B49" s="179" t="s">
        <v>1660</v>
      </c>
    </row>
    <row r="50" spans="2:2" ht="14.85" customHeight="1">
      <c r="B50" s="179" t="s">
        <v>1661</v>
      </c>
    </row>
    <row r="51" spans="2:2" ht="14.85" customHeight="1">
      <c r="B51" s="179" t="s">
        <v>1662</v>
      </c>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sheetData>
  <conditionalFormatting sqref="B10:B18">
    <cfRule type="cellIs" dxfId="249" priority="8" operator="equal">
      <formula>"(Invalid Identifier)"</formula>
    </cfRule>
  </conditionalFormatting>
  <conditionalFormatting sqref="B4:I4">
    <cfRule type="cellIs" dxfId="248" priority="7" stopIfTrue="1" operator="equal">
      <formula>"input"</formula>
    </cfRule>
  </conditionalFormatting>
  <conditionalFormatting sqref="J4">
    <cfRule type="cellIs" dxfId="247" priority="5" stopIfTrue="1" operator="equal">
      <formula>"input"</formula>
    </cfRule>
  </conditionalFormatting>
  <conditionalFormatting sqref="J4">
    <cfRule type="cellIs" dxfId="246" priority="6" stopIfTrue="1" operator="equal">
      <formula>"input"</formula>
    </cfRule>
  </conditionalFormatting>
  <conditionalFormatting sqref="K4:X4">
    <cfRule type="cellIs" dxfId="245" priority="3" stopIfTrue="1" operator="equal">
      <formula>"input"</formula>
    </cfRule>
  </conditionalFormatting>
  <conditionalFormatting sqref="K4:X4">
    <cfRule type="cellIs" dxfId="244" priority="4" stopIfTrue="1" operator="equal">
      <formula>"input"</formula>
    </cfRule>
  </conditionalFormatting>
  <conditionalFormatting sqref="Y4">
    <cfRule type="cellIs" dxfId="243" priority="1" stopIfTrue="1" operator="equal">
      <formula>"input"</formula>
    </cfRule>
  </conditionalFormatting>
  <conditionalFormatting sqref="Y4">
    <cfRule type="cellIs" dxfId="242" priority="2" stopIfTrue="1" operator="equal">
      <formula>"input"</formula>
    </cfRule>
  </conditionalFormatting>
  <pageMargins left="0.5" right="0.5" top="0.5" bottom="0.5" header="0.5" footer="0.5"/>
  <pageSetup scale="75" fitToWidth="0" fitToHeight="0" orientation="landscape" r:id="rId1"/>
  <legacyDrawingHF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76"/>
  <dimension ref="A1:AI743"/>
  <sheetViews>
    <sheetView showGridLines="0" view="pageBreakPreview" zoomScale="80" zoomScaleNormal="100" zoomScaleSheetLayoutView="80" workbookViewId="0">
      <selection sqref="A1:Z1048576"/>
    </sheetView>
  </sheetViews>
  <sheetFormatPr defaultRowHeight="12.75" outlineLevelRow="1" outlineLevelCol="1"/>
  <cols>
    <col min="1" max="1" width="4.5" style="179" customWidth="1"/>
    <col min="2" max="2" width="39.6640625" style="179" customWidth="1"/>
    <col min="3" max="3" width="2.83203125" style="179" customWidth="1"/>
    <col min="4" max="4" width="13.1640625" style="179" customWidth="1"/>
    <col min="5" max="5" width="10.83203125" style="179" hidden="1" customWidth="1" outlineLevel="1"/>
    <col min="6" max="7" width="9.83203125" style="179" hidden="1" customWidth="1" outlineLevel="1"/>
    <col min="8" max="8" width="12.83203125" style="179" customWidth="1" collapsed="1"/>
    <col min="9" max="11" width="12.83203125" style="179" customWidth="1"/>
    <col min="12" max="12" width="2.83203125" style="179" customWidth="1"/>
    <col min="13" max="14" width="12" style="179" customWidth="1"/>
    <col min="15" max="15" width="12.83203125" style="179" customWidth="1"/>
    <col min="16" max="16" width="2.83203125" style="549" customWidth="1"/>
    <col min="17" max="17" width="11.5" style="179" customWidth="1"/>
    <col min="18" max="18" width="2.83203125" style="179" customWidth="1"/>
    <col min="19" max="19" width="11.6640625" style="179" hidden="1" customWidth="1" outlineLevel="1"/>
    <col min="20" max="23" width="8.83203125" style="179" hidden="1" customWidth="1" outlineLevel="1"/>
    <col min="24" max="24" width="13.33203125" style="179" customWidth="1" collapsed="1"/>
    <col min="25" max="25" width="13.33203125" style="179" customWidth="1"/>
    <col min="26" max="26" width="4.5" style="179" customWidth="1"/>
    <col min="27" max="27" width="17.5" style="179" bestFit="1" customWidth="1"/>
    <col min="28" max="28" width="14.33203125" style="179" bestFit="1" customWidth="1"/>
    <col min="29" max="29" width="9.6640625" style="179" bestFit="1" customWidth="1"/>
    <col min="30" max="30" width="10.1640625" style="179" bestFit="1" customWidth="1"/>
    <col min="31" max="16384" width="9.33203125" style="179"/>
  </cols>
  <sheetData>
    <row r="1" spans="2:35" ht="10.7" customHeight="1" thickBot="1">
      <c r="P1" s="179"/>
    </row>
    <row r="2" spans="2:35"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AA2" s="909" t="s">
        <v>87</v>
      </c>
      <c r="AB2" s="910">
        <f>+'Comp.1'!$AL$2</f>
        <v>43245</v>
      </c>
    </row>
    <row r="3" spans="2:35" ht="15.75" customHeight="1">
      <c r="B3" s="188" t="str">
        <f>VLOOKUP(B4,Outline!$E$8:$G$75,COLUMNS(Outline!$E$8:$G$8),FALSE)</f>
        <v>Workpaper #8</v>
      </c>
      <c r="C3" s="188"/>
      <c r="D3" s="188"/>
      <c r="E3" s="188"/>
      <c r="F3" s="188"/>
      <c r="G3" s="188"/>
      <c r="H3" s="188"/>
      <c r="I3" s="188"/>
      <c r="J3" s="188"/>
      <c r="K3" s="188"/>
      <c r="L3" s="188"/>
      <c r="M3" s="188"/>
      <c r="N3" s="188"/>
      <c r="O3" s="188"/>
      <c r="P3" s="188"/>
      <c r="Q3" s="188"/>
      <c r="R3" s="188"/>
      <c r="S3" s="188"/>
      <c r="T3" s="188"/>
      <c r="U3" s="188"/>
      <c r="V3" s="188"/>
      <c r="W3" s="188"/>
      <c r="X3" s="188"/>
      <c r="Y3" s="188"/>
      <c r="AA3" s="911" t="s">
        <v>462</v>
      </c>
      <c r="AB3" s="912" t="str">
        <f>+'Comp.1'!$AL$3</f>
        <v>F</v>
      </c>
    </row>
    <row r="4" spans="2:35" ht="16.5" customHeight="1" thickBot="1">
      <c r="B4" s="726" t="s">
        <v>3793</v>
      </c>
      <c r="C4" s="726"/>
      <c r="D4" s="726"/>
      <c r="E4" s="726"/>
      <c r="F4" s="726"/>
      <c r="G4" s="726"/>
      <c r="H4" s="726"/>
      <c r="I4" s="726"/>
      <c r="J4" s="727"/>
      <c r="K4" s="727"/>
      <c r="L4" s="727"/>
      <c r="M4" s="727"/>
      <c r="N4" s="727"/>
      <c r="O4" s="727"/>
      <c r="P4" s="727"/>
      <c r="Q4" s="727"/>
      <c r="R4" s="727"/>
      <c r="S4" s="727"/>
      <c r="T4" s="727"/>
      <c r="U4" s="727"/>
      <c r="V4" s="727"/>
      <c r="W4" s="727"/>
      <c r="X4" s="727"/>
      <c r="Y4" s="727" t="str">
        <f>+'MASTER PubCo Inputs'!$C$24</f>
        <v>(in millions of USD)</v>
      </c>
      <c r="AA4" s="911" t="s">
        <v>463</v>
      </c>
      <c r="AB4" s="912" t="str">
        <f>+'Comp.1'!$AL$4</f>
        <v>USD</v>
      </c>
    </row>
    <row r="5" spans="2:35" ht="14.85" customHeight="1" thickTop="1">
      <c r="B5" s="549"/>
      <c r="AA5" s="378" t="s">
        <v>89</v>
      </c>
      <c r="AB5" s="913" t="str">
        <f>+'Comp.1'!$AL$5</f>
        <v>H</v>
      </c>
    </row>
    <row r="6" spans="2:35" ht="14.85" hidden="1" customHeight="1" outlineLevel="1">
      <c r="N6" s="551">
        <f>'DLOM Hybrid'!G11</f>
        <v>3.5</v>
      </c>
      <c r="O6" s="554">
        <f>'Risk-Free Rates_Hybrid'!E51</f>
        <v>2.64E-2</v>
      </c>
      <c r="Q6" s="263">
        <f>HLOOKUP(ROUND(N6,0),'Equity Vol'!$D$8:$H$8,1,TRUE)</f>
        <v>4</v>
      </c>
    </row>
    <row r="7" spans="2:35" ht="14.85" customHeight="1" collapsed="1">
      <c r="D7" s="1169" t="s">
        <v>91</v>
      </c>
      <c r="E7" s="1170"/>
      <c r="F7" s="1170"/>
      <c r="G7" s="1170"/>
      <c r="H7" s="1170"/>
      <c r="I7" s="1170"/>
      <c r="J7" s="1170"/>
      <c r="K7" s="1171"/>
      <c r="M7" s="1169" t="s">
        <v>92</v>
      </c>
      <c r="N7" s="1170"/>
      <c r="O7" s="1170"/>
      <c r="P7" s="1172"/>
      <c r="Q7" s="1171"/>
      <c r="S7" s="1169" t="s">
        <v>93</v>
      </c>
      <c r="T7" s="1170"/>
      <c r="U7" s="1170"/>
      <c r="V7" s="1170"/>
      <c r="W7" s="1170"/>
      <c r="X7" s="1007"/>
      <c r="Y7" s="1171"/>
    </row>
    <row r="8" spans="2:35" s="200" customFormat="1" ht="39.950000000000003" customHeight="1">
      <c r="B8" s="1175" t="s">
        <v>733</v>
      </c>
      <c r="D8" s="1176" t="s">
        <v>94</v>
      </c>
      <c r="E8" s="1177" t="s">
        <v>95</v>
      </c>
      <c r="F8" s="1177" t="s">
        <v>96</v>
      </c>
      <c r="G8" s="1177" t="s">
        <v>97</v>
      </c>
      <c r="H8" s="1177" t="s">
        <v>98</v>
      </c>
      <c r="I8" s="1177" t="s">
        <v>99</v>
      </c>
      <c r="J8" s="1177" t="s">
        <v>100</v>
      </c>
      <c r="K8" s="1178" t="s">
        <v>101</v>
      </c>
      <c r="L8" s="265"/>
      <c r="M8" s="1176" t="s">
        <v>73</v>
      </c>
      <c r="N8" s="1177" t="s">
        <v>102</v>
      </c>
      <c r="O8" s="1178" t="s">
        <v>72</v>
      </c>
      <c r="P8" s="1016"/>
      <c r="Q8" s="1179" t="s">
        <v>103</v>
      </c>
      <c r="R8" s="1016"/>
      <c r="S8" s="1176" t="s">
        <v>104</v>
      </c>
      <c r="T8" s="1177" t="s">
        <v>84</v>
      </c>
      <c r="U8" s="1177" t="s">
        <v>85</v>
      </c>
      <c r="V8" s="1177" t="s">
        <v>105</v>
      </c>
      <c r="W8" s="1177" t="s">
        <v>106</v>
      </c>
      <c r="X8" s="1017" t="s">
        <v>107</v>
      </c>
      <c r="Y8" s="1178" t="s">
        <v>3229</v>
      </c>
      <c r="AA8" s="562" t="s">
        <v>108</v>
      </c>
      <c r="AB8" s="454" t="s">
        <v>109</v>
      </c>
      <c r="AC8" s="454" t="s">
        <v>110</v>
      </c>
      <c r="AD8" s="1180"/>
    </row>
    <row r="9" spans="2:35" ht="14.85" customHeight="1"/>
    <row r="10" spans="2:35" ht="14.85" customHeight="1">
      <c r="B10" s="179" t="str">
        <f>'Comp.1'!B12</f>
        <v>Editas Medicine, Inc.</v>
      </c>
      <c r="D10" s="255">
        <f>IF($B10="(Invalid Identifier)","",'Beta Calc'!K10)</f>
        <v>1705.3104800000001</v>
      </c>
      <c r="E10" s="255">
        <f>IF($B10="(Invalid Identifier)","",'Beta Calc'!L10)</f>
        <v>33.19</v>
      </c>
      <c r="F10" s="255" t="str">
        <f>IF($B10="(Invalid Identifier)","",'Beta Calc'!M10)</f>
        <v>n/a</v>
      </c>
      <c r="G10" s="255" t="str">
        <f>IF($B10="(Invalid Identifier)","",'Beta Calc'!N10)</f>
        <v>n/a</v>
      </c>
      <c r="H10" s="255">
        <f t="shared" ref="H10:H14" si="0">SUM(E10:G10)</f>
        <v>33.19</v>
      </c>
      <c r="I10" s="255">
        <f t="shared" ref="I10:I14" si="1">SUM(D10:G10)</f>
        <v>1738.5004800000002</v>
      </c>
      <c r="J10" s="255">
        <f>IF($B10="(Invalid Identifier)","",'Beta Calc'!Q10)</f>
        <v>358.82100000000003</v>
      </c>
      <c r="K10" s="576">
        <f t="shared" ref="K10:K14" si="2">IFERROR(I10-J10,"n/a")</f>
        <v>1379.6794800000002</v>
      </c>
      <c r="M10" s="384">
        <f>IFERROR('Capital IQ Sheet-GPC'!AT13,"n/a")</f>
        <v>0</v>
      </c>
      <c r="N10" s="255">
        <f t="shared" ref="N10:O18" si="3">N$6</f>
        <v>3.5</v>
      </c>
      <c r="O10" s="1181">
        <f t="shared" si="3"/>
        <v>2.64E-2</v>
      </c>
      <c r="P10" s="1162"/>
      <c r="Q10" s="1182">
        <f>IFERROR(HLOOKUP($Q$6,'Equity Vol'!$B$8:$H10,ROWS('Equity Vol'!$C$8:$C10),FALSE),"n/a")</f>
        <v>0.78204917356370451</v>
      </c>
      <c r="R10" s="303"/>
      <c r="S10" s="1183">
        <f t="shared" ref="S10:S14" si="4">IFERROR(IF(Q10="n/a","n/a",Q10^2),"n/a")</f>
        <v>0.61160090987167326</v>
      </c>
      <c r="T10" s="1183">
        <f t="shared" ref="T10:T14" si="5">IF(OR(K10="n/a",S10="n/a"),"n/a",IF(H10=0,0,IF(M10=0,(LN(K10/H10)+((O10+(S10/2))*N10))/((S10*N10)^0.5),(LN(K10/H10)+((O10-M10+(S10/2))*N10))/((S10*N10)^0.5))))</f>
        <v>3.3423048259419073</v>
      </c>
      <c r="U10" s="1184">
        <f t="shared" ref="U10:U14" si="6">IF(T10="n/a","n/a",IF(H10=0,0,T10-(S10*N10)^0.5))</f>
        <v>1.8792247923993617</v>
      </c>
      <c r="V10" s="1184">
        <f t="shared" ref="V10:V14" si="7">IF(OR(T10="n/a",S10="n/a"),"n/a",IF(H10=0,0,NORMSDIST(T10)))</f>
        <v>0.99958457118618727</v>
      </c>
      <c r="W10" s="1184">
        <f t="shared" ref="W10:W14" si="8">IF(OR(U10="n/a",S10="n/a"),"n/a",IF(H10=0,0,NORMSDIST(U10)))</f>
        <v>0.96989309712139382</v>
      </c>
      <c r="X10" s="576">
        <f t="shared" ref="X10:X14" si="9">IF(OR(K10="n/a",S10="n/a"),"n/a",IF(M10=0,(K10*V10)-((H10*EXP(1)^(-O10*N10))*W10),(K10*(2.718^(-M10*N10))*V10)-(H10*(2.718^(-O10*N10))*W10)))</f>
        <v>1349.7567130120626</v>
      </c>
      <c r="Y10" s="1182">
        <f t="shared" ref="Y10:Y14" si="10">IFERROR(IF(LEN(B10)&gt;0,IF(H10=0,Q10,IF(ISERROR(Q10/((K10/X10)*V10)),"n/a",Q10/((K10/X10)*V10)))),"n/a")</f>
        <v>0.76540590493348792</v>
      </c>
      <c r="AA10" s="932" t="str">
        <f>IF('MASTER PubCo Inputs'!B28=0,"",'MASTER PubCo Inputs'!B28)</f>
        <v>NasdaqGS:EDIT</v>
      </c>
      <c r="AB10" s="255">
        <f>IF($B10="(Invalid Identifier)","",'Beta Calc'!Z10)</f>
        <v>1379.67948</v>
      </c>
      <c r="AC10" s="933">
        <f t="shared" ref="AC10:AC14" si="11">IF($B10="(Invalid Identifier)","",K10-AB10)</f>
        <v>2.2737367544323206E-13</v>
      </c>
      <c r="AI10" s="934"/>
    </row>
    <row r="11" spans="2:35" ht="14.85" customHeight="1">
      <c r="B11" s="179" t="str">
        <f>'Comp.1'!B13</f>
        <v>Oxford BioMedica plc</v>
      </c>
      <c r="D11" s="255">
        <f>IF($B11="(Invalid Identifier)","",'Beta Calc'!K11)</f>
        <v>655.68985999999995</v>
      </c>
      <c r="E11" s="255">
        <f>IF($B11="(Invalid Identifier)","",'Beta Calc'!L11)</f>
        <v>49.826320000000003</v>
      </c>
      <c r="F11" s="255" t="str">
        <f>IF($B11="(Invalid Identifier)","",'Beta Calc'!M11)</f>
        <v>n/a</v>
      </c>
      <c r="G11" s="255" t="str">
        <f>IF($B11="(Invalid Identifier)","",'Beta Calc'!N11)</f>
        <v>n/a</v>
      </c>
      <c r="H11" s="255">
        <f t="shared" si="0"/>
        <v>49.826320000000003</v>
      </c>
      <c r="I11" s="255">
        <f t="shared" si="1"/>
        <v>705.51617999999996</v>
      </c>
      <c r="J11" s="255">
        <f>IF($B11="(Invalid Identifier)","",'Beta Calc'!Q11)</f>
        <v>19.367439999999998</v>
      </c>
      <c r="K11" s="576">
        <f t="shared" si="2"/>
        <v>686.14873999999998</v>
      </c>
      <c r="M11" s="384">
        <f>IFERROR('Capital IQ Sheet-GPC'!AT14,"n/a")</f>
        <v>0</v>
      </c>
      <c r="N11" s="255">
        <f t="shared" si="3"/>
        <v>3.5</v>
      </c>
      <c r="O11" s="1181">
        <f t="shared" si="3"/>
        <v>2.64E-2</v>
      </c>
      <c r="P11" s="1162"/>
      <c r="Q11" s="1182">
        <f>IFERROR(HLOOKUP($Q$6,'Equity Vol'!$B$8:$H11,ROWS('Equity Vol'!$C$8:$C11),FALSE),"n/a")</f>
        <v>0.61274111093250305</v>
      </c>
      <c r="R11" s="303"/>
      <c r="S11" s="1183">
        <f t="shared" si="4"/>
        <v>0.375451669026798</v>
      </c>
      <c r="T11" s="1183">
        <f t="shared" si="5"/>
        <v>2.941544534584867</v>
      </c>
      <c r="U11" s="1184">
        <f t="shared" si="6"/>
        <v>1.7952108826345314</v>
      </c>
      <c r="V11" s="1184">
        <f t="shared" si="7"/>
        <v>0.99836710060366873</v>
      </c>
      <c r="W11" s="1184">
        <f t="shared" si="8"/>
        <v>0.96368994637913008</v>
      </c>
      <c r="X11" s="576">
        <f t="shared" si="9"/>
        <v>641.24917755303352</v>
      </c>
      <c r="Y11" s="1182">
        <f t="shared" si="10"/>
        <v>0.57358172983470201</v>
      </c>
      <c r="AA11" s="932" t="str">
        <f>IF('MASTER PubCo Inputs'!B29=0,"",'MASTER PubCo Inputs'!B29)</f>
        <v>LSE:OXB</v>
      </c>
      <c r="AB11" s="255">
        <f>IF($B11="(Invalid Identifier)","",'Beta Calc'!Z11)</f>
        <v>685.68294000000003</v>
      </c>
      <c r="AC11" s="933">
        <f t="shared" si="11"/>
        <v>0.4657999999999447</v>
      </c>
      <c r="AI11" s="934"/>
    </row>
    <row r="12" spans="2:35" ht="14.85" customHeight="1">
      <c r="B12" s="179" t="str">
        <f>'Comp.1'!B14</f>
        <v>Fennec Pharmaceuticals Inc.</v>
      </c>
      <c r="D12" s="255">
        <f>IF($B12="(Invalid Identifier)","",'Beta Calc'!K12)</f>
        <v>205.66506000000001</v>
      </c>
      <c r="E12" s="255">
        <f>IF($B12="(Invalid Identifier)","",'Beta Calc'!L12)</f>
        <v>0</v>
      </c>
      <c r="F12" s="255" t="str">
        <f>IF($B12="(Invalid Identifier)","",'Beta Calc'!M12)</f>
        <v>n/a</v>
      </c>
      <c r="G12" s="255" t="str">
        <f>IF($B12="(Invalid Identifier)","",'Beta Calc'!N12)</f>
        <v>n/a</v>
      </c>
      <c r="H12" s="255">
        <f t="shared" si="0"/>
        <v>0</v>
      </c>
      <c r="I12" s="255">
        <f t="shared" si="1"/>
        <v>205.66506000000001</v>
      </c>
      <c r="J12" s="255">
        <f>IF($B12="(Invalid Identifier)","",'Beta Calc'!Q12)</f>
        <v>26.719000000000001</v>
      </c>
      <c r="K12" s="576">
        <f t="shared" si="2"/>
        <v>178.94606000000002</v>
      </c>
      <c r="M12" s="384">
        <f>IFERROR('Capital IQ Sheet-GPC'!AT15,"n/a")</f>
        <v>0</v>
      </c>
      <c r="N12" s="255">
        <f t="shared" si="3"/>
        <v>3.5</v>
      </c>
      <c r="O12" s="1181">
        <f t="shared" si="3"/>
        <v>2.64E-2</v>
      </c>
      <c r="P12" s="1162"/>
      <c r="Q12" s="1182">
        <f>IFERROR(HLOOKUP($Q$6,'Equity Vol'!$B$8:$H12,ROWS('Equity Vol'!$C$8:$C12),FALSE),"n/a")</f>
        <v>1.3197878729406225</v>
      </c>
      <c r="R12" s="303"/>
      <c r="S12" s="1183">
        <f t="shared" si="4"/>
        <v>1.7418400295611327</v>
      </c>
      <c r="T12" s="1183">
        <f t="shared" si="5"/>
        <v>0</v>
      </c>
      <c r="U12" s="1184">
        <f t="shared" si="6"/>
        <v>0</v>
      </c>
      <c r="V12" s="1184">
        <f t="shared" si="7"/>
        <v>0</v>
      </c>
      <c r="W12" s="1184">
        <f t="shared" si="8"/>
        <v>0</v>
      </c>
      <c r="X12" s="576">
        <f t="shared" si="9"/>
        <v>0</v>
      </c>
      <c r="Y12" s="1182">
        <f t="shared" si="10"/>
        <v>1.3197878729406225</v>
      </c>
      <c r="AA12" s="932" t="str">
        <f>IF('MASTER PubCo Inputs'!B30=0,"",'MASTER PubCo Inputs'!B30)</f>
        <v>NasdaqCM:FENC</v>
      </c>
      <c r="AB12" s="255">
        <f>IF($B12="(Invalid Identifier)","",'Beta Calc'!Z12)</f>
        <v>178.94605999999999</v>
      </c>
      <c r="AC12" s="933">
        <f t="shared" si="11"/>
        <v>2.8421709430404007E-14</v>
      </c>
      <c r="AI12" s="934"/>
    </row>
    <row r="13" spans="2:35" ht="14.85" customHeight="1">
      <c r="B13" s="179" t="str">
        <f>'Comp.1'!B15</f>
        <v>ProQR Therapeutics N.V.</v>
      </c>
      <c r="D13" s="255">
        <f>IF($B13="(Invalid Identifier)","",'Beta Calc'!K13)</f>
        <v>188.339</v>
      </c>
      <c r="E13" s="255">
        <f>IF($B13="(Invalid Identifier)","",'Beta Calc'!L13)</f>
        <v>8.6983700000000006</v>
      </c>
      <c r="F13" s="255" t="str">
        <f>IF($B13="(Invalid Identifier)","",'Beta Calc'!M13)</f>
        <v>n/a</v>
      </c>
      <c r="G13" s="255">
        <f>IF($B13="(Invalid Identifier)","",'Beta Calc'!N13)</f>
        <v>-4.5629999999999997E-2</v>
      </c>
      <c r="H13" s="255">
        <f t="shared" si="0"/>
        <v>8.6527400000000014</v>
      </c>
      <c r="I13" s="255">
        <f t="shared" si="1"/>
        <v>196.99174000000002</v>
      </c>
      <c r="J13" s="255">
        <f>IF($B13="(Invalid Identifier)","",'Beta Calc'!Q13)</f>
        <v>57.755760000000002</v>
      </c>
      <c r="K13" s="576">
        <f t="shared" si="2"/>
        <v>139.23598000000001</v>
      </c>
      <c r="M13" s="384">
        <f>IFERROR('Capital IQ Sheet-GPC'!AT16,"n/a")</f>
        <v>0</v>
      </c>
      <c r="N13" s="255">
        <f t="shared" si="3"/>
        <v>3.5</v>
      </c>
      <c r="O13" s="1181">
        <f t="shared" si="3"/>
        <v>2.64E-2</v>
      </c>
      <c r="P13" s="1162"/>
      <c r="Q13" s="1182">
        <f>IFERROR(HLOOKUP($Q$6,'Equity Vol'!$B$8:$H13,ROWS('Equity Vol'!$C$8:$C13),FALSE),"n/a")</f>
        <v>0.7169041230096167</v>
      </c>
      <c r="R13" s="303"/>
      <c r="S13" s="1183">
        <f t="shared" si="4"/>
        <v>0.51395152158818769</v>
      </c>
      <c r="T13" s="1183">
        <f t="shared" si="5"/>
        <v>2.8109870394180319</v>
      </c>
      <c r="U13" s="1184">
        <f t="shared" si="6"/>
        <v>1.4697822356842185</v>
      </c>
      <c r="V13" s="1184">
        <f t="shared" si="7"/>
        <v>0.99753051123158376</v>
      </c>
      <c r="W13" s="1184">
        <f t="shared" si="8"/>
        <v>0.92918962906657121</v>
      </c>
      <c r="X13" s="576">
        <f t="shared" si="9"/>
        <v>131.56171258271718</v>
      </c>
      <c r="Y13" s="1182">
        <f t="shared" si="10"/>
        <v>0.67906747874677786</v>
      </c>
      <c r="AA13" s="932" t="str">
        <f>IF('MASTER PubCo Inputs'!B31=0,"",'MASTER PubCo Inputs'!B31)</f>
        <v>NasdaqGM:PRQR</v>
      </c>
      <c r="AB13" s="255">
        <f>IF($B13="(Invalid Identifier)","",'Beta Calc'!Z13)</f>
        <v>150.9237</v>
      </c>
      <c r="AC13" s="933">
        <f t="shared" si="11"/>
        <v>-11.687719999999985</v>
      </c>
      <c r="AI13" s="934"/>
    </row>
    <row r="14" spans="2:35" ht="14.85" customHeight="1">
      <c r="B14" s="179" t="str">
        <f>'Comp.1'!B16</f>
        <v>Genkyotex SA</v>
      </c>
      <c r="D14" s="255">
        <f>IF($B14="(Invalid Identifier)","",'Beta Calc'!K14)</f>
        <v>138.52769000000001</v>
      </c>
      <c r="E14" s="255">
        <f>IF($B14="(Invalid Identifier)","",'Beta Calc'!L14)</f>
        <v>0.48391000000000001</v>
      </c>
      <c r="F14" s="255" t="str">
        <f>IF($B14="(Invalid Identifier)","",'Beta Calc'!M14)</f>
        <v>n/a</v>
      </c>
      <c r="G14" s="255" t="str">
        <f>IF($B14="(Invalid Identifier)","",'Beta Calc'!N14)</f>
        <v>n/a</v>
      </c>
      <c r="H14" s="255">
        <f t="shared" si="0"/>
        <v>0.48391000000000001</v>
      </c>
      <c r="I14" s="255">
        <f t="shared" si="1"/>
        <v>139.01160000000002</v>
      </c>
      <c r="J14" s="255">
        <f>IF($B14="(Invalid Identifier)","",'Beta Calc'!Q14)</f>
        <v>13.622719999999999</v>
      </c>
      <c r="K14" s="576">
        <f t="shared" si="2"/>
        <v>125.38888000000001</v>
      </c>
      <c r="M14" s="384">
        <f>IFERROR('Capital IQ Sheet-GPC'!AT17,"n/a")</f>
        <v>0</v>
      </c>
      <c r="N14" s="255">
        <f t="shared" si="3"/>
        <v>3.5</v>
      </c>
      <c r="O14" s="1181">
        <f t="shared" si="3"/>
        <v>2.64E-2</v>
      </c>
      <c r="P14" s="1162"/>
      <c r="Q14" s="1182">
        <f>IFERROR(HLOOKUP($Q$6,'Equity Vol'!$B$8:$H14,ROWS('Equity Vol'!$C$8:$C14),FALSE),"n/a")</f>
        <v>0.3917886476836604</v>
      </c>
      <c r="R14" s="303"/>
      <c r="S14" s="1183">
        <f t="shared" si="4"/>
        <v>0.15349834445379137</v>
      </c>
      <c r="T14" s="1183">
        <f t="shared" si="5"/>
        <v>8.0744135251677509</v>
      </c>
      <c r="U14" s="1184">
        <f t="shared" si="6"/>
        <v>7.3414440813378805</v>
      </c>
      <c r="V14" s="1184">
        <f t="shared" si="7"/>
        <v>0.99999999999999967</v>
      </c>
      <c r="W14" s="1184">
        <f t="shared" si="8"/>
        <v>0.99999999999989431</v>
      </c>
      <c r="X14" s="576">
        <f t="shared" si="9"/>
        <v>124.94767971249938</v>
      </c>
      <c r="Y14" s="1182">
        <f t="shared" si="10"/>
        <v>0.39041007835600156</v>
      </c>
      <c r="AA14" s="932" t="str">
        <f>IF('MASTER PubCo Inputs'!B32=0,"",'MASTER PubCo Inputs'!B32)</f>
        <v>ENXTPA:GKTX</v>
      </c>
      <c r="AB14" s="255">
        <f>IF($B14="(Invalid Identifier)","",'Beta Calc'!Z14)</f>
        <v>125.77329</v>
      </c>
      <c r="AC14" s="933">
        <f t="shared" si="11"/>
        <v>-0.38440999999998837</v>
      </c>
      <c r="AI14" s="934"/>
    </row>
    <row r="15" spans="2:35" ht="14.85" customHeight="1">
      <c r="B15" s="179" t="str">
        <f>'Comp.1'!B17</f>
        <v>Novus Therapeutics, Inc.</v>
      </c>
      <c r="D15" s="255">
        <f>IF($B15="(Invalid Identifier)","",'Beta Calc'!K15)</f>
        <v>74.033280000000005</v>
      </c>
      <c r="E15" s="255">
        <f>IF($B15="(Invalid Identifier)","",'Beta Calc'!L15)</f>
        <v>0</v>
      </c>
      <c r="F15" s="255" t="str">
        <f>IF($B15="(Invalid Identifier)","",'Beta Calc'!M15)</f>
        <v>n/a</v>
      </c>
      <c r="G15" s="255" t="str">
        <f>IF($B15="(Invalid Identifier)","",'Beta Calc'!N15)</f>
        <v>n/a</v>
      </c>
      <c r="H15" s="255">
        <f t="shared" ref="H15:H18" si="12">SUM(E15:G15)</f>
        <v>0</v>
      </c>
      <c r="I15" s="255">
        <f t="shared" ref="I15:I18" si="13">SUM(D15:G15)</f>
        <v>74.033280000000005</v>
      </c>
      <c r="J15" s="255">
        <f>IF($B15="(Invalid Identifier)","",'Beta Calc'!Q15)</f>
        <v>22.523</v>
      </c>
      <c r="K15" s="576">
        <f t="shared" ref="K15:K18" si="14">IFERROR(I15-J15,"n/a")</f>
        <v>51.510280000000009</v>
      </c>
      <c r="M15" s="384">
        <f>IFERROR('Capital IQ Sheet-GPC'!AT18,"n/a")</f>
        <v>0</v>
      </c>
      <c r="N15" s="255">
        <f t="shared" si="3"/>
        <v>3.5</v>
      </c>
      <c r="O15" s="1181">
        <f t="shared" si="3"/>
        <v>2.64E-2</v>
      </c>
      <c r="P15" s="1162"/>
      <c r="Q15" s="1182">
        <f>IFERROR(HLOOKUP($Q$6,'Equity Vol'!$B$8:$H15,ROWS('Equity Vol'!$C$8:$C15),FALSE),"n/a")</f>
        <v>0.69646624513060806</v>
      </c>
      <c r="R15" s="303"/>
      <c r="S15" s="1183">
        <f t="shared" ref="S15:S18" si="15">IFERROR(IF(Q15="n/a","n/a",Q15^2),"n/a")</f>
        <v>0.48506523060632822</v>
      </c>
      <c r="T15" s="1183">
        <f t="shared" ref="T15:T18" si="16">IF(OR(K15="n/a",S15="n/a"),"n/a",IF(H15=0,0,IF(M15=0,(LN(K15/H15)+((O15+(S15/2))*N15))/((S15*N15)^0.5),(LN(K15/H15)+((O15-M15+(S15/2))*N15))/((S15*N15)^0.5))))</f>
        <v>0</v>
      </c>
      <c r="U15" s="1184">
        <f t="shared" ref="U15:U18" si="17">IF(T15="n/a","n/a",IF(H15=0,0,T15-(S15*N15)^0.5))</f>
        <v>0</v>
      </c>
      <c r="V15" s="1184">
        <f t="shared" ref="V15:V18" si="18">IF(OR(T15="n/a",S15="n/a"),"n/a",IF(H15=0,0,NORMSDIST(T15)))</f>
        <v>0</v>
      </c>
      <c r="W15" s="1184">
        <f t="shared" ref="W15:W18" si="19">IF(OR(U15="n/a",S15="n/a"),"n/a",IF(H15=0,0,NORMSDIST(U15)))</f>
        <v>0</v>
      </c>
      <c r="X15" s="576">
        <f t="shared" ref="X15:X18" si="20">IF(OR(K15="n/a",S15="n/a"),"n/a",IF(M15=0,(K15*V15)-((H15*EXP(1)^(-O15*N15))*W15),(K15*(2.718^(-M15*N15))*V15)-(H15*(2.718^(-O15*N15))*W15)))</f>
        <v>0</v>
      </c>
      <c r="Y15" s="1182">
        <f t="shared" ref="Y15:Y18" si="21">IFERROR(IF(LEN(B15)&gt;0,IF(H15=0,Q15,IF(ISERROR(Q15/((K15/X15)*V15)),"n/a",Q15/((K15/X15)*V15)))),"n/a")</f>
        <v>0.69646624513060806</v>
      </c>
      <c r="AA15" s="932" t="str">
        <f>IF('MASTER PubCo Inputs'!B33=0,"",'MASTER PubCo Inputs'!B33)</f>
        <v>NasdaqCM:NVUS</v>
      </c>
      <c r="AB15" s="255">
        <f>IF($B15="(Invalid Identifier)","",'Beta Calc'!Z15)</f>
        <v>51.510280000000002</v>
      </c>
      <c r="AC15" s="933">
        <f t="shared" ref="AC15:AC18" si="22">IF($B15="(Invalid Identifier)","",K15-AB15)</f>
        <v>7.1054273576010019E-15</v>
      </c>
      <c r="AI15" s="934"/>
    </row>
    <row r="16" spans="2:35" ht="14.85" customHeight="1">
      <c r="B16" s="179" t="str">
        <f>'Comp.1'!B18</f>
        <v>Sensorion SA</v>
      </c>
      <c r="D16" s="255">
        <f>IF($B16="(Invalid Identifier)","",'Beta Calc'!K16)</f>
        <v>37.159999999999997</v>
      </c>
      <c r="E16" s="255">
        <f>IF($B16="(Invalid Identifier)","",'Beta Calc'!L16)</f>
        <v>2.6891699999999998</v>
      </c>
      <c r="F16" s="255">
        <f>IF($B16="(Invalid Identifier)","",'Beta Calc'!M16)</f>
        <v>0</v>
      </c>
      <c r="G16" s="255">
        <f>IF($B16="(Invalid Identifier)","",'Beta Calc'!N16)</f>
        <v>0</v>
      </c>
      <c r="H16" s="255">
        <f t="shared" si="12"/>
        <v>2.6891699999999998</v>
      </c>
      <c r="I16" s="255">
        <f t="shared" si="13"/>
        <v>39.849169999999994</v>
      </c>
      <c r="J16" s="255">
        <f>IF($B16="(Invalid Identifier)","",'Beta Calc'!Q16)</f>
        <v>9.1175599999999992</v>
      </c>
      <c r="K16" s="576">
        <f t="shared" si="14"/>
        <v>30.731609999999996</v>
      </c>
      <c r="M16" s="384">
        <f>IFERROR('Capital IQ Sheet-GPC'!AT19,"n/a")</f>
        <v>0</v>
      </c>
      <c r="N16" s="255">
        <f t="shared" si="3"/>
        <v>3.5</v>
      </c>
      <c r="O16" s="1181">
        <f t="shared" si="3"/>
        <v>2.64E-2</v>
      </c>
      <c r="P16" s="1162"/>
      <c r="Q16" s="1182">
        <f>IFERROR(HLOOKUP($Q$6,'Equity Vol'!$B$8:$H16,ROWS('Equity Vol'!$C$8:$C16),FALSE),"n/a")</f>
        <v>0.68884036657096237</v>
      </c>
      <c r="R16" s="303"/>
      <c r="S16" s="1183">
        <f t="shared" si="15"/>
        <v>0.47450105061761783</v>
      </c>
      <c r="T16" s="1183">
        <f t="shared" si="16"/>
        <v>2.6063707262204154</v>
      </c>
      <c r="U16" s="1184">
        <f t="shared" si="17"/>
        <v>1.31766840327626</v>
      </c>
      <c r="V16" s="1184">
        <f t="shared" si="18"/>
        <v>0.99542463205239962</v>
      </c>
      <c r="W16" s="1184">
        <f t="shared" si="19"/>
        <v>0.90619266191759273</v>
      </c>
      <c r="X16" s="576">
        <f t="shared" si="20"/>
        <v>28.369175863081175</v>
      </c>
      <c r="Y16" s="1182">
        <f t="shared" si="21"/>
        <v>0.63880986217108027</v>
      </c>
      <c r="AA16" s="932" t="str">
        <f>IF('MASTER PubCo Inputs'!B34=0,"",'MASTER PubCo Inputs'!B34)</f>
        <v>ENXTPA:ALSEN</v>
      </c>
      <c r="AB16" s="255">
        <f>IF($B16="(Invalid Identifier)","",'Beta Calc'!Z16)</f>
        <v>30.919689999999999</v>
      </c>
      <c r="AC16" s="933">
        <f t="shared" si="22"/>
        <v>-0.18808000000000291</v>
      </c>
      <c r="AI16" s="934"/>
    </row>
    <row r="17" spans="1:35" ht="14.85" customHeight="1">
      <c r="B17" s="179" t="str">
        <f>'Comp.1'!B19</f>
        <v>Otonomy, Inc.</v>
      </c>
      <c r="D17" s="255">
        <f>IF($B17="(Invalid Identifier)","",'Beta Calc'!K17)</f>
        <v>136.06998999999999</v>
      </c>
      <c r="E17" s="255">
        <f>IF($B17="(Invalid Identifier)","",'Beta Calc'!L17)</f>
        <v>0</v>
      </c>
      <c r="F17" s="255">
        <f>IF($B17="(Invalid Identifier)","",'Beta Calc'!M17)</f>
        <v>0</v>
      </c>
      <c r="G17" s="255">
        <f>IF($B17="(Invalid Identifier)","",'Beta Calc'!N17)</f>
        <v>0</v>
      </c>
      <c r="H17" s="255">
        <f t="shared" si="12"/>
        <v>0</v>
      </c>
      <c r="I17" s="255">
        <f t="shared" si="13"/>
        <v>136.06998999999999</v>
      </c>
      <c r="J17" s="255">
        <f>IF($B17="(Invalid Identifier)","",'Beta Calc'!Q17)</f>
        <v>110.224</v>
      </c>
      <c r="K17" s="576">
        <f t="shared" si="14"/>
        <v>25.845989999999986</v>
      </c>
      <c r="M17" s="384">
        <f>IFERROR('Capital IQ Sheet-GPC'!AT20,"n/a")</f>
        <v>0</v>
      </c>
      <c r="N17" s="255">
        <f t="shared" si="3"/>
        <v>3.5</v>
      </c>
      <c r="O17" s="1181">
        <f t="shared" si="3"/>
        <v>2.64E-2</v>
      </c>
      <c r="P17" s="1162"/>
      <c r="Q17" s="1182">
        <f>IFERROR(HLOOKUP($Q$6,'Equity Vol'!$B$8:$H17,ROWS('Equity Vol'!$C$8:$C17),FALSE),"n/a")</f>
        <v>1.1474404313943027</v>
      </c>
      <c r="R17" s="303"/>
      <c r="S17" s="1183">
        <f t="shared" si="15"/>
        <v>1.3166195435983437</v>
      </c>
      <c r="T17" s="1183">
        <f t="shared" si="16"/>
        <v>0</v>
      </c>
      <c r="U17" s="1184">
        <f t="shared" si="17"/>
        <v>0</v>
      </c>
      <c r="V17" s="1184">
        <f t="shared" si="18"/>
        <v>0</v>
      </c>
      <c r="W17" s="1184">
        <f t="shared" si="19"/>
        <v>0</v>
      </c>
      <c r="X17" s="576">
        <f t="shared" si="20"/>
        <v>0</v>
      </c>
      <c r="Y17" s="1182">
        <f t="shared" si="21"/>
        <v>1.1474404313943027</v>
      </c>
      <c r="AA17" s="932" t="str">
        <f>IF('MASTER PubCo Inputs'!B35=0,"",'MASTER PubCo Inputs'!B35)</f>
        <v>NasdaqGS:OTIC</v>
      </c>
      <c r="AB17" s="255">
        <f>IF($B17="(Invalid Identifier)","",'Beta Calc'!Z17)</f>
        <v>25.84599</v>
      </c>
      <c r="AC17" s="933">
        <f t="shared" si="22"/>
        <v>-1.4210854715202004E-14</v>
      </c>
      <c r="AI17" s="934"/>
    </row>
    <row r="18" spans="1:35" ht="14.85" customHeight="1">
      <c r="B18" s="179" t="str">
        <f>'Comp.1'!B20</f>
        <v>Auris Medical Holding AG</v>
      </c>
      <c r="D18" s="255">
        <f>IF($B18="(Invalid Identifier)","",'Beta Calc'!K18)</f>
        <v>7.2796900000000004</v>
      </c>
      <c r="E18" s="255">
        <f>IF($B18="(Invalid Identifier)","",'Beta Calc'!L18)</f>
        <v>9.06297</v>
      </c>
      <c r="F18" s="255">
        <f>IF($B18="(Invalid Identifier)","",'Beta Calc'!M18)</f>
        <v>0</v>
      </c>
      <c r="G18" s="255">
        <f>IF($B18="(Invalid Identifier)","",'Beta Calc'!N18)</f>
        <v>0</v>
      </c>
      <c r="H18" s="255">
        <f t="shared" si="12"/>
        <v>9.06297</v>
      </c>
      <c r="I18" s="255">
        <f t="shared" si="13"/>
        <v>16.342660000000002</v>
      </c>
      <c r="J18" s="255">
        <f>IF($B18="(Invalid Identifier)","",'Beta Calc'!Q18)</f>
        <v>13.2705</v>
      </c>
      <c r="K18" s="576">
        <f t="shared" si="14"/>
        <v>3.072160000000002</v>
      </c>
      <c r="M18" s="384">
        <f>IFERROR('Capital IQ Sheet-GPC'!AT21,"n/a")</f>
        <v>0</v>
      </c>
      <c r="N18" s="255">
        <f t="shared" si="3"/>
        <v>3.5</v>
      </c>
      <c r="O18" s="1181">
        <f t="shared" si="3"/>
        <v>2.64E-2</v>
      </c>
      <c r="P18" s="1162"/>
      <c r="Q18" s="1182">
        <f>IFERROR(HLOOKUP($Q$6,'Equity Vol'!$B$8:$H18,ROWS('Equity Vol'!$C$8:$C18),FALSE),"n/a")</f>
        <v>1.0309921222499077</v>
      </c>
      <c r="R18" s="303"/>
      <c r="S18" s="1183">
        <f t="shared" si="15"/>
        <v>1.0629447561413685</v>
      </c>
      <c r="T18" s="1183">
        <f t="shared" si="16"/>
        <v>0.45143767394551682</v>
      </c>
      <c r="U18" s="1184">
        <f t="shared" si="17"/>
        <v>-1.477371971015538</v>
      </c>
      <c r="V18" s="1184">
        <f t="shared" si="18"/>
        <v>0.67416293212586986</v>
      </c>
      <c r="W18" s="1184">
        <f t="shared" si="19"/>
        <v>6.9787977625931807E-2</v>
      </c>
      <c r="X18" s="576">
        <f t="shared" si="20"/>
        <v>1.4944730503875214</v>
      </c>
      <c r="Y18" s="1182">
        <f t="shared" si="21"/>
        <v>0.74393456010690606</v>
      </c>
      <c r="AA18" s="932" t="str">
        <f>IF('MASTER PubCo Inputs'!B36=0,"",'MASTER PubCo Inputs'!B36)</f>
        <v>NasdaqCM:EARS</v>
      </c>
      <c r="AB18" s="255">
        <f>IF($B18="(Invalid Identifier)","",'Beta Calc'!Z18)</f>
        <v>3.0721500000000002</v>
      </c>
      <c r="AC18" s="933">
        <f t="shared" si="22"/>
        <v>1.0000000001841869E-5</v>
      </c>
      <c r="AI18" s="934"/>
    </row>
    <row r="19" spans="1:35" ht="14.85" customHeight="1">
      <c r="D19" s="255"/>
      <c r="E19" s="255"/>
      <c r="F19" s="255"/>
      <c r="G19" s="255"/>
      <c r="H19" s="255"/>
      <c r="I19" s="255"/>
      <c r="J19" s="255"/>
      <c r="K19" s="255"/>
      <c r="R19" s="549"/>
    </row>
    <row r="20" spans="1:35" ht="14.85" customHeight="1">
      <c r="B20" s="935" t="s">
        <v>111</v>
      </c>
      <c r="C20" s="936"/>
      <c r="D20" s="938">
        <f t="shared" ref="D20:K20" si="23">MAX(D10:D18)</f>
        <v>1705.3104800000001</v>
      </c>
      <c r="E20" s="938">
        <f t="shared" si="23"/>
        <v>49.826320000000003</v>
      </c>
      <c r="F20" s="938">
        <f t="shared" si="23"/>
        <v>0</v>
      </c>
      <c r="G20" s="938">
        <f t="shared" si="23"/>
        <v>0</v>
      </c>
      <c r="H20" s="938">
        <f t="shared" si="23"/>
        <v>49.826320000000003</v>
      </c>
      <c r="I20" s="938">
        <f t="shared" si="23"/>
        <v>1738.5004800000002</v>
      </c>
      <c r="J20" s="938">
        <f t="shared" si="23"/>
        <v>358.82100000000003</v>
      </c>
      <c r="K20" s="938">
        <f t="shared" si="23"/>
        <v>1379.6794800000002</v>
      </c>
      <c r="L20" s="936"/>
      <c r="M20" s="1044">
        <f>MAX(M10:M18)</f>
        <v>0</v>
      </c>
      <c r="N20" s="938">
        <f>MAX(N10:N18)</f>
        <v>3.5</v>
      </c>
      <c r="O20" s="1185">
        <f>MAX(O10:O18)</f>
        <v>2.64E-2</v>
      </c>
      <c r="P20" s="1186"/>
      <c r="Q20" s="1187">
        <f>MAX(Q10:Q18)</f>
        <v>1.3197878729406225</v>
      </c>
      <c r="R20" s="1188"/>
      <c r="S20" s="1189">
        <f>MAX(S10:S19)</f>
        <v>1.7418400295611327</v>
      </c>
      <c r="T20" s="1189">
        <f>MAX(T10:T19)</f>
        <v>8.0744135251677509</v>
      </c>
      <c r="U20" s="1190">
        <f>MAX(U10:U19)</f>
        <v>7.3414440813378805</v>
      </c>
      <c r="V20" s="1190">
        <f>MAX(V10:V19)</f>
        <v>0.99999999999999967</v>
      </c>
      <c r="W20" s="1190">
        <f>MAX(W10:W19)</f>
        <v>0.99999999999989431</v>
      </c>
      <c r="X20" s="938">
        <f>MAX(X10:X18)</f>
        <v>1349.7567130120626</v>
      </c>
      <c r="Y20" s="1191">
        <f>MAX(Y10:Y18)</f>
        <v>1.3197878729406225</v>
      </c>
      <c r="AB20" s="1192">
        <f>Y27</f>
        <v>0.69599999999999995</v>
      </c>
      <c r="AC20" s="1193" t="s">
        <v>1621</v>
      </c>
      <c r="AD20" s="1193"/>
      <c r="AE20" s="1193"/>
      <c r="AF20" s="591"/>
    </row>
    <row r="21" spans="1:35" ht="14.85" customHeight="1">
      <c r="B21" s="941" t="s">
        <v>115</v>
      </c>
      <c r="C21" s="942"/>
      <c r="D21" s="944">
        <f t="shared" ref="D21:K21" si="24">QUARTILE(D10:D18,3)</f>
        <v>205.66506000000001</v>
      </c>
      <c r="E21" s="944">
        <f t="shared" si="24"/>
        <v>9.06297</v>
      </c>
      <c r="F21" s="944">
        <f t="shared" si="24"/>
        <v>0</v>
      </c>
      <c r="G21" s="944">
        <f t="shared" si="24"/>
        <v>0</v>
      </c>
      <c r="H21" s="944">
        <f t="shared" si="24"/>
        <v>9.06297</v>
      </c>
      <c r="I21" s="944">
        <f t="shared" si="24"/>
        <v>205.66506000000001</v>
      </c>
      <c r="J21" s="944">
        <f t="shared" si="24"/>
        <v>57.755760000000002</v>
      </c>
      <c r="K21" s="944">
        <f t="shared" si="24"/>
        <v>178.94606000000002</v>
      </c>
      <c r="L21" s="942"/>
      <c r="M21" s="1046">
        <f>QUARTILE(M10:M18,3)</f>
        <v>0</v>
      </c>
      <c r="N21" s="944">
        <f>QUARTILE(N10:N18,3)</f>
        <v>3.5</v>
      </c>
      <c r="O21" s="1194">
        <f>QUARTILE(O10:O18,3)</f>
        <v>2.64E-2</v>
      </c>
      <c r="P21" s="1195"/>
      <c r="Q21" s="1196">
        <f>QUARTILE(Q10:Q18,3)</f>
        <v>1.0309921222499077</v>
      </c>
      <c r="R21" s="1197"/>
      <c r="S21" s="1198">
        <f>QUARTILE(S10:S19,3)</f>
        <v>1.0629447561413685</v>
      </c>
      <c r="T21" s="1198">
        <f>QUARTILE(T10:T19,3)</f>
        <v>2.941544534584867</v>
      </c>
      <c r="U21" s="1199">
        <f>QUARTILE(U10:U19,3)</f>
        <v>1.7952108826345314</v>
      </c>
      <c r="V21" s="1199">
        <f>QUARTILE(V10:V19,3)</f>
        <v>0.99836710060366873</v>
      </c>
      <c r="W21" s="1199">
        <f>QUARTILE(W10:W19,3)</f>
        <v>0.96368994637913008</v>
      </c>
      <c r="X21" s="944">
        <f>QUARTILE(X10:X18,3)</f>
        <v>131.56171258271718</v>
      </c>
      <c r="Y21" s="1200">
        <f>QUARTILE(Y10:Y18,3)</f>
        <v>0.76540590493348792</v>
      </c>
      <c r="AB21" s="1201">
        <f>Y29</f>
        <v>0.69559190462732057</v>
      </c>
      <c r="AC21" s="179" t="s">
        <v>1622</v>
      </c>
      <c r="AF21" s="339"/>
    </row>
    <row r="22" spans="1:35" ht="14.85" customHeight="1">
      <c r="B22" s="941" t="s">
        <v>113</v>
      </c>
      <c r="C22" s="942"/>
      <c r="D22" s="944">
        <f t="shared" ref="D22:K22" si="25">AVERAGE(D10:D18)</f>
        <v>349.7861166666666</v>
      </c>
      <c r="E22" s="944">
        <f t="shared" si="25"/>
        <v>11.550082222222223</v>
      </c>
      <c r="F22" s="944">
        <f t="shared" si="25"/>
        <v>0</v>
      </c>
      <c r="G22" s="944">
        <f t="shared" si="25"/>
        <v>-1.1407499999999999E-2</v>
      </c>
      <c r="H22" s="944">
        <f t="shared" si="25"/>
        <v>11.545012222222223</v>
      </c>
      <c r="I22" s="944">
        <f t="shared" si="25"/>
        <v>361.33112888888883</v>
      </c>
      <c r="J22" s="944">
        <f t="shared" si="25"/>
        <v>70.157886666666684</v>
      </c>
      <c r="K22" s="944">
        <f t="shared" si="25"/>
        <v>291.17324222222226</v>
      </c>
      <c r="L22" s="942"/>
      <c r="M22" s="1046">
        <f>AVERAGE(M10:M18)</f>
        <v>0</v>
      </c>
      <c r="N22" s="944">
        <f>AVERAGE(N10:N18)</f>
        <v>3.5</v>
      </c>
      <c r="O22" s="1194">
        <f>AVERAGE(O10:O18)</f>
        <v>2.6400000000000003E-2</v>
      </c>
      <c r="P22" s="1195"/>
      <c r="Q22" s="1196">
        <f>AVERAGE(Q10:Q18)</f>
        <v>0.82077889927509873</v>
      </c>
      <c r="R22" s="1197"/>
      <c r="S22" s="1198">
        <f>AVERAGE(S10:S19)</f>
        <v>0.74838589505169339</v>
      </c>
      <c r="T22" s="1198">
        <f>AVERAGE(T10:T19)</f>
        <v>2.2474509250309436</v>
      </c>
      <c r="U22" s="1199">
        <f>AVERAGE(U10:U19)</f>
        <v>1.3695509360351903</v>
      </c>
      <c r="V22" s="1199">
        <f>AVERAGE(V10:V19)</f>
        <v>0.62945219413330089</v>
      </c>
      <c r="W22" s="1199">
        <f>AVERAGE(W10:W19)</f>
        <v>0.53763925690116821</v>
      </c>
      <c r="X22" s="944">
        <f>AVERAGE(X10:X18)</f>
        <v>253.04210353042015</v>
      </c>
      <c r="Y22" s="1200">
        <f>AVERAGE(Y10:Y18)</f>
        <v>0.77276712929049873</v>
      </c>
      <c r="AB22" s="1201">
        <f>Y23</f>
        <v>0.69646624513060806</v>
      </c>
      <c r="AC22" s="179" t="s">
        <v>1620</v>
      </c>
      <c r="AF22" s="1202"/>
    </row>
    <row r="23" spans="1:35" ht="14.85" customHeight="1">
      <c r="B23" s="941" t="s">
        <v>44</v>
      </c>
      <c r="C23" s="942"/>
      <c r="D23" s="944">
        <f t="shared" ref="D23:K23" si="26">MEDIAN(D10:D18)</f>
        <v>138.52769000000001</v>
      </c>
      <c r="E23" s="944">
        <f t="shared" si="26"/>
        <v>2.6891699999999998</v>
      </c>
      <c r="F23" s="944">
        <f t="shared" si="26"/>
        <v>0</v>
      </c>
      <c r="G23" s="944">
        <f t="shared" si="26"/>
        <v>0</v>
      </c>
      <c r="H23" s="944">
        <f t="shared" si="26"/>
        <v>2.6891699999999998</v>
      </c>
      <c r="I23" s="944">
        <f t="shared" si="26"/>
        <v>139.01160000000002</v>
      </c>
      <c r="J23" s="944">
        <f t="shared" si="26"/>
        <v>22.523</v>
      </c>
      <c r="K23" s="944">
        <f t="shared" si="26"/>
        <v>125.38888000000001</v>
      </c>
      <c r="L23" s="942"/>
      <c r="M23" s="1046">
        <f>MEDIAN(M10:M18)</f>
        <v>0</v>
      </c>
      <c r="N23" s="944">
        <f>MEDIAN(N10:N18)</f>
        <v>3.5</v>
      </c>
      <c r="O23" s="1194">
        <f>MEDIAN(O10:O18)</f>
        <v>2.64E-2</v>
      </c>
      <c r="P23" s="1195"/>
      <c r="Q23" s="1196">
        <f>MEDIAN(Q10:Q18)</f>
        <v>0.7169041230096167</v>
      </c>
      <c r="R23" s="1197"/>
      <c r="S23" s="1198">
        <f>MEDIAN(S10:S19)</f>
        <v>0.51395152158818769</v>
      </c>
      <c r="T23" s="1198">
        <f>MEDIAN(T10:T19)</f>
        <v>2.6063707262204154</v>
      </c>
      <c r="U23" s="1199">
        <f>MEDIAN(U10:U19)</f>
        <v>1.31766840327626</v>
      </c>
      <c r="V23" s="1199">
        <f>MEDIAN(V10:V19)</f>
        <v>0.99542463205239962</v>
      </c>
      <c r="W23" s="1199">
        <f>MEDIAN(W10:W19)</f>
        <v>0.90619266191759273</v>
      </c>
      <c r="X23" s="944">
        <f>MEDIAN(X10:X18)</f>
        <v>28.369175863081175</v>
      </c>
      <c r="Y23" s="1200">
        <f>MEDIAN(Y10:Y18)</f>
        <v>0.69646624513060806</v>
      </c>
      <c r="AB23" s="1203" t="str">
        <f>IF(ROUND(AB20,3)=ROUND(AB22,3),"","Update Volatility - OPM")</f>
        <v/>
      </c>
      <c r="AF23" s="339"/>
    </row>
    <row r="24" spans="1:35" ht="14.85" customHeight="1">
      <c r="B24" s="941" t="s">
        <v>114</v>
      </c>
      <c r="C24" s="942"/>
      <c r="D24" s="944">
        <f t="shared" ref="D24:K24" si="27">QUARTILE(D10:D18,1)</f>
        <v>74.033280000000005</v>
      </c>
      <c r="E24" s="944">
        <f t="shared" si="27"/>
        <v>0</v>
      </c>
      <c r="F24" s="944">
        <f t="shared" si="27"/>
        <v>0</v>
      </c>
      <c r="G24" s="944">
        <f t="shared" si="27"/>
        <v>-1.1407500000000001E-2</v>
      </c>
      <c r="H24" s="944">
        <f t="shared" si="27"/>
        <v>0</v>
      </c>
      <c r="I24" s="944">
        <f t="shared" si="27"/>
        <v>74.033280000000005</v>
      </c>
      <c r="J24" s="944">
        <f t="shared" si="27"/>
        <v>13.622719999999999</v>
      </c>
      <c r="K24" s="944">
        <f t="shared" si="27"/>
        <v>30.731609999999996</v>
      </c>
      <c r="L24" s="942"/>
      <c r="M24" s="1046">
        <f>QUARTILE(M10:M18,1)</f>
        <v>0</v>
      </c>
      <c r="N24" s="944">
        <f>QUARTILE(N10:N18,1)</f>
        <v>3.5</v>
      </c>
      <c r="O24" s="1194">
        <f>QUARTILE(O10:O18,1)</f>
        <v>2.64E-2</v>
      </c>
      <c r="P24" s="1195"/>
      <c r="Q24" s="1196">
        <f>QUARTILE(Q10:Q18,1)</f>
        <v>0.68884036657096237</v>
      </c>
      <c r="R24" s="1197"/>
      <c r="S24" s="1198">
        <f>QUARTILE(S10:S19,1)</f>
        <v>0.47450105061761783</v>
      </c>
      <c r="T24" s="1198">
        <f>QUARTILE(T10:T19,1)</f>
        <v>0</v>
      </c>
      <c r="U24" s="1199">
        <f>QUARTILE(U10:U19,1)</f>
        <v>0</v>
      </c>
      <c r="V24" s="1199">
        <f>QUARTILE(V10:V19,1)</f>
        <v>0</v>
      </c>
      <c r="W24" s="1199">
        <f>QUARTILE(W10:W19,1)</f>
        <v>0</v>
      </c>
      <c r="X24" s="944">
        <f>QUARTILE(X10:X18,1)</f>
        <v>0</v>
      </c>
      <c r="Y24" s="1200">
        <f>QUARTILE(Y10:Y18,1)</f>
        <v>0.63880986217108027</v>
      </c>
      <c r="AB24" s="1204" t="str">
        <f>IF(ROUND(AB21,3)=ROUND(AB22,3),"","Update Volatility - DLOM")</f>
        <v/>
      </c>
      <c r="AC24" s="264"/>
      <c r="AD24" s="264"/>
      <c r="AE24" s="264"/>
      <c r="AF24" s="701"/>
    </row>
    <row r="25" spans="1:35" ht="14.85" customHeight="1">
      <c r="B25" s="946" t="s">
        <v>112</v>
      </c>
      <c r="C25" s="663"/>
      <c r="D25" s="672">
        <f t="shared" ref="D25:K25" si="28">MIN(D10:D18)</f>
        <v>7.2796900000000004</v>
      </c>
      <c r="E25" s="672">
        <f t="shared" si="28"/>
        <v>0</v>
      </c>
      <c r="F25" s="672">
        <f t="shared" si="28"/>
        <v>0</v>
      </c>
      <c r="G25" s="672">
        <f t="shared" si="28"/>
        <v>-4.5629999999999997E-2</v>
      </c>
      <c r="H25" s="672">
        <f t="shared" si="28"/>
        <v>0</v>
      </c>
      <c r="I25" s="672">
        <f t="shared" si="28"/>
        <v>16.342660000000002</v>
      </c>
      <c r="J25" s="672">
        <f t="shared" si="28"/>
        <v>9.1175599999999992</v>
      </c>
      <c r="K25" s="672">
        <f t="shared" si="28"/>
        <v>3.072160000000002</v>
      </c>
      <c r="L25" s="663"/>
      <c r="M25" s="1048">
        <f>MIN(M10:M18)</f>
        <v>0</v>
      </c>
      <c r="N25" s="672">
        <f>MIN(N10:N18)</f>
        <v>3.5</v>
      </c>
      <c r="O25" s="1205">
        <f>MIN(O10:O18)</f>
        <v>2.64E-2</v>
      </c>
      <c r="P25" s="1206"/>
      <c r="Q25" s="1207">
        <f>MIN(Q10:Q18)</f>
        <v>0.3917886476836604</v>
      </c>
      <c r="R25" s="1208"/>
      <c r="S25" s="1209">
        <f>MIN(S10:S19)</f>
        <v>0.15349834445379137</v>
      </c>
      <c r="T25" s="1209">
        <f>MIN(T10:T19)</f>
        <v>0</v>
      </c>
      <c r="U25" s="1210">
        <f>MIN(U10:U19)</f>
        <v>-1.477371971015538</v>
      </c>
      <c r="V25" s="1210">
        <f>MIN(V10:V19)</f>
        <v>0</v>
      </c>
      <c r="W25" s="1210">
        <f>MIN(W10:W19)</f>
        <v>0</v>
      </c>
      <c r="X25" s="672">
        <f>MIN(X10:X18)</f>
        <v>0</v>
      </c>
      <c r="Y25" s="1211">
        <f>MIN(Y10:Y18)</f>
        <v>0.39041007835600156</v>
      </c>
    </row>
    <row r="26" spans="1:35" ht="14.85" customHeight="1">
      <c r="AB26" s="865" t="str">
        <f>IF(AND(AB23=$AF$24,AB24=$AF$24),"","Check")</f>
        <v/>
      </c>
    </row>
    <row r="27" spans="1:35" ht="14.85" hidden="1" customHeight="1" outlineLevel="1">
      <c r="B27" s="1212" t="str">
        <f>B2</f>
        <v>Decibel Therapeutics, Inc.</v>
      </c>
      <c r="C27" s="1213" t="s">
        <v>260</v>
      </c>
      <c r="D27" s="1866">
        <f>'Hybrid OPM'!C47/1000</f>
        <v>167</v>
      </c>
      <c r="E27" s="1866">
        <f>-'Hist BS'!$G$71</f>
        <v>0</v>
      </c>
      <c r="F27" s="1214"/>
      <c r="G27" s="1214"/>
      <c r="H27" s="1216">
        <f>SUM(E27:G27)</f>
        <v>0</v>
      </c>
      <c r="I27" s="1216">
        <f>SUM(D27:G27)</f>
        <v>167</v>
      </c>
      <c r="J27" s="1214"/>
      <c r="K27" s="1225">
        <f>I27-J27</f>
        <v>167</v>
      </c>
      <c r="L27" s="1214"/>
      <c r="M27" s="1217">
        <f>'DLOM Hybrid'!G17</f>
        <v>0</v>
      </c>
      <c r="N27" s="1218">
        <f>N$6</f>
        <v>3.5</v>
      </c>
      <c r="O27" s="1219">
        <f>O$6</f>
        <v>2.64E-2</v>
      </c>
      <c r="P27" s="1220"/>
      <c r="Q27" s="1221">
        <v>0.69599999999999995</v>
      </c>
      <c r="R27" s="1214"/>
      <c r="S27" s="1222">
        <f>IF(Q27="n/a","n/a",Q27^2)</f>
        <v>0.48441599999999996</v>
      </c>
      <c r="T27" s="1222">
        <f>IF(OR(K27="n/a",S27="n/a"),"n/a",IF(H27=0,0,IF(M27=0,(LN(K27/H27)+((O27+(S27/2))*N27))/((S27*N27)^0.5),(LN(K27/H27)+((O27-M27+(S27/2))*N27))/((S27*N27)^0.5))))</f>
        <v>0</v>
      </c>
      <c r="U27" s="1223">
        <f>IF(T27="n/a","n/a",IF(H27=0,0,T27-(S27*N27)^0.5))</f>
        <v>0</v>
      </c>
      <c r="V27" s="1223">
        <f>IF(OR(T27="n/a",S27="n/a"),"n/a",IF(H27=0,0,NORMSDIST(T27)))</f>
        <v>0</v>
      </c>
      <c r="W27" s="1223">
        <f>IF(OR(U27="n/a",S27="n/a"),"n/a",IF(H27=0,0,NORMSDIST(U27)))</f>
        <v>0</v>
      </c>
      <c r="X27" s="1223">
        <f>IF(OR(K27="n/a",S27="n/a"),"n/a",IF(M27=0,(K27*V27)-((H27*EXP(1)^(-O27*N27))*W27),(K27*(2.718^(-M27*N27))*V27)-(H27*(2.718^(-O27*N27))*W27)))</f>
        <v>0</v>
      </c>
      <c r="Y27" s="1224">
        <f>IF(LEN(B27)&gt;0,IF(H27=0,Q27,IF(ISERROR(Q27/((K27/X27)*V27)),"n/a",Q27/((K27/X27)*V27))))</f>
        <v>0.69599999999999995</v>
      </c>
    </row>
    <row r="28" spans="1:35" ht="14.85" hidden="1" customHeight="1" outlineLevel="1"/>
    <row r="29" spans="1:35" ht="14.85" customHeight="1" collapsed="1">
      <c r="B29" s="1212" t="str">
        <f>B27</f>
        <v>Decibel Therapeutics, Inc.</v>
      </c>
      <c r="C29" s="1213" t="s">
        <v>260</v>
      </c>
      <c r="D29" s="1866">
        <f>D27-E29</f>
        <v>71.926241728313244</v>
      </c>
      <c r="E29" s="1867">
        <f>E27+SUM('OPM 1 Hybrid'!D64:E64)/1000</f>
        <v>95.073758271686756</v>
      </c>
      <c r="F29" s="1214"/>
      <c r="G29" s="1214"/>
      <c r="H29" s="1216">
        <f>SUM(E29:G29)</f>
        <v>95.073758271686756</v>
      </c>
      <c r="I29" s="1216">
        <f>SUM(D29:G29)</f>
        <v>167</v>
      </c>
      <c r="J29" s="1214"/>
      <c r="K29" s="1225">
        <f>I29-J29</f>
        <v>167</v>
      </c>
      <c r="L29" s="1214"/>
      <c r="M29" s="1226">
        <f>M27</f>
        <v>0</v>
      </c>
      <c r="N29" s="1218">
        <f>N$6</f>
        <v>3.5</v>
      </c>
      <c r="O29" s="1219">
        <f>O$6</f>
        <v>2.64E-2</v>
      </c>
      <c r="P29" s="1220"/>
      <c r="Q29" s="1221">
        <v>0.86884448617108778</v>
      </c>
      <c r="R29" s="1214"/>
      <c r="S29" s="1222">
        <f>IF(Q29="n/a","n/a",Q29^2)</f>
        <v>0.75489074114990151</v>
      </c>
      <c r="T29" s="1222">
        <f>IF(OR(K29="n/a",S29="n/a"),"n/a",IF(H29=0,0,IF(M29=0,(LN(K29/H29)+((O29+(S29/2))*N29))/((S29*N29)^0.5),(LN(K29/H29)+((O29-M29+(S29/2))*N29))/((S29*N29)^0.5))))</f>
        <v>1.2161484105618898</v>
      </c>
      <c r="U29" s="1223">
        <f>IF(T29="n/a","n/a",IF(H29=0,0,T29-(S29*N29)^0.5))</f>
        <v>-0.40931078425804013</v>
      </c>
      <c r="V29" s="1223">
        <f>IF(OR(T29="n/a",S29="n/a"),"n/a",IF(H29=0,0,NORMSDIST(T29)))</f>
        <v>0.88803580403558768</v>
      </c>
      <c r="W29" s="1223">
        <f>IF(OR(U29="n/a",S29="n/a"),"n/a",IF(H29=0,0,NORMSDIST(U29)))</f>
        <v>0.34115580116802668</v>
      </c>
      <c r="X29" s="1223">
        <f>IF(OR(K29="n/a",S29="n/a"),"n/a",IF(M29=0,(K29*V29)-((H29*EXP(1)^(-O29*N29))*W29),(K29*(2.718^(-M29*N29))*V29)-(H29*(2.718^(-O29*N29))*W29)))</f>
        <v>118.72971269895397</v>
      </c>
      <c r="Y29" s="1224">
        <f>IF(LEN(B29)&gt;0,IF(H29=0,Q29,IF(ISERROR(Q29/((K29/X29)*V29)),"n/a",Q29/((K29/X29)*V29))))</f>
        <v>0.69559190462732057</v>
      </c>
    </row>
    <row r="30" spans="1:35" ht="14.85" customHeight="1"/>
    <row r="31" spans="1:35" ht="14.85" customHeight="1">
      <c r="B31" s="272" t="s">
        <v>86</v>
      </c>
    </row>
    <row r="32" spans="1:35" ht="14.85" customHeight="1">
      <c r="A32" s="273" t="s">
        <v>261</v>
      </c>
      <c r="B32" s="202" t="s">
        <v>3230</v>
      </c>
    </row>
    <row r="33" spans="1:26" s="275" customFormat="1" ht="14.85" hidden="1" customHeight="1" outlineLevel="1">
      <c r="A33" s="273" t="s">
        <v>260</v>
      </c>
      <c r="B33" s="202" t="s">
        <v>961</v>
      </c>
      <c r="C33" s="179"/>
      <c r="D33" s="179"/>
      <c r="E33" s="179"/>
      <c r="F33" s="179"/>
      <c r="G33" s="179"/>
      <c r="H33" s="179"/>
      <c r="I33" s="179"/>
      <c r="J33" s="179"/>
      <c r="K33" s="179"/>
      <c r="L33" s="179"/>
      <c r="M33" s="179"/>
      <c r="N33" s="179"/>
      <c r="O33" s="179"/>
      <c r="P33" s="549"/>
      <c r="Q33" s="179"/>
      <c r="R33" s="179"/>
      <c r="S33" s="179"/>
      <c r="T33" s="179"/>
      <c r="U33" s="179"/>
      <c r="V33" s="179"/>
      <c r="W33" s="179"/>
      <c r="X33" s="179"/>
      <c r="Y33" s="179"/>
      <c r="Z33" s="179"/>
    </row>
    <row r="34" spans="1:26" s="275" customFormat="1" ht="14.85" customHeight="1" collapsed="1">
      <c r="A34" s="273" t="s">
        <v>260</v>
      </c>
      <c r="B34" s="202" t="s">
        <v>3818</v>
      </c>
      <c r="C34" s="179"/>
      <c r="D34" s="179"/>
      <c r="E34" s="179"/>
      <c r="F34" s="179"/>
      <c r="G34" s="179"/>
      <c r="H34" s="179"/>
      <c r="I34" s="179"/>
      <c r="J34" s="179"/>
      <c r="K34" s="179"/>
      <c r="L34" s="179"/>
      <c r="M34" s="179"/>
      <c r="N34" s="179"/>
      <c r="O34" s="179"/>
      <c r="P34" s="549"/>
      <c r="Q34" s="179"/>
      <c r="R34" s="179"/>
      <c r="S34" s="179"/>
      <c r="T34" s="179"/>
      <c r="U34" s="179"/>
      <c r="V34" s="179"/>
      <c r="W34" s="179"/>
      <c r="X34" s="179"/>
      <c r="Y34" s="179"/>
      <c r="Z34" s="179"/>
    </row>
    <row r="35" spans="1:26" ht="14.85" customHeight="1"/>
    <row r="36" spans="1:26" ht="14.85" customHeight="1">
      <c r="B36" s="272" t="s">
        <v>116</v>
      </c>
    </row>
    <row r="37" spans="1:26" ht="14.85" customHeight="1"/>
    <row r="38" spans="1:26" ht="14.85" customHeight="1">
      <c r="B38" s="179" t="s">
        <v>1650</v>
      </c>
    </row>
    <row r="39" spans="1:26" ht="14.85" customHeight="1">
      <c r="B39" s="179" t="s">
        <v>1651</v>
      </c>
    </row>
    <row r="40" spans="1:26" ht="14.85" customHeight="1">
      <c r="B40" s="179" t="s">
        <v>1652</v>
      </c>
    </row>
    <row r="41" spans="1:26" ht="14.85" customHeight="1">
      <c r="B41" s="179" t="s">
        <v>1653</v>
      </c>
    </row>
    <row r="42" spans="1:26" ht="14.85" customHeight="1">
      <c r="B42" s="179" t="s">
        <v>1654</v>
      </c>
    </row>
    <row r="43" spans="1:26" ht="14.85" customHeight="1">
      <c r="B43" s="179" t="s">
        <v>1655</v>
      </c>
    </row>
    <row r="44" spans="1:26" ht="14.85" customHeight="1">
      <c r="B44" s="179" t="s">
        <v>1656</v>
      </c>
    </row>
    <row r="45" spans="1:26" ht="14.85" customHeight="1"/>
    <row r="46" spans="1:26" ht="14.85" customHeight="1">
      <c r="B46" s="179" t="s">
        <v>1657</v>
      </c>
    </row>
    <row r="47" spans="1:26" ht="14.85" customHeight="1">
      <c r="B47" s="179" t="s">
        <v>1658</v>
      </c>
    </row>
    <row r="48" spans="1:26" ht="14.85" customHeight="1">
      <c r="B48" s="179" t="s">
        <v>1659</v>
      </c>
    </row>
    <row r="49" spans="2:2" ht="14.85" customHeight="1">
      <c r="B49" s="179" t="s">
        <v>1660</v>
      </c>
    </row>
    <row r="50" spans="2:2" ht="14.85" customHeight="1">
      <c r="B50" s="179" t="s">
        <v>1661</v>
      </c>
    </row>
    <row r="51" spans="2:2" ht="14.85" customHeight="1">
      <c r="B51" s="179" t="s">
        <v>1662</v>
      </c>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sheetData>
  <conditionalFormatting sqref="B10:B18">
    <cfRule type="cellIs" dxfId="241" priority="8" operator="equal">
      <formula>"(Invalid Identifier)"</formula>
    </cfRule>
  </conditionalFormatting>
  <conditionalFormatting sqref="B4:I4">
    <cfRule type="cellIs" dxfId="240" priority="7" stopIfTrue="1" operator="equal">
      <formula>"input"</formula>
    </cfRule>
  </conditionalFormatting>
  <conditionalFormatting sqref="J4">
    <cfRule type="cellIs" dxfId="239" priority="5" stopIfTrue="1" operator="equal">
      <formula>"input"</formula>
    </cfRule>
  </conditionalFormatting>
  <conditionalFormatting sqref="J4">
    <cfRule type="cellIs" dxfId="238" priority="6" stopIfTrue="1" operator="equal">
      <formula>"input"</formula>
    </cfRule>
  </conditionalFormatting>
  <conditionalFormatting sqref="K4:X4">
    <cfRule type="cellIs" dxfId="237" priority="3" stopIfTrue="1" operator="equal">
      <formula>"input"</formula>
    </cfRule>
  </conditionalFormatting>
  <conditionalFormatting sqref="K4:X4">
    <cfRule type="cellIs" dxfId="236" priority="4" stopIfTrue="1" operator="equal">
      <formula>"input"</formula>
    </cfRule>
  </conditionalFormatting>
  <conditionalFormatting sqref="Y4">
    <cfRule type="cellIs" dxfId="235" priority="1" stopIfTrue="1" operator="equal">
      <formula>"input"</formula>
    </cfRule>
  </conditionalFormatting>
  <conditionalFormatting sqref="Y4">
    <cfRule type="cellIs" dxfId="234" priority="2" stopIfTrue="1" operator="equal">
      <formula>"input"</formula>
    </cfRule>
  </conditionalFormatting>
  <pageMargins left="0.5" right="0.5" top="0.5" bottom="0.5" header="0.5" footer="0.5"/>
  <pageSetup scale="75" fitToWidth="0" fitToHeight="0" orientation="landscape" r:id="rId1"/>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75"/>
  <dimension ref="A1:AI743"/>
  <sheetViews>
    <sheetView showGridLines="0" view="pageBreakPreview" topLeftCell="A7" zoomScale="80" zoomScaleNormal="100" zoomScaleSheetLayoutView="80" workbookViewId="0">
      <selection activeCell="A7" sqref="A1:Z1048576"/>
    </sheetView>
  </sheetViews>
  <sheetFormatPr defaultRowHeight="12.75" outlineLevelRow="1" outlineLevelCol="1"/>
  <cols>
    <col min="1" max="1" width="4.5" style="179" customWidth="1"/>
    <col min="2" max="2" width="39.6640625" style="179" customWidth="1"/>
    <col min="3" max="3" width="2.83203125" style="179" customWidth="1"/>
    <col min="4" max="4" width="13.1640625" style="179" customWidth="1"/>
    <col min="5" max="5" width="10.83203125" style="179" hidden="1" customWidth="1" outlineLevel="1"/>
    <col min="6" max="7" width="9.83203125" style="179" hidden="1" customWidth="1" outlineLevel="1"/>
    <col min="8" max="8" width="12.83203125" style="179" customWidth="1" collapsed="1"/>
    <col min="9" max="11" width="12.83203125" style="179" customWidth="1"/>
    <col min="12" max="12" width="2.83203125" style="179" customWidth="1"/>
    <col min="13" max="14" width="12" style="179" customWidth="1"/>
    <col min="15" max="15" width="12.83203125" style="179" customWidth="1"/>
    <col min="16" max="16" width="2.83203125" style="549" customWidth="1"/>
    <col min="17" max="17" width="11.5" style="179" customWidth="1"/>
    <col min="18" max="18" width="2.83203125" style="179" customWidth="1"/>
    <col min="19" max="19" width="11.6640625" style="179" hidden="1" customWidth="1" outlineLevel="1"/>
    <col min="20" max="23" width="8.83203125" style="179" hidden="1" customWidth="1" outlineLevel="1"/>
    <col min="24" max="24" width="13.33203125" style="179" customWidth="1" collapsed="1"/>
    <col min="25" max="25" width="13.33203125" style="179" customWidth="1"/>
    <col min="26" max="26" width="4.5" style="179" customWidth="1"/>
    <col min="27" max="27" width="17.5" style="179" bestFit="1" customWidth="1"/>
    <col min="28" max="28" width="14.33203125" style="179" bestFit="1" customWidth="1"/>
    <col min="29" max="29" width="9.6640625" style="179" bestFit="1" customWidth="1"/>
    <col min="30" max="30" width="10.1640625" style="179" bestFit="1" customWidth="1"/>
    <col min="31" max="16384" width="9.33203125" style="179"/>
  </cols>
  <sheetData>
    <row r="1" spans="2:35" ht="10.7" customHeight="1" thickBot="1">
      <c r="P1" s="179"/>
    </row>
    <row r="2" spans="2:35"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AA2" s="909" t="s">
        <v>87</v>
      </c>
      <c r="AB2" s="910">
        <f>+'Comp.1'!$AL$2</f>
        <v>43245</v>
      </c>
    </row>
    <row r="3" spans="2:35" ht="15.75" customHeight="1">
      <c r="B3" s="188" t="str">
        <f>VLOOKUP(B4,Outline!$E$8:$G$75,COLUMNS(Outline!$E$8:$G$8),FALSE)</f>
        <v>Workpaper #9</v>
      </c>
      <c r="C3" s="188"/>
      <c r="D3" s="188"/>
      <c r="E3" s="188"/>
      <c r="F3" s="188"/>
      <c r="G3" s="188"/>
      <c r="H3" s="188"/>
      <c r="I3" s="188"/>
      <c r="J3" s="188"/>
      <c r="K3" s="188"/>
      <c r="L3" s="188"/>
      <c r="M3" s="188"/>
      <c r="N3" s="188"/>
      <c r="O3" s="188"/>
      <c r="P3" s="188"/>
      <c r="Q3" s="188"/>
      <c r="R3" s="188"/>
      <c r="S3" s="188"/>
      <c r="T3" s="188"/>
      <c r="U3" s="188"/>
      <c r="V3" s="188"/>
      <c r="W3" s="188"/>
      <c r="X3" s="188"/>
      <c r="Y3" s="188"/>
      <c r="AA3" s="911" t="s">
        <v>462</v>
      </c>
      <c r="AB3" s="912" t="str">
        <f>+'Comp.1'!$AL$3</f>
        <v>F</v>
      </c>
    </row>
    <row r="4" spans="2:35" ht="16.5" customHeight="1" thickBot="1">
      <c r="B4" s="726" t="str">
        <f>"Asset Volatility - "&amp;TEXT('DLOM Hybrid'!E13,"")</f>
        <v>Asset Volatility - IPO Early</v>
      </c>
      <c r="C4" s="726"/>
      <c r="D4" s="726"/>
      <c r="E4" s="726"/>
      <c r="F4" s="726"/>
      <c r="G4" s="726"/>
      <c r="H4" s="726"/>
      <c r="I4" s="726"/>
      <c r="J4" s="727"/>
      <c r="K4" s="727"/>
      <c r="L4" s="727"/>
      <c r="M4" s="727"/>
      <c r="N4" s="727"/>
      <c r="O4" s="727"/>
      <c r="P4" s="727"/>
      <c r="Q4" s="727"/>
      <c r="R4" s="727"/>
      <c r="S4" s="727"/>
      <c r="T4" s="727"/>
      <c r="U4" s="727"/>
      <c r="V4" s="727"/>
      <c r="W4" s="727"/>
      <c r="X4" s="727"/>
      <c r="Y4" s="727" t="str">
        <f>+'MASTER PubCo Inputs'!$C$24</f>
        <v>(in millions of USD)</v>
      </c>
      <c r="AA4" s="911" t="s">
        <v>463</v>
      </c>
      <c r="AB4" s="912" t="str">
        <f>+'Comp.1'!$AL$4</f>
        <v>USD</v>
      </c>
    </row>
    <row r="5" spans="2:35" ht="14.85" customHeight="1" thickTop="1">
      <c r="B5" s="549"/>
      <c r="AA5" s="378" t="s">
        <v>89</v>
      </c>
      <c r="AB5" s="913" t="str">
        <f>+'Comp.1'!$AL$5</f>
        <v>H</v>
      </c>
    </row>
    <row r="6" spans="2:35" ht="14.85" customHeight="1" outlineLevel="1">
      <c r="N6" s="551">
        <f>'DLOM Hybrid'!E15</f>
        <v>1.6027397260273972</v>
      </c>
      <c r="O6" s="554">
        <f>'Risk-Free Rates_Hybrid'!E35</f>
        <v>2.6484383561643836E-2</v>
      </c>
      <c r="Q6" s="263">
        <f>HLOOKUP(ROUND(N6,0),'Equity Vol'!$D$8:$K$8,1,TRUE)</f>
        <v>2</v>
      </c>
    </row>
    <row r="7" spans="2:35" ht="14.85" customHeight="1">
      <c r="D7" s="1169" t="s">
        <v>91</v>
      </c>
      <c r="E7" s="1170"/>
      <c r="F7" s="1170"/>
      <c r="G7" s="1170"/>
      <c r="H7" s="1170"/>
      <c r="I7" s="1170"/>
      <c r="J7" s="1170"/>
      <c r="K7" s="1171"/>
      <c r="M7" s="1169" t="s">
        <v>92</v>
      </c>
      <c r="N7" s="1170"/>
      <c r="O7" s="1170"/>
      <c r="P7" s="1172"/>
      <c r="Q7" s="1171"/>
      <c r="S7" s="1169" t="s">
        <v>93</v>
      </c>
      <c r="T7" s="1170"/>
      <c r="U7" s="1170"/>
      <c r="V7" s="1170"/>
      <c r="W7" s="1170"/>
      <c r="X7" s="1173" t="s">
        <v>93</v>
      </c>
      <c r="Y7" s="1174"/>
    </row>
    <row r="8" spans="2:35" s="200" customFormat="1" ht="39.950000000000003" customHeight="1">
      <c r="B8" s="1175" t="s">
        <v>733</v>
      </c>
      <c r="D8" s="1176" t="s">
        <v>94</v>
      </c>
      <c r="E8" s="1177" t="s">
        <v>95</v>
      </c>
      <c r="F8" s="1177" t="s">
        <v>96</v>
      </c>
      <c r="G8" s="1177" t="s">
        <v>97</v>
      </c>
      <c r="H8" s="1177" t="s">
        <v>98</v>
      </c>
      <c r="I8" s="1177" t="s">
        <v>99</v>
      </c>
      <c r="J8" s="1177" t="s">
        <v>100</v>
      </c>
      <c r="K8" s="1178" t="s">
        <v>101</v>
      </c>
      <c r="L8" s="265"/>
      <c r="M8" s="1176" t="s">
        <v>73</v>
      </c>
      <c r="N8" s="1177" t="s">
        <v>102</v>
      </c>
      <c r="O8" s="1178" t="s">
        <v>72</v>
      </c>
      <c r="P8" s="1016"/>
      <c r="Q8" s="1179" t="s">
        <v>103</v>
      </c>
      <c r="R8" s="1016"/>
      <c r="S8" s="1176" t="s">
        <v>104</v>
      </c>
      <c r="T8" s="1177" t="s">
        <v>84</v>
      </c>
      <c r="U8" s="1177" t="s">
        <v>85</v>
      </c>
      <c r="V8" s="1177" t="s">
        <v>105</v>
      </c>
      <c r="W8" s="1177" t="s">
        <v>106</v>
      </c>
      <c r="X8" s="1017" t="s">
        <v>107</v>
      </c>
      <c r="Y8" s="1178" t="s">
        <v>3229</v>
      </c>
      <c r="AA8" s="562" t="s">
        <v>108</v>
      </c>
      <c r="AB8" s="454" t="s">
        <v>109</v>
      </c>
      <c r="AC8" s="454" t="s">
        <v>110</v>
      </c>
      <c r="AD8" s="1180"/>
    </row>
    <row r="9" spans="2:35" ht="14.85" customHeight="1"/>
    <row r="10" spans="2:35" ht="14.85" customHeight="1">
      <c r="B10" s="179" t="str">
        <f>'Comp.1'!B12</f>
        <v>Editas Medicine, Inc.</v>
      </c>
      <c r="D10" s="255">
        <f>IF($B10="(Invalid Identifier)","",'Beta Calc'!K10)</f>
        <v>1705.3104800000001</v>
      </c>
      <c r="E10" s="255">
        <f>IF($B10="(Invalid Identifier)","",'Beta Calc'!L10)</f>
        <v>33.19</v>
      </c>
      <c r="F10" s="255" t="str">
        <f>IF($B10="(Invalid Identifier)","",'Beta Calc'!M10)</f>
        <v>n/a</v>
      </c>
      <c r="G10" s="255" t="str">
        <f>IF($B10="(Invalid Identifier)","",'Beta Calc'!N10)</f>
        <v>n/a</v>
      </c>
      <c r="H10" s="255">
        <f t="shared" ref="H10:H14" si="0">SUM(E10:G10)</f>
        <v>33.19</v>
      </c>
      <c r="I10" s="255">
        <f t="shared" ref="I10:I14" si="1">SUM(D10:G10)</f>
        <v>1738.5004800000002</v>
      </c>
      <c r="J10" s="255">
        <f>IF($B10="(Invalid Identifier)","",'Beta Calc'!Q10)</f>
        <v>358.82100000000003</v>
      </c>
      <c r="K10" s="576">
        <f t="shared" ref="K10:K14" si="2">IFERROR(I10-J10,"n/a")</f>
        <v>1379.6794800000002</v>
      </c>
      <c r="M10" s="384">
        <f>IFERROR('Capital IQ Sheet-GPC'!AT13,"n/a")</f>
        <v>0</v>
      </c>
      <c r="N10" s="255">
        <f t="shared" ref="N10:O18" si="3">N$6</f>
        <v>1.6027397260273972</v>
      </c>
      <c r="O10" s="1181">
        <f t="shared" si="3"/>
        <v>2.6484383561643836E-2</v>
      </c>
      <c r="P10" s="1162"/>
      <c r="Q10" s="1182">
        <f>IFERROR(HLOOKUP($Q$6,'Equity Vol'!$B$8:$K10,ROWS('Equity Vol'!$C$8:$C10),FALSE),"n/a")</f>
        <v>0.69214889061457208</v>
      </c>
      <c r="R10" s="303"/>
      <c r="S10" s="1183">
        <f t="shared" ref="S10:S14" si="4">IFERROR(IF(Q10="n/a","n/a",Q10^2),"n/a")</f>
        <v>0.47907008677898288</v>
      </c>
      <c r="T10" s="1183">
        <f t="shared" ref="T10:T14" si="5">IF(OR(K10="n/a",S10="n/a"),"n/a",IF(H10=0,0,IF(M10=0,(LN(K10/H10)+((O10+(S10/2))*N10))/((S10*N10)^0.5),(LN(K10/H10)+((O10-M10+(S10/2))*N10))/((S10*N10)^0.5))))</f>
        <v>4.7403014027684227</v>
      </c>
      <c r="U10" s="1184">
        <f t="shared" ref="U10:U14" si="6">IF(T10="n/a","n/a",IF(H10=0,0,T10-(S10*N10)^0.5))</f>
        <v>3.8640453559236274</v>
      </c>
      <c r="V10" s="1184">
        <f t="shared" ref="V10:V14" si="7">IF(OR(T10="n/a",S10="n/a"),"n/a",IF(H10=0,0,NORMSDIST(T10)))</f>
        <v>0.99999893299734155</v>
      </c>
      <c r="W10" s="1184">
        <f t="shared" ref="W10:W14" si="8">IF(OR(U10="n/a",S10="n/a"),"n/a",IF(H10=0,0,NORMSDIST(U10)))</f>
        <v>0.99994423775022256</v>
      </c>
      <c r="X10" s="576">
        <f t="shared" ref="X10:X14" si="9">IFERROR(IF(OR(K10="n/a",S10="n/a"),"n/a",IF(M10=0,(K10*V10)-((H10*EXP(1)^(-O10*N10))*W10),(K10*(2.718^(-M10*N10))*V10)-(H10*(2.718^(-O10*N10))*W10))),"n/a")</f>
        <v>1347.8691344886477</v>
      </c>
      <c r="Y10" s="1182">
        <f t="shared" ref="Y10:Y14" si="10">IFERROR(IF(LEN(B10)&gt;0,IF(H10=0,Q10,IF(ISERROR(Q10/((K10/X10)*V10)),"n/a",Q10/((K10/X10)*V10)))),"n/a")</f>
        <v>0.67619119881790202</v>
      </c>
      <c r="AA10" s="932" t="str">
        <f>IF('MASTER PubCo Inputs'!B28=0,"",'MASTER PubCo Inputs'!B28)</f>
        <v>NasdaqGS:EDIT</v>
      </c>
      <c r="AB10" s="255">
        <f>IF($B10="(Invalid Identifier)","",'Beta Calc'!Z10)</f>
        <v>1379.67948</v>
      </c>
      <c r="AC10" s="933">
        <f t="shared" ref="AC10:AC14" si="11">IF($B10="(Invalid Identifier)","",K10-AB10)</f>
        <v>2.2737367544323206E-13</v>
      </c>
      <c r="AI10" s="934"/>
    </row>
    <row r="11" spans="2:35" ht="14.85" customHeight="1">
      <c r="B11" s="179" t="str">
        <f>'Comp.1'!B13</f>
        <v>Oxford BioMedica plc</v>
      </c>
      <c r="D11" s="255">
        <f>IF($B11="(Invalid Identifier)","",'Beta Calc'!K11)</f>
        <v>655.68985999999995</v>
      </c>
      <c r="E11" s="255">
        <f>IF($B11="(Invalid Identifier)","",'Beta Calc'!L11)</f>
        <v>49.826320000000003</v>
      </c>
      <c r="F11" s="255" t="str">
        <f>IF($B11="(Invalid Identifier)","",'Beta Calc'!M11)</f>
        <v>n/a</v>
      </c>
      <c r="G11" s="255" t="str">
        <f>IF($B11="(Invalid Identifier)","",'Beta Calc'!N11)</f>
        <v>n/a</v>
      </c>
      <c r="H11" s="255">
        <f t="shared" si="0"/>
        <v>49.826320000000003</v>
      </c>
      <c r="I11" s="255">
        <f t="shared" si="1"/>
        <v>705.51617999999996</v>
      </c>
      <c r="J11" s="255">
        <f>IF($B11="(Invalid Identifier)","",'Beta Calc'!Q11)</f>
        <v>19.367439999999998</v>
      </c>
      <c r="K11" s="576">
        <f t="shared" si="2"/>
        <v>686.14873999999998</v>
      </c>
      <c r="M11" s="384">
        <f>IFERROR('Capital IQ Sheet-GPC'!AT14,"n/a")</f>
        <v>0</v>
      </c>
      <c r="N11" s="255">
        <f t="shared" si="3"/>
        <v>1.6027397260273972</v>
      </c>
      <c r="O11" s="1181">
        <f t="shared" si="3"/>
        <v>2.6484383561643836E-2</v>
      </c>
      <c r="P11" s="1162"/>
      <c r="Q11" s="1182">
        <f>IFERROR(HLOOKUP($Q$6,'Equity Vol'!$B$8:$K11,ROWS('Equity Vol'!$C$8:$C11),FALSE),"n/a")</f>
        <v>0.57607610452320634</v>
      </c>
      <c r="R11" s="303"/>
      <c r="S11" s="1183">
        <f t="shared" si="4"/>
        <v>0.33186367820263218</v>
      </c>
      <c r="T11" s="1183">
        <f t="shared" si="5"/>
        <v>4.0187980894177366</v>
      </c>
      <c r="U11" s="1184">
        <f t="shared" si="6"/>
        <v>3.2894894437258522</v>
      </c>
      <c r="V11" s="1184">
        <f t="shared" si="7"/>
        <v>0.99997075211471731</v>
      </c>
      <c r="W11" s="1184">
        <f t="shared" si="8"/>
        <v>0.99949815339287773</v>
      </c>
      <c r="X11" s="576">
        <f t="shared" si="9"/>
        <v>638.39706396833742</v>
      </c>
      <c r="Y11" s="1182">
        <f t="shared" si="10"/>
        <v>0.53600047479743884</v>
      </c>
      <c r="AA11" s="932" t="str">
        <f>IF('MASTER PubCo Inputs'!B29=0,"",'MASTER PubCo Inputs'!B29)</f>
        <v>LSE:OXB</v>
      </c>
      <c r="AB11" s="255">
        <f>IF($B11="(Invalid Identifier)","",'Beta Calc'!Z11)</f>
        <v>685.68294000000003</v>
      </c>
      <c r="AC11" s="933">
        <f t="shared" si="11"/>
        <v>0.4657999999999447</v>
      </c>
      <c r="AI11" s="934"/>
    </row>
    <row r="12" spans="2:35" ht="14.85" customHeight="1">
      <c r="B12" s="179" t="str">
        <f>'Comp.1'!B14</f>
        <v>Fennec Pharmaceuticals Inc.</v>
      </c>
      <c r="D12" s="255">
        <f>IF($B12="(Invalid Identifier)","",'Beta Calc'!K12)</f>
        <v>205.66506000000001</v>
      </c>
      <c r="E12" s="255">
        <f>IF($B12="(Invalid Identifier)","",'Beta Calc'!L12)</f>
        <v>0</v>
      </c>
      <c r="F12" s="255" t="str">
        <f>IF($B12="(Invalid Identifier)","",'Beta Calc'!M12)</f>
        <v>n/a</v>
      </c>
      <c r="G12" s="255" t="str">
        <f>IF($B12="(Invalid Identifier)","",'Beta Calc'!N12)</f>
        <v>n/a</v>
      </c>
      <c r="H12" s="255">
        <f t="shared" si="0"/>
        <v>0</v>
      </c>
      <c r="I12" s="255">
        <f t="shared" si="1"/>
        <v>205.66506000000001</v>
      </c>
      <c r="J12" s="255">
        <f>IF($B12="(Invalid Identifier)","",'Beta Calc'!Q12)</f>
        <v>26.719000000000001</v>
      </c>
      <c r="K12" s="576">
        <f t="shared" si="2"/>
        <v>178.94606000000002</v>
      </c>
      <c r="M12" s="384">
        <f>IFERROR('Capital IQ Sheet-GPC'!AT15,"n/a")</f>
        <v>0</v>
      </c>
      <c r="N12" s="255">
        <f t="shared" si="3"/>
        <v>1.6027397260273972</v>
      </c>
      <c r="O12" s="1181">
        <f t="shared" si="3"/>
        <v>2.6484383561643836E-2</v>
      </c>
      <c r="P12" s="1162"/>
      <c r="Q12" s="1182">
        <f>IFERROR(HLOOKUP($Q$6,'Equity Vol'!$B$8:$K12,ROWS('Equity Vol'!$C$8:$C12),FALSE),"n/a")</f>
        <v>0.79865401640422862</v>
      </c>
      <c r="R12" s="303"/>
      <c r="S12" s="1183">
        <f t="shared" si="4"/>
        <v>0.6378482379186059</v>
      </c>
      <c r="T12" s="1183">
        <f t="shared" si="5"/>
        <v>0</v>
      </c>
      <c r="U12" s="1184">
        <f t="shared" si="6"/>
        <v>0</v>
      </c>
      <c r="V12" s="1184">
        <f t="shared" si="7"/>
        <v>0</v>
      </c>
      <c r="W12" s="1184">
        <f t="shared" si="8"/>
        <v>0</v>
      </c>
      <c r="X12" s="576">
        <f t="shared" si="9"/>
        <v>0</v>
      </c>
      <c r="Y12" s="1182">
        <f t="shared" si="10"/>
        <v>0.79865401640422862</v>
      </c>
      <c r="AA12" s="932" t="str">
        <f>IF('MASTER PubCo Inputs'!B30=0,"",'MASTER PubCo Inputs'!B30)</f>
        <v>NasdaqCM:FENC</v>
      </c>
      <c r="AB12" s="255">
        <f>IF($B12="(Invalid Identifier)","",'Beta Calc'!Z12)</f>
        <v>178.94605999999999</v>
      </c>
      <c r="AC12" s="933">
        <f t="shared" si="11"/>
        <v>2.8421709430404007E-14</v>
      </c>
      <c r="AI12" s="934"/>
    </row>
    <row r="13" spans="2:35" ht="14.85" customHeight="1">
      <c r="B13" s="179" t="str">
        <f>'Comp.1'!B15</f>
        <v>ProQR Therapeutics N.V.</v>
      </c>
      <c r="D13" s="255">
        <f>IF($B13="(Invalid Identifier)","",'Beta Calc'!K13)</f>
        <v>188.339</v>
      </c>
      <c r="E13" s="255">
        <f>IF($B13="(Invalid Identifier)","",'Beta Calc'!L13)</f>
        <v>8.6983700000000006</v>
      </c>
      <c r="F13" s="255" t="str">
        <f>IF($B13="(Invalid Identifier)","",'Beta Calc'!M13)</f>
        <v>n/a</v>
      </c>
      <c r="G13" s="255">
        <f>IF($B13="(Invalid Identifier)","",'Beta Calc'!N13)</f>
        <v>-4.5629999999999997E-2</v>
      </c>
      <c r="H13" s="255">
        <f t="shared" si="0"/>
        <v>8.6527400000000014</v>
      </c>
      <c r="I13" s="255">
        <f t="shared" si="1"/>
        <v>196.99174000000002</v>
      </c>
      <c r="J13" s="255">
        <f>IF($B13="(Invalid Identifier)","",'Beta Calc'!Q13)</f>
        <v>57.755760000000002</v>
      </c>
      <c r="K13" s="576">
        <f t="shared" si="2"/>
        <v>139.23598000000001</v>
      </c>
      <c r="M13" s="384">
        <f>IFERROR('Capital IQ Sheet-GPC'!AT16,"n/a")</f>
        <v>0</v>
      </c>
      <c r="N13" s="255">
        <f t="shared" si="3"/>
        <v>1.6027397260273972</v>
      </c>
      <c r="O13" s="1181">
        <f t="shared" si="3"/>
        <v>2.6484383561643836E-2</v>
      </c>
      <c r="P13" s="1162"/>
      <c r="Q13" s="1182">
        <f>IFERROR(HLOOKUP($Q$6,'Equity Vol'!$B$8:$K13,ROWS('Equity Vol'!$C$8:$C13),FALSE),"n/a")</f>
        <v>0.57008982105712236</v>
      </c>
      <c r="R13" s="303"/>
      <c r="S13" s="1183">
        <f t="shared" si="4"/>
        <v>0.32500240407294179</v>
      </c>
      <c r="T13" s="1183">
        <f t="shared" si="5"/>
        <v>4.2691708158695629</v>
      </c>
      <c r="U13" s="1184">
        <f t="shared" si="6"/>
        <v>3.5474407665698875</v>
      </c>
      <c r="V13" s="1184">
        <f t="shared" si="7"/>
        <v>0.99999018995122924</v>
      </c>
      <c r="W13" s="1184">
        <f t="shared" si="8"/>
        <v>0.99980550339435792</v>
      </c>
      <c r="X13" s="576">
        <f t="shared" si="9"/>
        <v>130.94308879131648</v>
      </c>
      <c r="Y13" s="1182">
        <f t="shared" si="10"/>
        <v>0.53614054627534258</v>
      </c>
      <c r="AA13" s="932" t="str">
        <f>IF('MASTER PubCo Inputs'!B31=0,"",'MASTER PubCo Inputs'!B31)</f>
        <v>NasdaqGM:PRQR</v>
      </c>
      <c r="AB13" s="255">
        <f>IF($B13="(Invalid Identifier)","",'Beta Calc'!Z13)</f>
        <v>150.9237</v>
      </c>
      <c r="AC13" s="933">
        <f t="shared" si="11"/>
        <v>-11.687719999999985</v>
      </c>
      <c r="AI13" s="934"/>
    </row>
    <row r="14" spans="2:35" ht="14.85" customHeight="1">
      <c r="B14" s="179" t="str">
        <f>'Comp.1'!B16</f>
        <v>Genkyotex SA</v>
      </c>
      <c r="D14" s="255">
        <f>IF($B14="(Invalid Identifier)","",'Beta Calc'!K14)</f>
        <v>138.52769000000001</v>
      </c>
      <c r="E14" s="255">
        <f>IF($B14="(Invalid Identifier)","",'Beta Calc'!L14)</f>
        <v>0.48391000000000001</v>
      </c>
      <c r="F14" s="255" t="str">
        <f>IF($B14="(Invalid Identifier)","",'Beta Calc'!M14)</f>
        <v>n/a</v>
      </c>
      <c r="G14" s="255" t="str">
        <f>IF($B14="(Invalid Identifier)","",'Beta Calc'!N14)</f>
        <v>n/a</v>
      </c>
      <c r="H14" s="255">
        <f t="shared" si="0"/>
        <v>0.48391000000000001</v>
      </c>
      <c r="I14" s="255">
        <f t="shared" si="1"/>
        <v>139.01160000000002</v>
      </c>
      <c r="J14" s="255">
        <f>IF($B14="(Invalid Identifier)","",'Beta Calc'!Q14)</f>
        <v>13.622719999999999</v>
      </c>
      <c r="K14" s="576">
        <f t="shared" si="2"/>
        <v>125.38888000000001</v>
      </c>
      <c r="M14" s="384">
        <f>IFERROR('Capital IQ Sheet-GPC'!AT17,"n/a")</f>
        <v>0</v>
      </c>
      <c r="N14" s="255">
        <f t="shared" si="3"/>
        <v>1.6027397260273972</v>
      </c>
      <c r="O14" s="1181">
        <f t="shared" si="3"/>
        <v>2.6484383561643836E-2</v>
      </c>
      <c r="P14" s="1162"/>
      <c r="Q14" s="1182">
        <f>IFERROR(HLOOKUP($Q$6,'Equity Vol'!$B$8:$K14,ROWS('Equity Vol'!$C$8:$C14),FALSE),"n/a")</f>
        <v>0.3917886476836604</v>
      </c>
      <c r="R14" s="303"/>
      <c r="S14" s="1183">
        <f t="shared" si="4"/>
        <v>0.15349834445379137</v>
      </c>
      <c r="T14" s="1183">
        <f t="shared" si="5"/>
        <v>11.537723334794778</v>
      </c>
      <c r="U14" s="1184">
        <f t="shared" si="6"/>
        <v>11.041721424984415</v>
      </c>
      <c r="V14" s="1184">
        <f t="shared" si="7"/>
        <v>1</v>
      </c>
      <c r="W14" s="1184">
        <f t="shared" si="8"/>
        <v>1</v>
      </c>
      <c r="X14" s="576">
        <f t="shared" si="9"/>
        <v>124.92508095517776</v>
      </c>
      <c r="Y14" s="1182">
        <f t="shared" si="10"/>
        <v>0.39033946653962365</v>
      </c>
      <c r="AA14" s="932" t="str">
        <f>IF('MASTER PubCo Inputs'!B32=0,"",'MASTER PubCo Inputs'!B32)</f>
        <v>ENXTPA:GKTX</v>
      </c>
      <c r="AB14" s="255">
        <f>IF($B14="(Invalid Identifier)","",'Beta Calc'!Z14)</f>
        <v>125.77329</v>
      </c>
      <c r="AC14" s="933">
        <f t="shared" si="11"/>
        <v>-0.38440999999998837</v>
      </c>
      <c r="AI14" s="934"/>
    </row>
    <row r="15" spans="2:35" ht="14.85" customHeight="1">
      <c r="B15" s="179" t="str">
        <f>'Comp.1'!B17</f>
        <v>Novus Therapeutics, Inc.</v>
      </c>
      <c r="D15" s="255">
        <f>IF($B15="(Invalid Identifier)","",'Beta Calc'!K15)</f>
        <v>74.033280000000005</v>
      </c>
      <c r="E15" s="255">
        <f>IF($B15="(Invalid Identifier)","",'Beta Calc'!L15)</f>
        <v>0</v>
      </c>
      <c r="F15" s="255" t="str">
        <f>IF($B15="(Invalid Identifier)","",'Beta Calc'!M15)</f>
        <v>n/a</v>
      </c>
      <c r="G15" s="255" t="str">
        <f>IF($B15="(Invalid Identifier)","",'Beta Calc'!N15)</f>
        <v>n/a</v>
      </c>
      <c r="H15" s="255">
        <f t="shared" ref="H15:H18" si="12">SUM(E15:G15)</f>
        <v>0</v>
      </c>
      <c r="I15" s="255">
        <f t="shared" ref="I15:I18" si="13">SUM(D15:G15)</f>
        <v>74.033280000000005</v>
      </c>
      <c r="J15" s="255">
        <f>IF($B15="(Invalid Identifier)","",'Beta Calc'!Q15)</f>
        <v>22.523</v>
      </c>
      <c r="K15" s="576">
        <f t="shared" ref="K15:K18" si="14">IFERROR(I15-J15,"n/a")</f>
        <v>51.510280000000009</v>
      </c>
      <c r="M15" s="384">
        <f>IFERROR('Capital IQ Sheet-GPC'!AT18,"n/a")</f>
        <v>0</v>
      </c>
      <c r="N15" s="255">
        <f t="shared" si="3"/>
        <v>1.6027397260273972</v>
      </c>
      <c r="O15" s="1181">
        <f t="shared" si="3"/>
        <v>2.6484383561643836E-2</v>
      </c>
      <c r="P15" s="1162"/>
      <c r="Q15" s="1182">
        <f>IFERROR(HLOOKUP($Q$6,'Equity Vol'!$B$8:$K15,ROWS('Equity Vol'!$C$8:$C15),FALSE),"n/a")</f>
        <v>0.69646624513060806</v>
      </c>
      <c r="R15" s="303"/>
      <c r="S15" s="1183">
        <f t="shared" ref="S15:S18" si="15">IFERROR(IF(Q15="n/a","n/a",Q15^2),"n/a")</f>
        <v>0.48506523060632822</v>
      </c>
      <c r="T15" s="1183">
        <f t="shared" ref="T15:T18" si="16">IF(OR(K15="n/a",S15="n/a"),"n/a",IF(H15=0,0,IF(M15=0,(LN(K15/H15)+((O15+(S15/2))*N15))/((S15*N15)^0.5),(LN(K15/H15)+((O15-M15+(S15/2))*N15))/((S15*N15)^0.5))))</f>
        <v>0</v>
      </c>
      <c r="U15" s="1184">
        <f t="shared" ref="U15:U18" si="17">IF(T15="n/a","n/a",IF(H15=0,0,T15-(S15*N15)^0.5))</f>
        <v>0</v>
      </c>
      <c r="V15" s="1184">
        <f t="shared" ref="V15:V18" si="18">IF(OR(T15="n/a",S15="n/a"),"n/a",IF(H15=0,0,NORMSDIST(T15)))</f>
        <v>0</v>
      </c>
      <c r="W15" s="1184">
        <f t="shared" ref="W15:W18" si="19">IF(OR(U15="n/a",S15="n/a"),"n/a",IF(H15=0,0,NORMSDIST(U15)))</f>
        <v>0</v>
      </c>
      <c r="X15" s="576">
        <f t="shared" ref="X15:X18" si="20">IFERROR(IF(OR(K15="n/a",S15="n/a"),"n/a",IF(M15=0,(K15*V15)-((H15*EXP(1)^(-O15*N15))*W15),(K15*(2.718^(-M15*N15))*V15)-(H15*(2.718^(-O15*N15))*W15))),"n/a")</f>
        <v>0</v>
      </c>
      <c r="Y15" s="1182">
        <f t="shared" ref="Y15:Y18" si="21">IFERROR(IF(LEN(B15)&gt;0,IF(H15=0,Q15,IF(ISERROR(Q15/((K15/X15)*V15)),"n/a",Q15/((K15/X15)*V15)))),"n/a")</f>
        <v>0.69646624513060806</v>
      </c>
      <c r="AA15" s="932" t="str">
        <f>IF('MASTER PubCo Inputs'!B33=0,"",'MASTER PubCo Inputs'!B33)</f>
        <v>NasdaqCM:NVUS</v>
      </c>
      <c r="AB15" s="255">
        <f>IF($B15="(Invalid Identifier)","",'Beta Calc'!Z15)</f>
        <v>51.510280000000002</v>
      </c>
      <c r="AC15" s="933">
        <f t="shared" ref="AC15:AC18" si="22">IF($B15="(Invalid Identifier)","",K15-AB15)</f>
        <v>7.1054273576010019E-15</v>
      </c>
      <c r="AI15" s="934"/>
    </row>
    <row r="16" spans="2:35" ht="14.85" customHeight="1">
      <c r="B16" s="179" t="str">
        <f>'Comp.1'!B18</f>
        <v>Sensorion SA</v>
      </c>
      <c r="D16" s="255">
        <f>IF($B16="(Invalid Identifier)","",'Beta Calc'!K16)</f>
        <v>37.159999999999997</v>
      </c>
      <c r="E16" s="255">
        <f>IF($B16="(Invalid Identifier)","",'Beta Calc'!L16)</f>
        <v>2.6891699999999998</v>
      </c>
      <c r="F16" s="255">
        <f>IF($B16="(Invalid Identifier)","",'Beta Calc'!M16)</f>
        <v>0</v>
      </c>
      <c r="G16" s="255">
        <f>IF($B16="(Invalid Identifier)","",'Beta Calc'!N16)</f>
        <v>0</v>
      </c>
      <c r="H16" s="255">
        <f t="shared" si="12"/>
        <v>2.6891699999999998</v>
      </c>
      <c r="I16" s="255">
        <f t="shared" si="13"/>
        <v>39.849169999999994</v>
      </c>
      <c r="J16" s="255">
        <f>IF($B16="(Invalid Identifier)","",'Beta Calc'!Q16)</f>
        <v>9.1175599999999992</v>
      </c>
      <c r="K16" s="576">
        <f t="shared" si="14"/>
        <v>30.731609999999996</v>
      </c>
      <c r="M16" s="384">
        <f>IFERROR('Capital IQ Sheet-GPC'!AT19,"n/a")</f>
        <v>0</v>
      </c>
      <c r="N16" s="255">
        <f t="shared" si="3"/>
        <v>1.6027397260273972</v>
      </c>
      <c r="O16" s="1181">
        <f t="shared" si="3"/>
        <v>2.6484383561643836E-2</v>
      </c>
      <c r="P16" s="1162"/>
      <c r="Q16" s="1182">
        <f>IFERROR(HLOOKUP($Q$6,'Equity Vol'!$B$8:$K16,ROWS('Equity Vol'!$C$8:$C16),FALSE),"n/a")</f>
        <v>0.54786642126005347</v>
      </c>
      <c r="R16" s="303"/>
      <c r="S16" s="1183">
        <f t="shared" si="15"/>
        <v>0.30015761554429837</v>
      </c>
      <c r="T16" s="1183">
        <f t="shared" si="16"/>
        <v>3.9202165082539477</v>
      </c>
      <c r="U16" s="1184">
        <f t="shared" si="17"/>
        <v>3.2266211402601113</v>
      </c>
      <c r="V16" s="1184">
        <f t="shared" si="18"/>
        <v>0.9999557652740857</v>
      </c>
      <c r="W16" s="1184">
        <f t="shared" si="19"/>
        <v>0.99937369402286003</v>
      </c>
      <c r="X16" s="576">
        <f t="shared" si="20"/>
        <v>28.154454834135855</v>
      </c>
      <c r="Y16" s="1182">
        <f t="shared" si="21"/>
        <v>0.50194450463371432</v>
      </c>
      <c r="AA16" s="932" t="str">
        <f>IF('MASTER PubCo Inputs'!B34=0,"",'MASTER PubCo Inputs'!B34)</f>
        <v>ENXTPA:ALSEN</v>
      </c>
      <c r="AB16" s="255">
        <f>IF($B16="(Invalid Identifier)","",'Beta Calc'!Z16)</f>
        <v>30.919689999999999</v>
      </c>
      <c r="AC16" s="933">
        <f t="shared" si="22"/>
        <v>-0.18808000000000291</v>
      </c>
      <c r="AI16" s="934"/>
    </row>
    <row r="17" spans="1:35" ht="14.85" customHeight="1">
      <c r="B17" s="179" t="str">
        <f>'Comp.1'!B19</f>
        <v>Otonomy, Inc.</v>
      </c>
      <c r="D17" s="255">
        <f>IF($B17="(Invalid Identifier)","",'Beta Calc'!K17)</f>
        <v>136.06998999999999</v>
      </c>
      <c r="E17" s="255">
        <f>IF($B17="(Invalid Identifier)","",'Beta Calc'!L17)</f>
        <v>0</v>
      </c>
      <c r="F17" s="255">
        <f>IF($B17="(Invalid Identifier)","",'Beta Calc'!M17)</f>
        <v>0</v>
      </c>
      <c r="G17" s="255">
        <f>IF($B17="(Invalid Identifier)","",'Beta Calc'!N17)</f>
        <v>0</v>
      </c>
      <c r="H17" s="255">
        <f t="shared" si="12"/>
        <v>0</v>
      </c>
      <c r="I17" s="255">
        <f t="shared" si="13"/>
        <v>136.06998999999999</v>
      </c>
      <c r="J17" s="255">
        <f>IF($B17="(Invalid Identifier)","",'Beta Calc'!Q17)</f>
        <v>110.224</v>
      </c>
      <c r="K17" s="576">
        <f t="shared" si="14"/>
        <v>25.845989999999986</v>
      </c>
      <c r="M17" s="384">
        <f>IFERROR('Capital IQ Sheet-GPC'!AT20,"n/a")</f>
        <v>0</v>
      </c>
      <c r="N17" s="255">
        <f t="shared" si="3"/>
        <v>1.6027397260273972</v>
      </c>
      <c r="O17" s="1181">
        <f t="shared" si="3"/>
        <v>2.6484383561643836E-2</v>
      </c>
      <c r="P17" s="1162"/>
      <c r="Q17" s="1182">
        <f>IFERROR(HLOOKUP($Q$6,'Equity Vol'!$B$8:$K17,ROWS('Equity Vol'!$C$8:$C17),FALSE),"n/a")</f>
        <v>1.4180730299832749</v>
      </c>
      <c r="R17" s="303"/>
      <c r="S17" s="1183">
        <f t="shared" si="15"/>
        <v>2.0109311183659462</v>
      </c>
      <c r="T17" s="1183">
        <f t="shared" si="16"/>
        <v>0</v>
      </c>
      <c r="U17" s="1184">
        <f t="shared" si="17"/>
        <v>0</v>
      </c>
      <c r="V17" s="1184">
        <f t="shared" si="18"/>
        <v>0</v>
      </c>
      <c r="W17" s="1184">
        <f t="shared" si="19"/>
        <v>0</v>
      </c>
      <c r="X17" s="576">
        <f t="shared" si="20"/>
        <v>0</v>
      </c>
      <c r="Y17" s="1182">
        <f t="shared" si="21"/>
        <v>1.4180730299832749</v>
      </c>
      <c r="AA17" s="932" t="str">
        <f>IF('MASTER PubCo Inputs'!B35=0,"",'MASTER PubCo Inputs'!B35)</f>
        <v>NasdaqGS:OTIC</v>
      </c>
      <c r="AB17" s="255">
        <f>IF($B17="(Invalid Identifier)","",'Beta Calc'!Z17)</f>
        <v>25.84599</v>
      </c>
      <c r="AC17" s="933">
        <f t="shared" si="22"/>
        <v>-1.4210854715202004E-14</v>
      </c>
      <c r="AI17" s="934"/>
    </row>
    <row r="18" spans="1:35" ht="14.85" customHeight="1">
      <c r="B18" s="179" t="str">
        <f>'Comp.1'!B20</f>
        <v>Auris Medical Holding AG</v>
      </c>
      <c r="D18" s="255">
        <f>IF($B18="(Invalid Identifier)","",'Beta Calc'!K18)</f>
        <v>7.2796900000000004</v>
      </c>
      <c r="E18" s="255">
        <f>IF($B18="(Invalid Identifier)","",'Beta Calc'!L18)</f>
        <v>9.06297</v>
      </c>
      <c r="F18" s="255">
        <f>IF($B18="(Invalid Identifier)","",'Beta Calc'!M18)</f>
        <v>0</v>
      </c>
      <c r="G18" s="255">
        <f>IF($B18="(Invalid Identifier)","",'Beta Calc'!N18)</f>
        <v>0</v>
      </c>
      <c r="H18" s="255">
        <f t="shared" si="12"/>
        <v>9.06297</v>
      </c>
      <c r="I18" s="255">
        <f t="shared" si="13"/>
        <v>16.342660000000002</v>
      </c>
      <c r="J18" s="255">
        <f>IF($B18="(Invalid Identifier)","",'Beta Calc'!Q18)</f>
        <v>13.2705</v>
      </c>
      <c r="K18" s="576">
        <f t="shared" si="14"/>
        <v>3.072160000000002</v>
      </c>
      <c r="M18" s="384">
        <f>IFERROR('Capital IQ Sheet-GPC'!AT21,"n/a")</f>
        <v>0</v>
      </c>
      <c r="N18" s="255">
        <f t="shared" si="3"/>
        <v>1.6027397260273972</v>
      </c>
      <c r="O18" s="1181">
        <f t="shared" si="3"/>
        <v>2.6484383561643836E-2</v>
      </c>
      <c r="P18" s="1162"/>
      <c r="Q18" s="1182">
        <f>IFERROR(HLOOKUP($Q$6,'Equity Vol'!$B$8:$K18,ROWS('Equity Vol'!$C$8:$C18),FALSE),"n/a")</f>
        <v>1.2017249743157488</v>
      </c>
      <c r="R18" s="303"/>
      <c r="S18" s="1183">
        <f t="shared" si="15"/>
        <v>1.444142913894187</v>
      </c>
      <c r="T18" s="1183">
        <f t="shared" si="16"/>
        <v>7.7511536816719212E-2</v>
      </c>
      <c r="U18" s="1184">
        <f t="shared" si="17"/>
        <v>-1.4438645567772272</v>
      </c>
      <c r="V18" s="1184">
        <f t="shared" si="18"/>
        <v>0.53089169308309925</v>
      </c>
      <c r="W18" s="1184">
        <f t="shared" si="19"/>
        <v>7.4388539131185608E-2</v>
      </c>
      <c r="X18" s="576">
        <f t="shared" si="20"/>
        <v>0.98482161193820461</v>
      </c>
      <c r="Y18" s="1182">
        <f t="shared" si="21"/>
        <v>0.72562610295430274</v>
      </c>
      <c r="AA18" s="932" t="str">
        <f>IF('MASTER PubCo Inputs'!B36=0,"",'MASTER PubCo Inputs'!B36)</f>
        <v>NasdaqCM:EARS</v>
      </c>
      <c r="AB18" s="255">
        <f>IF($B18="(Invalid Identifier)","",'Beta Calc'!Z18)</f>
        <v>3.0721500000000002</v>
      </c>
      <c r="AC18" s="933">
        <f t="shared" si="22"/>
        <v>1.0000000001841869E-5</v>
      </c>
      <c r="AI18" s="934"/>
    </row>
    <row r="19" spans="1:35" ht="14.85" customHeight="1">
      <c r="D19" s="255"/>
      <c r="E19" s="255"/>
      <c r="F19" s="255"/>
      <c r="G19" s="255"/>
      <c r="H19" s="255"/>
      <c r="I19" s="255"/>
      <c r="J19" s="255"/>
      <c r="K19" s="255"/>
      <c r="R19" s="549"/>
    </row>
    <row r="20" spans="1:35" ht="14.85" customHeight="1">
      <c r="B20" s="935" t="s">
        <v>111</v>
      </c>
      <c r="C20" s="936"/>
      <c r="D20" s="938">
        <f t="shared" ref="D20:K20" si="23">MAX(D10:D18)</f>
        <v>1705.3104800000001</v>
      </c>
      <c r="E20" s="938">
        <f t="shared" si="23"/>
        <v>49.826320000000003</v>
      </c>
      <c r="F20" s="938">
        <f t="shared" si="23"/>
        <v>0</v>
      </c>
      <c r="G20" s="938">
        <f t="shared" si="23"/>
        <v>0</v>
      </c>
      <c r="H20" s="938">
        <f t="shared" si="23"/>
        <v>49.826320000000003</v>
      </c>
      <c r="I20" s="938">
        <f t="shared" si="23"/>
        <v>1738.5004800000002</v>
      </c>
      <c r="J20" s="938">
        <f t="shared" si="23"/>
        <v>358.82100000000003</v>
      </c>
      <c r="K20" s="938">
        <f t="shared" si="23"/>
        <v>1379.6794800000002</v>
      </c>
      <c r="L20" s="936"/>
      <c r="M20" s="1044">
        <f>MAX(M10:M18)</f>
        <v>0</v>
      </c>
      <c r="N20" s="938">
        <f>MAX(N10:N18)</f>
        <v>1.6027397260273972</v>
      </c>
      <c r="O20" s="1185">
        <f>MAX(O10:O18)</f>
        <v>2.6484383561643836E-2</v>
      </c>
      <c r="P20" s="1186"/>
      <c r="Q20" s="1187">
        <f>MAX(Q10:Q18)</f>
        <v>1.4180730299832749</v>
      </c>
      <c r="R20" s="1188"/>
      <c r="S20" s="1189">
        <f>MAX(S10:S19)</f>
        <v>2.0109311183659462</v>
      </c>
      <c r="T20" s="1189">
        <f>MAX(T10:T19)</f>
        <v>11.537723334794778</v>
      </c>
      <c r="U20" s="1190">
        <f>MAX(U10:U19)</f>
        <v>11.041721424984415</v>
      </c>
      <c r="V20" s="1190">
        <f>MAX(V10:V19)</f>
        <v>1</v>
      </c>
      <c r="W20" s="1190">
        <f>MAX(W10:W19)</f>
        <v>1</v>
      </c>
      <c r="X20" s="938">
        <f>MAX(X10:X18)</f>
        <v>1347.8691344886477</v>
      </c>
      <c r="Y20" s="1191">
        <f>MAX(Y10:Y18)</f>
        <v>1.4180730299832749</v>
      </c>
      <c r="AB20" s="1192">
        <f>+'Asset Vol_IPO_Early'!Y27</f>
        <v>0.67600000000000005</v>
      </c>
      <c r="AC20" s="1193" t="s">
        <v>1621</v>
      </c>
      <c r="AD20" s="1193"/>
      <c r="AE20" s="1193"/>
      <c r="AF20" s="591"/>
    </row>
    <row r="21" spans="1:35" ht="14.85" customHeight="1">
      <c r="B21" s="941" t="s">
        <v>115</v>
      </c>
      <c r="C21" s="942"/>
      <c r="D21" s="944">
        <f t="shared" ref="D21:K21" si="24">QUARTILE(D10:D18,3)</f>
        <v>205.66506000000001</v>
      </c>
      <c r="E21" s="944">
        <f t="shared" si="24"/>
        <v>9.06297</v>
      </c>
      <c r="F21" s="944">
        <f t="shared" si="24"/>
        <v>0</v>
      </c>
      <c r="G21" s="944">
        <f t="shared" si="24"/>
        <v>0</v>
      </c>
      <c r="H21" s="944">
        <f t="shared" si="24"/>
        <v>9.06297</v>
      </c>
      <c r="I21" s="944">
        <f t="shared" si="24"/>
        <v>205.66506000000001</v>
      </c>
      <c r="J21" s="944">
        <f t="shared" si="24"/>
        <v>57.755760000000002</v>
      </c>
      <c r="K21" s="944">
        <f t="shared" si="24"/>
        <v>178.94606000000002</v>
      </c>
      <c r="L21" s="942"/>
      <c r="M21" s="1046">
        <f>QUARTILE(M10:M18,3)</f>
        <v>0</v>
      </c>
      <c r="N21" s="944">
        <f>QUARTILE(N10:N18,3)</f>
        <v>1.6027397260273972</v>
      </c>
      <c r="O21" s="1194">
        <f>QUARTILE(O10:O18,3)</f>
        <v>2.6484383561643836E-2</v>
      </c>
      <c r="P21" s="1195"/>
      <c r="Q21" s="1196">
        <f>QUARTILE(Q10:Q18,3)</f>
        <v>0.79865401640422862</v>
      </c>
      <c r="R21" s="1197"/>
      <c r="S21" s="1198">
        <f>QUARTILE(S10:S19,3)</f>
        <v>0.6378482379186059</v>
      </c>
      <c r="T21" s="1198">
        <f>QUARTILE(T10:T19,3)</f>
        <v>4.2691708158695629</v>
      </c>
      <c r="U21" s="1199">
        <f>QUARTILE(U10:U19,3)</f>
        <v>3.5474407665698875</v>
      </c>
      <c r="V21" s="1199">
        <f>QUARTILE(V10:V19,3)</f>
        <v>0.99999018995122924</v>
      </c>
      <c r="W21" s="1199">
        <f>QUARTILE(W10:W19,3)</f>
        <v>0.99980550339435792</v>
      </c>
      <c r="X21" s="944">
        <f>QUARTILE(X10:X18,3)</f>
        <v>130.94308879131648</v>
      </c>
      <c r="Y21" s="1200">
        <f>QUARTILE(Y10:Y18,3)</f>
        <v>0.72562610295430274</v>
      </c>
      <c r="AB21" s="1201">
        <f>+'Asset Vol_IPO_Early'!Y29</f>
        <v>0.67603493476385101</v>
      </c>
      <c r="AC21" s="179" t="s">
        <v>1622</v>
      </c>
      <c r="AF21" s="339"/>
    </row>
    <row r="22" spans="1:35" ht="14.85" customHeight="1">
      <c r="B22" s="941" t="s">
        <v>113</v>
      </c>
      <c r="C22" s="942"/>
      <c r="D22" s="944">
        <f t="shared" ref="D22:K22" si="25">AVERAGE(D10:D18)</f>
        <v>349.7861166666666</v>
      </c>
      <c r="E22" s="944">
        <f t="shared" si="25"/>
        <v>11.550082222222223</v>
      </c>
      <c r="F22" s="944">
        <f t="shared" si="25"/>
        <v>0</v>
      </c>
      <c r="G22" s="944">
        <f t="shared" si="25"/>
        <v>-1.1407499999999999E-2</v>
      </c>
      <c r="H22" s="944">
        <f t="shared" si="25"/>
        <v>11.545012222222223</v>
      </c>
      <c r="I22" s="944">
        <f t="shared" si="25"/>
        <v>361.33112888888883</v>
      </c>
      <c r="J22" s="944">
        <f t="shared" si="25"/>
        <v>70.157886666666684</v>
      </c>
      <c r="K22" s="944">
        <f t="shared" si="25"/>
        <v>291.17324222222226</v>
      </c>
      <c r="L22" s="942"/>
      <c r="M22" s="1046">
        <f>AVERAGE(M10:M18)</f>
        <v>0</v>
      </c>
      <c r="N22" s="944">
        <f>AVERAGE(N10:N18)</f>
        <v>1.6027397260273974</v>
      </c>
      <c r="O22" s="1194">
        <f>AVERAGE(O10:O18)</f>
        <v>2.6484383561643839E-2</v>
      </c>
      <c r="P22" s="1195"/>
      <c r="Q22" s="1196">
        <f>AVERAGE(Q10:Q18)</f>
        <v>0.76587646121916397</v>
      </c>
      <c r="R22" s="1197"/>
      <c r="S22" s="1198">
        <f>AVERAGE(S10:S19)</f>
        <v>0.68528662553752373</v>
      </c>
      <c r="T22" s="1198">
        <f>AVERAGE(T10:T19)</f>
        <v>3.173746854213463</v>
      </c>
      <c r="U22" s="1199">
        <f>AVERAGE(U10:U19)</f>
        <v>2.6139392860762958</v>
      </c>
      <c r="V22" s="1199">
        <f>AVERAGE(V10:V19)</f>
        <v>0.61453414815783036</v>
      </c>
      <c r="W22" s="1199">
        <f>AVERAGE(W10:W19)</f>
        <v>0.5636677919657227</v>
      </c>
      <c r="X22" s="944">
        <f>AVERAGE(X10:X18)</f>
        <v>252.36373829439475</v>
      </c>
      <c r="Y22" s="1200">
        <f>AVERAGE(Y10:Y18)</f>
        <v>0.69771506505960401</v>
      </c>
      <c r="AB22" s="1201">
        <f>+'Asset Vol_IPO_Early'!Y23</f>
        <v>0.67619119881790202</v>
      </c>
      <c r="AC22" s="179" t="s">
        <v>1620</v>
      </c>
      <c r="AF22" s="1202"/>
    </row>
    <row r="23" spans="1:35" ht="14.85" customHeight="1">
      <c r="B23" s="941" t="s">
        <v>44</v>
      </c>
      <c r="C23" s="942"/>
      <c r="D23" s="944">
        <f t="shared" ref="D23:K23" si="26">MEDIAN(D10:D18)</f>
        <v>138.52769000000001</v>
      </c>
      <c r="E23" s="944">
        <f t="shared" si="26"/>
        <v>2.6891699999999998</v>
      </c>
      <c r="F23" s="944">
        <f t="shared" si="26"/>
        <v>0</v>
      </c>
      <c r="G23" s="944">
        <f t="shared" si="26"/>
        <v>0</v>
      </c>
      <c r="H23" s="944">
        <f t="shared" si="26"/>
        <v>2.6891699999999998</v>
      </c>
      <c r="I23" s="944">
        <f t="shared" si="26"/>
        <v>139.01160000000002</v>
      </c>
      <c r="J23" s="944">
        <f t="shared" si="26"/>
        <v>22.523</v>
      </c>
      <c r="K23" s="944">
        <f t="shared" si="26"/>
        <v>125.38888000000001</v>
      </c>
      <c r="L23" s="942"/>
      <c r="M23" s="1046">
        <f>MEDIAN(M10:M18)</f>
        <v>0</v>
      </c>
      <c r="N23" s="944">
        <f>MEDIAN(N10:N18)</f>
        <v>1.6027397260273972</v>
      </c>
      <c r="O23" s="1194">
        <f>MEDIAN(O10:O18)</f>
        <v>2.6484383561643836E-2</v>
      </c>
      <c r="P23" s="1195"/>
      <c r="Q23" s="1196">
        <f>MEDIAN(Q10:Q18)</f>
        <v>0.69214889061457208</v>
      </c>
      <c r="R23" s="1197"/>
      <c r="S23" s="1198">
        <f>MEDIAN(S10:S19)</f>
        <v>0.47907008677898288</v>
      </c>
      <c r="T23" s="1198">
        <f>MEDIAN(T10:T19)</f>
        <v>3.9202165082539477</v>
      </c>
      <c r="U23" s="1199">
        <f>MEDIAN(U10:U19)</f>
        <v>3.2266211402601113</v>
      </c>
      <c r="V23" s="1199">
        <f>MEDIAN(V10:V19)</f>
        <v>0.9999557652740857</v>
      </c>
      <c r="W23" s="1199">
        <f>MEDIAN(W10:W19)</f>
        <v>0.99937369402286003</v>
      </c>
      <c r="X23" s="944">
        <f>MEDIAN(X10:X18)</f>
        <v>28.154454834135855</v>
      </c>
      <c r="Y23" s="1200">
        <f>MEDIAN(Y10:Y18)</f>
        <v>0.67619119881790202</v>
      </c>
      <c r="AB23" s="1203" t="str">
        <f>IF(ROUND(AB20,3)=ROUND(AB22,3),"","Update Volatility - OPM")</f>
        <v/>
      </c>
      <c r="AF23" s="339"/>
    </row>
    <row r="24" spans="1:35" ht="14.85" customHeight="1">
      <c r="B24" s="941" t="s">
        <v>114</v>
      </c>
      <c r="C24" s="942"/>
      <c r="D24" s="944">
        <f t="shared" ref="D24:K24" si="27">QUARTILE(D10:D18,1)</f>
        <v>74.033280000000005</v>
      </c>
      <c r="E24" s="944">
        <f t="shared" si="27"/>
        <v>0</v>
      </c>
      <c r="F24" s="944">
        <f t="shared" si="27"/>
        <v>0</v>
      </c>
      <c r="G24" s="944">
        <f t="shared" si="27"/>
        <v>-1.1407500000000001E-2</v>
      </c>
      <c r="H24" s="944">
        <f t="shared" si="27"/>
        <v>0</v>
      </c>
      <c r="I24" s="944">
        <f t="shared" si="27"/>
        <v>74.033280000000005</v>
      </c>
      <c r="J24" s="944">
        <f t="shared" si="27"/>
        <v>13.622719999999999</v>
      </c>
      <c r="K24" s="944">
        <f t="shared" si="27"/>
        <v>30.731609999999996</v>
      </c>
      <c r="L24" s="942"/>
      <c r="M24" s="1046">
        <f>QUARTILE(M10:M18,1)</f>
        <v>0</v>
      </c>
      <c r="N24" s="944">
        <f>QUARTILE(N10:N18,1)</f>
        <v>1.6027397260273972</v>
      </c>
      <c r="O24" s="1194">
        <f>QUARTILE(O10:O18,1)</f>
        <v>2.6484383561643836E-2</v>
      </c>
      <c r="P24" s="1195"/>
      <c r="Q24" s="1196">
        <f>QUARTILE(Q10:Q18,1)</f>
        <v>0.57008982105712236</v>
      </c>
      <c r="R24" s="1197"/>
      <c r="S24" s="1198">
        <f>QUARTILE(S10:S19,1)</f>
        <v>0.32500240407294179</v>
      </c>
      <c r="T24" s="1198">
        <f>QUARTILE(T10:T19,1)</f>
        <v>0</v>
      </c>
      <c r="U24" s="1199">
        <f>QUARTILE(U10:U19,1)</f>
        <v>0</v>
      </c>
      <c r="V24" s="1199">
        <f>QUARTILE(V10:V19,1)</f>
        <v>0</v>
      </c>
      <c r="W24" s="1199">
        <f>QUARTILE(W10:W19,1)</f>
        <v>0</v>
      </c>
      <c r="X24" s="944">
        <f>QUARTILE(X10:X18,1)</f>
        <v>0</v>
      </c>
      <c r="Y24" s="1200">
        <f>QUARTILE(Y10:Y18,1)</f>
        <v>0.53600047479743884</v>
      </c>
      <c r="AB24" s="1204" t="str">
        <f>IF(ROUND(AB21,3)=ROUND(AB22,3),"","Update Volatility - DLOM")</f>
        <v/>
      </c>
      <c r="AC24" s="264"/>
      <c r="AD24" s="264"/>
      <c r="AE24" s="264"/>
      <c r="AF24" s="701"/>
    </row>
    <row r="25" spans="1:35" ht="14.85" customHeight="1">
      <c r="B25" s="946" t="s">
        <v>112</v>
      </c>
      <c r="C25" s="663"/>
      <c r="D25" s="672">
        <f t="shared" ref="D25:K25" si="28">MIN(D10:D18)</f>
        <v>7.2796900000000004</v>
      </c>
      <c r="E25" s="672">
        <f t="shared" si="28"/>
        <v>0</v>
      </c>
      <c r="F25" s="672">
        <f t="shared" si="28"/>
        <v>0</v>
      </c>
      <c r="G25" s="672">
        <f t="shared" si="28"/>
        <v>-4.5629999999999997E-2</v>
      </c>
      <c r="H25" s="672">
        <f t="shared" si="28"/>
        <v>0</v>
      </c>
      <c r="I25" s="672">
        <f t="shared" si="28"/>
        <v>16.342660000000002</v>
      </c>
      <c r="J25" s="672">
        <f t="shared" si="28"/>
        <v>9.1175599999999992</v>
      </c>
      <c r="K25" s="672">
        <f t="shared" si="28"/>
        <v>3.072160000000002</v>
      </c>
      <c r="L25" s="663"/>
      <c r="M25" s="1048">
        <f>MIN(M10:M18)</f>
        <v>0</v>
      </c>
      <c r="N25" s="672">
        <f>MIN(N10:N18)</f>
        <v>1.6027397260273972</v>
      </c>
      <c r="O25" s="1205">
        <f>MIN(O10:O18)</f>
        <v>2.6484383561643836E-2</v>
      </c>
      <c r="P25" s="1206"/>
      <c r="Q25" s="1207">
        <f>MIN(Q10:Q18)</f>
        <v>0.3917886476836604</v>
      </c>
      <c r="R25" s="1208"/>
      <c r="S25" s="1209">
        <f>MIN(S10:S19)</f>
        <v>0.15349834445379137</v>
      </c>
      <c r="T25" s="1209">
        <f>MIN(T10:T19)</f>
        <v>0</v>
      </c>
      <c r="U25" s="1210">
        <f>MIN(U10:U19)</f>
        <v>-1.4438645567772272</v>
      </c>
      <c r="V25" s="1210">
        <f>MIN(V10:V19)</f>
        <v>0</v>
      </c>
      <c r="W25" s="1210">
        <f>MIN(W10:W19)</f>
        <v>0</v>
      </c>
      <c r="X25" s="672">
        <f>MIN(X10:X18)</f>
        <v>0</v>
      </c>
      <c r="Y25" s="1211">
        <f>MIN(Y10:Y18)</f>
        <v>0.39033946653962365</v>
      </c>
      <c r="AB25" s="324" t="str">
        <f>IF(K27&lt;&gt;K29,"Check","")</f>
        <v/>
      </c>
    </row>
    <row r="26" spans="1:35" ht="14.85" customHeight="1">
      <c r="AB26" s="865" t="str">
        <f>IF(AND(AB23=$AF$24,AB25=$AF$24,AB24=$AF$24),"","Check")</f>
        <v/>
      </c>
    </row>
    <row r="27" spans="1:35" ht="14.85" hidden="1" customHeight="1" outlineLevel="1">
      <c r="B27" s="1212" t="str">
        <f>B2</f>
        <v>Decibel Therapeutics, Inc.</v>
      </c>
      <c r="C27" s="1213" t="s">
        <v>260</v>
      </c>
      <c r="D27" s="1866">
        <f>'Hybrid OPM'!C47/1000</f>
        <v>167</v>
      </c>
      <c r="E27" s="1866">
        <f>-'Hist BS'!$G$71/1000</f>
        <v>0</v>
      </c>
      <c r="F27" s="1214"/>
      <c r="G27" s="1214"/>
      <c r="H27" s="1216">
        <f>SUM(E27:G27)</f>
        <v>0</v>
      </c>
      <c r="I27" s="1216">
        <f>SUM(D27:G27)</f>
        <v>167</v>
      </c>
      <c r="J27" s="1214"/>
      <c r="K27" s="1225">
        <f>I27-J27</f>
        <v>167</v>
      </c>
      <c r="L27" s="1214"/>
      <c r="M27" s="1217">
        <f>'DLOM Hybrid'!F17</f>
        <v>0</v>
      </c>
      <c r="N27" s="1218">
        <f>N$6</f>
        <v>1.6027397260273972</v>
      </c>
      <c r="O27" s="1219">
        <f>O$6</f>
        <v>2.6484383561643836E-2</v>
      </c>
      <c r="P27" s="1220"/>
      <c r="Q27" s="1221">
        <v>0.67600000000000005</v>
      </c>
      <c r="R27" s="1214"/>
      <c r="S27" s="1222">
        <f>IF(Q27="n/a","n/a",Q27^2)</f>
        <v>0.45697600000000005</v>
      </c>
      <c r="T27" s="1222">
        <f>IF(OR(K27="n/a",S27="n/a"),"n/a",IF(H27=0,0,IF(M27=0,(LN(K27/H27)+((O27+(S27/2))*N27))/((S27*N27)^0.5),(LN(K27/H27)+((O27-M27+(S27/2))*N27))/((S27*N27)^0.5))))</f>
        <v>0</v>
      </c>
      <c r="U27" s="1223">
        <f>IF(T27="n/a","n/a",IF(H27=0,0,T27-(S27*N27)^0.5))</f>
        <v>0</v>
      </c>
      <c r="V27" s="1223">
        <f>IF(OR(T27="n/a",S27="n/a"),"n/a",IF(H27=0,0,NORMSDIST(T27)))</f>
        <v>0</v>
      </c>
      <c r="W27" s="1223">
        <f>IF(OR(U27="n/a",S27="n/a"),"n/a",IF(H27=0,0,NORMSDIST(U27)))</f>
        <v>0</v>
      </c>
      <c r="X27" s="1223">
        <f>IF(OR(K27="n/a",S27="n/a"),"n/a",IF(M27=0,(K27*V27)-((H27*EXP(1)^(-O27*N27))*W27),(K27*(2.718^(-M27*N27))*V27)-(H27*(2.718^(-O27*N27))*W27)))</f>
        <v>0</v>
      </c>
      <c r="Y27" s="1224">
        <f>IF(LEN(B27)&gt;0,IF(H27=0,Q27,IF(ISERROR(Q27/((K27/X27)*V27)),"n/a",Q27/((K27/X27)*V27))))</f>
        <v>0.67600000000000005</v>
      </c>
    </row>
    <row r="28" spans="1:35" ht="14.85" hidden="1" customHeight="1" outlineLevel="1"/>
    <row r="29" spans="1:35" ht="14.85" customHeight="1" collapsed="1">
      <c r="B29" s="1212" t="str">
        <f>B27</f>
        <v>Decibel Therapeutics, Inc.</v>
      </c>
      <c r="C29" s="1213" t="s">
        <v>260</v>
      </c>
      <c r="D29" s="1866">
        <f>D27-E29</f>
        <v>58.67883970198578</v>
      </c>
      <c r="E29" s="1866">
        <f>E27+('IPO Waterfall'!E113/1000)</f>
        <v>108.32116029801422</v>
      </c>
      <c r="F29" s="1214"/>
      <c r="G29" s="1214"/>
      <c r="H29" s="1216">
        <f>SUM(E29:G29)</f>
        <v>108.32116029801422</v>
      </c>
      <c r="I29" s="1216">
        <f>SUM(D29:G29)</f>
        <v>167</v>
      </c>
      <c r="J29" s="1214"/>
      <c r="K29" s="1225">
        <f>I29-J29</f>
        <v>167</v>
      </c>
      <c r="L29" s="1214"/>
      <c r="M29" s="1226">
        <f>M27</f>
        <v>0</v>
      </c>
      <c r="N29" s="1218">
        <f>N$6</f>
        <v>1.6027397260273972</v>
      </c>
      <c r="O29" s="1219">
        <f>O$6</f>
        <v>2.6484383561643836E-2</v>
      </c>
      <c r="P29" s="1220"/>
      <c r="Q29" s="1221">
        <v>0.96997780715075876</v>
      </c>
      <c r="R29" s="1214"/>
      <c r="S29" s="1222">
        <f>IF(Q29="n/a","n/a",Q29^2)</f>
        <v>0.94085694636499451</v>
      </c>
      <c r="T29" s="1222">
        <f>IF(OR(K29="n/a",S29="n/a"),"n/a",IF(H29=0,0,IF(M29=0,(LN(K29/H29)+((O29+(S29/2))*N29))/((S29*N29)^0.5),(LN(K29/H29)+((O29-M29+(S29/2))*N29))/((S29*N29)^0.5))))</f>
        <v>1.0010827471193846</v>
      </c>
      <c r="U29" s="1223">
        <f>IF(T29="n/a","n/a",IF(H29=0,0,T29-(S29*N29)^0.5))</f>
        <v>-0.22690292236051812</v>
      </c>
      <c r="V29" s="1223">
        <f>IF(OR(T29="n/a",S29="n/a"),"n/a",IF(H29=0,0,NORMSDIST(T29)))</f>
        <v>0.84160659733737941</v>
      </c>
      <c r="W29" s="1223">
        <f>IF(OR(U29="n/a",S29="n/a"),"n/a",IF(H29=0,0,NORMSDIST(U29)))</f>
        <v>0.41024961480216388</v>
      </c>
      <c r="X29" s="1223">
        <f>IF(OR(K29="n/a",S29="n/a"),"n/a",IF(M29=0,(K29*V29)-((H29*EXP(1)^(-O29*N29))*W29),(K29*(2.718^(-M29*N29))*V29)-(H29*(2.718^(-O29*N29))*W29)))</f>
        <v>97.956428804741847</v>
      </c>
      <c r="Y29" s="1224">
        <f>IF(LEN(B29)&gt;0,IF(H29=0,Q29,IF(ISERROR(Q29/((K29/X29)*V29)),"n/a",Q29/((K29/X29)*V29))))</f>
        <v>0.67603493476385101</v>
      </c>
    </row>
    <row r="30" spans="1:35" ht="14.85" customHeight="1"/>
    <row r="31" spans="1:35" ht="14.85" customHeight="1">
      <c r="B31" s="272" t="s">
        <v>86</v>
      </c>
    </row>
    <row r="32" spans="1:35" ht="14.85" customHeight="1">
      <c r="A32" s="273" t="s">
        <v>261</v>
      </c>
      <c r="B32" s="202" t="s">
        <v>3230</v>
      </c>
    </row>
    <row r="33" spans="1:26" s="275" customFormat="1" ht="14.85" hidden="1" customHeight="1" outlineLevel="1">
      <c r="A33" s="273" t="s">
        <v>260</v>
      </c>
      <c r="B33" s="202" t="s">
        <v>961</v>
      </c>
      <c r="C33" s="179"/>
      <c r="D33" s="179"/>
      <c r="E33" s="179"/>
      <c r="F33" s="179"/>
      <c r="G33" s="179"/>
      <c r="H33" s="179"/>
      <c r="I33" s="179"/>
      <c r="J33" s="179"/>
      <c r="K33" s="179"/>
      <c r="L33" s="179"/>
      <c r="M33" s="179"/>
      <c r="N33" s="179"/>
      <c r="O33" s="179"/>
      <c r="P33" s="549"/>
      <c r="Q33" s="179"/>
      <c r="R33" s="179"/>
      <c r="S33" s="179"/>
      <c r="T33" s="179"/>
      <c r="U33" s="179"/>
      <c r="V33" s="179"/>
      <c r="W33" s="179"/>
      <c r="X33" s="179"/>
      <c r="Y33" s="179"/>
      <c r="Z33" s="179"/>
    </row>
    <row r="34" spans="1:26" s="275" customFormat="1" ht="14.85" customHeight="1" collapsed="1">
      <c r="A34" s="273" t="s">
        <v>260</v>
      </c>
      <c r="B34" s="202" t="s">
        <v>3819</v>
      </c>
      <c r="C34" s="179"/>
      <c r="D34" s="179"/>
      <c r="E34" s="179"/>
      <c r="F34" s="179"/>
      <c r="G34" s="179"/>
      <c r="H34" s="179"/>
      <c r="I34" s="179"/>
      <c r="J34" s="179"/>
      <c r="K34" s="179"/>
      <c r="L34" s="179"/>
      <c r="M34" s="179"/>
      <c r="N34" s="179"/>
      <c r="O34" s="179"/>
      <c r="P34" s="549"/>
      <c r="Q34" s="179"/>
      <c r="R34" s="179"/>
      <c r="S34" s="179"/>
      <c r="T34" s="179"/>
      <c r="U34" s="179"/>
      <c r="V34" s="179"/>
      <c r="W34" s="179"/>
      <c r="X34" s="179"/>
      <c r="Y34" s="179"/>
      <c r="Z34" s="179"/>
    </row>
    <row r="35" spans="1:26" ht="14.85" customHeight="1"/>
    <row r="36" spans="1:26" ht="14.85" customHeight="1">
      <c r="B36" s="272" t="s">
        <v>116</v>
      </c>
    </row>
    <row r="37" spans="1:26" ht="14.85" customHeight="1"/>
    <row r="38" spans="1:26" ht="14.85" customHeight="1">
      <c r="B38" s="179" t="s">
        <v>1650</v>
      </c>
    </row>
    <row r="39" spans="1:26" ht="14.85" customHeight="1">
      <c r="B39" s="179" t="s">
        <v>1651</v>
      </c>
    </row>
    <row r="40" spans="1:26" ht="14.85" customHeight="1">
      <c r="B40" s="179" t="s">
        <v>1652</v>
      </c>
    </row>
    <row r="41" spans="1:26" ht="14.85" customHeight="1">
      <c r="B41" s="179" t="s">
        <v>1653</v>
      </c>
    </row>
    <row r="42" spans="1:26" ht="14.85" customHeight="1">
      <c r="B42" s="179" t="s">
        <v>1654</v>
      </c>
    </row>
    <row r="43" spans="1:26" ht="14.85" customHeight="1">
      <c r="B43" s="179" t="s">
        <v>1655</v>
      </c>
    </row>
    <row r="44" spans="1:26" ht="14.85" customHeight="1">
      <c r="B44" s="179" t="s">
        <v>1656</v>
      </c>
    </row>
    <row r="45" spans="1:26" ht="14.85" customHeight="1"/>
    <row r="46" spans="1:26" ht="14.85" customHeight="1">
      <c r="B46" s="179" t="s">
        <v>1657</v>
      </c>
    </row>
    <row r="47" spans="1:26" ht="14.85" customHeight="1">
      <c r="B47" s="179" t="s">
        <v>1658</v>
      </c>
    </row>
    <row r="48" spans="1:26" ht="14.85" customHeight="1">
      <c r="B48" s="179" t="s">
        <v>1659</v>
      </c>
    </row>
    <row r="49" spans="2:2" ht="14.85" customHeight="1">
      <c r="B49" s="179" t="s">
        <v>1660</v>
      </c>
    </row>
    <row r="50" spans="2:2" ht="14.85" customHeight="1">
      <c r="B50" s="179" t="s">
        <v>1661</v>
      </c>
    </row>
    <row r="51" spans="2:2" ht="14.85" customHeight="1">
      <c r="B51" s="179" t="s">
        <v>1662</v>
      </c>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sheetData>
  <conditionalFormatting sqref="B10:B18">
    <cfRule type="cellIs" dxfId="233" priority="9" operator="equal">
      <formula>"(Invalid Identifier)"</formula>
    </cfRule>
  </conditionalFormatting>
  <conditionalFormatting sqref="C4:I4">
    <cfRule type="cellIs" dxfId="232" priority="8" stopIfTrue="1" operator="equal">
      <formula>"input"</formula>
    </cfRule>
  </conditionalFormatting>
  <conditionalFormatting sqref="J4">
    <cfRule type="cellIs" dxfId="231" priority="6" stopIfTrue="1" operator="equal">
      <formula>"input"</formula>
    </cfRule>
  </conditionalFormatting>
  <conditionalFormatting sqref="J4">
    <cfRule type="cellIs" dxfId="230" priority="7" stopIfTrue="1" operator="equal">
      <formula>"input"</formula>
    </cfRule>
  </conditionalFormatting>
  <conditionalFormatting sqref="K4:X4">
    <cfRule type="cellIs" dxfId="229" priority="4" stopIfTrue="1" operator="equal">
      <formula>"input"</formula>
    </cfRule>
  </conditionalFormatting>
  <conditionalFormatting sqref="K4:X4">
    <cfRule type="cellIs" dxfId="228" priority="5" stopIfTrue="1" operator="equal">
      <formula>"input"</formula>
    </cfRule>
  </conditionalFormatting>
  <conditionalFormatting sqref="Y4">
    <cfRule type="cellIs" dxfId="227" priority="2" stopIfTrue="1" operator="equal">
      <formula>"input"</formula>
    </cfRule>
  </conditionalFormatting>
  <conditionalFormatting sqref="Y4">
    <cfRule type="cellIs" dxfId="226" priority="3" stopIfTrue="1" operator="equal">
      <formula>"input"</formula>
    </cfRule>
  </conditionalFormatting>
  <conditionalFormatting sqref="B4">
    <cfRule type="cellIs" dxfId="225" priority="1" stopIfTrue="1" operator="equal">
      <formula>"input"</formula>
    </cfRule>
  </conditionalFormatting>
  <pageMargins left="0.5" right="0.5" top="0.5" bottom="0.5" header="0.5" footer="0.5"/>
  <pageSetup scale="75" fitToWidth="0" fitToHeight="0" orientation="landscape" r:id="rId1"/>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70"/>
  <dimension ref="A1:AI743"/>
  <sheetViews>
    <sheetView showGridLines="0" view="pageBreakPreview" zoomScale="80" zoomScaleNormal="100" zoomScaleSheetLayoutView="80" workbookViewId="0">
      <selection activeCell="Y19" sqref="Y19"/>
    </sheetView>
  </sheetViews>
  <sheetFormatPr defaultRowHeight="12.75" outlineLevelRow="1" outlineLevelCol="1"/>
  <cols>
    <col min="1" max="1" width="4.5" style="179" customWidth="1"/>
    <col min="2" max="2" width="39.6640625" style="179" customWidth="1"/>
    <col min="3" max="3" width="2.83203125" style="179" customWidth="1"/>
    <col min="4" max="4" width="13.1640625" style="179" customWidth="1"/>
    <col min="5" max="5" width="10.83203125" style="179" hidden="1" customWidth="1" outlineLevel="1"/>
    <col min="6" max="7" width="9.83203125" style="179" hidden="1" customWidth="1" outlineLevel="1"/>
    <col min="8" max="8" width="12.83203125" style="179" customWidth="1" collapsed="1"/>
    <col min="9" max="11" width="12.83203125" style="179" customWidth="1"/>
    <col min="12" max="12" width="2.83203125" style="179" customWidth="1"/>
    <col min="13" max="14" width="12" style="179" customWidth="1"/>
    <col min="15" max="15" width="12.83203125" style="179" customWidth="1"/>
    <col min="16" max="16" width="2.83203125" style="549" customWidth="1"/>
    <col min="17" max="17" width="11.5" style="179" customWidth="1"/>
    <col min="18" max="18" width="2.83203125" style="179" customWidth="1"/>
    <col min="19" max="19" width="11.6640625" style="179" hidden="1" customWidth="1" outlineLevel="1"/>
    <col min="20" max="23" width="8.83203125" style="179" hidden="1" customWidth="1" outlineLevel="1"/>
    <col min="24" max="24" width="13.33203125" style="179" customWidth="1" collapsed="1"/>
    <col min="25" max="25" width="13.33203125" style="179" customWidth="1"/>
    <col min="26" max="26" width="4.5" style="179" customWidth="1"/>
    <col min="27" max="27" width="17.5" style="179" bestFit="1" customWidth="1"/>
    <col min="28" max="28" width="14.33203125" style="179" bestFit="1" customWidth="1"/>
    <col min="29" max="29" width="9.6640625" style="179" bestFit="1" customWidth="1"/>
    <col min="30" max="30" width="10.1640625" style="179" bestFit="1" customWidth="1"/>
    <col min="31" max="16384" width="9.33203125" style="179"/>
  </cols>
  <sheetData>
    <row r="1" spans="2:35" ht="10.7" customHeight="1" thickBot="1">
      <c r="P1" s="179"/>
    </row>
    <row r="2" spans="2:35"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AA2" s="909" t="s">
        <v>87</v>
      </c>
      <c r="AB2" s="910">
        <f>+'Comp.1'!$AL$2</f>
        <v>43245</v>
      </c>
    </row>
    <row r="3" spans="2:35" ht="15.75" customHeight="1">
      <c r="B3" s="188" t="str">
        <f>VLOOKUP(B4,Outline!$E$8:$G$75,COLUMNS(Outline!$E$8:$G$8),FALSE)</f>
        <v>Workpaper #10</v>
      </c>
      <c r="C3" s="188"/>
      <c r="D3" s="188"/>
      <c r="E3" s="188"/>
      <c r="F3" s="188"/>
      <c r="G3" s="188"/>
      <c r="H3" s="188"/>
      <c r="I3" s="188"/>
      <c r="J3" s="188"/>
      <c r="K3" s="188"/>
      <c r="L3" s="188"/>
      <c r="M3" s="188"/>
      <c r="N3" s="188"/>
      <c r="O3" s="188"/>
      <c r="P3" s="188"/>
      <c r="Q3" s="188"/>
      <c r="R3" s="188"/>
      <c r="S3" s="188"/>
      <c r="T3" s="188"/>
      <c r="U3" s="188"/>
      <c r="V3" s="188"/>
      <c r="W3" s="188"/>
      <c r="X3" s="188"/>
      <c r="Y3" s="188"/>
      <c r="AA3" s="911" t="s">
        <v>462</v>
      </c>
      <c r="AB3" s="912" t="str">
        <f>+'Comp.1'!$AL$3</f>
        <v>F</v>
      </c>
    </row>
    <row r="4" spans="2:35" ht="16.5" customHeight="1" thickBot="1">
      <c r="B4" s="726" t="str">
        <f>"Asset Volatility - "&amp;TEXT('DLOM Hybrid'!F13,"")</f>
        <v>Asset Volatility - IPO Late</v>
      </c>
      <c r="C4" s="726"/>
      <c r="D4" s="726"/>
      <c r="E4" s="726"/>
      <c r="F4" s="726"/>
      <c r="G4" s="726"/>
      <c r="H4" s="726"/>
      <c r="I4" s="726"/>
      <c r="J4" s="727"/>
      <c r="K4" s="727"/>
      <c r="L4" s="727"/>
      <c r="M4" s="727"/>
      <c r="N4" s="727"/>
      <c r="O4" s="727"/>
      <c r="P4" s="727"/>
      <c r="Q4" s="727"/>
      <c r="R4" s="727"/>
      <c r="S4" s="727"/>
      <c r="T4" s="727"/>
      <c r="U4" s="727"/>
      <c r="V4" s="727"/>
      <c r="W4" s="727"/>
      <c r="X4" s="727"/>
      <c r="Y4" s="727" t="str">
        <f>+'MASTER PubCo Inputs'!$C$24</f>
        <v>(in millions of USD)</v>
      </c>
      <c r="AA4" s="911" t="s">
        <v>463</v>
      </c>
      <c r="AB4" s="912" t="str">
        <f>+'Comp.1'!$AL$4</f>
        <v>USD</v>
      </c>
    </row>
    <row r="5" spans="2:35" ht="14.85" customHeight="1" thickTop="1">
      <c r="B5" s="549"/>
      <c r="AA5" s="378" t="s">
        <v>89</v>
      </c>
      <c r="AB5" s="913" t="str">
        <f>+'Comp.1'!$AL$5</f>
        <v>H</v>
      </c>
    </row>
    <row r="6" spans="2:35" ht="14.85" hidden="1" customHeight="1" outlineLevel="1">
      <c r="N6" s="551">
        <f>'DLOM Hybrid'!F15</f>
        <v>3.6054794520547944</v>
      </c>
      <c r="O6" s="554">
        <f>'Risk-Free Rates_Hybrid'!E35</f>
        <v>2.6484383561643836E-2</v>
      </c>
      <c r="Q6" s="263">
        <f>HLOOKUP(ROUND(N6,0),'Equity Vol'!$D$8:$K$8,1,TRUE)</f>
        <v>4</v>
      </c>
    </row>
    <row r="7" spans="2:35" ht="14.85" customHeight="1" collapsed="1">
      <c r="D7" s="1169" t="s">
        <v>91</v>
      </c>
      <c r="E7" s="1170"/>
      <c r="F7" s="1170"/>
      <c r="G7" s="1170"/>
      <c r="H7" s="1170"/>
      <c r="I7" s="1170"/>
      <c r="J7" s="1170"/>
      <c r="K7" s="1171"/>
      <c r="M7" s="1169" t="s">
        <v>92</v>
      </c>
      <c r="N7" s="1170"/>
      <c r="O7" s="1170"/>
      <c r="P7" s="1172"/>
      <c r="Q7" s="1171"/>
      <c r="S7" s="1169" t="s">
        <v>93</v>
      </c>
      <c r="T7" s="1170"/>
      <c r="U7" s="1170"/>
      <c r="V7" s="1170"/>
      <c r="W7" s="1170"/>
      <c r="X7" s="1173" t="s">
        <v>93</v>
      </c>
      <c r="Y7" s="1174"/>
    </row>
    <row r="8" spans="2:35" s="200" customFormat="1" ht="39.950000000000003" customHeight="1">
      <c r="B8" s="1175" t="s">
        <v>733</v>
      </c>
      <c r="D8" s="1176" t="s">
        <v>94</v>
      </c>
      <c r="E8" s="1177" t="s">
        <v>95</v>
      </c>
      <c r="F8" s="1177" t="s">
        <v>96</v>
      </c>
      <c r="G8" s="1177" t="s">
        <v>97</v>
      </c>
      <c r="H8" s="1177" t="s">
        <v>98</v>
      </c>
      <c r="I8" s="1177" t="s">
        <v>99</v>
      </c>
      <c r="J8" s="1177" t="s">
        <v>100</v>
      </c>
      <c r="K8" s="1178" t="s">
        <v>101</v>
      </c>
      <c r="L8" s="265"/>
      <c r="M8" s="1176" t="s">
        <v>73</v>
      </c>
      <c r="N8" s="1177" t="s">
        <v>102</v>
      </c>
      <c r="O8" s="1178" t="s">
        <v>72</v>
      </c>
      <c r="P8" s="1016"/>
      <c r="Q8" s="1179" t="s">
        <v>103</v>
      </c>
      <c r="R8" s="1016"/>
      <c r="S8" s="1176" t="s">
        <v>104</v>
      </c>
      <c r="T8" s="1177" t="s">
        <v>84</v>
      </c>
      <c r="U8" s="1177" t="s">
        <v>85</v>
      </c>
      <c r="V8" s="1177" t="s">
        <v>105</v>
      </c>
      <c r="W8" s="1177" t="s">
        <v>106</v>
      </c>
      <c r="X8" s="1017" t="s">
        <v>107</v>
      </c>
      <c r="Y8" s="1178" t="s">
        <v>3229</v>
      </c>
      <c r="AA8" s="562" t="s">
        <v>108</v>
      </c>
      <c r="AB8" s="454" t="s">
        <v>109</v>
      </c>
      <c r="AC8" s="454" t="s">
        <v>110</v>
      </c>
      <c r="AD8" s="1180"/>
    </row>
    <row r="9" spans="2:35" ht="14.85" customHeight="1"/>
    <row r="10" spans="2:35" ht="14.85" customHeight="1">
      <c r="B10" s="179" t="str">
        <f>'Comp.1'!B12</f>
        <v>Editas Medicine, Inc.</v>
      </c>
      <c r="D10" s="255">
        <f>IF($B10="(Invalid Identifier)","",'Beta Calc'!K10)</f>
        <v>1705.3104800000001</v>
      </c>
      <c r="E10" s="255">
        <f>IF($B10="(Invalid Identifier)","",'Beta Calc'!L10)</f>
        <v>33.19</v>
      </c>
      <c r="F10" s="255" t="str">
        <f>IF($B10="(Invalid Identifier)","",'Beta Calc'!M10)</f>
        <v>n/a</v>
      </c>
      <c r="G10" s="255" t="str">
        <f>IF($B10="(Invalid Identifier)","",'Beta Calc'!N10)</f>
        <v>n/a</v>
      </c>
      <c r="H10" s="255">
        <f t="shared" ref="H10:H14" si="0">SUM(E10:G10)</f>
        <v>33.19</v>
      </c>
      <c r="I10" s="255">
        <f t="shared" ref="I10:I14" si="1">SUM(D10:G10)</f>
        <v>1738.5004800000002</v>
      </c>
      <c r="J10" s="255">
        <f>IF($B10="(Invalid Identifier)","",'Beta Calc'!Q10)</f>
        <v>358.82100000000003</v>
      </c>
      <c r="K10" s="576">
        <f t="shared" ref="K10:K14" si="2">IFERROR(I10-J10,"n/a")</f>
        <v>1379.6794800000002</v>
      </c>
      <c r="M10" s="384">
        <f>IFERROR('Capital IQ Sheet-GPC'!AT13,"n/a")</f>
        <v>0</v>
      </c>
      <c r="N10" s="255">
        <f t="shared" ref="N10:O18" si="3">N$6</f>
        <v>3.6054794520547944</v>
      </c>
      <c r="O10" s="1181">
        <f t="shared" si="3"/>
        <v>2.6484383561643836E-2</v>
      </c>
      <c r="P10" s="1162"/>
      <c r="Q10" s="1182">
        <f>IFERROR(HLOOKUP($Q$6,'Equity Vol'!$B$8:$K10,ROWS('Equity Vol'!$C$8:$C10),FALSE),"n/a")</f>
        <v>0.78204917356370451</v>
      </c>
      <c r="R10" s="303"/>
      <c r="S10" s="1183">
        <f t="shared" ref="S10:S14" si="4">IFERROR(IF(Q10="n/a","n/a",Q10^2),"n/a")</f>
        <v>0.61160090987167326</v>
      </c>
      <c r="T10" s="1183">
        <f t="shared" ref="T10:T14" si="5">IF(OR(K10="n/a",S10="n/a"),"n/a",IF(H10=0,0,IF(M10=0,(LN(K10/H10)+((O10+(S10/2))*N10))/((S10*N10)^0.5),(LN(K10/H10)+((O10-M10+(S10/2))*N10))/((S10*N10)^0.5))))</f>
        <v>3.3168534770392326</v>
      </c>
      <c r="U10" s="1184">
        <f t="shared" ref="U10:U14" si="6">IF(T10="n/a","n/a",IF(H10=0,0,T10-(S10*N10)^0.5))</f>
        <v>1.831890678380514</v>
      </c>
      <c r="V10" s="1184">
        <f t="shared" ref="V10:V14" si="7">IF(OR(T10="n/a",S10="n/a"),"n/a",IF(H10=0,0,NORMSDIST(T10)))</f>
        <v>0.99954481326760791</v>
      </c>
      <c r="W10" s="1184">
        <f t="shared" ref="W10:W14" si="8">IF(OR(U10="n/a",S10="n/a"),"n/a",IF(H10=0,0,NORMSDIST(U10)))</f>
        <v>0.96651614518722095</v>
      </c>
      <c r="X10" s="576">
        <f t="shared" ref="X10:X14" si="9">IFERROR(IF(OR(K10="n/a",S10="n/a"),"n/a",IF(M10=0,(K10*V10)-((H10*EXP(1)^(-O10*N10))*W10),(K10*(2.718^(-M10*N10))*V10)-(H10*(2.718^(-O10*N10))*W10))),"n/a")</f>
        <v>1349.894251622806</v>
      </c>
      <c r="Y10" s="1182">
        <f t="shared" ref="Y10:Y14" si="10">IFERROR(IF(LEN(B10)&gt;0,IF(H10=0,Q10,IF(ISERROR(Q10/((K10/X10)*V10)),"n/a",Q10/((K10/X10)*V10)))),"n/a")</f>
        <v>0.76551434679485497</v>
      </c>
      <c r="AA10" s="932" t="str">
        <f>IF('MASTER PubCo Inputs'!B28=0,"",'MASTER PubCo Inputs'!B28)</f>
        <v>NasdaqGS:EDIT</v>
      </c>
      <c r="AB10" s="255">
        <f>IF($B10="(Invalid Identifier)","",'Beta Calc'!Z10)</f>
        <v>1379.67948</v>
      </c>
      <c r="AC10" s="933">
        <f t="shared" ref="AC10:AC14" si="11">IF($B10="(Invalid Identifier)","",K10-AB10)</f>
        <v>2.2737367544323206E-13</v>
      </c>
      <c r="AI10" s="934"/>
    </row>
    <row r="11" spans="2:35" ht="14.85" customHeight="1">
      <c r="B11" s="179" t="str">
        <f>'Comp.1'!B13</f>
        <v>Oxford BioMedica plc</v>
      </c>
      <c r="D11" s="255">
        <f>IF($B11="(Invalid Identifier)","",'Beta Calc'!K11)</f>
        <v>655.68985999999995</v>
      </c>
      <c r="E11" s="255">
        <f>IF($B11="(Invalid Identifier)","",'Beta Calc'!L11)</f>
        <v>49.826320000000003</v>
      </c>
      <c r="F11" s="255" t="str">
        <f>IF($B11="(Invalid Identifier)","",'Beta Calc'!M11)</f>
        <v>n/a</v>
      </c>
      <c r="G11" s="255" t="str">
        <f>IF($B11="(Invalid Identifier)","",'Beta Calc'!N11)</f>
        <v>n/a</v>
      </c>
      <c r="H11" s="255">
        <f t="shared" si="0"/>
        <v>49.826320000000003</v>
      </c>
      <c r="I11" s="255">
        <f t="shared" si="1"/>
        <v>705.51617999999996</v>
      </c>
      <c r="J11" s="255">
        <f>IF($B11="(Invalid Identifier)","",'Beta Calc'!Q11)</f>
        <v>19.367439999999998</v>
      </c>
      <c r="K11" s="576">
        <f t="shared" si="2"/>
        <v>686.14873999999998</v>
      </c>
      <c r="M11" s="384">
        <f>IFERROR('Capital IQ Sheet-GPC'!AT14,"n/a")</f>
        <v>0</v>
      </c>
      <c r="N11" s="255">
        <f t="shared" si="3"/>
        <v>3.6054794520547944</v>
      </c>
      <c r="O11" s="1181">
        <f t="shared" si="3"/>
        <v>2.6484383561643836E-2</v>
      </c>
      <c r="P11" s="1162"/>
      <c r="Q11" s="1182">
        <f>IFERROR(HLOOKUP($Q$6,'Equity Vol'!$B$8:$K11,ROWS('Equity Vol'!$C$8:$C11),FALSE),"n/a")</f>
        <v>0.61274111093250305</v>
      </c>
      <c r="R11" s="303"/>
      <c r="S11" s="1183">
        <f t="shared" si="4"/>
        <v>0.375451669026798</v>
      </c>
      <c r="T11" s="1183">
        <f t="shared" si="5"/>
        <v>2.9178710917176729</v>
      </c>
      <c r="U11" s="1184">
        <f t="shared" si="6"/>
        <v>1.7543921370666669</v>
      </c>
      <c r="V11" s="1184">
        <f t="shared" si="7"/>
        <v>0.99823784992783826</v>
      </c>
      <c r="W11" s="1184">
        <f t="shared" si="8"/>
        <v>0.96031833114008891</v>
      </c>
      <c r="X11" s="576">
        <f t="shared" si="9"/>
        <v>641.44820877305528</v>
      </c>
      <c r="Y11" s="1182">
        <f t="shared" si="10"/>
        <v>0.57383404814683203</v>
      </c>
      <c r="AA11" s="932" t="str">
        <f>IF('MASTER PubCo Inputs'!B29=0,"",'MASTER PubCo Inputs'!B29)</f>
        <v>LSE:OXB</v>
      </c>
      <c r="AB11" s="255">
        <f>IF($B11="(Invalid Identifier)","",'Beta Calc'!Z11)</f>
        <v>685.68294000000003</v>
      </c>
      <c r="AC11" s="933">
        <f t="shared" si="11"/>
        <v>0.4657999999999447</v>
      </c>
      <c r="AI11" s="934"/>
    </row>
    <row r="12" spans="2:35" ht="14.85" customHeight="1">
      <c r="B12" s="179" t="str">
        <f>'Comp.1'!B14</f>
        <v>Fennec Pharmaceuticals Inc.</v>
      </c>
      <c r="D12" s="255">
        <f>IF($B12="(Invalid Identifier)","",'Beta Calc'!K12)</f>
        <v>205.66506000000001</v>
      </c>
      <c r="E12" s="255">
        <f>IF($B12="(Invalid Identifier)","",'Beta Calc'!L12)</f>
        <v>0</v>
      </c>
      <c r="F12" s="255" t="str">
        <f>IF($B12="(Invalid Identifier)","",'Beta Calc'!M12)</f>
        <v>n/a</v>
      </c>
      <c r="G12" s="255" t="str">
        <f>IF($B12="(Invalid Identifier)","",'Beta Calc'!N12)</f>
        <v>n/a</v>
      </c>
      <c r="H12" s="255">
        <f t="shared" si="0"/>
        <v>0</v>
      </c>
      <c r="I12" s="255">
        <f t="shared" si="1"/>
        <v>205.66506000000001</v>
      </c>
      <c r="J12" s="255">
        <f>IF($B12="(Invalid Identifier)","",'Beta Calc'!Q12)</f>
        <v>26.719000000000001</v>
      </c>
      <c r="K12" s="576">
        <f t="shared" si="2"/>
        <v>178.94606000000002</v>
      </c>
      <c r="M12" s="384">
        <f>IFERROR('Capital IQ Sheet-GPC'!AT15,"n/a")</f>
        <v>0</v>
      </c>
      <c r="N12" s="255">
        <f t="shared" si="3"/>
        <v>3.6054794520547944</v>
      </c>
      <c r="O12" s="1181">
        <f t="shared" si="3"/>
        <v>2.6484383561643836E-2</v>
      </c>
      <c r="P12" s="1162"/>
      <c r="Q12" s="1182">
        <f>IFERROR(HLOOKUP($Q$6,'Equity Vol'!$B$8:$K12,ROWS('Equity Vol'!$C$8:$C12),FALSE),"n/a")</f>
        <v>1.3197878729406225</v>
      </c>
      <c r="R12" s="303"/>
      <c r="S12" s="1183">
        <f t="shared" si="4"/>
        <v>1.7418400295611327</v>
      </c>
      <c r="T12" s="1183">
        <f t="shared" si="5"/>
        <v>0</v>
      </c>
      <c r="U12" s="1184">
        <f t="shared" si="6"/>
        <v>0</v>
      </c>
      <c r="V12" s="1184">
        <f t="shared" si="7"/>
        <v>0</v>
      </c>
      <c r="W12" s="1184">
        <f t="shared" si="8"/>
        <v>0</v>
      </c>
      <c r="X12" s="576">
        <f t="shared" si="9"/>
        <v>0</v>
      </c>
      <c r="Y12" s="1182">
        <f t="shared" si="10"/>
        <v>1.3197878729406225</v>
      </c>
      <c r="AA12" s="932" t="str">
        <f>IF('MASTER PubCo Inputs'!B30=0,"",'MASTER PubCo Inputs'!B30)</f>
        <v>NasdaqCM:FENC</v>
      </c>
      <c r="AB12" s="255">
        <f>IF($B12="(Invalid Identifier)","",'Beta Calc'!Z12)</f>
        <v>178.94605999999999</v>
      </c>
      <c r="AC12" s="933">
        <f t="shared" si="11"/>
        <v>2.8421709430404007E-14</v>
      </c>
      <c r="AI12" s="934"/>
    </row>
    <row r="13" spans="2:35" ht="14.85" customHeight="1">
      <c r="B13" s="179" t="str">
        <f>'Comp.1'!B15</f>
        <v>ProQR Therapeutics N.V.</v>
      </c>
      <c r="D13" s="255">
        <f>IF($B13="(Invalid Identifier)","",'Beta Calc'!K13)</f>
        <v>188.339</v>
      </c>
      <c r="E13" s="255">
        <f>IF($B13="(Invalid Identifier)","",'Beta Calc'!L13)</f>
        <v>8.6983700000000006</v>
      </c>
      <c r="F13" s="255" t="str">
        <f>IF($B13="(Invalid Identifier)","",'Beta Calc'!M13)</f>
        <v>n/a</v>
      </c>
      <c r="G13" s="255">
        <f>IF($B13="(Invalid Identifier)","",'Beta Calc'!N13)</f>
        <v>-4.5629999999999997E-2</v>
      </c>
      <c r="H13" s="255">
        <f t="shared" si="0"/>
        <v>8.6527400000000014</v>
      </c>
      <c r="I13" s="255">
        <f t="shared" si="1"/>
        <v>196.99174000000002</v>
      </c>
      <c r="J13" s="255">
        <f>IF($B13="(Invalid Identifier)","",'Beta Calc'!Q13)</f>
        <v>57.755760000000002</v>
      </c>
      <c r="K13" s="576">
        <f t="shared" si="2"/>
        <v>139.23598000000001</v>
      </c>
      <c r="M13" s="384">
        <f>IFERROR('Capital IQ Sheet-GPC'!AT16,"n/a")</f>
        <v>0</v>
      </c>
      <c r="N13" s="255">
        <f t="shared" si="3"/>
        <v>3.6054794520547944</v>
      </c>
      <c r="O13" s="1181">
        <f t="shared" si="3"/>
        <v>2.6484383561643836E-2</v>
      </c>
      <c r="P13" s="1162"/>
      <c r="Q13" s="1182">
        <f>IFERROR(HLOOKUP($Q$6,'Equity Vol'!$B$8:$K13,ROWS('Equity Vol'!$C$8:$C13),FALSE),"n/a")</f>
        <v>0.7169041230096167</v>
      </c>
      <c r="R13" s="303"/>
      <c r="S13" s="1183">
        <f t="shared" si="4"/>
        <v>0.51395152158818769</v>
      </c>
      <c r="T13" s="1183">
        <f t="shared" si="5"/>
        <v>2.791744922936481</v>
      </c>
      <c r="U13" s="1184">
        <f t="shared" si="6"/>
        <v>1.4304801983371447</v>
      </c>
      <c r="V13" s="1184">
        <f t="shared" si="7"/>
        <v>0.9973787667374967</v>
      </c>
      <c r="W13" s="1184">
        <f t="shared" si="8"/>
        <v>0.92371037745266449</v>
      </c>
      <c r="X13" s="576">
        <f t="shared" si="9"/>
        <v>131.60628510010946</v>
      </c>
      <c r="Y13" s="1182">
        <f t="shared" si="10"/>
        <v>0.6794008943270109</v>
      </c>
      <c r="AA13" s="932" t="str">
        <f>IF('MASTER PubCo Inputs'!B31=0,"",'MASTER PubCo Inputs'!B31)</f>
        <v>NasdaqGM:PRQR</v>
      </c>
      <c r="AB13" s="255">
        <f>IF($B13="(Invalid Identifier)","",'Beta Calc'!Z13)</f>
        <v>150.9237</v>
      </c>
      <c r="AC13" s="933">
        <f t="shared" si="11"/>
        <v>-11.687719999999985</v>
      </c>
      <c r="AI13" s="934"/>
    </row>
    <row r="14" spans="2:35" ht="14.85" customHeight="1">
      <c r="B14" s="179" t="str">
        <f>'Comp.1'!B16</f>
        <v>Genkyotex SA</v>
      </c>
      <c r="D14" s="255">
        <f>IF($B14="(Invalid Identifier)","",'Beta Calc'!K14)</f>
        <v>138.52769000000001</v>
      </c>
      <c r="E14" s="255">
        <f>IF($B14="(Invalid Identifier)","",'Beta Calc'!L14)</f>
        <v>0.48391000000000001</v>
      </c>
      <c r="F14" s="255" t="str">
        <f>IF($B14="(Invalid Identifier)","",'Beta Calc'!M14)</f>
        <v>n/a</v>
      </c>
      <c r="G14" s="255" t="str">
        <f>IF($B14="(Invalid Identifier)","",'Beta Calc'!N14)</f>
        <v>n/a</v>
      </c>
      <c r="H14" s="255">
        <f t="shared" si="0"/>
        <v>0.48391000000000001</v>
      </c>
      <c r="I14" s="255">
        <f t="shared" si="1"/>
        <v>139.01160000000002</v>
      </c>
      <c r="J14" s="255">
        <f>IF($B14="(Invalid Identifier)","",'Beta Calc'!Q14)</f>
        <v>13.622719999999999</v>
      </c>
      <c r="K14" s="576">
        <f t="shared" si="2"/>
        <v>125.38888000000001</v>
      </c>
      <c r="M14" s="384">
        <f>IFERROR('Capital IQ Sheet-GPC'!AT17,"n/a")</f>
        <v>0</v>
      </c>
      <c r="N14" s="255">
        <f t="shared" si="3"/>
        <v>3.6054794520547944</v>
      </c>
      <c r="O14" s="1181">
        <f t="shared" si="3"/>
        <v>2.6484383561643836E-2</v>
      </c>
      <c r="P14" s="1162"/>
      <c r="Q14" s="1182">
        <f>IFERROR(HLOOKUP($Q$6,'Equity Vol'!$B$8:$K14,ROWS('Equity Vol'!$C$8:$C14),FALSE),"n/a")</f>
        <v>0.3917886476836604</v>
      </c>
      <c r="R14" s="303"/>
      <c r="S14" s="1183">
        <f t="shared" si="4"/>
        <v>0.15349834445379137</v>
      </c>
      <c r="T14" s="1183">
        <f t="shared" si="5"/>
        <v>7.9704611600223618</v>
      </c>
      <c r="U14" s="1184">
        <f t="shared" si="6"/>
        <v>7.2265289542048059</v>
      </c>
      <c r="V14" s="1184">
        <f t="shared" si="7"/>
        <v>0.99999999999999922</v>
      </c>
      <c r="W14" s="1184">
        <f t="shared" si="8"/>
        <v>0.9999999999997522</v>
      </c>
      <c r="X14" s="576">
        <f t="shared" si="9"/>
        <v>124.949040433742</v>
      </c>
      <c r="Y14" s="1182">
        <f t="shared" si="10"/>
        <v>0.39041433004989617</v>
      </c>
      <c r="AA14" s="932" t="str">
        <f>IF('MASTER PubCo Inputs'!B32=0,"",'MASTER PubCo Inputs'!B32)</f>
        <v>ENXTPA:GKTX</v>
      </c>
      <c r="AB14" s="255">
        <f>IF($B14="(Invalid Identifier)","",'Beta Calc'!Z14)</f>
        <v>125.77329</v>
      </c>
      <c r="AC14" s="933">
        <f t="shared" si="11"/>
        <v>-0.38440999999998837</v>
      </c>
      <c r="AI14" s="934"/>
    </row>
    <row r="15" spans="2:35" ht="14.85" customHeight="1">
      <c r="B15" s="179" t="str">
        <f>'Comp.1'!B17</f>
        <v>Novus Therapeutics, Inc.</v>
      </c>
      <c r="D15" s="255">
        <f>IF($B15="(Invalid Identifier)","",'Beta Calc'!K15)</f>
        <v>74.033280000000005</v>
      </c>
      <c r="E15" s="255">
        <f>IF($B15="(Invalid Identifier)","",'Beta Calc'!L15)</f>
        <v>0</v>
      </c>
      <c r="F15" s="255" t="str">
        <f>IF($B15="(Invalid Identifier)","",'Beta Calc'!M15)</f>
        <v>n/a</v>
      </c>
      <c r="G15" s="255" t="str">
        <f>IF($B15="(Invalid Identifier)","",'Beta Calc'!N15)</f>
        <v>n/a</v>
      </c>
      <c r="H15" s="255">
        <f t="shared" ref="H15:H18" si="12">SUM(E15:G15)</f>
        <v>0</v>
      </c>
      <c r="I15" s="255">
        <f t="shared" ref="I15:I18" si="13">SUM(D15:G15)</f>
        <v>74.033280000000005</v>
      </c>
      <c r="J15" s="255">
        <f>IF($B15="(Invalid Identifier)","",'Beta Calc'!Q15)</f>
        <v>22.523</v>
      </c>
      <c r="K15" s="576">
        <f t="shared" ref="K15:K18" si="14">IFERROR(I15-J15,"n/a")</f>
        <v>51.510280000000009</v>
      </c>
      <c r="M15" s="384">
        <f>IFERROR('Capital IQ Sheet-GPC'!AT18,"n/a")</f>
        <v>0</v>
      </c>
      <c r="N15" s="255">
        <f t="shared" si="3"/>
        <v>3.6054794520547944</v>
      </c>
      <c r="O15" s="1181">
        <f t="shared" si="3"/>
        <v>2.6484383561643836E-2</v>
      </c>
      <c r="P15" s="1162"/>
      <c r="Q15" s="1182">
        <f>IFERROR(HLOOKUP($Q$6,'Equity Vol'!$B$8:$K15,ROWS('Equity Vol'!$C$8:$C15),FALSE),"n/a")</f>
        <v>0.69646624513060806</v>
      </c>
      <c r="R15" s="303"/>
      <c r="S15" s="1183">
        <f t="shared" ref="S15:S18" si="15">IFERROR(IF(Q15="n/a","n/a",Q15^2),"n/a")</f>
        <v>0.48506523060632822</v>
      </c>
      <c r="T15" s="1183">
        <f t="shared" ref="T15:T18" si="16">IF(OR(K15="n/a",S15="n/a"),"n/a",IF(H15=0,0,IF(M15=0,(LN(K15/H15)+((O15+(S15/2))*N15))/((S15*N15)^0.5),(LN(K15/H15)+((O15-M15+(S15/2))*N15))/((S15*N15)^0.5))))</f>
        <v>0</v>
      </c>
      <c r="U15" s="1184">
        <f t="shared" ref="U15:U18" si="17">IF(T15="n/a","n/a",IF(H15=0,0,T15-(S15*N15)^0.5))</f>
        <v>0</v>
      </c>
      <c r="V15" s="1184">
        <f t="shared" ref="V15:V18" si="18">IF(OR(T15="n/a",S15="n/a"),"n/a",IF(H15=0,0,NORMSDIST(T15)))</f>
        <v>0</v>
      </c>
      <c r="W15" s="1184">
        <f t="shared" ref="W15:W18" si="19">IF(OR(U15="n/a",S15="n/a"),"n/a",IF(H15=0,0,NORMSDIST(U15)))</f>
        <v>0</v>
      </c>
      <c r="X15" s="576">
        <f t="shared" ref="X15:X18" si="20">IFERROR(IF(OR(K15="n/a",S15="n/a"),"n/a",IF(M15=0,(K15*V15)-((H15*EXP(1)^(-O15*N15))*W15),(K15*(2.718^(-M15*N15))*V15)-(H15*(2.718^(-O15*N15))*W15))),"n/a")</f>
        <v>0</v>
      </c>
      <c r="Y15" s="1182">
        <f t="shared" ref="Y15:Y18" si="21">IFERROR(IF(LEN(B15)&gt;0,IF(H15=0,Q15,IF(ISERROR(Q15/((K15/X15)*V15)),"n/a",Q15/((K15/X15)*V15)))),"n/a")</f>
        <v>0.69646624513060806</v>
      </c>
      <c r="AA15" s="932" t="str">
        <f>IF('MASTER PubCo Inputs'!B33=0,"",'MASTER PubCo Inputs'!B33)</f>
        <v>NasdaqCM:NVUS</v>
      </c>
      <c r="AB15" s="255">
        <f>IF($B15="(Invalid Identifier)","",'Beta Calc'!Z15)</f>
        <v>51.510280000000002</v>
      </c>
      <c r="AC15" s="933">
        <f t="shared" ref="AC15:AC18" si="22">IF($B15="(Invalid Identifier)","",K15-AB15)</f>
        <v>7.1054273576010019E-15</v>
      </c>
      <c r="AI15" s="934"/>
    </row>
    <row r="16" spans="2:35" ht="14.85" customHeight="1">
      <c r="B16" s="179" t="str">
        <f>'Comp.1'!B18</f>
        <v>Sensorion SA</v>
      </c>
      <c r="D16" s="255">
        <f>IF($B16="(Invalid Identifier)","",'Beta Calc'!K16)</f>
        <v>37.159999999999997</v>
      </c>
      <c r="E16" s="255">
        <f>IF($B16="(Invalid Identifier)","",'Beta Calc'!L16)</f>
        <v>2.6891699999999998</v>
      </c>
      <c r="F16" s="255">
        <f>IF($B16="(Invalid Identifier)","",'Beta Calc'!M16)</f>
        <v>0</v>
      </c>
      <c r="G16" s="255">
        <f>IF($B16="(Invalid Identifier)","",'Beta Calc'!N16)</f>
        <v>0</v>
      </c>
      <c r="H16" s="255">
        <f t="shared" si="12"/>
        <v>2.6891699999999998</v>
      </c>
      <c r="I16" s="255">
        <f t="shared" si="13"/>
        <v>39.849169999999994</v>
      </c>
      <c r="J16" s="255">
        <f>IF($B16="(Invalid Identifier)","",'Beta Calc'!Q16)</f>
        <v>9.1175599999999992</v>
      </c>
      <c r="K16" s="576">
        <f t="shared" si="14"/>
        <v>30.731609999999996</v>
      </c>
      <c r="M16" s="384">
        <f>IFERROR('Capital IQ Sheet-GPC'!AT19,"n/a")</f>
        <v>0</v>
      </c>
      <c r="N16" s="255">
        <f t="shared" si="3"/>
        <v>3.6054794520547944</v>
      </c>
      <c r="O16" s="1181">
        <f t="shared" si="3"/>
        <v>2.6484383561643836E-2</v>
      </c>
      <c r="P16" s="1162"/>
      <c r="Q16" s="1182">
        <f>IFERROR(HLOOKUP($Q$6,'Equity Vol'!$B$8:$K16,ROWS('Equity Vol'!$C$8:$C16),FALSE),"n/a")</f>
        <v>0.68884036657096237</v>
      </c>
      <c r="R16" s="303"/>
      <c r="S16" s="1183">
        <f t="shared" si="15"/>
        <v>0.47450105061761783</v>
      </c>
      <c r="T16" s="1183">
        <f t="shared" si="16"/>
        <v>2.5894568555659276</v>
      </c>
      <c r="U16" s="1184">
        <f t="shared" si="17"/>
        <v>1.2814798725955725</v>
      </c>
      <c r="V16" s="1184">
        <f t="shared" si="18"/>
        <v>0.9951936266089163</v>
      </c>
      <c r="W16" s="1184">
        <f t="shared" si="19"/>
        <v>0.89998741742902189</v>
      </c>
      <c r="X16" s="576">
        <f t="shared" si="20"/>
        <v>28.384096354554522</v>
      </c>
      <c r="Y16" s="1182">
        <f t="shared" si="21"/>
        <v>0.63929419722796277</v>
      </c>
      <c r="AA16" s="932" t="str">
        <f>IF('MASTER PubCo Inputs'!B34=0,"",'MASTER PubCo Inputs'!B34)</f>
        <v>ENXTPA:ALSEN</v>
      </c>
      <c r="AB16" s="255">
        <f>IF($B16="(Invalid Identifier)","",'Beta Calc'!Z16)</f>
        <v>30.919689999999999</v>
      </c>
      <c r="AC16" s="933">
        <f t="shared" si="22"/>
        <v>-0.18808000000000291</v>
      </c>
      <c r="AI16" s="934"/>
    </row>
    <row r="17" spans="1:35" ht="14.85" customHeight="1">
      <c r="B17" s="179" t="str">
        <f>'Comp.1'!B19</f>
        <v>Otonomy, Inc.</v>
      </c>
      <c r="D17" s="255">
        <f>IF($B17="(Invalid Identifier)","",'Beta Calc'!K17)</f>
        <v>136.06998999999999</v>
      </c>
      <c r="E17" s="255">
        <f>IF($B17="(Invalid Identifier)","",'Beta Calc'!L17)</f>
        <v>0</v>
      </c>
      <c r="F17" s="255">
        <f>IF($B17="(Invalid Identifier)","",'Beta Calc'!M17)</f>
        <v>0</v>
      </c>
      <c r="G17" s="255">
        <f>IF($B17="(Invalid Identifier)","",'Beta Calc'!N17)</f>
        <v>0</v>
      </c>
      <c r="H17" s="255">
        <f t="shared" si="12"/>
        <v>0</v>
      </c>
      <c r="I17" s="255">
        <f t="shared" si="13"/>
        <v>136.06998999999999</v>
      </c>
      <c r="J17" s="255">
        <f>IF($B17="(Invalid Identifier)","",'Beta Calc'!Q17)</f>
        <v>110.224</v>
      </c>
      <c r="K17" s="576">
        <f t="shared" si="14"/>
        <v>25.845989999999986</v>
      </c>
      <c r="M17" s="384">
        <f>IFERROR('Capital IQ Sheet-GPC'!AT20,"n/a")</f>
        <v>0</v>
      </c>
      <c r="N17" s="255">
        <f t="shared" si="3"/>
        <v>3.6054794520547944</v>
      </c>
      <c r="O17" s="1181">
        <f t="shared" si="3"/>
        <v>2.6484383561643836E-2</v>
      </c>
      <c r="P17" s="1162"/>
      <c r="Q17" s="1182">
        <f>IFERROR(HLOOKUP($Q$6,'Equity Vol'!$B$8:$K17,ROWS('Equity Vol'!$C$8:$C17),FALSE),"n/a")</f>
        <v>1.1474404313943027</v>
      </c>
      <c r="R17" s="303"/>
      <c r="S17" s="1183">
        <f t="shared" si="15"/>
        <v>1.3166195435983437</v>
      </c>
      <c r="T17" s="1183">
        <f t="shared" si="16"/>
        <v>0</v>
      </c>
      <c r="U17" s="1184">
        <f t="shared" si="17"/>
        <v>0</v>
      </c>
      <c r="V17" s="1184">
        <f t="shared" si="18"/>
        <v>0</v>
      </c>
      <c r="W17" s="1184">
        <f t="shared" si="19"/>
        <v>0</v>
      </c>
      <c r="X17" s="576">
        <f t="shared" si="20"/>
        <v>0</v>
      </c>
      <c r="Y17" s="1182">
        <f t="shared" si="21"/>
        <v>1.1474404313943027</v>
      </c>
      <c r="AA17" s="932" t="str">
        <f>IF('MASTER PubCo Inputs'!B35=0,"",'MASTER PubCo Inputs'!B35)</f>
        <v>NasdaqGS:OTIC</v>
      </c>
      <c r="AB17" s="255">
        <f>IF($B17="(Invalid Identifier)","",'Beta Calc'!Z17)</f>
        <v>25.84599</v>
      </c>
      <c r="AC17" s="933">
        <f t="shared" si="22"/>
        <v>-1.4210854715202004E-14</v>
      </c>
      <c r="AI17" s="934"/>
    </row>
    <row r="18" spans="1:35" ht="14.85" customHeight="1">
      <c r="B18" s="179" t="str">
        <f>'Comp.1'!B20</f>
        <v>Auris Medical Holding AG</v>
      </c>
      <c r="D18" s="255">
        <f>IF($B18="(Invalid Identifier)","",'Beta Calc'!K18)</f>
        <v>7.2796900000000004</v>
      </c>
      <c r="E18" s="255">
        <f>IF($B18="(Invalid Identifier)","",'Beta Calc'!L18)</f>
        <v>9.06297</v>
      </c>
      <c r="F18" s="255">
        <f>IF($B18="(Invalid Identifier)","",'Beta Calc'!M18)</f>
        <v>0</v>
      </c>
      <c r="G18" s="255">
        <f>IF($B18="(Invalid Identifier)","",'Beta Calc'!N18)</f>
        <v>0</v>
      </c>
      <c r="H18" s="255">
        <f t="shared" si="12"/>
        <v>9.06297</v>
      </c>
      <c r="I18" s="255">
        <f t="shared" si="13"/>
        <v>16.342660000000002</v>
      </c>
      <c r="J18" s="255">
        <f>IF($B18="(Invalid Identifier)","",'Beta Calc'!Q18)</f>
        <v>13.2705</v>
      </c>
      <c r="K18" s="576">
        <f t="shared" si="14"/>
        <v>3.072160000000002</v>
      </c>
      <c r="M18" s="384">
        <f>IFERROR('Capital IQ Sheet-GPC'!AT21,"n/a")</f>
        <v>0</v>
      </c>
      <c r="N18" s="255">
        <f t="shared" si="3"/>
        <v>3.6054794520547944</v>
      </c>
      <c r="O18" s="1181">
        <f t="shared" si="3"/>
        <v>2.6484383561643836E-2</v>
      </c>
      <c r="P18" s="1162"/>
      <c r="Q18" s="1182">
        <f>IFERROR(HLOOKUP($Q$6,'Equity Vol'!$B$8:$K18,ROWS('Equity Vol'!$C$8:$C18),FALSE),"n/a")</f>
        <v>1.0309921222499077</v>
      </c>
      <c r="R18" s="303"/>
      <c r="S18" s="1183">
        <f t="shared" si="15"/>
        <v>1.0629447561413685</v>
      </c>
      <c r="T18" s="1183">
        <f t="shared" si="16"/>
        <v>0.47499899312754107</v>
      </c>
      <c r="U18" s="1184">
        <f t="shared" si="17"/>
        <v>-1.4826591682829484</v>
      </c>
      <c r="V18" s="1184">
        <f t="shared" si="18"/>
        <v>0.68260615452705542</v>
      </c>
      <c r="W18" s="1184">
        <f t="shared" si="19"/>
        <v>6.9082494130052755E-2</v>
      </c>
      <c r="X18" s="576">
        <f t="shared" si="20"/>
        <v>1.5280019728016914</v>
      </c>
      <c r="Y18" s="1182">
        <f t="shared" si="21"/>
        <v>0.75121669638813438</v>
      </c>
      <c r="AA18" s="932" t="str">
        <f>IF('MASTER PubCo Inputs'!B36=0,"",'MASTER PubCo Inputs'!B36)</f>
        <v>NasdaqCM:EARS</v>
      </c>
      <c r="AB18" s="255">
        <f>IF($B18="(Invalid Identifier)","",'Beta Calc'!Z18)</f>
        <v>3.0721500000000002</v>
      </c>
      <c r="AC18" s="933">
        <f t="shared" si="22"/>
        <v>1.0000000001841869E-5</v>
      </c>
      <c r="AI18" s="934"/>
    </row>
    <row r="19" spans="1:35" ht="14.85" customHeight="1">
      <c r="D19" s="255"/>
      <c r="E19" s="255"/>
      <c r="F19" s="255"/>
      <c r="G19" s="255"/>
      <c r="H19" s="255"/>
      <c r="I19" s="255"/>
      <c r="J19" s="255"/>
      <c r="K19" s="255"/>
      <c r="R19" s="549"/>
    </row>
    <row r="20" spans="1:35" ht="14.85" customHeight="1">
      <c r="B20" s="935" t="s">
        <v>111</v>
      </c>
      <c r="C20" s="936"/>
      <c r="D20" s="938">
        <f t="shared" ref="D20:K20" si="23">MAX(D10:D18)</f>
        <v>1705.3104800000001</v>
      </c>
      <c r="E20" s="938">
        <f t="shared" si="23"/>
        <v>49.826320000000003</v>
      </c>
      <c r="F20" s="938">
        <f t="shared" si="23"/>
        <v>0</v>
      </c>
      <c r="G20" s="938">
        <f t="shared" si="23"/>
        <v>0</v>
      </c>
      <c r="H20" s="938">
        <f t="shared" si="23"/>
        <v>49.826320000000003</v>
      </c>
      <c r="I20" s="938">
        <f t="shared" si="23"/>
        <v>1738.5004800000002</v>
      </c>
      <c r="J20" s="938">
        <f t="shared" si="23"/>
        <v>358.82100000000003</v>
      </c>
      <c r="K20" s="938">
        <f t="shared" si="23"/>
        <v>1379.6794800000002</v>
      </c>
      <c r="L20" s="936"/>
      <c r="M20" s="1044">
        <f>MAX(M10:M18)</f>
        <v>0</v>
      </c>
      <c r="N20" s="938">
        <f>MAX(N10:N18)</f>
        <v>3.6054794520547944</v>
      </c>
      <c r="O20" s="1185">
        <f>MAX(O10:O18)</f>
        <v>2.6484383561643836E-2</v>
      </c>
      <c r="P20" s="1186"/>
      <c r="Q20" s="1187">
        <f>MAX(Q10:Q18)</f>
        <v>1.3197878729406225</v>
      </c>
      <c r="R20" s="1188"/>
      <c r="S20" s="1189">
        <f>MAX(S10:S19)</f>
        <v>1.7418400295611327</v>
      </c>
      <c r="T20" s="1189">
        <f>MAX(T10:T19)</f>
        <v>7.9704611600223618</v>
      </c>
      <c r="U20" s="1190">
        <f>MAX(U10:U19)</f>
        <v>7.2265289542048059</v>
      </c>
      <c r="V20" s="1190">
        <f>MAX(V10:V19)</f>
        <v>0.99999999999999922</v>
      </c>
      <c r="W20" s="1190">
        <f>MAX(W10:W19)</f>
        <v>0.9999999999997522</v>
      </c>
      <c r="X20" s="938">
        <f>MAX(X10:X18)</f>
        <v>1349.894251622806</v>
      </c>
      <c r="Y20" s="1191">
        <f>MAX(Y10:Y18)</f>
        <v>1.3197878729406225</v>
      </c>
      <c r="AB20" s="1192">
        <f>+'Asset Vol_IPO_Late'!Y27</f>
        <v>0.69599999999999995</v>
      </c>
      <c r="AC20" s="1193" t="s">
        <v>1621</v>
      </c>
      <c r="AD20" s="1193"/>
      <c r="AE20" s="1193"/>
      <c r="AF20" s="591"/>
    </row>
    <row r="21" spans="1:35" ht="14.85" customHeight="1">
      <c r="B21" s="941" t="s">
        <v>115</v>
      </c>
      <c r="C21" s="942"/>
      <c r="D21" s="944">
        <f t="shared" ref="D21:K21" si="24">QUARTILE(D10:D18,3)</f>
        <v>205.66506000000001</v>
      </c>
      <c r="E21" s="944">
        <f t="shared" si="24"/>
        <v>9.06297</v>
      </c>
      <c r="F21" s="944">
        <f t="shared" si="24"/>
        <v>0</v>
      </c>
      <c r="G21" s="944">
        <f t="shared" si="24"/>
        <v>0</v>
      </c>
      <c r="H21" s="944">
        <f t="shared" si="24"/>
        <v>9.06297</v>
      </c>
      <c r="I21" s="944">
        <f t="shared" si="24"/>
        <v>205.66506000000001</v>
      </c>
      <c r="J21" s="944">
        <f t="shared" si="24"/>
        <v>57.755760000000002</v>
      </c>
      <c r="K21" s="944">
        <f t="shared" si="24"/>
        <v>178.94606000000002</v>
      </c>
      <c r="L21" s="942"/>
      <c r="M21" s="1046">
        <f>QUARTILE(M10:M18,3)</f>
        <v>0</v>
      </c>
      <c r="N21" s="944">
        <f>QUARTILE(N10:N18,3)</f>
        <v>3.6054794520547944</v>
      </c>
      <c r="O21" s="1194">
        <f>QUARTILE(O10:O18,3)</f>
        <v>2.6484383561643836E-2</v>
      </c>
      <c r="P21" s="1195"/>
      <c r="Q21" s="1196">
        <f>QUARTILE(Q10:Q18,3)</f>
        <v>1.0309921222499077</v>
      </c>
      <c r="R21" s="1197"/>
      <c r="S21" s="1198">
        <f>QUARTILE(S10:S19,3)</f>
        <v>1.0629447561413685</v>
      </c>
      <c r="T21" s="1198">
        <f>QUARTILE(T10:T19,3)</f>
        <v>2.9178710917176729</v>
      </c>
      <c r="U21" s="1199">
        <f>QUARTILE(U10:U19,3)</f>
        <v>1.7543921370666669</v>
      </c>
      <c r="V21" s="1199">
        <f>QUARTILE(V10:V19,3)</f>
        <v>0.99823784992783826</v>
      </c>
      <c r="W21" s="1199">
        <f>QUARTILE(W10:W19,3)</f>
        <v>0.96031833114008891</v>
      </c>
      <c r="X21" s="944">
        <f>QUARTILE(X10:X18,3)</f>
        <v>131.60628510010946</v>
      </c>
      <c r="Y21" s="1200">
        <f>QUARTILE(Y10:Y18,3)</f>
        <v>0.76551434679485497</v>
      </c>
      <c r="AB21" s="1201">
        <f>+'Asset Vol_IPO_Late'!Y29</f>
        <v>0.69596912703737346</v>
      </c>
      <c r="AC21" s="179" t="s">
        <v>1622</v>
      </c>
      <c r="AF21" s="339"/>
    </row>
    <row r="22" spans="1:35" ht="14.85" customHeight="1">
      <c r="B22" s="941" t="s">
        <v>113</v>
      </c>
      <c r="C22" s="942"/>
      <c r="D22" s="944">
        <f t="shared" ref="D22:K22" si="25">AVERAGE(D10:D18)</f>
        <v>349.7861166666666</v>
      </c>
      <c r="E22" s="944">
        <f t="shared" si="25"/>
        <v>11.550082222222223</v>
      </c>
      <c r="F22" s="944">
        <f t="shared" si="25"/>
        <v>0</v>
      </c>
      <c r="G22" s="944">
        <f t="shared" si="25"/>
        <v>-1.1407499999999999E-2</v>
      </c>
      <c r="H22" s="944">
        <f t="shared" si="25"/>
        <v>11.545012222222223</v>
      </c>
      <c r="I22" s="944">
        <f t="shared" si="25"/>
        <v>361.33112888888883</v>
      </c>
      <c r="J22" s="944">
        <f t="shared" si="25"/>
        <v>70.157886666666684</v>
      </c>
      <c r="K22" s="944">
        <f t="shared" si="25"/>
        <v>291.17324222222226</v>
      </c>
      <c r="L22" s="942"/>
      <c r="M22" s="1046">
        <f>AVERAGE(M10:M18)</f>
        <v>0</v>
      </c>
      <c r="N22" s="944">
        <f>AVERAGE(N10:N18)</f>
        <v>3.6054794520547944</v>
      </c>
      <c r="O22" s="1194">
        <f>AVERAGE(O10:O18)</f>
        <v>2.6484383561643839E-2</v>
      </c>
      <c r="P22" s="1195"/>
      <c r="Q22" s="1196">
        <f>AVERAGE(Q10:Q18)</f>
        <v>0.82077889927509873</v>
      </c>
      <c r="R22" s="1197"/>
      <c r="S22" s="1198">
        <f>AVERAGE(S10:S19)</f>
        <v>0.74838589505169339</v>
      </c>
      <c r="T22" s="1198">
        <f>AVERAGE(T10:T19)</f>
        <v>2.2290429444899136</v>
      </c>
      <c r="U22" s="1199">
        <f>AVERAGE(U10:U19)</f>
        <v>1.3380125191446395</v>
      </c>
      <c r="V22" s="1199">
        <f>AVERAGE(V10:V19)</f>
        <v>0.63032902345210162</v>
      </c>
      <c r="W22" s="1199">
        <f>AVERAGE(W10:W19)</f>
        <v>0.53551275170431134</v>
      </c>
      <c r="X22" s="944">
        <f>AVERAGE(X10:X18)</f>
        <v>253.08998713967432</v>
      </c>
      <c r="Y22" s="1200">
        <f>AVERAGE(Y10:Y18)</f>
        <v>0.7737076736000249</v>
      </c>
      <c r="AB22" s="1201">
        <f>+'Asset Vol_IPO_Late'!Y23</f>
        <v>0.69646624513060806</v>
      </c>
      <c r="AC22" s="179" t="s">
        <v>1620</v>
      </c>
      <c r="AF22" s="1202"/>
    </row>
    <row r="23" spans="1:35" ht="14.85" customHeight="1">
      <c r="B23" s="941" t="s">
        <v>44</v>
      </c>
      <c r="C23" s="942"/>
      <c r="D23" s="944">
        <f t="shared" ref="D23:K23" si="26">MEDIAN(D10:D18)</f>
        <v>138.52769000000001</v>
      </c>
      <c r="E23" s="944">
        <f t="shared" si="26"/>
        <v>2.6891699999999998</v>
      </c>
      <c r="F23" s="944">
        <f t="shared" si="26"/>
        <v>0</v>
      </c>
      <c r="G23" s="944">
        <f t="shared" si="26"/>
        <v>0</v>
      </c>
      <c r="H23" s="944">
        <f t="shared" si="26"/>
        <v>2.6891699999999998</v>
      </c>
      <c r="I23" s="944">
        <f t="shared" si="26"/>
        <v>139.01160000000002</v>
      </c>
      <c r="J23" s="944">
        <f t="shared" si="26"/>
        <v>22.523</v>
      </c>
      <c r="K23" s="944">
        <f t="shared" si="26"/>
        <v>125.38888000000001</v>
      </c>
      <c r="L23" s="942"/>
      <c r="M23" s="1046">
        <f>MEDIAN(M10:M18)</f>
        <v>0</v>
      </c>
      <c r="N23" s="944">
        <f>MEDIAN(N10:N18)</f>
        <v>3.6054794520547944</v>
      </c>
      <c r="O23" s="1194">
        <f>MEDIAN(O10:O18)</f>
        <v>2.6484383561643836E-2</v>
      </c>
      <c r="P23" s="1195"/>
      <c r="Q23" s="1196">
        <f>MEDIAN(Q10:Q18)</f>
        <v>0.7169041230096167</v>
      </c>
      <c r="R23" s="1197"/>
      <c r="S23" s="1198">
        <f>MEDIAN(S10:S19)</f>
        <v>0.51395152158818769</v>
      </c>
      <c r="T23" s="1198">
        <f>MEDIAN(T10:T19)</f>
        <v>2.5894568555659276</v>
      </c>
      <c r="U23" s="1199">
        <f>MEDIAN(U10:U19)</f>
        <v>1.2814798725955725</v>
      </c>
      <c r="V23" s="1199">
        <f>MEDIAN(V10:V19)</f>
        <v>0.9951936266089163</v>
      </c>
      <c r="W23" s="1199">
        <f>MEDIAN(W10:W19)</f>
        <v>0.89998741742902189</v>
      </c>
      <c r="X23" s="944">
        <f>MEDIAN(X10:X18)</f>
        <v>28.384096354554522</v>
      </c>
      <c r="Y23" s="1200">
        <f>MEDIAN(Y10:Y18)</f>
        <v>0.69646624513060806</v>
      </c>
      <c r="AB23" s="1203" t="str">
        <f>IF(ROUND(AB20,3)=ROUND(AB22,3),"","Update Volatility - OPM")</f>
        <v/>
      </c>
      <c r="AF23" s="339"/>
    </row>
    <row r="24" spans="1:35" ht="14.85" customHeight="1">
      <c r="B24" s="941" t="s">
        <v>114</v>
      </c>
      <c r="C24" s="942"/>
      <c r="D24" s="944">
        <f t="shared" ref="D24:K24" si="27">QUARTILE(D10:D18,1)</f>
        <v>74.033280000000005</v>
      </c>
      <c r="E24" s="944">
        <f t="shared" si="27"/>
        <v>0</v>
      </c>
      <c r="F24" s="944">
        <f t="shared" si="27"/>
        <v>0</v>
      </c>
      <c r="G24" s="944">
        <f t="shared" si="27"/>
        <v>-1.1407500000000001E-2</v>
      </c>
      <c r="H24" s="944">
        <f t="shared" si="27"/>
        <v>0</v>
      </c>
      <c r="I24" s="944">
        <f t="shared" si="27"/>
        <v>74.033280000000005</v>
      </c>
      <c r="J24" s="944">
        <f t="shared" si="27"/>
        <v>13.622719999999999</v>
      </c>
      <c r="K24" s="944">
        <f t="shared" si="27"/>
        <v>30.731609999999996</v>
      </c>
      <c r="L24" s="942"/>
      <c r="M24" s="1046">
        <f>QUARTILE(M10:M18,1)</f>
        <v>0</v>
      </c>
      <c r="N24" s="944">
        <f>QUARTILE(N10:N18,1)</f>
        <v>3.6054794520547944</v>
      </c>
      <c r="O24" s="1194">
        <f>QUARTILE(O10:O18,1)</f>
        <v>2.6484383561643836E-2</v>
      </c>
      <c r="P24" s="1195"/>
      <c r="Q24" s="1196">
        <f>QUARTILE(Q10:Q18,1)</f>
        <v>0.68884036657096237</v>
      </c>
      <c r="R24" s="1197"/>
      <c r="S24" s="1198">
        <f>QUARTILE(S10:S19,1)</f>
        <v>0.47450105061761783</v>
      </c>
      <c r="T24" s="1198">
        <f>QUARTILE(T10:T19,1)</f>
        <v>0</v>
      </c>
      <c r="U24" s="1199">
        <f>QUARTILE(U10:U19,1)</f>
        <v>0</v>
      </c>
      <c r="V24" s="1199">
        <f>QUARTILE(V10:V19,1)</f>
        <v>0</v>
      </c>
      <c r="W24" s="1199">
        <f>QUARTILE(W10:W19,1)</f>
        <v>0</v>
      </c>
      <c r="X24" s="944">
        <f>QUARTILE(X10:X18,1)</f>
        <v>0</v>
      </c>
      <c r="Y24" s="1200">
        <f>QUARTILE(Y10:Y18,1)</f>
        <v>0.63929419722796277</v>
      </c>
      <c r="AB24" s="1204" t="str">
        <f>IF(ROUND(AB21,3)=ROUND(AB22,3),"","Update Volatility - DLOM")</f>
        <v/>
      </c>
      <c r="AC24" s="264"/>
      <c r="AD24" s="264"/>
      <c r="AE24" s="264"/>
      <c r="AF24" s="701"/>
    </row>
    <row r="25" spans="1:35" ht="14.85" customHeight="1">
      <c r="B25" s="946" t="s">
        <v>112</v>
      </c>
      <c r="C25" s="663"/>
      <c r="D25" s="672">
        <f t="shared" ref="D25:K25" si="28">MIN(D10:D18)</f>
        <v>7.2796900000000004</v>
      </c>
      <c r="E25" s="672">
        <f t="shared" si="28"/>
        <v>0</v>
      </c>
      <c r="F25" s="672">
        <f t="shared" si="28"/>
        <v>0</v>
      </c>
      <c r="G25" s="672">
        <f t="shared" si="28"/>
        <v>-4.5629999999999997E-2</v>
      </c>
      <c r="H25" s="672">
        <f t="shared" si="28"/>
        <v>0</v>
      </c>
      <c r="I25" s="672">
        <f t="shared" si="28"/>
        <v>16.342660000000002</v>
      </c>
      <c r="J25" s="672">
        <f t="shared" si="28"/>
        <v>9.1175599999999992</v>
      </c>
      <c r="K25" s="672">
        <f t="shared" si="28"/>
        <v>3.072160000000002</v>
      </c>
      <c r="L25" s="663"/>
      <c r="M25" s="1048">
        <f>MIN(M10:M18)</f>
        <v>0</v>
      </c>
      <c r="N25" s="672">
        <f>MIN(N10:N18)</f>
        <v>3.6054794520547944</v>
      </c>
      <c r="O25" s="1205">
        <f>MIN(O10:O18)</f>
        <v>2.6484383561643836E-2</v>
      </c>
      <c r="P25" s="1206"/>
      <c r="Q25" s="1207">
        <f>MIN(Q10:Q18)</f>
        <v>0.3917886476836604</v>
      </c>
      <c r="R25" s="1208"/>
      <c r="S25" s="1209">
        <f>MIN(S10:S19)</f>
        <v>0.15349834445379137</v>
      </c>
      <c r="T25" s="1209">
        <f>MIN(T10:T19)</f>
        <v>0</v>
      </c>
      <c r="U25" s="1210">
        <f>MIN(U10:U19)</f>
        <v>-1.4826591682829484</v>
      </c>
      <c r="V25" s="1210">
        <f>MIN(V10:V19)</f>
        <v>0</v>
      </c>
      <c r="W25" s="1210">
        <f>MIN(W10:W19)</f>
        <v>0</v>
      </c>
      <c r="X25" s="672">
        <f>MIN(X10:X18)</f>
        <v>0</v>
      </c>
      <c r="Y25" s="1211">
        <f>MIN(Y10:Y18)</f>
        <v>0.39041433004989617</v>
      </c>
      <c r="AB25" s="324" t="str">
        <f>IF(K27&lt;&gt;K29,"Check","")</f>
        <v/>
      </c>
    </row>
    <row r="26" spans="1:35" ht="14.85" customHeight="1">
      <c r="AB26" s="865" t="str">
        <f>IF(AND(AB23=$AF$24,AB25=$AF$24,AB24=$AF$24),"","Check")</f>
        <v/>
      </c>
    </row>
    <row r="27" spans="1:35" ht="14.85" hidden="1" customHeight="1" outlineLevel="1">
      <c r="B27" s="1212" t="str">
        <f>B2</f>
        <v>Decibel Therapeutics, Inc.</v>
      </c>
      <c r="C27" s="1213" t="s">
        <v>260</v>
      </c>
      <c r="D27" s="1866">
        <f>'Hybrid OPM'!C47/1000</f>
        <v>167</v>
      </c>
      <c r="E27" s="1866">
        <f>-'Hist BS'!$G$71/1000</f>
        <v>0</v>
      </c>
      <c r="F27" s="1214"/>
      <c r="G27" s="1214"/>
      <c r="H27" s="1216">
        <f>SUM(E27:G27)</f>
        <v>0</v>
      </c>
      <c r="I27" s="1216">
        <f>SUM(D27:G27)</f>
        <v>167</v>
      </c>
      <c r="J27" s="1214"/>
      <c r="K27" s="1225">
        <f>I27-J27</f>
        <v>167</v>
      </c>
      <c r="L27" s="1214"/>
      <c r="M27" s="1217">
        <f>'DLOM Hybrid'!F17</f>
        <v>0</v>
      </c>
      <c r="N27" s="1218">
        <f>N$6</f>
        <v>3.6054794520547944</v>
      </c>
      <c r="O27" s="1219">
        <f>O$6</f>
        <v>2.6484383561643836E-2</v>
      </c>
      <c r="P27" s="1220"/>
      <c r="Q27" s="1221">
        <v>0.69599999999999995</v>
      </c>
      <c r="R27" s="1214"/>
      <c r="S27" s="1222">
        <f>IF(Q27="n/a","n/a",Q27^2)</f>
        <v>0.48441599999999996</v>
      </c>
      <c r="T27" s="1222">
        <f>IF(OR(K27="n/a",S27="n/a"),"n/a",IF(H27=0,0,IF(M27=0,(LN(K27/H27)+((O27+(S27/2))*N27))/((S27*N27)^0.5),(LN(K27/H27)+((O27-M27+(S27/2))*N27))/((S27*N27)^0.5))))</f>
        <v>0</v>
      </c>
      <c r="U27" s="1223">
        <f>IF(T27="n/a","n/a",IF(H27=0,0,T27-(S27*N27)^0.5))</f>
        <v>0</v>
      </c>
      <c r="V27" s="1223">
        <f>IF(OR(T27="n/a",S27="n/a"),"n/a",IF(H27=0,0,NORMSDIST(T27)))</f>
        <v>0</v>
      </c>
      <c r="W27" s="1223">
        <f>IF(OR(U27="n/a",S27="n/a"),"n/a",IF(H27=0,0,NORMSDIST(U27)))</f>
        <v>0</v>
      </c>
      <c r="X27" s="1223">
        <f>IF(OR(K27="n/a",S27="n/a"),"n/a",IF(M27=0,(K27*V27)-((H27*EXP(1)^(-O27*N27))*W27),(K27*(2.718^(-M27*N27))*V27)-(H27*(2.718^(-O27*N27))*W27)))</f>
        <v>0</v>
      </c>
      <c r="Y27" s="1224">
        <f>IF(LEN(B27)&gt;0,IF(H27=0,Q27,IF(ISERROR(Q27/((K27/X27)*V27)),"n/a",Q27/((K27/X27)*V27))))</f>
        <v>0.69599999999999995</v>
      </c>
    </row>
    <row r="28" spans="1:35" ht="14.85" hidden="1" customHeight="1" outlineLevel="1"/>
    <row r="29" spans="1:35" ht="14.85" customHeight="1" collapsed="1">
      <c r="B29" s="1212" t="str">
        <f>B27</f>
        <v>Decibel Therapeutics, Inc.</v>
      </c>
      <c r="C29" s="1213" t="s">
        <v>260</v>
      </c>
      <c r="D29" s="1866">
        <f>D27-E29</f>
        <v>58.67883970198578</v>
      </c>
      <c r="E29" s="1866">
        <f>E27+('IPO Waterfall'!E113/1000)</f>
        <v>108.32116029801422</v>
      </c>
      <c r="F29" s="1214"/>
      <c r="G29" s="1214"/>
      <c r="H29" s="1216">
        <f>SUM(E29:G29)</f>
        <v>108.32116029801422</v>
      </c>
      <c r="I29" s="1216">
        <f>SUM(D29:G29)</f>
        <v>167</v>
      </c>
      <c r="J29" s="1214"/>
      <c r="K29" s="1225">
        <f>I29-J29</f>
        <v>167</v>
      </c>
      <c r="L29" s="1214"/>
      <c r="M29" s="1226">
        <f>M27</f>
        <v>0</v>
      </c>
      <c r="N29" s="1218">
        <f>N$6</f>
        <v>3.6054794520547944</v>
      </c>
      <c r="O29" s="1219">
        <f>O$6</f>
        <v>2.6484383561643836E-2</v>
      </c>
      <c r="P29" s="1220"/>
      <c r="Q29" s="1221">
        <v>0.87528275802658995</v>
      </c>
      <c r="R29" s="1214"/>
      <c r="S29" s="1222">
        <f>IF(Q29="n/a","n/a",Q29^2)</f>
        <v>0.76611990649863404</v>
      </c>
      <c r="T29" s="1222">
        <f>IF(OR(K29="n/a",S29="n/a"),"n/a",IF(H29=0,0,IF(M29=0,(LN(K29/H29)+((O29+(S29/2))*N29))/((S29*N29)^0.5),(LN(K29/H29)+((O29-M29+(S29/2))*N29))/((S29*N29)^0.5))))</f>
        <v>1.148918150763657</v>
      </c>
      <c r="U29" s="1223">
        <f>IF(T29="n/a","n/a",IF(H29=0,0,T29-(S29*N29)^0.5))</f>
        <v>-0.51307751129174228</v>
      </c>
      <c r="V29" s="1223">
        <f>IF(OR(T29="n/a",S29="n/a"),"n/a",IF(H29=0,0,NORMSDIST(T29)))</f>
        <v>0.87470513376308079</v>
      </c>
      <c r="W29" s="1223">
        <f>IF(OR(U29="n/a",S29="n/a"),"n/a",IF(H29=0,0,NORMSDIST(U29)))</f>
        <v>0.30394855094142981</v>
      </c>
      <c r="X29" s="1223">
        <f>IF(OR(K29="n/a",S29="n/a"),"n/a",IF(M29=0,(K29*V29)-((H29*EXP(1)^(-O29*N29))*W29),(K29*(2.718^(-M29*N29))*V29)-(H29*(2.718^(-O29*N29))*W29)))</f>
        <v>116.1501427782781</v>
      </c>
      <c r="Y29" s="1224">
        <f>IF(LEN(B29)&gt;0,IF(H29=0,Q29,IF(ISERROR(Q29/((K29/X29)*V29)),"n/a",Q29/((K29/X29)*V29))))</f>
        <v>0.69596912703737346</v>
      </c>
    </row>
    <row r="30" spans="1:35" ht="14.85" customHeight="1"/>
    <row r="31" spans="1:35" ht="14.85" customHeight="1">
      <c r="B31" s="272" t="s">
        <v>86</v>
      </c>
    </row>
    <row r="32" spans="1:35" ht="14.85" customHeight="1">
      <c r="A32" s="273" t="s">
        <v>261</v>
      </c>
      <c r="B32" s="202" t="s">
        <v>3230</v>
      </c>
    </row>
    <row r="33" spans="1:26" s="275" customFormat="1" ht="14.85" hidden="1" customHeight="1" outlineLevel="1">
      <c r="A33" s="273" t="s">
        <v>260</v>
      </c>
      <c r="B33" s="202" t="s">
        <v>961</v>
      </c>
      <c r="C33" s="179"/>
      <c r="D33" s="179"/>
      <c r="E33" s="179"/>
      <c r="F33" s="179"/>
      <c r="G33" s="179"/>
      <c r="H33" s="179"/>
      <c r="I33" s="179"/>
      <c r="J33" s="179"/>
      <c r="K33" s="179"/>
      <c r="L33" s="179"/>
      <c r="M33" s="179"/>
      <c r="N33" s="179"/>
      <c r="O33" s="179"/>
      <c r="P33" s="549"/>
      <c r="Q33" s="179"/>
      <c r="R33" s="179"/>
      <c r="S33" s="179"/>
      <c r="T33" s="179"/>
      <c r="U33" s="179"/>
      <c r="V33" s="179"/>
      <c r="W33" s="179"/>
      <c r="X33" s="179"/>
      <c r="Y33" s="179"/>
      <c r="Z33" s="179"/>
    </row>
    <row r="34" spans="1:26" s="275" customFormat="1" ht="14.85" customHeight="1" collapsed="1">
      <c r="A34" s="273" t="s">
        <v>260</v>
      </c>
      <c r="B34" s="202" t="s">
        <v>3820</v>
      </c>
      <c r="C34" s="179"/>
      <c r="D34" s="179"/>
      <c r="E34" s="179"/>
      <c r="F34" s="179"/>
      <c r="G34" s="179"/>
      <c r="H34" s="179"/>
      <c r="I34" s="179"/>
      <c r="J34" s="179"/>
      <c r="K34" s="179"/>
      <c r="L34" s="179"/>
      <c r="M34" s="179"/>
      <c r="N34" s="179"/>
      <c r="O34" s="179"/>
      <c r="P34" s="549"/>
      <c r="Q34" s="179"/>
      <c r="R34" s="179"/>
      <c r="S34" s="179"/>
      <c r="T34" s="179"/>
      <c r="U34" s="179"/>
      <c r="V34" s="179"/>
      <c r="W34" s="179"/>
      <c r="X34" s="179"/>
      <c r="Y34" s="179"/>
      <c r="Z34" s="179"/>
    </row>
    <row r="35" spans="1:26" ht="14.85" customHeight="1"/>
    <row r="36" spans="1:26" ht="14.85" customHeight="1">
      <c r="B36" s="272" t="s">
        <v>116</v>
      </c>
    </row>
    <row r="37" spans="1:26" ht="14.85" customHeight="1"/>
    <row r="38" spans="1:26" ht="14.85" customHeight="1">
      <c r="B38" s="179" t="s">
        <v>1650</v>
      </c>
    </row>
    <row r="39" spans="1:26" ht="14.85" customHeight="1">
      <c r="B39" s="179" t="s">
        <v>1651</v>
      </c>
    </row>
    <row r="40" spans="1:26" ht="14.85" customHeight="1">
      <c r="B40" s="179" t="s">
        <v>1652</v>
      </c>
    </row>
    <row r="41" spans="1:26" ht="14.85" customHeight="1">
      <c r="B41" s="179" t="s">
        <v>1653</v>
      </c>
    </row>
    <row r="42" spans="1:26" ht="14.85" customHeight="1">
      <c r="B42" s="179" t="s">
        <v>1654</v>
      </c>
    </row>
    <row r="43" spans="1:26" ht="14.85" customHeight="1">
      <c r="B43" s="179" t="s">
        <v>1655</v>
      </c>
    </row>
    <row r="44" spans="1:26" ht="14.85" customHeight="1">
      <c r="B44" s="179" t="s">
        <v>1656</v>
      </c>
    </row>
    <row r="45" spans="1:26" ht="14.85" customHeight="1"/>
    <row r="46" spans="1:26" ht="14.85" customHeight="1">
      <c r="B46" s="179" t="s">
        <v>1657</v>
      </c>
    </row>
    <row r="47" spans="1:26" ht="14.85" customHeight="1">
      <c r="B47" s="179" t="s">
        <v>1658</v>
      </c>
    </row>
    <row r="48" spans="1:26" ht="14.85" customHeight="1">
      <c r="B48" s="179" t="s">
        <v>1659</v>
      </c>
    </row>
    <row r="49" spans="2:2" ht="14.85" customHeight="1">
      <c r="B49" s="179" t="s">
        <v>1660</v>
      </c>
    </row>
    <row r="50" spans="2:2" ht="14.85" customHeight="1">
      <c r="B50" s="179" t="s">
        <v>1661</v>
      </c>
    </row>
    <row r="51" spans="2:2" ht="14.85" customHeight="1">
      <c r="B51" s="179" t="s">
        <v>1662</v>
      </c>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sheetData>
  <conditionalFormatting sqref="B10:B18">
    <cfRule type="cellIs" dxfId="224" priority="9" operator="equal">
      <formula>"(Invalid Identifier)"</formula>
    </cfRule>
  </conditionalFormatting>
  <conditionalFormatting sqref="C4:I4">
    <cfRule type="cellIs" dxfId="223" priority="8" stopIfTrue="1" operator="equal">
      <formula>"input"</formula>
    </cfRule>
  </conditionalFormatting>
  <conditionalFormatting sqref="J4">
    <cfRule type="cellIs" dxfId="222" priority="6" stopIfTrue="1" operator="equal">
      <formula>"input"</formula>
    </cfRule>
  </conditionalFormatting>
  <conditionalFormatting sqref="J4">
    <cfRule type="cellIs" dxfId="221" priority="7" stopIfTrue="1" operator="equal">
      <formula>"input"</formula>
    </cfRule>
  </conditionalFormatting>
  <conditionalFormatting sqref="K4:X4">
    <cfRule type="cellIs" dxfId="220" priority="4" stopIfTrue="1" operator="equal">
      <formula>"input"</formula>
    </cfRule>
  </conditionalFormatting>
  <conditionalFormatting sqref="K4:X4">
    <cfRule type="cellIs" dxfId="219" priority="5" stopIfTrue="1" operator="equal">
      <formula>"input"</formula>
    </cfRule>
  </conditionalFormatting>
  <conditionalFormatting sqref="Y4">
    <cfRule type="cellIs" dxfId="218" priority="2" stopIfTrue="1" operator="equal">
      <formula>"input"</formula>
    </cfRule>
  </conditionalFormatting>
  <conditionalFormatting sqref="Y4">
    <cfRule type="cellIs" dxfId="217" priority="3" stopIfTrue="1" operator="equal">
      <formula>"input"</formula>
    </cfRule>
  </conditionalFormatting>
  <conditionalFormatting sqref="B4">
    <cfRule type="cellIs" dxfId="216" priority="1" stopIfTrue="1" operator="equal">
      <formula>"input"</formula>
    </cfRule>
  </conditionalFormatting>
  <pageMargins left="0.5" right="0.5" top="0.5" bottom="0.5" header="0.5" footer="0.5"/>
  <pageSetup scale="75" fitToWidth="0" fitToHeight="0" orientation="landscape" r:id="rId1"/>
  <legacyDrawingHF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dimension ref="B1:P730"/>
  <sheetViews>
    <sheetView showGridLines="0" view="pageBreakPreview" zoomScale="80" zoomScaleNormal="100" zoomScaleSheetLayoutView="80" workbookViewId="0">
      <selection activeCell="G20" sqref="G20"/>
    </sheetView>
  </sheetViews>
  <sheetFormatPr defaultRowHeight="12.75"/>
  <cols>
    <col min="1" max="1" width="4.5" style="179" customWidth="1"/>
    <col min="2" max="2" width="81.33203125" style="179" customWidth="1"/>
    <col min="3" max="3" width="2.83203125" style="179" customWidth="1"/>
    <col min="4" max="5" width="29.5" style="179" customWidth="1"/>
    <col min="6" max="6" width="4.5" style="179" customWidth="1"/>
    <col min="7" max="7" width="20.83203125" style="179" customWidth="1"/>
    <col min="8" max="8" width="1.83203125" style="179" customWidth="1"/>
    <col min="9" max="9" width="12.83203125" style="179" customWidth="1"/>
    <col min="10" max="10" width="20.83203125" style="179" customWidth="1"/>
    <col min="11" max="11" width="1.83203125" style="179" customWidth="1"/>
    <col min="12" max="12" width="3.1640625" style="179" bestFit="1" customWidth="1"/>
    <col min="13" max="13" width="12.83203125" style="179" customWidth="1"/>
    <col min="14" max="14" width="20.83203125" style="179" customWidth="1"/>
    <col min="15" max="15" width="14.5" style="179" hidden="1" customWidth="1"/>
    <col min="16" max="16" width="12.83203125" style="179" hidden="1" customWidth="1"/>
    <col min="17" max="16384" width="9.33203125" style="179"/>
  </cols>
  <sheetData>
    <row r="1" spans="2:16" ht="10.7" customHeight="1" thickBot="1"/>
    <row r="2" spans="2:16" ht="16.5" customHeight="1" thickTop="1">
      <c r="B2" s="187" t="str">
        <f>'MASTER PubCo Inputs'!$C$5</f>
        <v>Decibel Therapeutics, Inc.</v>
      </c>
      <c r="C2" s="187"/>
      <c r="D2" s="187"/>
      <c r="E2" s="187"/>
    </row>
    <row r="3" spans="2:16" ht="15.75" customHeight="1">
      <c r="B3" s="188" t="str">
        <f>VLOOKUP(B4,Outline!$E$8:$G$75,COLUMNS(Outline!$E$8:$G$8),FALSE)</f>
        <v>Workpaper #11</v>
      </c>
      <c r="C3" s="188"/>
      <c r="D3" s="188"/>
      <c r="E3" s="188"/>
    </row>
    <row r="4" spans="2:16" ht="16.5" customHeight="1" thickBot="1">
      <c r="B4" s="726" t="s">
        <v>3836</v>
      </c>
      <c r="C4" s="726"/>
      <c r="D4" s="726"/>
      <c r="E4" s="726"/>
      <c r="G4" s="1231" t="s">
        <v>485</v>
      </c>
      <c r="H4" s="1246"/>
      <c r="I4" s="1247">
        <f>+'OPM 1'!$D$10</f>
        <v>2.5</v>
      </c>
      <c r="J4" s="1809" t="s">
        <v>1992</v>
      </c>
      <c r="K4" s="1834"/>
      <c r="L4" s="1835">
        <f>'OPM 1 Hybrid'!D10</f>
        <v>2.5</v>
      </c>
      <c r="M4" s="1145" t="s">
        <v>2046</v>
      </c>
      <c r="N4" s="1836" t="s">
        <v>1206</v>
      </c>
      <c r="O4" s="1146" t="s">
        <v>2048</v>
      </c>
      <c r="P4" s="1248" t="s">
        <v>2049</v>
      </c>
    </row>
    <row r="5" spans="2:16" ht="14.85" customHeight="1" thickTop="1">
      <c r="G5" s="1231" t="s">
        <v>87</v>
      </c>
      <c r="H5" s="1246"/>
      <c r="I5" s="1249">
        <f>'MASTER PubCo Inputs'!$C$6</f>
        <v>43245</v>
      </c>
      <c r="M5" s="338"/>
      <c r="N5" s="316"/>
      <c r="P5" s="339"/>
    </row>
    <row r="6" spans="2:16" ht="14.85" customHeight="1">
      <c r="G6" s="1231" t="s">
        <v>484</v>
      </c>
      <c r="H6" s="1246"/>
      <c r="I6" s="1247">
        <f>DLOM_OPM!D14</f>
        <v>3.5</v>
      </c>
      <c r="J6" s="1809" t="s">
        <v>2007</v>
      </c>
      <c r="K6" s="1834"/>
      <c r="L6" s="1835">
        <f>'DLOM Hybrid'!G15</f>
        <v>3.5</v>
      </c>
      <c r="M6" s="1250">
        <f>'DLOM Hybrid'!E15</f>
        <v>1.6027397260273972</v>
      </c>
      <c r="N6" s="1837">
        <f>'DLOM Hybrid'!F15</f>
        <v>3.6054794520547944</v>
      </c>
      <c r="O6" s="1251">
        <v>2</v>
      </c>
      <c r="P6" s="1252">
        <v>2</v>
      </c>
    </row>
    <row r="7" spans="2:16" s="200" customFormat="1" ht="14.85" customHeight="1">
      <c r="B7" s="1253" t="s">
        <v>127</v>
      </c>
      <c r="D7" s="1254" t="s">
        <v>126</v>
      </c>
      <c r="E7" s="1255" t="s">
        <v>72</v>
      </c>
      <c r="G7" s="1256" t="s">
        <v>128</v>
      </c>
      <c r="H7" s="1257"/>
      <c r="I7" s="1257" t="s">
        <v>129</v>
      </c>
      <c r="J7" s="1258" t="s">
        <v>130</v>
      </c>
    </row>
    <row r="8" spans="2:16" ht="14.85" customHeight="1"/>
    <row r="9" spans="2:16" ht="14.85" customHeight="1">
      <c r="B9" s="179" t="str">
        <f>'Capital IQ Sheet-GPC'!E57</f>
        <v>United States Treasury Constant Maturity - 1 Month</v>
      </c>
      <c r="D9" s="325">
        <f>'Capital IQ Sheet-GPC'!C57</f>
        <v>8.3333333333333329E-2</v>
      </c>
      <c r="E9" s="360">
        <f>'Capital IQ Sheet-GPC'!D57</f>
        <v>1.7000000000000001E-2</v>
      </c>
      <c r="G9" s="1259">
        <f>'Capital IQ Sheet-GPC'!B79</f>
        <v>0</v>
      </c>
      <c r="H9" s="325"/>
      <c r="I9" s="1260">
        <v>0</v>
      </c>
      <c r="J9" s="325">
        <f>D10</f>
        <v>0.25</v>
      </c>
    </row>
    <row r="10" spans="2:16" ht="14.85" customHeight="1">
      <c r="B10" s="179" t="str">
        <f>'Capital IQ Sheet-GPC'!E58</f>
        <v>United States Treasury Constant Maturity - 3 Month</v>
      </c>
      <c r="D10" s="325">
        <f>'Capital IQ Sheet-GPC'!C58</f>
        <v>0.25</v>
      </c>
      <c r="E10" s="360">
        <f>'Capital IQ Sheet-GPC'!D58</f>
        <v>1.9E-2</v>
      </c>
      <c r="G10" s="1259">
        <f>'Capital IQ Sheet-GPC'!B80</f>
        <v>0</v>
      </c>
      <c r="H10" s="325"/>
      <c r="I10" s="325">
        <f>D9</f>
        <v>8.3333333333333329E-2</v>
      </c>
      <c r="J10" s="325">
        <f>D11</f>
        <v>0.5</v>
      </c>
    </row>
    <row r="11" spans="2:16" ht="14.85" customHeight="1">
      <c r="B11" s="179" t="str">
        <f>'Capital IQ Sheet-GPC'!E59</f>
        <v>United States Treasury Constant Maturity - 6 Month</v>
      </c>
      <c r="D11" s="325">
        <f>'Capital IQ Sheet-GPC'!C59</f>
        <v>0.5</v>
      </c>
      <c r="E11" s="360">
        <f>'Capital IQ Sheet-GPC'!D59</f>
        <v>2.07E-2</v>
      </c>
      <c r="G11" s="1259">
        <f>'Capital IQ Sheet-GPC'!B81</f>
        <v>0</v>
      </c>
      <c r="H11" s="325"/>
      <c r="I11" s="325">
        <f t="shared" ref="I11:I19" si="0">D10</f>
        <v>0.25</v>
      </c>
      <c r="J11" s="325">
        <f t="shared" ref="J11:J18" si="1">D12</f>
        <v>1</v>
      </c>
    </row>
    <row r="12" spans="2:16" ht="14.85" customHeight="1">
      <c r="B12" s="179" t="str">
        <f>'Capital IQ Sheet-GPC'!E60</f>
        <v>United States Treasury Constant Maturity - 1 Year</v>
      </c>
      <c r="D12" s="325">
        <f>'Capital IQ Sheet-GPC'!C60</f>
        <v>1</v>
      </c>
      <c r="E12" s="360">
        <f>'Capital IQ Sheet-GPC'!D60</f>
        <v>2.2700000000000001E-2</v>
      </c>
      <c r="G12" s="1259">
        <f>'Capital IQ Sheet-GPC'!B82</f>
        <v>0</v>
      </c>
      <c r="H12" s="325"/>
      <c r="I12" s="325">
        <f t="shared" si="0"/>
        <v>0.5</v>
      </c>
      <c r="J12" s="325">
        <f t="shared" si="1"/>
        <v>2</v>
      </c>
    </row>
    <row r="13" spans="2:16" ht="14.85" customHeight="1">
      <c r="B13" s="179" t="str">
        <f>'Capital IQ Sheet-GPC'!E61</f>
        <v>United States Treasury Constant Maturity - 2 Year</v>
      </c>
      <c r="D13" s="325">
        <f>'Capital IQ Sheet-GPC'!C61</f>
        <v>2</v>
      </c>
      <c r="E13" s="360">
        <f>'Capital IQ Sheet-GPC'!D61</f>
        <v>2.4799999999999999E-2</v>
      </c>
      <c r="G13" s="1259">
        <f>'Capital IQ Sheet-GPC'!B83</f>
        <v>0</v>
      </c>
      <c r="H13" s="325"/>
      <c r="I13" s="325">
        <f t="shared" si="0"/>
        <v>1</v>
      </c>
      <c r="J13" s="325">
        <f t="shared" si="1"/>
        <v>3</v>
      </c>
    </row>
    <row r="14" spans="2:16" ht="14.85" customHeight="1">
      <c r="B14" s="179" t="str">
        <f>'Capital IQ Sheet-GPC'!E62</f>
        <v>United States Treasury Constant Maturity - 3 Year</v>
      </c>
      <c r="D14" s="325">
        <f>'Capital IQ Sheet-GPC'!C62</f>
        <v>3</v>
      </c>
      <c r="E14" s="360">
        <f>'Capital IQ Sheet-GPC'!D62</f>
        <v>2.6000000000000002E-2</v>
      </c>
      <c r="G14" s="1259">
        <f>'Capital IQ Sheet-GPC'!B84</f>
        <v>0</v>
      </c>
      <c r="H14" s="325"/>
      <c r="I14" s="325">
        <f t="shared" si="0"/>
        <v>2</v>
      </c>
      <c r="J14" s="325">
        <f t="shared" si="1"/>
        <v>5</v>
      </c>
    </row>
    <row r="15" spans="2:16" ht="14.85" customHeight="1">
      <c r="B15" s="179" t="str">
        <f>'Capital IQ Sheet-GPC'!E63</f>
        <v>United States Treasury Constant Maturity - 5 Year</v>
      </c>
      <c r="D15" s="325">
        <f>'Capital IQ Sheet-GPC'!C63</f>
        <v>5</v>
      </c>
      <c r="E15" s="360">
        <f>'Capital IQ Sheet-GPC'!D63</f>
        <v>2.76E-2</v>
      </c>
      <c r="G15" s="1259">
        <f>'Capital IQ Sheet-GPC'!B85</f>
        <v>0</v>
      </c>
      <c r="H15" s="325"/>
      <c r="I15" s="325">
        <f t="shared" si="0"/>
        <v>3</v>
      </c>
      <c r="J15" s="325">
        <f t="shared" si="1"/>
        <v>7</v>
      </c>
    </row>
    <row r="16" spans="2:16" ht="14.85" customHeight="1">
      <c r="B16" s="179" t="str">
        <f>'Capital IQ Sheet-GPC'!E64</f>
        <v>United States Treasury Constant Maturity - 7 Year</v>
      </c>
      <c r="D16" s="325">
        <f>'Capital IQ Sheet-GPC'!C64</f>
        <v>7</v>
      </c>
      <c r="E16" s="360">
        <f>'Capital IQ Sheet-GPC'!D64</f>
        <v>2.8799999999999999E-2</v>
      </c>
      <c r="G16" s="1259">
        <f>'Capital IQ Sheet-GPC'!B86</f>
        <v>0</v>
      </c>
      <c r="H16" s="325"/>
      <c r="I16" s="325">
        <f t="shared" si="0"/>
        <v>5</v>
      </c>
      <c r="J16" s="325">
        <f t="shared" si="1"/>
        <v>10</v>
      </c>
    </row>
    <row r="17" spans="2:10" ht="14.85" customHeight="1">
      <c r="B17" s="179" t="str">
        <f>'Capital IQ Sheet-GPC'!E65</f>
        <v>United States Treasury Constant Maturity - 10 Year</v>
      </c>
      <c r="D17" s="325">
        <f>'Capital IQ Sheet-GPC'!C65</f>
        <v>10</v>
      </c>
      <c r="E17" s="360">
        <f>'Capital IQ Sheet-GPC'!D65</f>
        <v>2.9300000000000003E-2</v>
      </c>
      <c r="G17" s="1259">
        <f>'Capital IQ Sheet-GPC'!B87</f>
        <v>0</v>
      </c>
      <c r="H17" s="325"/>
      <c r="I17" s="325">
        <f t="shared" si="0"/>
        <v>7</v>
      </c>
      <c r="J17" s="325">
        <f t="shared" si="1"/>
        <v>20</v>
      </c>
    </row>
    <row r="18" spans="2:10" ht="14.85" customHeight="1">
      <c r="B18" s="179" t="str">
        <f>'Capital IQ Sheet-GPC'!E66</f>
        <v>United States Treasury Constant Maturity - 20 Year</v>
      </c>
      <c r="D18" s="325">
        <f>'Capital IQ Sheet-GPC'!C66</f>
        <v>20</v>
      </c>
      <c r="E18" s="360">
        <f>'Capital IQ Sheet-GPC'!D66</f>
        <v>3.0099999999999998E-2</v>
      </c>
      <c r="G18" s="1259">
        <f>'Capital IQ Sheet-GPC'!B88</f>
        <v>0</v>
      </c>
      <c r="H18" s="325"/>
      <c r="I18" s="325">
        <f t="shared" si="0"/>
        <v>10</v>
      </c>
      <c r="J18" s="325">
        <f t="shared" si="1"/>
        <v>30</v>
      </c>
    </row>
    <row r="19" spans="2:10" ht="14.85" customHeight="1">
      <c r="B19" s="179" t="str">
        <f>'Capital IQ Sheet-GPC'!E67</f>
        <v>United States Treasury Constant Maturity - 30 Year</v>
      </c>
      <c r="D19" s="325">
        <f>'Capital IQ Sheet-GPC'!C67</f>
        <v>30</v>
      </c>
      <c r="E19" s="360">
        <f>'Capital IQ Sheet-GPC'!D67</f>
        <v>3.0899999999999997E-2</v>
      </c>
      <c r="G19" s="1259">
        <f>'Capital IQ Sheet-GPC'!B89</f>
        <v>0</v>
      </c>
      <c r="H19" s="325"/>
      <c r="I19" s="325">
        <f t="shared" si="0"/>
        <v>20</v>
      </c>
      <c r="J19" s="1261"/>
    </row>
    <row r="20" spans="2:10" ht="14.85" customHeight="1"/>
    <row r="21" spans="2:10" ht="14.85" customHeight="1">
      <c r="B21" s="1262" t="s">
        <v>2053</v>
      </c>
      <c r="C21" s="1263"/>
      <c r="D21" s="1263"/>
      <c r="E21" s="1264"/>
      <c r="H21" s="549"/>
      <c r="I21" s="549"/>
      <c r="J21" s="549"/>
    </row>
    <row r="22" spans="2:10" ht="14.85" customHeight="1">
      <c r="B22" s="636" t="s">
        <v>129</v>
      </c>
      <c r="C22" s="637"/>
      <c r="D22" s="1265">
        <f>SUMIFS($D$9:$D$19,$D$9:$D$19,"&lt;"&amp;D24,J$9:J$19,"&gt;"&amp;D24)</f>
        <v>1</v>
      </c>
      <c r="E22" s="1266">
        <f>IF(ISERROR(VLOOKUP(D22,$D$9:$E$19,COLUMNS($D$7:$E$7),FALSE)), "n/a", VLOOKUP(D22,$D$9:$E$19,COLUMNS($D$7:$E$7),FALSE))</f>
        <v>2.2700000000000001E-2</v>
      </c>
      <c r="G22" s="1267"/>
      <c r="H22" s="549"/>
      <c r="I22" s="549"/>
      <c r="J22" s="549"/>
    </row>
    <row r="23" spans="2:10" ht="14.85" customHeight="1">
      <c r="B23" s="636" t="s">
        <v>130</v>
      </c>
      <c r="C23" s="637"/>
      <c r="D23" s="1265">
        <f>SUMIFS($D$9:$D$19,$D$9:$D$19,"&gt;"&amp;D24,I$9:I$19,"&lt;"&amp;D24)</f>
        <v>2</v>
      </c>
      <c r="E23" s="1266">
        <f>IF(ISERROR(VLOOKUP(D23,$D$9:$E$19,COLUMNS($D$7:$E$7),FALSE)), "n/a", VLOOKUP(D23,$D$9:$E$19,COLUMNS($D$7:$E$7),FALSE))</f>
        <v>2.4799999999999999E-2</v>
      </c>
      <c r="G23" s="360"/>
      <c r="H23" s="549"/>
      <c r="I23" s="549"/>
      <c r="J23" s="549"/>
    </row>
    <row r="24" spans="2:10" ht="14.85" customHeight="1">
      <c r="B24" s="636" t="s">
        <v>102</v>
      </c>
      <c r="C24" s="637"/>
      <c r="D24" s="1265">
        <f>M6</f>
        <v>1.6027397260273972</v>
      </c>
      <c r="E24" s="1266">
        <f>IF(ISERROR(+E22+(E23-E22)/(D23-D22)*(D24-D22)), "n/a", +E22+(E23-E22)/(D23-D22)*(D24-D22))</f>
        <v>2.3965753424657534E-2</v>
      </c>
      <c r="H24" s="549"/>
      <c r="I24" s="549"/>
      <c r="J24" s="549"/>
    </row>
    <row r="25" spans="2:10" ht="14.85" customHeight="1">
      <c r="B25" s="636" t="s">
        <v>142</v>
      </c>
      <c r="C25" s="637"/>
      <c r="D25" s="1265">
        <f>D24</f>
        <v>1.6027397260273972</v>
      </c>
      <c r="E25" s="1266" t="str">
        <f>IF(ISERROR(VLOOKUP(D25,$D$9:$E$19,COLUMNS($D$7:$E$7),FALSE)), "n/a", VLOOKUP(D25,$D$9:$E$19,COLUMNS($D$7:$E$7),FALSE))</f>
        <v>n/a</v>
      </c>
      <c r="H25" s="549"/>
      <c r="I25" s="549"/>
      <c r="J25" s="549"/>
    </row>
    <row r="26" spans="2:10" ht="14.85" customHeight="1">
      <c r="B26" s="674"/>
      <c r="C26" s="637"/>
      <c r="D26" s="637"/>
      <c r="E26" s="1268"/>
      <c r="H26" s="549"/>
      <c r="I26" s="549"/>
      <c r="J26" s="549"/>
    </row>
    <row r="27" spans="2:10" ht="14.85" customHeight="1">
      <c r="B27" s="946" t="s">
        <v>143</v>
      </c>
      <c r="C27" s="1269"/>
      <c r="D27" s="1269"/>
      <c r="E27" s="1270">
        <f>IF(E24="n/a",E25,E24)</f>
        <v>2.3965753424657534E-2</v>
      </c>
      <c r="H27" s="548"/>
      <c r="I27" s="548"/>
      <c r="J27" s="548"/>
    </row>
    <row r="28" spans="2:10" ht="14.85" customHeight="1">
      <c r="H28" s="549"/>
      <c r="I28" s="549"/>
      <c r="J28" s="549"/>
    </row>
    <row r="29" spans="2:10" ht="14.85" customHeight="1">
      <c r="B29" s="1262" t="s">
        <v>3762</v>
      </c>
      <c r="C29" s="1263"/>
      <c r="D29" s="1263"/>
      <c r="E29" s="1264"/>
      <c r="H29" s="549"/>
      <c r="I29" s="549"/>
      <c r="J29" s="549"/>
    </row>
    <row r="30" spans="2:10" ht="14.85" customHeight="1">
      <c r="B30" s="636" t="s">
        <v>129</v>
      </c>
      <c r="C30" s="637"/>
      <c r="D30" s="1265">
        <f>SUMIFS($D$9:$D$19,$D$9:$D$19,"&lt;"&amp;D32,$J$9:$J$19,"&gt;"&amp;D32)</f>
        <v>3</v>
      </c>
      <c r="E30" s="1266">
        <f>IF(ISERROR(VLOOKUP(D30,$D$9:$E$19,COLUMNS($D$7:$E$7),FALSE)), "n/a", VLOOKUP(D30,$D$9:$E$19,COLUMNS($D$7:$E$7),FALSE))</f>
        <v>2.6000000000000002E-2</v>
      </c>
      <c r="H30" s="549"/>
      <c r="I30" s="549"/>
      <c r="J30" s="549"/>
    </row>
    <row r="31" spans="2:10" ht="14.85" customHeight="1">
      <c r="B31" s="636" t="s">
        <v>130</v>
      </c>
      <c r="C31" s="637"/>
      <c r="D31" s="1265">
        <f>SUMIFS($D$9:$D$19,$D$9:$D$19,"&gt;"&amp;D32,$I$9:$I$19,"&lt;"&amp;D32)</f>
        <v>5</v>
      </c>
      <c r="E31" s="1266">
        <f>IF(ISERROR(VLOOKUP(D31,$D$9:$E$19,COLUMNS($D$7:$E$7),FALSE)), "n/a", VLOOKUP(D31,$D$9:$E$19,COLUMNS($D$7:$E$7),FALSE))</f>
        <v>2.76E-2</v>
      </c>
      <c r="G31" s="257"/>
      <c r="H31" s="549"/>
      <c r="I31" s="549"/>
      <c r="J31" s="549"/>
    </row>
    <row r="32" spans="2:10" ht="14.85" customHeight="1">
      <c r="B32" s="636" t="s">
        <v>102</v>
      </c>
      <c r="C32" s="637"/>
      <c r="D32" s="1265">
        <f>N6</f>
        <v>3.6054794520547944</v>
      </c>
      <c r="E32" s="1266">
        <f>IF(ISERROR(+E30+(E31-E30)/(D31-D30)*(D32-D30)), "n/a", +E30+(E31-E30)/(D31-D30)*(D32-D30))</f>
        <v>2.6484383561643836E-2</v>
      </c>
      <c r="H32" s="549"/>
      <c r="I32" s="549"/>
      <c r="J32" s="549"/>
    </row>
    <row r="33" spans="2:10" ht="14.85" customHeight="1">
      <c r="B33" s="636" t="s">
        <v>142</v>
      </c>
      <c r="C33" s="637"/>
      <c r="D33" s="1265">
        <f>D32</f>
        <v>3.6054794520547944</v>
      </c>
      <c r="E33" s="1266" t="str">
        <f>IF(ISERROR(VLOOKUP(D33,$D$9:$E$19,COLUMNS($D$7:$E$7),FALSE)), "n/a", VLOOKUP(D33,$D$9:$E$19,COLUMNS($D$7:$E$7),FALSE))</f>
        <v>n/a</v>
      </c>
      <c r="H33" s="549"/>
      <c r="I33" s="549"/>
      <c r="J33" s="549"/>
    </row>
    <row r="34" spans="2:10" ht="14.85" customHeight="1">
      <c r="B34" s="674"/>
      <c r="C34" s="637"/>
      <c r="D34" s="637"/>
      <c r="E34" s="1268"/>
      <c r="H34" s="549"/>
      <c r="I34" s="549"/>
      <c r="J34" s="549"/>
    </row>
    <row r="35" spans="2:10" ht="14.85" customHeight="1">
      <c r="B35" s="946" t="s">
        <v>143</v>
      </c>
      <c r="C35" s="1269"/>
      <c r="D35" s="1269"/>
      <c r="E35" s="1270">
        <f>IF(E32="n/a",E33,E32)</f>
        <v>2.6484383561643836E-2</v>
      </c>
      <c r="H35" s="548"/>
      <c r="I35" s="548"/>
      <c r="J35" s="548"/>
    </row>
    <row r="36" spans="2:10" ht="14.85" customHeight="1"/>
    <row r="37" spans="2:10" ht="14.85" customHeight="1">
      <c r="B37" s="1262" t="s">
        <v>3636</v>
      </c>
      <c r="C37" s="1263"/>
      <c r="D37" s="1263"/>
      <c r="E37" s="1264"/>
      <c r="H37" s="549"/>
      <c r="I37" s="549"/>
      <c r="J37" s="549"/>
    </row>
    <row r="38" spans="2:10" ht="14.85" customHeight="1">
      <c r="B38" s="636" t="s">
        <v>129</v>
      </c>
      <c r="C38" s="637"/>
      <c r="D38" s="1265">
        <f>SUMIFS($D$9:$D$19,$D$9:$D$19,"&lt;"&amp;D40,J$9:J$19,"&gt;"&amp;D40)</f>
        <v>2</v>
      </c>
      <c r="E38" s="1266">
        <f>IF(ISERROR(VLOOKUP(D38,$D$9:$E$19,COLUMNS($D$7:$E$7),FALSE)), "n/a", VLOOKUP(D38,$D$9:$E$19,COLUMNS($D$7:$E$7),FALSE))</f>
        <v>2.4799999999999999E-2</v>
      </c>
      <c r="G38" s="1267"/>
      <c r="H38" s="549"/>
      <c r="I38" s="549"/>
      <c r="J38" s="549"/>
    </row>
    <row r="39" spans="2:10" ht="14.85" customHeight="1">
      <c r="B39" s="636" t="s">
        <v>130</v>
      </c>
      <c r="C39" s="637"/>
      <c r="D39" s="1265">
        <f>SUMIFS($D$9:$D$19,$D$9:$D$19,"&gt;"&amp;D40,I$9:I$19,"&lt;"&amp;D40)</f>
        <v>3</v>
      </c>
      <c r="E39" s="1266">
        <f>IF(ISERROR(VLOOKUP(D39,$D$9:$E$19,COLUMNS($D$7:$E$7),FALSE)), "n/a", VLOOKUP(D39,$D$9:$E$19,COLUMNS($D$7:$E$7),FALSE))</f>
        <v>2.6000000000000002E-2</v>
      </c>
      <c r="H39" s="549"/>
      <c r="I39" s="549"/>
      <c r="J39" s="549"/>
    </row>
    <row r="40" spans="2:10" ht="14.85" customHeight="1">
      <c r="B40" s="636" t="s">
        <v>102</v>
      </c>
      <c r="C40" s="637"/>
      <c r="D40" s="1265">
        <f>L4</f>
        <v>2.5</v>
      </c>
      <c r="E40" s="1266">
        <f>IF(ISERROR(+E38+(E39-E38)/(D39-D38)*(D40-D38)), "n/a", +E38+(E39-E38)/(D39-D38)*(D40-D38))</f>
        <v>2.5399999999999999E-2</v>
      </c>
      <c r="H40" s="549"/>
      <c r="I40" s="549"/>
      <c r="J40" s="549"/>
    </row>
    <row r="41" spans="2:10" ht="14.85" customHeight="1">
      <c r="B41" s="636" t="s">
        <v>142</v>
      </c>
      <c r="C41" s="637"/>
      <c r="D41" s="1265">
        <f>D40</f>
        <v>2.5</v>
      </c>
      <c r="E41" s="1266" t="str">
        <f>IF(ISERROR(VLOOKUP(D41,$D$9:$E$19,COLUMNS($D$7:$E$7),FALSE)), "n/a", VLOOKUP(D41,$D$9:$E$19,COLUMNS($D$7:$E$7),FALSE))</f>
        <v>n/a</v>
      </c>
      <c r="H41" s="549"/>
      <c r="I41" s="549"/>
      <c r="J41" s="549"/>
    </row>
    <row r="42" spans="2:10" ht="14.85" customHeight="1">
      <c r="B42" s="674"/>
      <c r="C42" s="637"/>
      <c r="D42" s="637"/>
      <c r="E42" s="1268"/>
      <c r="H42" s="549"/>
      <c r="I42" s="549"/>
      <c r="J42" s="549"/>
    </row>
    <row r="43" spans="2:10" ht="14.85" customHeight="1">
      <c r="B43" s="946" t="s">
        <v>143</v>
      </c>
      <c r="C43" s="1269"/>
      <c r="D43" s="1269"/>
      <c r="E43" s="1270">
        <f>IF(E40="n/a",E41,E40)</f>
        <v>2.5399999999999999E-2</v>
      </c>
      <c r="H43" s="548"/>
      <c r="I43" s="548"/>
      <c r="J43" s="548"/>
    </row>
    <row r="44" spans="2:10" ht="14.85" customHeight="1">
      <c r="H44" s="549"/>
      <c r="I44" s="549"/>
      <c r="J44" s="549"/>
    </row>
    <row r="45" spans="2:10" ht="14.85" customHeight="1">
      <c r="B45" s="1262" t="s">
        <v>2008</v>
      </c>
      <c r="C45" s="1263"/>
      <c r="D45" s="1263"/>
      <c r="E45" s="1264"/>
      <c r="H45" s="549"/>
      <c r="I45" s="549"/>
      <c r="J45" s="549"/>
    </row>
    <row r="46" spans="2:10" ht="14.85" customHeight="1">
      <c r="B46" s="636" t="s">
        <v>129</v>
      </c>
      <c r="C46" s="637"/>
      <c r="D46" s="1265">
        <f>SUMIFS($D$9:$D$19,$D$9:$D$19,"&lt;"&amp;D48,J$9:J$19,"&gt;"&amp;D48)</f>
        <v>3</v>
      </c>
      <c r="E46" s="1266">
        <f>IF(ISERROR(VLOOKUP(D46,$D$9:$E$19,COLUMNS($D$7:$E$7),FALSE)), "n/a", VLOOKUP(D46,$D$9:$E$19,COLUMNS($D$7:$E$7),FALSE))</f>
        <v>2.6000000000000002E-2</v>
      </c>
      <c r="G46" s="1267"/>
      <c r="H46" s="549"/>
      <c r="I46" s="549"/>
      <c r="J46" s="549"/>
    </row>
    <row r="47" spans="2:10" ht="14.85" customHeight="1">
      <c r="B47" s="636" t="s">
        <v>130</v>
      </c>
      <c r="C47" s="637"/>
      <c r="D47" s="1265">
        <f>SUMIFS($D$9:$D$19,$D$9:$D$19,"&gt;"&amp;D48,I$9:I$19,"&lt;"&amp;D48)</f>
        <v>5</v>
      </c>
      <c r="E47" s="1266">
        <f>IF(ISERROR(VLOOKUP(D47,$D$9:$E$19,COLUMNS($D$7:$E$7),FALSE)), "n/a", VLOOKUP(D47,$D$9:$E$19,COLUMNS($D$7:$E$7),FALSE))</f>
        <v>2.76E-2</v>
      </c>
      <c r="H47" s="549"/>
      <c r="I47" s="549"/>
      <c r="J47" s="549"/>
    </row>
    <row r="48" spans="2:10" ht="14.85" customHeight="1">
      <c r="B48" s="636" t="s">
        <v>102</v>
      </c>
      <c r="C48" s="637"/>
      <c r="D48" s="1265">
        <f>L6</f>
        <v>3.5</v>
      </c>
      <c r="E48" s="1266">
        <f>IF(ISERROR(+E46+(E47-E46)/(D47-D46)*(D48-D46)), "n/a", +E46+(E47-E46)/(D47-D46)*(D48-D46))</f>
        <v>2.64E-2</v>
      </c>
      <c r="H48" s="549"/>
      <c r="I48" s="549"/>
      <c r="J48" s="549"/>
    </row>
    <row r="49" spans="2:10" ht="14.85" customHeight="1">
      <c r="B49" s="636" t="s">
        <v>142</v>
      </c>
      <c r="C49" s="637"/>
      <c r="D49" s="1265">
        <f>D48</f>
        <v>3.5</v>
      </c>
      <c r="E49" s="1266" t="str">
        <f>IF(ISERROR(VLOOKUP(D49,$D$9:$E$19,COLUMNS($D$7:$E$7),FALSE)), "n/a", VLOOKUP(D49,$D$9:$E$19,COLUMNS($D$7:$E$7),FALSE))</f>
        <v>n/a</v>
      </c>
      <c r="H49" s="549"/>
      <c r="I49" s="549"/>
      <c r="J49" s="549"/>
    </row>
    <row r="50" spans="2:10" ht="14.85" customHeight="1">
      <c r="B50" s="674"/>
      <c r="C50" s="637"/>
      <c r="D50" s="637"/>
      <c r="E50" s="1268"/>
      <c r="H50" s="549"/>
      <c r="I50" s="549"/>
      <c r="J50" s="549"/>
    </row>
    <row r="51" spans="2:10" ht="14.85" customHeight="1">
      <c r="B51" s="946" t="s">
        <v>143</v>
      </c>
      <c r="C51" s="1269"/>
      <c r="D51" s="1269"/>
      <c r="E51" s="1270">
        <f>IF(E48="n/a",E49,E48)</f>
        <v>2.64E-2</v>
      </c>
      <c r="H51" s="548"/>
      <c r="I51" s="548"/>
      <c r="J51" s="548"/>
    </row>
    <row r="52" spans="2:10" ht="14.85" customHeight="1">
      <c r="H52" s="549"/>
      <c r="I52" s="549"/>
      <c r="J52" s="549"/>
    </row>
    <row r="53" spans="2:10" ht="14.85" customHeight="1">
      <c r="B53" s="272" t="s">
        <v>116</v>
      </c>
    </row>
    <row r="54" spans="2:10" ht="14.85" customHeight="1"/>
    <row r="55" spans="2:10" ht="14.85" customHeight="1"/>
    <row r="56" spans="2:10" ht="14.85" customHeight="1"/>
    <row r="57" spans="2:10" ht="14.85" customHeight="1"/>
    <row r="58" spans="2:10" ht="14.85" customHeight="1"/>
    <row r="59" spans="2:10" ht="14.85" customHeight="1"/>
    <row r="60" spans="2:10" ht="14.85" customHeight="1"/>
    <row r="61" spans="2:10" ht="14.85" customHeight="1"/>
    <row r="62" spans="2:10" ht="14.85" customHeight="1"/>
    <row r="63" spans="2:10" ht="14.85" customHeight="1"/>
    <row r="64" spans="2:10"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sheetData>
  <conditionalFormatting sqref="B4:E4">
    <cfRule type="cellIs" dxfId="215" priority="3" stopIfTrue="1" operator="equal">
      <formula>"input"</formula>
    </cfRule>
  </conditionalFormatting>
  <pageMargins left="0.5" right="0.5" top="0.5" bottom="0.5" header="0.5" footer="0.5"/>
  <pageSetup orientation="landscape" r:id="rId1"/>
  <rowBreaks count="1" manualBreakCount="1">
    <brk id="36" max="5" man="1"/>
  </rowBreaks>
  <legacyDrawing r:id="rId2"/>
  <legacyDrawingHF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3"/>
  <dimension ref="A1:J755"/>
  <sheetViews>
    <sheetView showGridLines="0" view="pageBreakPreview" zoomScale="80" zoomScaleNormal="130" zoomScaleSheetLayoutView="80" workbookViewId="0">
      <selection activeCell="B4" sqref="B4"/>
    </sheetView>
  </sheetViews>
  <sheetFormatPr defaultRowHeight="12.75" outlineLevelRow="1"/>
  <cols>
    <col min="1" max="1" width="6.6640625" style="203" bestFit="1" customWidth="1"/>
    <col min="2" max="2" width="72" style="179" customWidth="1"/>
    <col min="3" max="3" width="4" style="179" customWidth="1"/>
    <col min="4" max="4" width="35.5" style="180" customWidth="1"/>
    <col min="5" max="5" width="2.83203125" style="179" customWidth="1"/>
    <col min="6" max="6" width="40.6640625" style="179" customWidth="1"/>
    <col min="7" max="7" width="2.83203125" style="179" customWidth="1"/>
    <col min="8" max="8" width="4.5" style="179" customWidth="1"/>
    <col min="9" max="16384" width="9.33203125" style="179"/>
  </cols>
  <sheetData>
    <row r="1" spans="2:9" ht="10.7" customHeight="1" thickBot="1">
      <c r="D1" s="179"/>
    </row>
    <row r="2" spans="2:9" ht="16.5" customHeight="1" thickTop="1">
      <c r="B2" s="187" t="str">
        <f>'MASTER PubCo Inputs'!$C$5</f>
        <v>Decibel Therapeutics, Inc.</v>
      </c>
      <c r="C2" s="187"/>
      <c r="D2" s="187"/>
      <c r="E2" s="187"/>
      <c r="F2" s="187"/>
      <c r="G2" s="187"/>
    </row>
    <row r="3" spans="2:9" ht="15.75" customHeight="1">
      <c r="B3" s="188" t="str">
        <f>VLOOKUP(B4,Outline!$E$8:$G$75,COLUMNS(Outline!$E$8:$G$8),FALSE)</f>
        <v>Workpaper #12</v>
      </c>
      <c r="C3" s="188"/>
      <c r="D3" s="188"/>
      <c r="E3" s="188"/>
      <c r="F3" s="188"/>
      <c r="G3" s="188"/>
    </row>
    <row r="4" spans="2:9" ht="16.5" customHeight="1" thickBot="1">
      <c r="B4" s="726" t="s">
        <v>3633</v>
      </c>
      <c r="C4" s="1630" t="s">
        <v>261</v>
      </c>
      <c r="D4" s="727"/>
      <c r="E4" s="727"/>
      <c r="F4" s="727"/>
      <c r="G4" s="727" t="str">
        <f>+'MASTER PubCo Inputs'!$C$20</f>
        <v>(in thousands of USD and shares, except price per share)</v>
      </c>
    </row>
    <row r="5" spans="2:9" ht="14.85" customHeight="1" thickTop="1">
      <c r="C5" s="203"/>
      <c r="D5" s="179"/>
    </row>
    <row r="6" spans="2:9" ht="14.85" customHeight="1">
      <c r="D6" s="179"/>
    </row>
    <row r="7" spans="2:9" ht="14.85" customHeight="1">
      <c r="B7" s="949" t="s">
        <v>319</v>
      </c>
      <c r="C7" s="950"/>
      <c r="D7" s="2021" t="s">
        <v>318</v>
      </c>
      <c r="E7" s="951"/>
      <c r="F7" s="952" t="s">
        <v>70</v>
      </c>
      <c r="G7" s="953"/>
    </row>
    <row r="8" spans="2:9" ht="14.85" customHeight="1">
      <c r="D8" s="203"/>
    </row>
    <row r="9" spans="2:9" ht="14.25" hidden="1" customHeight="1" outlineLevel="1">
      <c r="B9" s="179" t="s">
        <v>95</v>
      </c>
      <c r="D9" s="445">
        <v>0.125</v>
      </c>
      <c r="F9" s="1879" t="str">
        <f>'Hist BS'!B3</f>
        <v>Exhibit C.3</v>
      </c>
      <c r="G9" s="254" t="s">
        <v>299</v>
      </c>
    </row>
    <row r="10" spans="2:9" ht="14.85" hidden="1" customHeight="1" outlineLevel="1">
      <c r="D10" s="203"/>
      <c r="F10" s="202"/>
    </row>
    <row r="11" spans="2:9" ht="14.85" customHeight="1" collapsed="1">
      <c r="B11" s="179" t="s">
        <v>320</v>
      </c>
      <c r="D11" s="445">
        <v>0.125</v>
      </c>
      <c r="F11" s="1879" t="str">
        <f>'IPO Waterfall'!B3</f>
        <v>Workpaper #3</v>
      </c>
      <c r="G11" s="254" t="s">
        <v>260</v>
      </c>
      <c r="H11" s="254"/>
      <c r="I11" s="954"/>
    </row>
    <row r="12" spans="2:9" ht="14.85" customHeight="1">
      <c r="D12" s="203"/>
      <c r="F12" s="202"/>
    </row>
    <row r="13" spans="2:9" ht="14.85" customHeight="1">
      <c r="B13" s="179" t="s">
        <v>321</v>
      </c>
      <c r="D13" s="445">
        <v>0.25</v>
      </c>
      <c r="F13" s="1879" t="str">
        <f>'IPO Waterfall'!B3</f>
        <v>Workpaper #3</v>
      </c>
      <c r="G13" s="254" t="s">
        <v>299</v>
      </c>
      <c r="H13" s="254"/>
      <c r="I13" s="954"/>
    </row>
    <row r="14" spans="2:9" ht="14.85" customHeight="1">
      <c r="D14" s="203"/>
      <c r="F14" s="202"/>
    </row>
    <row r="15" spans="2:9" ht="14.85" customHeight="1">
      <c r="B15" s="179" t="s">
        <v>1623</v>
      </c>
      <c r="D15" s="445">
        <v>0.25</v>
      </c>
      <c r="F15" s="1879" t="str">
        <f>'Cap Table'!B3</f>
        <v>Exhibit E.1</v>
      </c>
      <c r="G15" s="254" t="s">
        <v>300</v>
      </c>
      <c r="H15" s="254"/>
      <c r="I15" s="955"/>
    </row>
    <row r="16" spans="2:9" ht="14.85" customHeight="1">
      <c r="D16" s="445"/>
      <c r="F16" s="276"/>
      <c r="G16" s="254"/>
      <c r="H16" s="254"/>
      <c r="I16" s="955"/>
    </row>
    <row r="17" spans="1:10" ht="14.85" customHeight="1">
      <c r="B17" s="179" t="s">
        <v>1624</v>
      </c>
      <c r="D17" s="384">
        <f>+D15</f>
        <v>0.25</v>
      </c>
      <c r="F17" s="276"/>
      <c r="G17" s="254"/>
      <c r="I17" s="955"/>
    </row>
    <row r="18" spans="1:10" ht="14.85" customHeight="1">
      <c r="D18" s="203"/>
    </row>
    <row r="19" spans="1:10" ht="14.85" customHeight="1">
      <c r="B19" s="267" t="s">
        <v>322</v>
      </c>
      <c r="C19" s="268"/>
      <c r="D19" s="958">
        <v>0.2</v>
      </c>
      <c r="I19" s="957">
        <v>0.2</v>
      </c>
      <c r="J19" s="179" t="s">
        <v>3645</v>
      </c>
    </row>
    <row r="20" spans="1:10" ht="14.85" customHeight="1"/>
    <row r="21" spans="1:10" ht="14.85" customHeight="1">
      <c r="B21" s="272" t="s">
        <v>86</v>
      </c>
    </row>
    <row r="22" spans="1:10" ht="27" customHeight="1">
      <c r="A22" s="681" t="str">
        <f>C4</f>
        <v>(1)</v>
      </c>
      <c r="B22" s="2063" t="s">
        <v>3822</v>
      </c>
      <c r="C22" s="2063"/>
      <c r="D22" s="2063"/>
      <c r="E22" s="2063"/>
      <c r="F22" s="2063"/>
      <c r="G22" s="2063"/>
      <c r="I22" s="959"/>
      <c r="J22" s="960"/>
    </row>
    <row r="23" spans="1:10" ht="14.85" customHeight="1">
      <c r="A23" s="681" t="str">
        <f>G11</f>
        <v>(2)</v>
      </c>
      <c r="B23" s="2063" t="s">
        <v>690</v>
      </c>
      <c r="C23" s="2063"/>
      <c r="D23" s="2063"/>
      <c r="E23" s="2063"/>
      <c r="F23" s="2063"/>
      <c r="G23" s="2063"/>
      <c r="I23" s="959"/>
      <c r="J23" s="960"/>
    </row>
    <row r="24" spans="1:10" ht="26.25" customHeight="1">
      <c r="A24" s="681" t="str">
        <f>G13</f>
        <v>(3)</v>
      </c>
      <c r="B24" s="2063" t="s">
        <v>874</v>
      </c>
      <c r="C24" s="2063"/>
      <c r="D24" s="2063"/>
      <c r="E24" s="2063"/>
      <c r="F24" s="2063"/>
      <c r="G24" s="2063"/>
    </row>
    <row r="25" spans="1:10" ht="33.75" customHeight="1">
      <c r="A25" s="1167" t="str">
        <f>G15</f>
        <v>(4)</v>
      </c>
      <c r="B25" s="2057" t="s">
        <v>3823</v>
      </c>
      <c r="C25" s="2057"/>
      <c r="D25" s="2057"/>
      <c r="E25" s="2057"/>
      <c r="F25" s="2057"/>
      <c r="G25" s="2057"/>
    </row>
    <row r="26" spans="1:10" ht="14.85" customHeight="1">
      <c r="A26" s="962"/>
      <c r="B26" s="2057"/>
      <c r="C26" s="2057"/>
      <c r="D26" s="2057"/>
      <c r="E26" s="2057"/>
      <c r="F26" s="2057"/>
      <c r="G26" s="2057"/>
    </row>
    <row r="27" spans="1:10" ht="14.85" customHeight="1"/>
    <row r="28" spans="1:10" ht="14.85" customHeight="1"/>
    <row r="29" spans="1:10" ht="14.85" customHeight="1"/>
    <row r="30" spans="1:10" ht="14.85" customHeight="1"/>
    <row r="31" spans="1:10" ht="14.85" customHeight="1"/>
    <row r="32" spans="1:10"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sheetData>
  <mergeCells count="5">
    <mergeCell ref="B26:G26"/>
    <mergeCell ref="B22:G22"/>
    <mergeCell ref="B23:G23"/>
    <mergeCell ref="B24:G24"/>
    <mergeCell ref="B25:G25"/>
  </mergeCells>
  <conditionalFormatting sqref="B4:C4">
    <cfRule type="cellIs" dxfId="214" priority="11" stopIfTrue="1" operator="equal">
      <formula>"input"</formula>
    </cfRule>
  </conditionalFormatting>
  <conditionalFormatting sqref="D4">
    <cfRule type="cellIs" dxfId="213" priority="9" stopIfTrue="1" operator="equal">
      <formula>"input"</formula>
    </cfRule>
  </conditionalFormatting>
  <conditionalFormatting sqref="D4">
    <cfRule type="cellIs" dxfId="212" priority="10" stopIfTrue="1" operator="equal">
      <formula>"input"</formula>
    </cfRule>
  </conditionalFormatting>
  <conditionalFormatting sqref="E4:F4">
    <cfRule type="cellIs" dxfId="211" priority="7" stopIfTrue="1" operator="equal">
      <formula>"input"</formula>
    </cfRule>
  </conditionalFormatting>
  <conditionalFormatting sqref="E4:F4">
    <cfRule type="cellIs" dxfId="210" priority="8" stopIfTrue="1" operator="equal">
      <formula>"input"</formula>
    </cfRule>
  </conditionalFormatting>
  <conditionalFormatting sqref="G4">
    <cfRule type="cellIs" dxfId="209" priority="1" stopIfTrue="1" operator="equal">
      <formula>"input"</formula>
    </cfRule>
  </conditionalFormatting>
  <conditionalFormatting sqref="G4">
    <cfRule type="cellIs" dxfId="208" priority="2" stopIfTrue="1" operator="equal">
      <formula>"input"</formula>
    </cfRule>
  </conditionalFormatting>
  <pageMargins left="0.5" right="0.5" top="0.5" bottom="0.5" header="0.5" footer="0.5"/>
  <pageSetup scale="90" fitToWidth="0" fitToHeight="0" orientation="landscape" r:id="rId1"/>
  <ignoredErrors>
    <ignoredError sqref="C4" numberStoredAsText="1"/>
  </ignoredErrors>
  <legacyDrawing r:id="rId2"/>
  <legacyDrawingHF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4"/>
  <dimension ref="A1:H762"/>
  <sheetViews>
    <sheetView showGridLines="0" view="pageBreakPreview" zoomScale="80" zoomScaleNormal="100" zoomScaleSheetLayoutView="80" workbookViewId="0">
      <selection activeCell="B4" sqref="B4"/>
    </sheetView>
  </sheetViews>
  <sheetFormatPr defaultRowHeight="12.75"/>
  <cols>
    <col min="1" max="1" width="4.5" style="179" customWidth="1"/>
    <col min="2" max="2" width="54.6640625" style="179" customWidth="1"/>
    <col min="3" max="3" width="3.33203125" style="179" customWidth="1"/>
    <col min="4" max="4" width="30.83203125" style="179" customWidth="1"/>
    <col min="5" max="5" width="2.83203125" style="179" customWidth="1"/>
    <col min="6" max="6" width="30.83203125" style="179" customWidth="1"/>
    <col min="7" max="7" width="1.83203125" style="179" customWidth="1"/>
    <col min="8" max="8" width="28.6640625" style="179" customWidth="1"/>
    <col min="9" max="9" width="4.5" style="179" customWidth="1"/>
    <col min="10" max="16384" width="9.33203125" style="179"/>
  </cols>
  <sheetData>
    <row r="1" spans="1:8" ht="10.7" customHeight="1" thickBot="1"/>
    <row r="2" spans="1:8" ht="16.5" customHeight="1" thickTop="1">
      <c r="B2" s="187" t="str">
        <f>'MASTER PubCo Inputs'!$C$5</f>
        <v>Decibel Therapeutics, Inc.</v>
      </c>
      <c r="C2" s="187"/>
      <c r="D2" s="187"/>
      <c r="E2" s="187"/>
      <c r="F2" s="187"/>
      <c r="G2" s="187"/>
      <c r="H2" s="187"/>
    </row>
    <row r="3" spans="1:8" ht="15.75" customHeight="1">
      <c r="B3" s="188" t="str">
        <f>VLOOKUP(B4,Outline!$E$8:$G$75,COLUMNS(Outline!$E$8:$G$8),FALSE)</f>
        <v>Workpaper #13</v>
      </c>
      <c r="C3" s="188"/>
      <c r="D3" s="188"/>
      <c r="E3" s="188"/>
      <c r="F3" s="188"/>
      <c r="G3" s="188"/>
      <c r="H3" s="188"/>
    </row>
    <row r="4" spans="1:8" ht="16.5" customHeight="1" thickBot="1">
      <c r="B4" s="726" t="s">
        <v>693</v>
      </c>
      <c r="C4" s="726"/>
      <c r="D4" s="1631" t="s">
        <v>261</v>
      </c>
      <c r="E4" s="1632"/>
      <c r="F4" s="726"/>
      <c r="G4" s="726"/>
      <c r="H4" s="727"/>
    </row>
    <row r="5" spans="1:8" ht="14.85" customHeight="1" thickTop="1">
      <c r="B5" s="963"/>
    </row>
    <row r="6" spans="1:8" ht="14.85" customHeight="1"/>
    <row r="7" spans="1:8" ht="14.85" customHeight="1">
      <c r="B7" s="964" t="s">
        <v>271</v>
      </c>
      <c r="C7" s="840"/>
      <c r="D7" s="840" t="s">
        <v>3219</v>
      </c>
      <c r="E7" s="840"/>
      <c r="F7" s="840" t="s">
        <v>3220</v>
      </c>
      <c r="G7" s="840"/>
      <c r="H7" s="841" t="s">
        <v>3221</v>
      </c>
    </row>
    <row r="8" spans="1:8" ht="14.85" customHeight="1"/>
    <row r="9" spans="1:8" ht="14.85" customHeight="1">
      <c r="B9" s="179" t="s">
        <v>272</v>
      </c>
      <c r="D9" s="180" t="s">
        <v>262</v>
      </c>
      <c r="E9" s="180"/>
      <c r="F9" s="180" t="s">
        <v>262</v>
      </c>
      <c r="G9" s="180"/>
      <c r="H9" s="180" t="s">
        <v>263</v>
      </c>
    </row>
    <row r="10" spans="1:8" ht="14.85" customHeight="1">
      <c r="B10" s="179" t="s">
        <v>273</v>
      </c>
      <c r="D10" s="180" t="s">
        <v>264</v>
      </c>
      <c r="E10" s="180"/>
      <c r="F10" s="180" t="s">
        <v>264</v>
      </c>
      <c r="G10" s="180"/>
      <c r="H10" s="180" t="s">
        <v>264</v>
      </c>
    </row>
    <row r="11" spans="1:8" ht="14.85" customHeight="1">
      <c r="B11" s="179" t="s">
        <v>274</v>
      </c>
      <c r="D11" s="180" t="s">
        <v>265</v>
      </c>
      <c r="E11" s="180"/>
      <c r="F11" s="180" t="s">
        <v>266</v>
      </c>
      <c r="G11" s="180"/>
      <c r="H11" s="180" t="s">
        <v>267</v>
      </c>
    </row>
    <row r="12" spans="1:8" ht="14.85" customHeight="1">
      <c r="B12" s="179" t="s">
        <v>275</v>
      </c>
      <c r="D12" s="180" t="s">
        <v>268</v>
      </c>
      <c r="E12" s="180"/>
      <c r="F12" s="180" t="s">
        <v>269</v>
      </c>
      <c r="G12" s="180"/>
      <c r="H12" s="180" t="s">
        <v>270</v>
      </c>
    </row>
    <row r="13" spans="1:8" ht="14.85" customHeight="1"/>
    <row r="14" spans="1:8" ht="14.85" customHeight="1">
      <c r="B14" s="182"/>
      <c r="C14" s="182"/>
      <c r="D14" s="182"/>
      <c r="E14" s="182"/>
      <c r="F14" s="182"/>
      <c r="G14" s="182"/>
      <c r="H14" s="965"/>
    </row>
    <row r="15" spans="1:8" ht="14.85" customHeight="1">
      <c r="B15" s="272" t="s">
        <v>86</v>
      </c>
    </row>
    <row r="16" spans="1:8" ht="14.85" customHeight="1">
      <c r="A16" s="273" t="s">
        <v>261</v>
      </c>
      <c r="B16" s="889" t="s">
        <v>948</v>
      </c>
    </row>
    <row r="17" spans="1:2" ht="14.85" customHeight="1">
      <c r="A17" s="273" t="s">
        <v>260</v>
      </c>
      <c r="B17" s="202" t="s">
        <v>949</v>
      </c>
    </row>
    <row r="18" spans="1:2" ht="14.85" customHeight="1">
      <c r="A18" s="273" t="s">
        <v>299</v>
      </c>
      <c r="B18" s="202" t="s">
        <v>950</v>
      </c>
    </row>
    <row r="19" spans="1:2" ht="14.85" customHeight="1">
      <c r="A19" s="203"/>
      <c r="B19" s="202" t="s">
        <v>838</v>
      </c>
    </row>
    <row r="20" spans="1:2" ht="14.85" customHeight="1">
      <c r="A20" s="273" t="s">
        <v>300</v>
      </c>
      <c r="B20" s="202" t="s">
        <v>951</v>
      </c>
    </row>
    <row r="21" spans="1:2" ht="14.85" customHeight="1">
      <c r="A21" s="203"/>
      <c r="B21" s="202" t="s">
        <v>839</v>
      </c>
    </row>
    <row r="22" spans="1:2" ht="14.85" customHeight="1">
      <c r="A22" s="273" t="s">
        <v>301</v>
      </c>
      <c r="B22" s="202" t="s">
        <v>952</v>
      </c>
    </row>
    <row r="23" spans="1:2" ht="14.85" customHeight="1">
      <c r="A23" s="203"/>
      <c r="B23" s="202" t="s">
        <v>840</v>
      </c>
    </row>
    <row r="24" spans="1:2" ht="14.85" customHeight="1">
      <c r="A24" s="273" t="s">
        <v>324</v>
      </c>
      <c r="B24" s="202" t="s">
        <v>953</v>
      </c>
    </row>
    <row r="25" spans="1:2" ht="14.85" customHeight="1">
      <c r="A25" s="203"/>
      <c r="B25" s="202" t="s">
        <v>841</v>
      </c>
    </row>
    <row r="26" spans="1:2" ht="14.85" customHeight="1">
      <c r="A26" s="273" t="s">
        <v>325</v>
      </c>
      <c r="B26" s="202" t="s">
        <v>954</v>
      </c>
    </row>
    <row r="27" spans="1:2" ht="14.85" customHeight="1">
      <c r="A27" s="273" t="s">
        <v>326</v>
      </c>
      <c r="B27" s="202" t="s">
        <v>955</v>
      </c>
    </row>
    <row r="28" spans="1:2" ht="14.85" customHeight="1">
      <c r="B28" s="202" t="s">
        <v>842</v>
      </c>
    </row>
    <row r="29" spans="1:2" ht="14.85" customHeight="1"/>
    <row r="30" spans="1:2" ht="14.85" customHeight="1"/>
    <row r="31" spans="1:2" ht="14.85" customHeight="1"/>
    <row r="32" spans="1:2"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sheetData>
  <conditionalFormatting sqref="B4:G4">
    <cfRule type="cellIs" dxfId="207" priority="5" stopIfTrue="1" operator="equal">
      <formula>"input"</formula>
    </cfRule>
  </conditionalFormatting>
  <conditionalFormatting sqref="H4">
    <cfRule type="cellIs" dxfId="206" priority="1" stopIfTrue="1" operator="equal">
      <formula>"input"</formula>
    </cfRule>
  </conditionalFormatting>
  <conditionalFormatting sqref="H4">
    <cfRule type="cellIs" dxfId="205" priority="2" stopIfTrue="1" operator="equal">
      <formula>"input"</formula>
    </cfRule>
  </conditionalFormatting>
  <pageMargins left="0.5" right="0.5" top="0.5" bottom="0.5" header="0.5" footer="0.5"/>
  <pageSetup scale="92" orientation="landscape" r:id="rId1"/>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9"/>
  <dimension ref="B1:AJ767"/>
  <sheetViews>
    <sheetView showGridLines="0" view="pageBreakPreview" zoomScale="80" zoomScaleNormal="100" zoomScaleSheetLayoutView="80" workbookViewId="0">
      <selection activeCell="E10" sqref="E10"/>
    </sheetView>
  </sheetViews>
  <sheetFormatPr defaultRowHeight="12.75" outlineLevelRow="1" outlineLevelCol="1"/>
  <cols>
    <col min="1" max="1" width="2.83203125" style="179" customWidth="1"/>
    <col min="2" max="2" width="40.83203125" style="179" customWidth="1"/>
    <col min="3" max="3" width="2.83203125" style="179" customWidth="1"/>
    <col min="4" max="4" width="12.6640625" style="179" customWidth="1"/>
    <col min="5" max="5" width="12.33203125" style="179" customWidth="1"/>
    <col min="6" max="11" width="11.83203125" style="179" hidden="1" customWidth="1" outlineLevel="1"/>
    <col min="12" max="12" width="11.83203125" style="179" customWidth="1" collapsed="1"/>
    <col min="13" max="13" width="2.83203125" style="179" customWidth="1"/>
    <col min="14" max="14" width="13.6640625" style="179" customWidth="1"/>
    <col min="15" max="15" width="12.33203125" style="179" customWidth="1"/>
    <col min="16" max="17" width="12.83203125" style="179" hidden="1" customWidth="1" outlineLevel="1"/>
    <col min="18" max="18" width="21.5" style="179" hidden="1" customWidth="1" outlineLevel="1"/>
    <col min="19" max="21" width="12.83203125" style="179" hidden="1" customWidth="1" outlineLevel="1"/>
    <col min="22" max="22" width="12.5" style="179" customWidth="1" collapsed="1"/>
    <col min="23" max="23" width="2.83203125" style="179" customWidth="1"/>
    <col min="24" max="26" width="12.83203125" style="179" customWidth="1"/>
    <col min="27" max="28" width="2.83203125" style="179" customWidth="1"/>
    <col min="29" max="29" width="18.83203125" style="179" bestFit="1" customWidth="1"/>
    <col min="30" max="30" width="19.83203125" style="179" customWidth="1"/>
    <col min="31" max="31" width="17.83203125" style="179" bestFit="1" customWidth="1"/>
    <col min="32" max="32" width="20.5" style="179" customWidth="1"/>
    <col min="33" max="33" width="17" style="179" customWidth="1"/>
    <col min="34" max="36" width="80.83203125" style="179" customWidth="1"/>
    <col min="37" max="16384" width="9.33203125" style="179"/>
  </cols>
  <sheetData>
    <row r="1" spans="2:36" ht="10.7" customHeight="1" thickBot="1"/>
    <row r="2" spans="2:36"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Z2" s="187"/>
      <c r="AC2" s="1563" t="s">
        <v>702</v>
      </c>
      <c r="AD2" s="1564">
        <f>'Capital IQ Sheet-GPC'!B8</f>
        <v>43101</v>
      </c>
      <c r="AF2" s="1563" t="s">
        <v>449</v>
      </c>
      <c r="AG2" s="1564">
        <f>'Capital IQ Sheet-GPC'!L2</f>
        <v>43245</v>
      </c>
    </row>
    <row r="3" spans="2:36" ht="15.75" customHeight="1">
      <c r="B3" s="188" t="str">
        <f>VLOOKUP(B4,Outline!$E$8:$G$75,COLUMNS(Outline!$E$8:$G$8),FALSE)</f>
        <v>Workpaper #14</v>
      </c>
      <c r="C3" s="188"/>
      <c r="D3" s="188"/>
      <c r="E3" s="188"/>
      <c r="F3" s="188"/>
      <c r="G3" s="188"/>
      <c r="H3" s="188"/>
      <c r="I3" s="188"/>
      <c r="J3" s="188"/>
      <c r="K3" s="188"/>
      <c r="L3" s="188"/>
      <c r="M3" s="188"/>
      <c r="N3" s="188"/>
      <c r="O3" s="188"/>
      <c r="P3" s="188"/>
      <c r="Q3" s="188"/>
      <c r="R3" s="188"/>
      <c r="S3" s="188"/>
      <c r="T3" s="188"/>
      <c r="U3" s="188"/>
      <c r="V3" s="188"/>
      <c r="W3" s="188"/>
      <c r="X3" s="188"/>
      <c r="Y3" s="188"/>
      <c r="Z3" s="188"/>
      <c r="AC3" s="338" t="s">
        <v>462</v>
      </c>
      <c r="AD3" s="994" t="str">
        <f>'Capital IQ Sheet-GPC'!L3</f>
        <v>F</v>
      </c>
      <c r="AF3" s="338" t="s">
        <v>462</v>
      </c>
      <c r="AG3" s="994" t="str">
        <f>AD3</f>
        <v>F</v>
      </c>
    </row>
    <row r="4" spans="2:36" ht="16.5" customHeight="1" thickBot="1">
      <c r="B4" s="726" t="s">
        <v>3189</v>
      </c>
      <c r="C4" s="726"/>
      <c r="D4" s="726"/>
      <c r="E4" s="727"/>
      <c r="F4" s="727"/>
      <c r="G4" s="727"/>
      <c r="H4" s="727"/>
      <c r="I4" s="727"/>
      <c r="J4" s="727"/>
      <c r="K4" s="727"/>
      <c r="L4" s="727"/>
      <c r="M4" s="727"/>
      <c r="N4" s="727"/>
      <c r="O4" s="727"/>
      <c r="P4" s="727"/>
      <c r="Q4" s="727"/>
      <c r="R4" s="727"/>
      <c r="S4" s="727"/>
      <c r="T4" s="727"/>
      <c r="U4" s="727"/>
      <c r="V4" s="727"/>
      <c r="W4" s="727"/>
      <c r="X4" s="727"/>
      <c r="Y4" s="727"/>
      <c r="Z4" s="727" t="str">
        <f>+'MASTER PubCo Inputs'!$C$25</f>
        <v>(in millions of USD, except stock price)</v>
      </c>
      <c r="AC4" s="338" t="s">
        <v>463</v>
      </c>
      <c r="AD4" s="994" t="str">
        <f>'Capital IQ Sheet-GPC'!L4</f>
        <v>LFR</v>
      </c>
      <c r="AF4" s="338" t="s">
        <v>463</v>
      </c>
      <c r="AG4" s="994" t="str">
        <f>AD4</f>
        <v>LFR</v>
      </c>
    </row>
    <row r="5" spans="2:36" ht="14.85" customHeight="1" thickTop="1">
      <c r="B5" s="963"/>
      <c r="C5" s="963"/>
      <c r="D5" s="963"/>
      <c r="N5" s="963"/>
      <c r="AC5" s="378" t="s">
        <v>89</v>
      </c>
      <c r="AD5" s="1565" t="str">
        <f>'Capital IQ Sheet-GPC'!L6</f>
        <v>H</v>
      </c>
      <c r="AF5" s="378" t="s">
        <v>89</v>
      </c>
      <c r="AG5" s="1565" t="str">
        <f>AD5</f>
        <v>H</v>
      </c>
    </row>
    <row r="6" spans="2:36" ht="14.85" customHeight="1">
      <c r="D6" s="635" t="s">
        <v>734</v>
      </c>
      <c r="E6" s="635"/>
      <c r="F6" s="635"/>
      <c r="G6" s="635"/>
      <c r="H6" s="635"/>
      <c r="I6" s="635"/>
      <c r="J6" s="635"/>
      <c r="K6" s="635"/>
      <c r="L6" s="635"/>
      <c r="N6" s="635" t="s">
        <v>735</v>
      </c>
      <c r="O6" s="976"/>
      <c r="P6" s="976"/>
      <c r="Q6" s="976"/>
      <c r="R6" s="976"/>
      <c r="S6" s="976"/>
      <c r="T6" s="976"/>
      <c r="U6" s="976"/>
      <c r="V6" s="976"/>
    </row>
    <row r="7" spans="2:36" ht="14.85" customHeight="1">
      <c r="D7" s="1566" t="str">
        <f>"As of "&amp;TEXT($AD$2,"MM/DD/YY")</f>
        <v>As of 01/01/18</v>
      </c>
      <c r="E7" s="1567"/>
      <c r="F7" s="1567"/>
      <c r="G7" s="1567"/>
      <c r="H7" s="1567"/>
      <c r="I7" s="1567"/>
      <c r="J7" s="1567"/>
      <c r="K7" s="1567"/>
      <c r="L7" s="850"/>
      <c r="N7" s="1566" t="str">
        <f>"As of "&amp;TEXT($AG$2,"MM/DD/YY")</f>
        <v>As of 05/25/18</v>
      </c>
      <c r="O7" s="1567"/>
      <c r="P7" s="1567"/>
      <c r="Q7" s="1567"/>
      <c r="R7" s="1567"/>
      <c r="S7" s="1567"/>
      <c r="T7" s="1567"/>
      <c r="U7" s="1567"/>
      <c r="V7" s="850"/>
      <c r="W7" s="316"/>
      <c r="X7" s="1568" t="s">
        <v>3188</v>
      </c>
      <c r="Y7" s="1567"/>
      <c r="Z7" s="850"/>
      <c r="AC7" s="251" t="s">
        <v>958</v>
      </c>
      <c r="AD7" s="1569">
        <v>1</v>
      </c>
      <c r="AE7" s="251" t="s">
        <v>959</v>
      </c>
      <c r="AF7" s="1569">
        <v>-0.25</v>
      </c>
    </row>
    <row r="8" spans="2:36" s="200" customFormat="1" ht="35.25" customHeight="1">
      <c r="B8" s="1570" t="s">
        <v>733</v>
      </c>
      <c r="C8" s="305"/>
      <c r="D8" s="1571" t="s">
        <v>700</v>
      </c>
      <c r="E8" s="1572" t="s">
        <v>94</v>
      </c>
      <c r="F8" s="1572" t="s">
        <v>95</v>
      </c>
      <c r="G8" s="1572" t="s">
        <v>96</v>
      </c>
      <c r="H8" s="1572" t="s">
        <v>97</v>
      </c>
      <c r="I8" s="1572" t="s">
        <v>98</v>
      </c>
      <c r="J8" s="1572" t="s">
        <v>99</v>
      </c>
      <c r="K8" s="1572" t="s">
        <v>100</v>
      </c>
      <c r="L8" s="1573" t="s">
        <v>101</v>
      </c>
      <c r="M8" s="265"/>
      <c r="N8" s="1017" t="s">
        <v>700</v>
      </c>
      <c r="O8" s="1572" t="s">
        <v>94</v>
      </c>
      <c r="P8" s="1572" t="s">
        <v>95</v>
      </c>
      <c r="Q8" s="1572" t="s">
        <v>96</v>
      </c>
      <c r="R8" s="1572" t="s">
        <v>97</v>
      </c>
      <c r="S8" s="1572" t="s">
        <v>98</v>
      </c>
      <c r="T8" s="1572" t="s">
        <v>99</v>
      </c>
      <c r="U8" s="1572" t="s">
        <v>100</v>
      </c>
      <c r="V8" s="1573" t="s">
        <v>101</v>
      </c>
      <c r="W8" s="1574"/>
      <c r="X8" s="1571" t="s">
        <v>701</v>
      </c>
      <c r="Y8" s="1572" t="s">
        <v>94</v>
      </c>
      <c r="Z8" s="1573" t="s">
        <v>101</v>
      </c>
      <c r="AA8" s="265"/>
      <c r="AB8" s="265"/>
      <c r="AC8" s="562" t="s">
        <v>108</v>
      </c>
      <c r="AH8" s="1861" t="s">
        <v>3632</v>
      </c>
      <c r="AI8" s="1853" t="s">
        <v>3631</v>
      </c>
      <c r="AJ8" s="1854"/>
    </row>
    <row r="9" spans="2:36" ht="14.85" customHeight="1">
      <c r="B9" s="1575"/>
      <c r="C9" s="1575"/>
      <c r="D9" s="1575"/>
      <c r="N9" s="1575"/>
      <c r="AC9" s="934"/>
      <c r="AH9" s="316"/>
      <c r="AJ9" s="339"/>
    </row>
    <row r="10" spans="2:36" s="549" customFormat="1" ht="14.85" customHeight="1">
      <c r="B10" s="182"/>
      <c r="C10" s="548"/>
      <c r="D10" s="548"/>
      <c r="E10" s="179"/>
      <c r="F10" s="179"/>
      <c r="G10" s="179"/>
      <c r="H10" s="179"/>
      <c r="I10" s="179"/>
      <c r="J10" s="179"/>
      <c r="K10" s="179"/>
      <c r="L10" s="179"/>
      <c r="N10" s="548"/>
      <c r="O10" s="179"/>
      <c r="P10" s="179"/>
      <c r="Q10" s="179"/>
      <c r="R10" s="179"/>
      <c r="S10" s="179"/>
      <c r="T10" s="179"/>
      <c r="U10" s="179"/>
      <c r="V10" s="179"/>
      <c r="Y10" s="1061"/>
      <c r="AH10" s="1862"/>
      <c r="AJ10" s="1855"/>
    </row>
    <row r="11" spans="2:36" ht="14.85" customHeight="1">
      <c r="B11" s="549" t="str">
        <f>'Capital IQ Sheet-GPC'!C13</f>
        <v>Editas Medicine, Inc.</v>
      </c>
      <c r="C11" s="1576"/>
      <c r="D11" s="1909">
        <f>'Capital IQ Sheet-GPC'!BE13</f>
        <v>30.73</v>
      </c>
      <c r="E11" s="1129">
        <f>'Capital IQ Sheet-GPC'!BF13</f>
        <v>1354.91391</v>
      </c>
      <c r="F11" s="1129">
        <f>'Capital IQ Sheet-GPC'!BG13</f>
        <v>33.667000000000002</v>
      </c>
      <c r="G11" s="1129" t="str">
        <f>'Capital IQ Sheet-GPC'!BH13</f>
        <v>n/a</v>
      </c>
      <c r="H11" s="1129" t="str">
        <f>'Capital IQ Sheet-GPC'!BI13</f>
        <v>n/a</v>
      </c>
      <c r="I11" s="1129">
        <f>SUM(F11:H11)</f>
        <v>33.667000000000002</v>
      </c>
      <c r="J11" s="1129">
        <f>SUM(E11:H11)</f>
        <v>1388.5809099999999</v>
      </c>
      <c r="K11" s="1129">
        <f>'Capital IQ Sheet-GPC'!BJ13</f>
        <v>295.69099999999997</v>
      </c>
      <c r="L11" s="1129">
        <f>IF(ISERROR(J11-K11), "n/a", J11-K11)</f>
        <v>1092.8899099999999</v>
      </c>
      <c r="M11" s="698"/>
      <c r="N11" s="1909">
        <f>'Capital IQ Sheet-GPC'!I13</f>
        <v>36.53</v>
      </c>
      <c r="O11" s="1129">
        <f>'Capital IQ Sheet-GPC'!J13</f>
        <v>1705.3104800000001</v>
      </c>
      <c r="P11" s="1129">
        <f>'Capital IQ Sheet-GPC'!K13</f>
        <v>33.19</v>
      </c>
      <c r="Q11" s="1129" t="str">
        <f>'Capital IQ Sheet-GPC'!L13</f>
        <v>n/a</v>
      </c>
      <c r="R11" s="1129" t="str">
        <f>'Capital IQ Sheet-GPC'!M13</f>
        <v>n/a</v>
      </c>
      <c r="S11" s="1129">
        <f>SUM(P11:R11)</f>
        <v>33.19</v>
      </c>
      <c r="T11" s="1129">
        <f>SUM(O11:R11)</f>
        <v>1738.5004800000002</v>
      </c>
      <c r="U11" s="1129">
        <f>'Capital IQ Sheet-GPC'!N13</f>
        <v>358.82100000000003</v>
      </c>
      <c r="V11" s="1129">
        <f>IF(ISERROR(T11-U11), "n/a", T11-U11)</f>
        <v>1379.6794800000002</v>
      </c>
      <c r="X11" s="1061">
        <f>IFERROR(IF(OR(N11/D11-1&gt;$AD$7,N11/D11-1&lt;$AF$7),"NM",N11/D11-1),"n/a")</f>
        <v>0.18874064432151005</v>
      </c>
      <c r="Y11" s="1061">
        <f>IFERROR(IF(OR(O11/E11-1&gt;$AD$7,O11/E11-1&lt;$AF$7),"NM",O11/E11-1),"n/a")</f>
        <v>0.25861168552030001</v>
      </c>
      <c r="Z11" s="1061">
        <f>IFERROR(IF(OR(V11/L11-1&gt;$AD$7,V11/L11-1&lt;$AF$7),"NM",V11/L11-1),"n/a")</f>
        <v>0.26241396079866863</v>
      </c>
      <c r="AC11" s="932" t="str">
        <f>IF('MASTER PubCo Inputs'!C28="","",'MASTER PubCo Inputs'!C28)</f>
        <v>IQ252050056</v>
      </c>
      <c r="AD11" s="2064" t="str">
        <f>'Capital IQ Sheet-GPC'!AP13</f>
        <v>Editas Medicine, Inc. operates as a genome editing company. It focuses on treating patients with genetically defined diseases by correcting their disease causing genes. The company develops a proprietary genome editing platform based on CRISPR technology to target genetically defined diseases with an initial focus on debilitating illnesses where there are no approved treatments. It develops EDIT-101 for Leber Congenital Amaurosis type 10, a genetic form of vision loss that leads to blindness in childhood. The company also develops other therapies for eye diseases, such as Herpes Simplex Virus 1 that causes lifelong infections primarily leading to ocular and oral disease; and Usher Syndrome 2A, which is a form of retinitis pigmentosa that also includes hearing loss. In addition, it develops hematopoietic stem cells for treating sickle cell disease and beta thalassemia. Editas Medicine, Inc. has a collaboration and license agreement with Juno Therapeutics, Inc. for the research and development of engineered T cells with chimeric antigen receptors and T cell receptors; and strategic alliance and option agreement with Allergan Pharmaceuticals International Limited for the research and development of medicines for ocular diseases. The company was formerly known as Gengine, Inc. and changed its name to Editas Medicine Inc. in November 2013. Editas Medicine, Inc. was founded in 2013 and is based in Cambridge, Massachusetts.</v>
      </c>
      <c r="AE11" s="2064"/>
      <c r="AF11" s="2064"/>
      <c r="AG11" s="2064"/>
      <c r="AH11" s="316" t="s">
        <v>3376</v>
      </c>
      <c r="AJ11" s="339"/>
    </row>
    <row r="12" spans="2:36" ht="14.85" customHeight="1">
      <c r="B12" s="549" t="str">
        <f>'Capital IQ Sheet-GPC'!C14</f>
        <v>Oxford BioMedica plc</v>
      </c>
      <c r="C12" s="1576"/>
      <c r="D12" s="1909">
        <f>'Capital IQ Sheet-GPC'!BE14</f>
        <v>5.9706099999999998</v>
      </c>
      <c r="E12" s="1129">
        <f>'Capital IQ Sheet-GPC'!BF14</f>
        <v>370.54608999999999</v>
      </c>
      <c r="F12" s="1129">
        <f>'Capital IQ Sheet-GPC'!BG14</f>
        <v>43.990749999999998</v>
      </c>
      <c r="G12" s="1129" t="str">
        <f>'Capital IQ Sheet-GPC'!BH14</f>
        <v>n/a</v>
      </c>
      <c r="H12" s="1129" t="str">
        <f>'Capital IQ Sheet-GPC'!BI14</f>
        <v>n/a</v>
      </c>
      <c r="I12" s="1129">
        <f t="shared" ref="I12:I37" si="0">SUM(F12:H12)</f>
        <v>43.990749999999998</v>
      </c>
      <c r="J12" s="1129">
        <f t="shared" ref="J12:J37" si="1">SUM(E12:H12)</f>
        <v>414.53683999999998</v>
      </c>
      <c r="K12" s="1129">
        <f>'Capital IQ Sheet-GPC'!BJ14</f>
        <v>13.22372</v>
      </c>
      <c r="L12" s="1129">
        <f t="shared" ref="L12:L37" si="2">IF(ISERROR(J12-K12), "n/a", J12-K12)</f>
        <v>401.31311999999997</v>
      </c>
      <c r="M12" s="698"/>
      <c r="N12" s="1909">
        <f>'Capital IQ Sheet-GPC'!I14</f>
        <v>9.98217</v>
      </c>
      <c r="O12" s="1129">
        <f>'Capital IQ Sheet-GPC'!J14</f>
        <v>655.68985999999995</v>
      </c>
      <c r="P12" s="1129">
        <f>'Capital IQ Sheet-GPC'!K14</f>
        <v>49.826320000000003</v>
      </c>
      <c r="Q12" s="1129" t="str">
        <f>'Capital IQ Sheet-GPC'!L14</f>
        <v>n/a</v>
      </c>
      <c r="R12" s="1129" t="str">
        <f>'Capital IQ Sheet-GPC'!M14</f>
        <v>n/a</v>
      </c>
      <c r="S12" s="1129">
        <f t="shared" ref="S12:S37" si="3">SUM(P12:R12)</f>
        <v>49.826320000000003</v>
      </c>
      <c r="T12" s="1129">
        <f t="shared" ref="T12:T37" si="4">SUM(O12:R12)</f>
        <v>705.51617999999996</v>
      </c>
      <c r="U12" s="1129">
        <f>'Capital IQ Sheet-GPC'!N14</f>
        <v>19.367439999999998</v>
      </c>
      <c r="V12" s="1129">
        <f t="shared" ref="V12:V37" si="5">IF(ISERROR(T12-U12), "n/a", T12-U12)</f>
        <v>686.14873999999998</v>
      </c>
      <c r="X12" s="1061">
        <f t="shared" ref="X12:X43" si="6">IFERROR(IF(OR(N12/D12-1&gt;$AD$7,N12/D12-1&lt;$AF$7),"NM",N12/D12-1),"n/a")</f>
        <v>0.6718844473177783</v>
      </c>
      <c r="Y12" s="1061">
        <f t="shared" ref="Y12:Y43" si="7">IFERROR(IF(OR(O12/E12-1&gt;$AD$7,O12/E12-1&lt;$AF$7),"NM",O12/E12-1),"n/a")</f>
        <v>0.76952308415938209</v>
      </c>
      <c r="Z12" s="1061">
        <f t="shared" ref="Z12:Z43" si="8">IFERROR(IF(OR(V12/L12-1&gt;$AD$7,V12/L12-1&lt;$AF$7),"NM",V12/L12-1),"n/a")</f>
        <v>0.70975905298087438</v>
      </c>
      <c r="AC12" s="932" t="str">
        <f>IF('MASTER PubCo Inputs'!C29="","",'MASTER PubCo Inputs'!C29)</f>
        <v>IQ613227</v>
      </c>
      <c r="AD12" s="2064" t="str">
        <f>'Capital IQ Sheet-GPC'!AP14</f>
        <v>Oxford BioMedica plc, a biopharmaceutical company, engages in the research, development, and bioprocessing of lentiviral vector and cell therapy products for the treatment of various cancers, Parkinson’s, central nervous system disorders, and ocular conditions in Europe and internationally. The company operates through Platform and Product segments. Its LentiVector platform technology integrates genes into non-dividing cells in the brain and retinal cells in the eye, as well as accommodates multiple therapeutic genes. The company’s products under development include OXB-102 that is in Phase I/IIa study preparation for the treatment of Parkinson's disease; OXB-202, which is in a Phase I/IIa trial preparation for the prevention of corneal graft rejection; and OXB-302, a gene-based cancer immunotherapy product that has completed pre-clinical development for use in the treatment of a range of cancers, as well as OXB-201 that has completed Phase I trial for the treatment of wet age-related macular degeneration and diabetic retinopathy. It is also developing gene-based therapies, such as SAR 422459 that is in a Phase II trial for the treatment of Stargardt disease; and SAR 421869, which is in Phase I/II trial for the treatment of Usher syndrome 1B. The company has partnerships with Novartis, Sanofi, GlaxoSmithKline, Bioverativ, Orchard Therapeutics, GC LabCell, the UK Cystic Fibrosis Gene Therapy Consortium, Imperial Innovations, and Immune Design. Oxford BioMedica plc was founded in 1995 and is headquartered in Oxford, the United Kingdom.</v>
      </c>
      <c r="AE12" s="2064"/>
      <c r="AF12" s="2064"/>
      <c r="AG12" s="2064"/>
      <c r="AH12" s="316" t="s">
        <v>3376</v>
      </c>
      <c r="AJ12" s="339"/>
    </row>
    <row r="13" spans="2:36" ht="14.85" customHeight="1">
      <c r="B13" s="549" t="str">
        <f>'Capital IQ Sheet-GPC'!C15</f>
        <v>Fennec Pharmaceuticals Inc.</v>
      </c>
      <c r="C13" s="1576"/>
      <c r="D13" s="1909">
        <f>'Capital IQ Sheet-GPC'!BE15</f>
        <v>10.02</v>
      </c>
      <c r="E13" s="1129">
        <f>'Capital IQ Sheet-GPC'!BF15</f>
        <v>184.48195999999999</v>
      </c>
      <c r="F13" s="1129">
        <f>'Capital IQ Sheet-GPC'!BG15</f>
        <v>0</v>
      </c>
      <c r="G13" s="1129" t="str">
        <f>'Capital IQ Sheet-GPC'!BH15</f>
        <v>n/a</v>
      </c>
      <c r="H13" s="1129" t="str">
        <f>'Capital IQ Sheet-GPC'!BI15</f>
        <v>n/a</v>
      </c>
      <c r="I13" s="1129">
        <f t="shared" si="0"/>
        <v>0</v>
      </c>
      <c r="J13" s="1129">
        <f t="shared" si="1"/>
        <v>184.48195999999999</v>
      </c>
      <c r="K13" s="1129">
        <f>'Capital IQ Sheet-GPC'!BJ15</f>
        <v>9.6880000000000006</v>
      </c>
      <c r="L13" s="1129">
        <f t="shared" si="2"/>
        <v>174.79396</v>
      </c>
      <c r="M13" s="698"/>
      <c r="N13" s="1909">
        <f>'Capital IQ Sheet-GPC'!I15</f>
        <v>11.12</v>
      </c>
      <c r="O13" s="1129">
        <f>'Capital IQ Sheet-GPC'!J15</f>
        <v>205.66506000000001</v>
      </c>
      <c r="P13" s="1129">
        <f>'Capital IQ Sheet-GPC'!K15</f>
        <v>0</v>
      </c>
      <c r="Q13" s="1129" t="str">
        <f>'Capital IQ Sheet-GPC'!L15</f>
        <v>n/a</v>
      </c>
      <c r="R13" s="1129" t="str">
        <f>'Capital IQ Sheet-GPC'!M15</f>
        <v>n/a</v>
      </c>
      <c r="S13" s="1129">
        <f t="shared" si="3"/>
        <v>0</v>
      </c>
      <c r="T13" s="1129">
        <f t="shared" si="4"/>
        <v>205.66506000000001</v>
      </c>
      <c r="U13" s="1129">
        <f>'Capital IQ Sheet-GPC'!N15</f>
        <v>26.719000000000001</v>
      </c>
      <c r="V13" s="1129">
        <f t="shared" si="5"/>
        <v>178.94606000000002</v>
      </c>
      <c r="X13" s="1061">
        <f t="shared" si="6"/>
        <v>0.1097804391217565</v>
      </c>
      <c r="Y13" s="1061">
        <f t="shared" si="7"/>
        <v>0.11482477744707409</v>
      </c>
      <c r="Z13" s="1061">
        <f t="shared" si="8"/>
        <v>2.3754253293420513E-2</v>
      </c>
      <c r="AC13" s="932" t="str">
        <f>IF('MASTER PubCo Inputs'!C30="","",'MASTER PubCo Inputs'!C30)</f>
        <v>IQ1455350</v>
      </c>
      <c r="AD13" s="2064" t="str">
        <f>'Capital IQ Sheet-GPC'!AP15</f>
        <v>Fennec Pharmaceuticals Inc., a biopharmaceutical company, develops product candidates for use in the treatment of cancer in the United States. Its lead product candidate is the Sodium Thiosulfate, which has completed the Phase III clinical trial for the prevention of cisplatin induced hearing loss or ototoxicity in children. The company was formerly known as Adherex Technologies Inc. and changed its name to Fennec Pharmaceuticals Inc. in September 2014. Fennec Pharmaceuticals Inc. was founded in 1996 and is based in Research Triangle Park, North Carolina.</v>
      </c>
      <c r="AE13" s="2064"/>
      <c r="AF13" s="2064"/>
      <c r="AG13" s="2064"/>
      <c r="AH13" s="316"/>
      <c r="AI13" s="1856"/>
      <c r="AJ13" s="1857" t="s">
        <v>3376</v>
      </c>
    </row>
    <row r="14" spans="2:36" ht="14.85" customHeight="1">
      <c r="B14" s="549" t="str">
        <f>'Capital IQ Sheet-GPC'!C16</f>
        <v>ProQR Therapeutics N.V.</v>
      </c>
      <c r="C14" s="1576"/>
      <c r="D14" s="1909">
        <f>'Capital IQ Sheet-GPC'!BE16</f>
        <v>3.2250000000000001</v>
      </c>
      <c r="E14" s="1129">
        <f>'Capital IQ Sheet-GPC'!BF16</f>
        <v>102.20086000000001</v>
      </c>
      <c r="F14" s="1129">
        <f>'Capital IQ Sheet-GPC'!BG16</f>
        <v>7.6622199999999996</v>
      </c>
      <c r="G14" s="1129" t="str">
        <f>'Capital IQ Sheet-GPC'!BH16</f>
        <v>n/a</v>
      </c>
      <c r="H14" s="1129">
        <f>'Capital IQ Sheet-GPC'!BI16</f>
        <v>-1.1820000000000001E-2</v>
      </c>
      <c r="I14" s="1129">
        <f t="shared" si="0"/>
        <v>7.6503999999999994</v>
      </c>
      <c r="J14" s="1129">
        <f t="shared" si="1"/>
        <v>109.85126000000001</v>
      </c>
      <c r="K14" s="1129">
        <f>'Capital IQ Sheet-GPC'!BJ16</f>
        <v>46.97081</v>
      </c>
      <c r="L14" s="1129">
        <f t="shared" si="2"/>
        <v>62.88045000000001</v>
      </c>
      <c r="M14" s="698"/>
      <c r="N14" s="1909">
        <f>'Capital IQ Sheet-GPC'!I16</f>
        <v>5.9</v>
      </c>
      <c r="O14" s="1129">
        <f>'Capital IQ Sheet-GPC'!J16</f>
        <v>188.339</v>
      </c>
      <c r="P14" s="1129">
        <f>'Capital IQ Sheet-GPC'!K16</f>
        <v>8.6983700000000006</v>
      </c>
      <c r="Q14" s="1129" t="str">
        <f>'Capital IQ Sheet-GPC'!L16</f>
        <v>n/a</v>
      </c>
      <c r="R14" s="1129">
        <f>'Capital IQ Sheet-GPC'!M16</f>
        <v>-4.5629999999999997E-2</v>
      </c>
      <c r="S14" s="1129">
        <f t="shared" si="3"/>
        <v>8.6527400000000014</v>
      </c>
      <c r="T14" s="1129">
        <f t="shared" si="4"/>
        <v>196.99174000000002</v>
      </c>
      <c r="U14" s="1129">
        <f>'Capital IQ Sheet-GPC'!N16</f>
        <v>57.755760000000002</v>
      </c>
      <c r="V14" s="1129">
        <f t="shared" si="5"/>
        <v>139.23598000000001</v>
      </c>
      <c r="X14" s="1061">
        <f t="shared" si="6"/>
        <v>0.82945736434108541</v>
      </c>
      <c r="Y14" s="1061">
        <f t="shared" si="7"/>
        <v>0.84283185092571622</v>
      </c>
      <c r="Z14" s="1061" t="str">
        <f t="shared" si="8"/>
        <v>NM</v>
      </c>
      <c r="AC14" s="932" t="str">
        <f>IF('MASTER PubCo Inputs'!C31="","",'MASTER PubCo Inputs'!C31)</f>
        <v>IQ224193775</v>
      </c>
      <c r="AD14" s="2064" t="str">
        <f>'Capital IQ Sheet-GPC'!AP16</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c r="AE14" s="2064"/>
      <c r="AF14" s="2064"/>
      <c r="AG14" s="2064"/>
      <c r="AH14" s="1864" t="s">
        <v>3844</v>
      </c>
      <c r="AI14" s="1856" t="s">
        <v>3843</v>
      </c>
      <c r="AJ14" s="1857"/>
    </row>
    <row r="15" spans="2:36" ht="14.85" customHeight="1">
      <c r="B15" s="549" t="str">
        <f>'Capital IQ Sheet-GPC'!C17</f>
        <v>Genkyotex SA</v>
      </c>
      <c r="C15" s="1576"/>
      <c r="D15" s="1909">
        <f>'Capital IQ Sheet-GPC'!BE17</f>
        <v>1.9923200000000001</v>
      </c>
      <c r="E15" s="1129">
        <f>'Capital IQ Sheet-GPC'!BF17</f>
        <v>154.98090999999999</v>
      </c>
      <c r="F15" s="1129">
        <f>'Capital IQ Sheet-GPC'!BG17</f>
        <v>0.51797000000000004</v>
      </c>
      <c r="G15" s="1129" t="str">
        <f>'Capital IQ Sheet-GPC'!BH17</f>
        <v>n/a</v>
      </c>
      <c r="H15" s="1129" t="str">
        <f>'Capital IQ Sheet-GPC'!BI17</f>
        <v>n/a</v>
      </c>
      <c r="I15" s="1129">
        <f t="shared" si="0"/>
        <v>0.51797000000000004</v>
      </c>
      <c r="J15" s="1129">
        <f t="shared" si="1"/>
        <v>155.49887999999999</v>
      </c>
      <c r="K15" s="1129">
        <f>'Capital IQ Sheet-GPC'!BJ17</f>
        <v>16.945810000000002</v>
      </c>
      <c r="L15" s="1129">
        <f t="shared" si="2"/>
        <v>138.55306999999999</v>
      </c>
      <c r="M15" s="698"/>
      <c r="N15" s="1909">
        <f>'Capital IQ Sheet-GPC'!I17</f>
        <v>1.7810900000000001</v>
      </c>
      <c r="O15" s="1129">
        <f>'Capital IQ Sheet-GPC'!J17</f>
        <v>138.52769000000001</v>
      </c>
      <c r="P15" s="1129">
        <f>'Capital IQ Sheet-GPC'!K17</f>
        <v>0.48391000000000001</v>
      </c>
      <c r="Q15" s="1129" t="str">
        <f>'Capital IQ Sheet-GPC'!L17</f>
        <v>n/a</v>
      </c>
      <c r="R15" s="1129" t="str">
        <f>'Capital IQ Sheet-GPC'!M17</f>
        <v>n/a</v>
      </c>
      <c r="S15" s="1129">
        <f t="shared" si="3"/>
        <v>0.48391000000000001</v>
      </c>
      <c r="T15" s="1129">
        <f t="shared" si="4"/>
        <v>139.01160000000002</v>
      </c>
      <c r="U15" s="1129">
        <f>'Capital IQ Sheet-GPC'!N17</f>
        <v>13.622719999999999</v>
      </c>
      <c r="V15" s="1129">
        <f t="shared" si="5"/>
        <v>125.38888000000001</v>
      </c>
      <c r="X15" s="1061">
        <f t="shared" si="6"/>
        <v>-0.10602212495984586</v>
      </c>
      <c r="Y15" s="1061">
        <f t="shared" si="7"/>
        <v>-0.10616288160909615</v>
      </c>
      <c r="Z15" s="1061">
        <f t="shared" si="8"/>
        <v>-9.5011896885431546E-2</v>
      </c>
      <c r="AC15" s="932" t="str">
        <f>IF('MASTER PubCo Inputs'!C32="","",'MASTER PubCo Inputs'!C32)</f>
        <v>IQ25750031</v>
      </c>
      <c r="AD15" s="2064" t="str">
        <f>'Capital IQ Sheet-GPC'!AP17</f>
        <v>Genkyotex S.A., a biopharmaceutical company, develops oral small molecule NOX therapeutics. Its platform enables the identification of orally available small-molecules that selectively inhibit NOX enzymes amplifying various disease processes, such as fibrosis, inflammation, pain processing, cancer development, and neurodegeneration. The company’s lead product candidate is GKT831, a NOX1 and NOX4 inhibitor, which is evaluated in a Phase II clinical trial in primary biliary cholangitis a fibrotic orphan disease and in an investigator-initiated Phase II clinical trial in type 1 diabetes and kidney disease. Its preclinical stage product candidate is GKT771, a NOX1 inhibitor targeting various pathways in angiogenesis, pain processing, and inflammation. The company’s research programs include brain penetrant NOX inhibitors to address CNS disorders; NOX inhibitors to address hearing loss; and NOX inhibitors in oncology. Genkyotex S.A. has a partnership with Serum Institute of India Ltd for the development of prophylactic vaccines. The company was founded in 2006 and is based in Saint Julien En Genevois, France.</v>
      </c>
      <c r="AE15" s="2064"/>
      <c r="AF15" s="2064"/>
      <c r="AG15" s="2064"/>
      <c r="AH15" s="1863" t="s">
        <v>3376</v>
      </c>
      <c r="AI15" s="1858"/>
      <c r="AJ15" s="1857"/>
    </row>
    <row r="16" spans="2:36" ht="14.85" customHeight="1">
      <c r="B16" s="549" t="str">
        <f>'Capital IQ Sheet-GPC'!C18</f>
        <v>Novus Therapeutics, Inc.</v>
      </c>
      <c r="C16" s="1576"/>
      <c r="D16" s="1909">
        <f>'Capital IQ Sheet-GPC'!BE18</f>
        <v>4.0599999999999996</v>
      </c>
      <c r="E16" s="1129">
        <f>'Capital IQ Sheet-GPC'!BF18</f>
        <v>28.766780000000001</v>
      </c>
      <c r="F16" s="1129">
        <f>'Capital IQ Sheet-GPC'!BG18</f>
        <v>0</v>
      </c>
      <c r="G16" s="1129" t="str">
        <f>'Capital IQ Sheet-GPC'!BH18</f>
        <v>n/a</v>
      </c>
      <c r="H16" s="1129" t="str">
        <f>'Capital IQ Sheet-GPC'!BI18</f>
        <v>n/a</v>
      </c>
      <c r="I16" s="1129">
        <f t="shared" ref="I16:I19" si="9">SUM(F16:H16)</f>
        <v>0</v>
      </c>
      <c r="J16" s="1129">
        <f t="shared" ref="J16:J19" si="10">SUM(E16:H16)</f>
        <v>28.766780000000001</v>
      </c>
      <c r="K16" s="1129">
        <f>'Capital IQ Sheet-GPC'!BJ18</f>
        <v>19.094000000000001</v>
      </c>
      <c r="L16" s="1129">
        <f t="shared" ref="L16:L19" si="11">IF(ISERROR(J16-K16), "n/a", J16-K16)</f>
        <v>9.6727799999999995</v>
      </c>
      <c r="M16" s="698"/>
      <c r="N16" s="1909">
        <f>'Capital IQ Sheet-GPC'!I18</f>
        <v>7.87</v>
      </c>
      <c r="O16" s="1129">
        <f>'Capital IQ Sheet-GPC'!J18</f>
        <v>74.033280000000005</v>
      </c>
      <c r="P16" s="1129">
        <f>'Capital IQ Sheet-GPC'!K18</f>
        <v>0</v>
      </c>
      <c r="Q16" s="1129" t="str">
        <f>'Capital IQ Sheet-GPC'!L18</f>
        <v>n/a</v>
      </c>
      <c r="R16" s="1129" t="str">
        <f>'Capital IQ Sheet-GPC'!M18</f>
        <v>n/a</v>
      </c>
      <c r="S16" s="1129">
        <f t="shared" ref="S16:S19" si="12">SUM(P16:R16)</f>
        <v>0</v>
      </c>
      <c r="T16" s="1129">
        <f t="shared" ref="T16:T19" si="13">SUM(O16:R16)</f>
        <v>74.033280000000005</v>
      </c>
      <c r="U16" s="1129">
        <f>'Capital IQ Sheet-GPC'!N18</f>
        <v>22.523</v>
      </c>
      <c r="V16" s="1129">
        <f t="shared" ref="V16:V19" si="14">IF(ISERROR(T16-U16), "n/a", T16-U16)</f>
        <v>51.510280000000009</v>
      </c>
      <c r="X16" s="1061">
        <f t="shared" ref="X16:X19" si="15">IFERROR(IF(OR(N16/D16-1&gt;$AD$7,N16/D16-1&lt;$AF$7),"NM",N16/D16-1),"n/a")</f>
        <v>0.93842364532019729</v>
      </c>
      <c r="Y16" s="1061" t="str">
        <f t="shared" ref="Y16:Y19" si="16">IFERROR(IF(OR(O16/E16-1&gt;$AD$7,O16/E16-1&lt;$AF$7),"NM",O16/E16-1),"n/a")</f>
        <v>NM</v>
      </c>
      <c r="Z16" s="1061" t="str">
        <f t="shared" ref="Z16:Z19" si="17">IFERROR(IF(OR(V16/L16-1&gt;$AD$7,V16/L16-1&lt;$AF$7),"NM",V16/L16-1),"n/a")</f>
        <v>NM</v>
      </c>
      <c r="AC16" s="932" t="str">
        <f>IF('MASTER PubCo Inputs'!C33="","",'MASTER PubCo Inputs'!C33)</f>
        <v>IQ62494905</v>
      </c>
      <c r="AD16" s="179" t="str">
        <f>'Capital IQ Sheet-GPC'!AP18</f>
        <v>Novus Therapeutics, Inc., a pharmaceutical company, focuses on developing products for patients with disorders of ear, nose, and throat. Its lead product is (OP-02), a surfactant-based combination drug product for patients at risk for, or with, otitis media (OM) (middle ear inflammation with or without infection). The company also has a foam-based drug delivery technology (OP-01) that could be used to deliver drugs into the ear, nose, and sinus cavities. Novus Therapeutics, Inc. is headquartered in Irvine, California.</v>
      </c>
      <c r="AH16" s="1863" t="s">
        <v>3623</v>
      </c>
      <c r="AI16" s="1856" t="s">
        <v>3624</v>
      </c>
      <c r="AJ16" s="1857"/>
    </row>
    <row r="17" spans="2:36" ht="14.85" customHeight="1">
      <c r="B17" s="549" t="str">
        <f>'Capital IQ Sheet-GPC'!C19</f>
        <v>Sensorion SA</v>
      </c>
      <c r="C17" s="1576"/>
      <c r="D17" s="1909">
        <f>'Capital IQ Sheet-GPC'!BE19</f>
        <v>4.4407100000000002</v>
      </c>
      <c r="E17" s="1129">
        <f>'Capital IQ Sheet-GPC'!BF19</f>
        <v>39.537320000000001</v>
      </c>
      <c r="F17" s="1129">
        <f>'Capital IQ Sheet-GPC'!BG19</f>
        <v>5.33371</v>
      </c>
      <c r="G17" s="1129">
        <f>'Capital IQ Sheet-GPC'!BH19</f>
        <v>0</v>
      </c>
      <c r="H17" s="1129">
        <f>'Capital IQ Sheet-GPC'!BI19</f>
        <v>0</v>
      </c>
      <c r="I17" s="1129">
        <f t="shared" si="9"/>
        <v>5.33371</v>
      </c>
      <c r="J17" s="1129">
        <f t="shared" si="10"/>
        <v>44.871030000000005</v>
      </c>
      <c r="K17" s="1129">
        <f>'Capital IQ Sheet-GPC'!BJ19</f>
        <v>10.482849999999999</v>
      </c>
      <c r="L17" s="1129">
        <f t="shared" si="11"/>
        <v>34.388180000000006</v>
      </c>
      <c r="M17" s="698"/>
      <c r="N17" s="1909">
        <f>'Capital IQ Sheet-GPC'!I19</f>
        <v>2.8849499999999999</v>
      </c>
      <c r="O17" s="1129">
        <f>'Capital IQ Sheet-GPC'!J19</f>
        <v>37.159999999999997</v>
      </c>
      <c r="P17" s="1129">
        <f>'Capital IQ Sheet-GPC'!K19</f>
        <v>2.6891699999999998</v>
      </c>
      <c r="Q17" s="1129">
        <f>'Capital IQ Sheet-GPC'!L19</f>
        <v>0</v>
      </c>
      <c r="R17" s="1129">
        <f>'Capital IQ Sheet-GPC'!M19</f>
        <v>0</v>
      </c>
      <c r="S17" s="1129">
        <f t="shared" si="12"/>
        <v>2.6891699999999998</v>
      </c>
      <c r="T17" s="1129">
        <f t="shared" si="13"/>
        <v>39.849169999999994</v>
      </c>
      <c r="U17" s="1129">
        <f>'Capital IQ Sheet-GPC'!N19</f>
        <v>9.1175599999999992</v>
      </c>
      <c r="V17" s="1129">
        <f t="shared" si="14"/>
        <v>30.731609999999996</v>
      </c>
      <c r="X17" s="1061" t="str">
        <f t="shared" si="15"/>
        <v>NM</v>
      </c>
      <c r="Y17" s="1061">
        <f t="shared" si="16"/>
        <v>-6.0128506433921314E-2</v>
      </c>
      <c r="Z17" s="1061">
        <f t="shared" si="17"/>
        <v>-0.10633217576504506</v>
      </c>
      <c r="AC17" s="932" t="str">
        <f>IF('MASTER PubCo Inputs'!C34="","",'MASTER PubCo Inputs'!C34)</f>
        <v>IQ201049094</v>
      </c>
      <c r="AD17" s="179" t="str">
        <f>'Capital IQ Sheet-GPC'!AP19</f>
        <v>Sensorion SA, a biopharmaceutical company, develops therapies for the treatment of inner ear disorders. The company develops SENS-111, which is in phase II clinical trials to treat acute unilateral vestibulopathy; and SENS-401 that is in phase I clinical trials to treat sudden sensorineural hearing loss. It also develops SENS-300, which is under the pre-clinical stage for use in inner ear toxicity treatment. The company has a strategic collaboration with Cochlear Limited to study combination therapies for cochlear implant patients. Sensorion SA was founded in 2009 and is headquartered in Montpellier, France.</v>
      </c>
      <c r="AH17" s="1864" t="s">
        <v>3625</v>
      </c>
      <c r="AI17" s="1858" t="s">
        <v>3626</v>
      </c>
      <c r="AJ17" s="1857" t="s">
        <v>3627</v>
      </c>
    </row>
    <row r="18" spans="2:36" ht="14.85" customHeight="1">
      <c r="B18" s="549" t="str">
        <f>'Capital IQ Sheet-GPC'!C20</f>
        <v>Otonomy, Inc.</v>
      </c>
      <c r="C18" s="1576"/>
      <c r="D18" s="1909">
        <f>'Capital IQ Sheet-GPC'!BE20</f>
        <v>5.55</v>
      </c>
      <c r="E18" s="1129">
        <f>'Capital IQ Sheet-GPC'!BF20</f>
        <v>168.37101000000001</v>
      </c>
      <c r="F18" s="1129">
        <f>'Capital IQ Sheet-GPC'!BG20</f>
        <v>0</v>
      </c>
      <c r="G18" s="1129">
        <f>'Capital IQ Sheet-GPC'!BH20</f>
        <v>0</v>
      </c>
      <c r="H18" s="1129">
        <f>'Capital IQ Sheet-GPC'!BI20</f>
        <v>0</v>
      </c>
      <c r="I18" s="1129">
        <f t="shared" si="9"/>
        <v>0</v>
      </c>
      <c r="J18" s="1129">
        <f t="shared" si="10"/>
        <v>168.37101000000001</v>
      </c>
      <c r="K18" s="1129">
        <f>'Capital IQ Sheet-GPC'!BJ20</f>
        <v>134.30799999999999</v>
      </c>
      <c r="L18" s="1129">
        <f t="shared" si="11"/>
        <v>34.06301000000002</v>
      </c>
      <c r="M18" s="698"/>
      <c r="N18" s="1909">
        <f>'Capital IQ Sheet-GPC'!I20</f>
        <v>4.45</v>
      </c>
      <c r="O18" s="1129">
        <f>'Capital IQ Sheet-GPC'!J20</f>
        <v>136.06998999999999</v>
      </c>
      <c r="P18" s="1129">
        <f>'Capital IQ Sheet-GPC'!K20</f>
        <v>0</v>
      </c>
      <c r="Q18" s="1129">
        <f>'Capital IQ Sheet-GPC'!L20</f>
        <v>0</v>
      </c>
      <c r="R18" s="1129">
        <f>'Capital IQ Sheet-GPC'!M20</f>
        <v>0</v>
      </c>
      <c r="S18" s="1129">
        <f t="shared" si="12"/>
        <v>0</v>
      </c>
      <c r="T18" s="1129">
        <f t="shared" si="13"/>
        <v>136.06998999999999</v>
      </c>
      <c r="U18" s="1129">
        <f>'Capital IQ Sheet-GPC'!N20</f>
        <v>110.224</v>
      </c>
      <c r="V18" s="1129">
        <f t="shared" si="14"/>
        <v>25.845989999999986</v>
      </c>
      <c r="X18" s="1061">
        <f t="shared" si="15"/>
        <v>-0.19819819819819817</v>
      </c>
      <c r="Y18" s="1061">
        <f t="shared" si="16"/>
        <v>-0.19184430858970325</v>
      </c>
      <c r="Z18" s="1061">
        <f t="shared" si="17"/>
        <v>-0.24123000286821483</v>
      </c>
      <c r="AC18" s="932" t="str">
        <f>IF('MASTER PubCo Inputs'!C35="","",'MASTER PubCo Inputs'!C35)</f>
        <v>IQ60978778</v>
      </c>
      <c r="AD18" s="179" t="str">
        <f>'Capital IQ Sheet-GPC'!AP20</f>
        <v>Otonomy, Inc., a biopharmaceutical company, engages in the development and commercialization of therapeutics for otology in the United States. It offers OTIPRIO, a ciprofloxacin otic suspension for use during tympanostomy tube placement surgery in pediatric patients. The company also develops OTIVIDEX, a sustained-exposure formulation of the steroid dexamethasone in Phase III clinical trial for the treatment of Ménière’s disease; and OTO- 313, a sustained-exposure formulation of N-methyl-D-aspartate receptor antagonist gacyclidine, which has completed a Phase 1 clinical safety trial for the treatment of tinnitus. In addition, it develops OTO-413, a sustained exposure formulation of brain-derived neurotrophic factor for the repair of cochlear synaptopathy and the treatment of speech-in-noise hearing difficulties; OTO-5XX, an otoprotectant for the prevention of cisplatin-induced hearing loss; and OTO-6XX induces hair cell regeneration for the treatment of severe hearing loss. The company has license agreements with University of California and DURECT Corporation. Otonomy, Inc. was founded in 2008 and is headquartered in San Diego, California.</v>
      </c>
      <c r="AH18" s="1863"/>
      <c r="AI18" s="1858"/>
      <c r="AJ18" s="1857"/>
    </row>
    <row r="19" spans="2:36" ht="14.85" customHeight="1">
      <c r="B19" s="549" t="str">
        <f>'Capital IQ Sheet-GPC'!C21</f>
        <v>Auris Medical Holding AG</v>
      </c>
      <c r="C19" s="1576"/>
      <c r="D19" s="1909">
        <f>'Capital IQ Sheet-GPC'!BE21</f>
        <v>5.9050000000000002</v>
      </c>
      <c r="E19" s="1129">
        <f>'Capital IQ Sheet-GPC'!BF21</f>
        <v>26.176690000000001</v>
      </c>
      <c r="F19" s="1129">
        <f>'Capital IQ Sheet-GPC'!BG21</f>
        <v>11.38569</v>
      </c>
      <c r="G19" s="1129">
        <f>'Capital IQ Sheet-GPC'!BH21</f>
        <v>0</v>
      </c>
      <c r="H19" s="1129">
        <f>'Capital IQ Sheet-GPC'!BI21</f>
        <v>0</v>
      </c>
      <c r="I19" s="1129">
        <f t="shared" si="9"/>
        <v>11.38569</v>
      </c>
      <c r="J19" s="1129">
        <f t="shared" si="10"/>
        <v>37.562380000000005</v>
      </c>
      <c r="K19" s="1129">
        <f>'Capital IQ Sheet-GPC'!BJ21</f>
        <v>20.8446</v>
      </c>
      <c r="L19" s="1129">
        <f t="shared" si="11"/>
        <v>16.717780000000005</v>
      </c>
      <c r="M19" s="698"/>
      <c r="N19" s="1909">
        <f>'Capital IQ Sheet-GPC'!I21</f>
        <v>1.19</v>
      </c>
      <c r="O19" s="1129">
        <f>'Capital IQ Sheet-GPC'!J21</f>
        <v>7.2796900000000004</v>
      </c>
      <c r="P19" s="1129">
        <f>'Capital IQ Sheet-GPC'!K21</f>
        <v>9.06297</v>
      </c>
      <c r="Q19" s="1129">
        <f>'Capital IQ Sheet-GPC'!L21</f>
        <v>0</v>
      </c>
      <c r="R19" s="1129">
        <f>'Capital IQ Sheet-GPC'!M21</f>
        <v>0</v>
      </c>
      <c r="S19" s="1129">
        <f t="shared" si="12"/>
        <v>9.06297</v>
      </c>
      <c r="T19" s="1129">
        <f t="shared" si="13"/>
        <v>16.342660000000002</v>
      </c>
      <c r="U19" s="1129">
        <f>'Capital IQ Sheet-GPC'!N21</f>
        <v>13.2705</v>
      </c>
      <c r="V19" s="1129">
        <f t="shared" si="14"/>
        <v>3.072160000000002</v>
      </c>
      <c r="X19" s="1061" t="str">
        <f t="shared" si="15"/>
        <v>NM</v>
      </c>
      <c r="Y19" s="1061" t="str">
        <f t="shared" si="16"/>
        <v>NM</v>
      </c>
      <c r="Z19" s="1061" t="str">
        <f t="shared" si="17"/>
        <v>NM</v>
      </c>
      <c r="AC19" s="932" t="str">
        <f>IF('MASTER PubCo Inputs'!C36="","",'MASTER PubCo Inputs'!C36)</f>
        <v>IQ42726152</v>
      </c>
      <c r="AD19" s="179" t="str">
        <f>'Capital IQ Sheet-GPC'!AP21</f>
        <v>Auris Medical Holding AG, a clinical-stage biopharmaceutical company, focuses on the development of novel products for the treatment of inner ear disorders. Its product candidates include AM-101, which is in phase III clinical development for the treatment of acute inner ear tinnitus; and AM-111 that is in phase III clinical development for the treatment of acute inner ear hearing loss. The company is also developing AM-125 for the treatment of vestibular disorders; and other pre-clinical stage products comprising AM-102 and AM-123. It has a collaboration and license agreement with Xigen S.A. to develop, manufacture, and commercialize pharmaceutical products, as well as drug delivery devices and formulations for local administration of therapeutic substances to the inner ear for the treatment of ear disorders. The company was formerly known as Auris Medical AG and changed its name to Auris Medical Holding AG in April 2014. Auris Medical Holding AG was founded in 1998 and is headquartered in Zug, Switzerland.</v>
      </c>
      <c r="AH19" s="1865" t="s">
        <v>3628</v>
      </c>
      <c r="AI19" s="1859" t="s">
        <v>3629</v>
      </c>
      <c r="AJ19" s="1860" t="s">
        <v>3630</v>
      </c>
    </row>
    <row r="20" spans="2:36" ht="14.85" hidden="1" customHeight="1" outlineLevel="1">
      <c r="B20" s="549" t="str">
        <f>'Capital IQ Sheet-GPC'!C19</f>
        <v>Sensorion SA</v>
      </c>
      <c r="C20" s="1576"/>
      <c r="D20" s="1909">
        <f>'Capital IQ Sheet-GPC'!BE19</f>
        <v>4.4407100000000002</v>
      </c>
      <c r="E20" s="1129">
        <f>'Capital IQ Sheet-GPC'!BF19</f>
        <v>39.537320000000001</v>
      </c>
      <c r="F20" s="1129">
        <f>'Capital IQ Sheet-GPC'!BG19</f>
        <v>5.33371</v>
      </c>
      <c r="G20" s="1129">
        <f>'Capital IQ Sheet-GPC'!BH19</f>
        <v>0</v>
      </c>
      <c r="H20" s="1129">
        <f>'Capital IQ Sheet-GPC'!BI19</f>
        <v>0</v>
      </c>
      <c r="I20" s="1129">
        <f t="shared" si="0"/>
        <v>5.33371</v>
      </c>
      <c r="J20" s="1129">
        <f t="shared" si="1"/>
        <v>44.871030000000005</v>
      </c>
      <c r="K20" s="1129">
        <f>'Capital IQ Sheet-GPC'!BJ19</f>
        <v>10.482849999999999</v>
      </c>
      <c r="L20" s="1129">
        <f t="shared" si="2"/>
        <v>34.388180000000006</v>
      </c>
      <c r="M20" s="698"/>
      <c r="N20" s="1909">
        <f>'Capital IQ Sheet-GPC'!I19</f>
        <v>2.8849499999999999</v>
      </c>
      <c r="O20" s="1129">
        <f>'Capital IQ Sheet-GPC'!J19</f>
        <v>37.159999999999997</v>
      </c>
      <c r="P20" s="1129">
        <f>'Capital IQ Sheet-GPC'!K19</f>
        <v>2.6891699999999998</v>
      </c>
      <c r="Q20" s="1129">
        <f>'Capital IQ Sheet-GPC'!L19</f>
        <v>0</v>
      </c>
      <c r="R20" s="1129">
        <f>'Capital IQ Sheet-GPC'!M19</f>
        <v>0</v>
      </c>
      <c r="S20" s="1129">
        <f t="shared" si="3"/>
        <v>2.6891699999999998</v>
      </c>
      <c r="T20" s="1129">
        <f t="shared" si="4"/>
        <v>39.849169999999994</v>
      </c>
      <c r="U20" s="1129">
        <f>'Capital IQ Sheet-GPC'!N19</f>
        <v>9.1175599999999992</v>
      </c>
      <c r="V20" s="1129">
        <f t="shared" si="5"/>
        <v>30.731609999999996</v>
      </c>
      <c r="X20" s="1061" t="str">
        <f t="shared" si="6"/>
        <v>NM</v>
      </c>
      <c r="Y20" s="1061">
        <f t="shared" si="7"/>
        <v>-6.0128506433921314E-2</v>
      </c>
      <c r="Z20" s="1061">
        <f t="shared" si="8"/>
        <v>-0.10633217576504506</v>
      </c>
      <c r="AC20" s="932" t="str">
        <f>IF('MASTER PubCo Inputs'!C34="","",'MASTER PubCo Inputs'!C34)</f>
        <v>IQ201049094</v>
      </c>
      <c r="AD20" s="179" t="str">
        <f>'Capital IQ Sheet-GPC'!AP19</f>
        <v>Sensorion SA, a biopharmaceutical company, develops therapies for the treatment of inner ear disorders. The company develops SENS-111, which is in phase II clinical trials to treat acute unilateral vestibulopathy; and SENS-401 that is in phase I clinical trials to treat sudden sensorineural hearing loss. It also develops SENS-300, which is under the pre-clinical stage for use in inner ear toxicity treatment. The company has a strategic collaboration with Cochlear Limited to study combination therapies for cochlear implant patients. Sensorion SA was founded in 2009 and is headquartered in Montpellier, France.</v>
      </c>
    </row>
    <row r="21" spans="2:36" ht="14.85" hidden="1" customHeight="1" outlineLevel="1">
      <c r="B21" s="549" t="str">
        <f>'Capital IQ Sheet-GPC'!C20</f>
        <v>Otonomy, Inc.</v>
      </c>
      <c r="C21" s="1576"/>
      <c r="D21" s="1909">
        <f>'Capital IQ Sheet-GPC'!BE20</f>
        <v>5.55</v>
      </c>
      <c r="E21" s="1129">
        <f>'Capital IQ Sheet-GPC'!BF20</f>
        <v>168.37101000000001</v>
      </c>
      <c r="F21" s="1129">
        <f>'Capital IQ Sheet-GPC'!BG20</f>
        <v>0</v>
      </c>
      <c r="G21" s="1129">
        <f>'Capital IQ Sheet-GPC'!BH20</f>
        <v>0</v>
      </c>
      <c r="H21" s="1129">
        <f>'Capital IQ Sheet-GPC'!BI20</f>
        <v>0</v>
      </c>
      <c r="I21" s="1129">
        <f t="shared" si="0"/>
        <v>0</v>
      </c>
      <c r="J21" s="1129">
        <f t="shared" si="1"/>
        <v>168.37101000000001</v>
      </c>
      <c r="K21" s="1129">
        <f>'Capital IQ Sheet-GPC'!BJ20</f>
        <v>134.30799999999999</v>
      </c>
      <c r="L21" s="1129">
        <f t="shared" si="2"/>
        <v>34.06301000000002</v>
      </c>
      <c r="M21" s="698"/>
      <c r="N21" s="1909">
        <f>'Capital IQ Sheet-GPC'!I20</f>
        <v>4.45</v>
      </c>
      <c r="O21" s="1129">
        <f>'Capital IQ Sheet-GPC'!J20</f>
        <v>136.06998999999999</v>
      </c>
      <c r="P21" s="1129">
        <f>'Capital IQ Sheet-GPC'!K20</f>
        <v>0</v>
      </c>
      <c r="Q21" s="1129">
        <f>'Capital IQ Sheet-GPC'!L20</f>
        <v>0</v>
      </c>
      <c r="R21" s="1129">
        <f>'Capital IQ Sheet-GPC'!M20</f>
        <v>0</v>
      </c>
      <c r="S21" s="1129">
        <f t="shared" si="3"/>
        <v>0</v>
      </c>
      <c r="T21" s="1129">
        <f t="shared" si="4"/>
        <v>136.06998999999999</v>
      </c>
      <c r="U21" s="1129">
        <f>'Capital IQ Sheet-GPC'!N20</f>
        <v>110.224</v>
      </c>
      <c r="V21" s="1129">
        <f t="shared" si="5"/>
        <v>25.845989999999986</v>
      </c>
      <c r="X21" s="1061">
        <f t="shared" si="6"/>
        <v>-0.19819819819819817</v>
      </c>
      <c r="Y21" s="1061">
        <f t="shared" si="7"/>
        <v>-0.19184430858970325</v>
      </c>
      <c r="Z21" s="1061">
        <f t="shared" si="8"/>
        <v>-0.24123000286821483</v>
      </c>
      <c r="AC21" s="932" t="str">
        <f>IF('MASTER PubCo Inputs'!C35="","",'MASTER PubCo Inputs'!C35)</f>
        <v>IQ60978778</v>
      </c>
      <c r="AD21" s="179" t="str">
        <f>'Capital IQ Sheet-GPC'!AP20</f>
        <v>Otonomy, Inc., a biopharmaceutical company, engages in the development and commercialization of therapeutics for otology in the United States. It offers OTIPRIO, a ciprofloxacin otic suspension for use during tympanostomy tube placement surgery in pediatric patients. The company also develops OTIVIDEX, a sustained-exposure formulation of the steroid dexamethasone in Phase III clinical trial for the treatment of Ménière’s disease; and OTO- 313, a sustained-exposure formulation of N-methyl-D-aspartate receptor antagonist gacyclidine, which has completed a Phase 1 clinical safety trial for the treatment of tinnitus. In addition, it develops OTO-413, a sustained exposure formulation of brain-derived neurotrophic factor for the repair of cochlear synaptopathy and the treatment of speech-in-noise hearing difficulties; OTO-5XX, an otoprotectant for the prevention of cisplatin-induced hearing loss; and OTO-6XX induces hair cell regeneration for the treatment of severe hearing loss. The company has license agreements with University of California and DURECT Corporation. Otonomy, Inc. was founded in 2008 and is headquartered in San Diego, California.</v>
      </c>
    </row>
    <row r="22" spans="2:36" ht="14.85" hidden="1" customHeight="1" outlineLevel="1">
      <c r="B22" s="549" t="str">
        <f>'Capital IQ Sheet-GPC'!C21</f>
        <v>Auris Medical Holding AG</v>
      </c>
      <c r="C22" s="1576"/>
      <c r="D22" s="1909">
        <f>'Capital IQ Sheet-GPC'!BE21</f>
        <v>5.9050000000000002</v>
      </c>
      <c r="E22" s="1129">
        <f>'Capital IQ Sheet-GPC'!BF21</f>
        <v>26.176690000000001</v>
      </c>
      <c r="F22" s="1129">
        <f>'Capital IQ Sheet-GPC'!BG21</f>
        <v>11.38569</v>
      </c>
      <c r="G22" s="1129">
        <f>'Capital IQ Sheet-GPC'!BH21</f>
        <v>0</v>
      </c>
      <c r="H22" s="1129">
        <f>'Capital IQ Sheet-GPC'!BI21</f>
        <v>0</v>
      </c>
      <c r="I22" s="1129">
        <f t="shared" si="0"/>
        <v>11.38569</v>
      </c>
      <c r="J22" s="1129">
        <f t="shared" si="1"/>
        <v>37.562380000000005</v>
      </c>
      <c r="K22" s="1129">
        <f>'Capital IQ Sheet-GPC'!BJ21</f>
        <v>20.8446</v>
      </c>
      <c r="L22" s="1129">
        <f t="shared" si="2"/>
        <v>16.717780000000005</v>
      </c>
      <c r="M22" s="698"/>
      <c r="N22" s="1909">
        <f>'Capital IQ Sheet-GPC'!I21</f>
        <v>1.19</v>
      </c>
      <c r="O22" s="1129">
        <f>'Capital IQ Sheet-GPC'!J21</f>
        <v>7.2796900000000004</v>
      </c>
      <c r="P22" s="1129">
        <f>'Capital IQ Sheet-GPC'!K21</f>
        <v>9.06297</v>
      </c>
      <c r="Q22" s="1129">
        <f>'Capital IQ Sheet-GPC'!L21</f>
        <v>0</v>
      </c>
      <c r="R22" s="1129">
        <f>'Capital IQ Sheet-GPC'!M21</f>
        <v>0</v>
      </c>
      <c r="S22" s="1129">
        <f t="shared" si="3"/>
        <v>9.06297</v>
      </c>
      <c r="T22" s="1129">
        <f t="shared" si="4"/>
        <v>16.342660000000002</v>
      </c>
      <c r="U22" s="1129">
        <f>'Capital IQ Sheet-GPC'!N21</f>
        <v>13.2705</v>
      </c>
      <c r="V22" s="1129">
        <f t="shared" si="5"/>
        <v>3.072160000000002</v>
      </c>
      <c r="X22" s="1061" t="str">
        <f t="shared" si="6"/>
        <v>NM</v>
      </c>
      <c r="Y22" s="1061" t="str">
        <f t="shared" si="7"/>
        <v>NM</v>
      </c>
      <c r="Z22" s="1061" t="str">
        <f t="shared" si="8"/>
        <v>NM</v>
      </c>
      <c r="AC22" s="932" t="str">
        <f>IF('MASTER PubCo Inputs'!C36="","",'MASTER PubCo Inputs'!C36)</f>
        <v>IQ42726152</v>
      </c>
      <c r="AD22" s="179" t="str">
        <f>'Capital IQ Sheet-GPC'!AP21</f>
        <v>Auris Medical Holding AG, a clinical-stage biopharmaceutical company, focuses on the development of novel products for the treatment of inner ear disorders. Its product candidates include AM-101, which is in phase III clinical development for the treatment of acute inner ear tinnitus; and AM-111 that is in phase III clinical development for the treatment of acute inner ear hearing loss. The company is also developing AM-125 for the treatment of vestibular disorders; and other pre-clinical stage products comprising AM-102 and AM-123. It has a collaboration and license agreement with Xigen S.A. to develop, manufacture, and commercialize pharmaceutical products, as well as drug delivery devices and formulations for local administration of therapeutic substances to the inner ear for the treatment of ear disorders. The company was formerly known as Auris Medical AG and changed its name to Auris Medical Holding AG in April 2014. Auris Medical Holding AG was founded in 1998 and is headquartered in Zug, Switzerland.</v>
      </c>
    </row>
    <row r="23" spans="2:36" ht="14.85" hidden="1" customHeight="1" outlineLevel="1">
      <c r="B23" s="549" t="str">
        <f>'Capital IQ Sheet-GPC'!C22</f>
        <v>(Invalid Identifier)</v>
      </c>
      <c r="C23" s="1576"/>
      <c r="D23" s="1909" t="str">
        <f>'Capital IQ Sheet-GPC'!BE22</f>
        <v>(Invalid Identifier)</v>
      </c>
      <c r="E23" s="1129" t="str">
        <f>'Capital IQ Sheet-GPC'!BF22</f>
        <v>(Invalid Identifier)</v>
      </c>
      <c r="F23" s="1129" t="str">
        <f>'Capital IQ Sheet-GPC'!BG22</f>
        <v>(Invalid Identifier)</v>
      </c>
      <c r="G23" s="1129" t="str">
        <f>'Capital IQ Sheet-GPC'!BH22</f>
        <v>(Invalid Identifier)</v>
      </c>
      <c r="H23" s="1129" t="str">
        <f>'Capital IQ Sheet-GPC'!BI22</f>
        <v>(Invalid Identifier)</v>
      </c>
      <c r="I23" s="1129">
        <f t="shared" si="0"/>
        <v>0</v>
      </c>
      <c r="J23" s="1129">
        <f t="shared" si="1"/>
        <v>0</v>
      </c>
      <c r="K23" s="1129" t="str">
        <f>'Capital IQ Sheet-GPC'!BJ22</f>
        <v>(Invalid Identifier)</v>
      </c>
      <c r="L23" s="1129" t="str">
        <f t="shared" si="2"/>
        <v>n/a</v>
      </c>
      <c r="M23" s="698"/>
      <c r="N23" s="1909" t="str">
        <f>'Capital IQ Sheet-GPC'!I22</f>
        <v>(Invalid Identifier)</v>
      </c>
      <c r="O23" s="1129" t="str">
        <f>'Capital IQ Sheet-GPC'!J22</f>
        <v>(Invalid Identifier)</v>
      </c>
      <c r="P23" s="1129" t="str">
        <f>'Capital IQ Sheet-GPC'!K22</f>
        <v>(Invalid Identifier)</v>
      </c>
      <c r="Q23" s="1129" t="str">
        <f>'Capital IQ Sheet-GPC'!L22</f>
        <v>(Invalid Identifier)</v>
      </c>
      <c r="R23" s="1129" t="str">
        <f>'Capital IQ Sheet-GPC'!M22</f>
        <v>(Invalid Identifier)</v>
      </c>
      <c r="S23" s="1129">
        <f t="shared" si="3"/>
        <v>0</v>
      </c>
      <c r="T23" s="1129">
        <f t="shared" si="4"/>
        <v>0</v>
      </c>
      <c r="U23" s="1129" t="str">
        <f>'Capital IQ Sheet-GPC'!N22</f>
        <v>(Invalid Identifier)</v>
      </c>
      <c r="V23" s="1129" t="str">
        <f t="shared" si="5"/>
        <v>n/a</v>
      </c>
      <c r="X23" s="1061" t="str">
        <f t="shared" si="6"/>
        <v>n/a</v>
      </c>
      <c r="Y23" s="1061" t="str">
        <f t="shared" si="7"/>
        <v>n/a</v>
      </c>
      <c r="Z23" s="1061" t="str">
        <f t="shared" si="8"/>
        <v>n/a</v>
      </c>
      <c r="AC23" s="932" t="str">
        <f>IF('MASTER PubCo Inputs'!C37="","",'MASTER PubCo Inputs'!C37)</f>
        <v>(Invalid Identifier)</v>
      </c>
      <c r="AD23" s="179" t="str">
        <f>'Capital IQ Sheet-GPC'!AP22</f>
        <v>(Invalid Identifier)</v>
      </c>
    </row>
    <row r="24" spans="2:36" ht="14.85" hidden="1" customHeight="1" outlineLevel="1">
      <c r="B24" s="549" t="str">
        <f>'Capital IQ Sheet-GPC'!C23</f>
        <v>(Invalid Identifier)</v>
      </c>
      <c r="C24" s="1576"/>
      <c r="D24" s="1909" t="str">
        <f>'Capital IQ Sheet-GPC'!BE23</f>
        <v>(Invalid Identifier)</v>
      </c>
      <c r="E24" s="1129" t="str">
        <f>'Capital IQ Sheet-GPC'!BF23</f>
        <v>(Invalid Identifier)</v>
      </c>
      <c r="F24" s="1129" t="str">
        <f>'Capital IQ Sheet-GPC'!BG23</f>
        <v>(Invalid Identifier)</v>
      </c>
      <c r="G24" s="1129" t="str">
        <f>'Capital IQ Sheet-GPC'!BH23</f>
        <v>(Invalid Identifier)</v>
      </c>
      <c r="H24" s="1129" t="str">
        <f>'Capital IQ Sheet-GPC'!BI23</f>
        <v>(Invalid Identifier)</v>
      </c>
      <c r="I24" s="1129">
        <f t="shared" si="0"/>
        <v>0</v>
      </c>
      <c r="J24" s="1129">
        <f t="shared" si="1"/>
        <v>0</v>
      </c>
      <c r="K24" s="1129" t="str">
        <f>'Capital IQ Sheet-GPC'!BJ23</f>
        <v>(Invalid Identifier)</v>
      </c>
      <c r="L24" s="1129" t="str">
        <f t="shared" si="2"/>
        <v>n/a</v>
      </c>
      <c r="M24" s="698"/>
      <c r="N24" s="1909" t="str">
        <f>'Capital IQ Sheet-GPC'!I23</f>
        <v>(Invalid Identifier)</v>
      </c>
      <c r="O24" s="1129" t="str">
        <f>'Capital IQ Sheet-GPC'!J23</f>
        <v>(Invalid Identifier)</v>
      </c>
      <c r="P24" s="1129" t="str">
        <f>'Capital IQ Sheet-GPC'!K23</f>
        <v>(Invalid Identifier)</v>
      </c>
      <c r="Q24" s="1129" t="str">
        <f>'Capital IQ Sheet-GPC'!L23</f>
        <v>(Invalid Identifier)</v>
      </c>
      <c r="R24" s="1129" t="str">
        <f>'Capital IQ Sheet-GPC'!M23</f>
        <v>(Invalid Identifier)</v>
      </c>
      <c r="S24" s="1129">
        <f t="shared" si="3"/>
        <v>0</v>
      </c>
      <c r="T24" s="1129">
        <f t="shared" si="4"/>
        <v>0</v>
      </c>
      <c r="U24" s="1129" t="str">
        <f>'Capital IQ Sheet-GPC'!N23</f>
        <v>(Invalid Identifier)</v>
      </c>
      <c r="V24" s="1129" t="str">
        <f t="shared" si="5"/>
        <v>n/a</v>
      </c>
      <c r="X24" s="1061" t="str">
        <f t="shared" si="6"/>
        <v>n/a</v>
      </c>
      <c r="Y24" s="1061" t="str">
        <f t="shared" si="7"/>
        <v>n/a</v>
      </c>
      <c r="Z24" s="1061" t="str">
        <f t="shared" si="8"/>
        <v>n/a</v>
      </c>
      <c r="AC24" s="932" t="str">
        <f>IF('MASTER PubCo Inputs'!C38="","",'MASTER PubCo Inputs'!C38)</f>
        <v>(Invalid Identifier)</v>
      </c>
      <c r="AD24" s="179" t="str">
        <f>'Capital IQ Sheet-GPC'!AP23</f>
        <v>(Invalid Identifier)</v>
      </c>
    </row>
    <row r="25" spans="2:36" ht="14.85" hidden="1" customHeight="1" outlineLevel="1">
      <c r="B25" s="549" t="str">
        <f>'Capital IQ Sheet-GPC'!C24</f>
        <v>(Invalid Identifier)</v>
      </c>
      <c r="C25" s="1576"/>
      <c r="D25" s="1909" t="str">
        <f>'Capital IQ Sheet-GPC'!BE24</f>
        <v>(Invalid Identifier)</v>
      </c>
      <c r="E25" s="1129" t="str">
        <f>'Capital IQ Sheet-GPC'!BF24</f>
        <v>(Invalid Identifier)</v>
      </c>
      <c r="F25" s="1129" t="str">
        <f>'Capital IQ Sheet-GPC'!BG24</f>
        <v>(Invalid Identifier)</v>
      </c>
      <c r="G25" s="1129" t="str">
        <f>'Capital IQ Sheet-GPC'!BH24</f>
        <v>(Invalid Identifier)</v>
      </c>
      <c r="H25" s="1129" t="str">
        <f>'Capital IQ Sheet-GPC'!BI24</f>
        <v>(Invalid Identifier)</v>
      </c>
      <c r="I25" s="1129">
        <f t="shared" si="0"/>
        <v>0</v>
      </c>
      <c r="J25" s="1129">
        <f t="shared" si="1"/>
        <v>0</v>
      </c>
      <c r="K25" s="1129" t="str">
        <f>'Capital IQ Sheet-GPC'!BJ24</f>
        <v>(Invalid Identifier)</v>
      </c>
      <c r="L25" s="1129" t="str">
        <f t="shared" si="2"/>
        <v>n/a</v>
      </c>
      <c r="M25" s="698"/>
      <c r="N25" s="1909" t="str">
        <f>'Capital IQ Sheet-GPC'!I24</f>
        <v>(Invalid Identifier)</v>
      </c>
      <c r="O25" s="1129" t="str">
        <f>'Capital IQ Sheet-GPC'!J24</f>
        <v>(Invalid Identifier)</v>
      </c>
      <c r="P25" s="1129" t="str">
        <f>'Capital IQ Sheet-GPC'!K24</f>
        <v>(Invalid Identifier)</v>
      </c>
      <c r="Q25" s="1129" t="str">
        <f>'Capital IQ Sheet-GPC'!L24</f>
        <v>(Invalid Identifier)</v>
      </c>
      <c r="R25" s="1129" t="str">
        <f>'Capital IQ Sheet-GPC'!M24</f>
        <v>(Invalid Identifier)</v>
      </c>
      <c r="S25" s="1129">
        <f t="shared" si="3"/>
        <v>0</v>
      </c>
      <c r="T25" s="1129">
        <f t="shared" si="4"/>
        <v>0</v>
      </c>
      <c r="U25" s="1129" t="str">
        <f>'Capital IQ Sheet-GPC'!N24</f>
        <v>(Invalid Identifier)</v>
      </c>
      <c r="V25" s="1129" t="str">
        <f t="shared" si="5"/>
        <v>n/a</v>
      </c>
      <c r="X25" s="1061" t="str">
        <f t="shared" si="6"/>
        <v>n/a</v>
      </c>
      <c r="Y25" s="1061" t="str">
        <f t="shared" si="7"/>
        <v>n/a</v>
      </c>
      <c r="Z25" s="1061" t="str">
        <f t="shared" si="8"/>
        <v>n/a</v>
      </c>
      <c r="AC25" s="932" t="str">
        <f>IF('MASTER PubCo Inputs'!C39="","",'MASTER PubCo Inputs'!C39)</f>
        <v>(Invalid Identifier)</v>
      </c>
      <c r="AD25" s="179" t="str">
        <f>'Capital IQ Sheet-GPC'!AP24</f>
        <v>(Invalid Identifier)</v>
      </c>
    </row>
    <row r="26" spans="2:36" ht="14.85" hidden="1" customHeight="1" outlineLevel="1">
      <c r="B26" s="549" t="str">
        <f>'Capital IQ Sheet-GPC'!C25</f>
        <v>(Invalid Identifier)</v>
      </c>
      <c r="C26" s="1576"/>
      <c r="D26" s="1909" t="str">
        <f>'Capital IQ Sheet-GPC'!BE25</f>
        <v>(Invalid Identifier)</v>
      </c>
      <c r="E26" s="1129" t="str">
        <f>'Capital IQ Sheet-GPC'!BF25</f>
        <v>(Invalid Identifier)</v>
      </c>
      <c r="F26" s="1129" t="str">
        <f>'Capital IQ Sheet-GPC'!BG25</f>
        <v>(Invalid Identifier)</v>
      </c>
      <c r="G26" s="1129" t="str">
        <f>'Capital IQ Sheet-GPC'!BH25</f>
        <v>(Invalid Identifier)</v>
      </c>
      <c r="H26" s="1129" t="str">
        <f>'Capital IQ Sheet-GPC'!BI25</f>
        <v>(Invalid Identifier)</v>
      </c>
      <c r="I26" s="1129">
        <f t="shared" si="0"/>
        <v>0</v>
      </c>
      <c r="J26" s="1129">
        <f t="shared" si="1"/>
        <v>0</v>
      </c>
      <c r="K26" s="1129" t="str">
        <f>'Capital IQ Sheet-GPC'!BJ25</f>
        <v>(Invalid Identifier)</v>
      </c>
      <c r="L26" s="1129" t="str">
        <f t="shared" si="2"/>
        <v>n/a</v>
      </c>
      <c r="M26" s="698"/>
      <c r="N26" s="1909" t="str">
        <f>'Capital IQ Sheet-GPC'!I25</f>
        <v>(Invalid Identifier)</v>
      </c>
      <c r="O26" s="1129" t="str">
        <f>'Capital IQ Sheet-GPC'!J25</f>
        <v>(Invalid Identifier)</v>
      </c>
      <c r="P26" s="1129" t="str">
        <f>'Capital IQ Sheet-GPC'!K25</f>
        <v>(Invalid Identifier)</v>
      </c>
      <c r="Q26" s="1129" t="str">
        <f>'Capital IQ Sheet-GPC'!L25</f>
        <v>(Invalid Identifier)</v>
      </c>
      <c r="R26" s="1129" t="str">
        <f>'Capital IQ Sheet-GPC'!M25</f>
        <v>(Invalid Identifier)</v>
      </c>
      <c r="S26" s="1129">
        <f t="shared" si="3"/>
        <v>0</v>
      </c>
      <c r="T26" s="1129">
        <f t="shared" si="4"/>
        <v>0</v>
      </c>
      <c r="U26" s="1129" t="str">
        <f>'Capital IQ Sheet-GPC'!N25</f>
        <v>(Invalid Identifier)</v>
      </c>
      <c r="V26" s="1129" t="str">
        <f t="shared" si="5"/>
        <v>n/a</v>
      </c>
      <c r="X26" s="1061" t="str">
        <f t="shared" si="6"/>
        <v>n/a</v>
      </c>
      <c r="Y26" s="1061" t="str">
        <f t="shared" si="7"/>
        <v>n/a</v>
      </c>
      <c r="Z26" s="1061" t="str">
        <f t="shared" si="8"/>
        <v>n/a</v>
      </c>
      <c r="AC26" s="932" t="str">
        <f>IF('MASTER PubCo Inputs'!C40="","",'MASTER PubCo Inputs'!C40)</f>
        <v>(Invalid Identifier)</v>
      </c>
      <c r="AD26" s="179" t="str">
        <f>'Capital IQ Sheet-GPC'!AP25</f>
        <v>(Invalid Identifier)</v>
      </c>
    </row>
    <row r="27" spans="2:36" ht="14.85" hidden="1" customHeight="1" outlineLevel="1">
      <c r="B27" s="549" t="str">
        <f>'Capital IQ Sheet-GPC'!C26</f>
        <v>(Invalid Identifier)</v>
      </c>
      <c r="C27" s="1576"/>
      <c r="D27" s="1909" t="str">
        <f>'Capital IQ Sheet-GPC'!BE26</f>
        <v>(Invalid Identifier)</v>
      </c>
      <c r="E27" s="1129" t="str">
        <f>'Capital IQ Sheet-GPC'!BF26</f>
        <v>(Invalid Identifier)</v>
      </c>
      <c r="F27" s="1129" t="str">
        <f>'Capital IQ Sheet-GPC'!BG26</f>
        <v>(Invalid Identifier)</v>
      </c>
      <c r="G27" s="1129" t="str">
        <f>'Capital IQ Sheet-GPC'!BH26</f>
        <v>(Invalid Identifier)</v>
      </c>
      <c r="H27" s="1129" t="str">
        <f>'Capital IQ Sheet-GPC'!BI26</f>
        <v>(Invalid Identifier)</v>
      </c>
      <c r="I27" s="1129">
        <f t="shared" si="0"/>
        <v>0</v>
      </c>
      <c r="J27" s="1129">
        <f t="shared" si="1"/>
        <v>0</v>
      </c>
      <c r="K27" s="1129" t="str">
        <f>'Capital IQ Sheet-GPC'!BJ26</f>
        <v>(Invalid Identifier)</v>
      </c>
      <c r="L27" s="1129" t="str">
        <f t="shared" si="2"/>
        <v>n/a</v>
      </c>
      <c r="M27" s="698"/>
      <c r="N27" s="1909" t="str">
        <f>'Capital IQ Sheet-GPC'!I26</f>
        <v>(Invalid Identifier)</v>
      </c>
      <c r="O27" s="1129" t="str">
        <f>'Capital IQ Sheet-GPC'!J26</f>
        <v>(Invalid Identifier)</v>
      </c>
      <c r="P27" s="1129" t="str">
        <f>'Capital IQ Sheet-GPC'!K26</f>
        <v>(Invalid Identifier)</v>
      </c>
      <c r="Q27" s="1129" t="str">
        <f>'Capital IQ Sheet-GPC'!L26</f>
        <v>(Invalid Identifier)</v>
      </c>
      <c r="R27" s="1129" t="str">
        <f>'Capital IQ Sheet-GPC'!M26</f>
        <v>(Invalid Identifier)</v>
      </c>
      <c r="S27" s="1129">
        <f t="shared" si="3"/>
        <v>0</v>
      </c>
      <c r="T27" s="1129">
        <f t="shared" si="4"/>
        <v>0</v>
      </c>
      <c r="U27" s="1129" t="str">
        <f>'Capital IQ Sheet-GPC'!N26</f>
        <v>(Invalid Identifier)</v>
      </c>
      <c r="V27" s="1129" t="str">
        <f t="shared" si="5"/>
        <v>n/a</v>
      </c>
      <c r="X27" s="1061" t="str">
        <f t="shared" si="6"/>
        <v>n/a</v>
      </c>
      <c r="Y27" s="1061" t="str">
        <f t="shared" si="7"/>
        <v>n/a</v>
      </c>
      <c r="Z27" s="1061" t="str">
        <f t="shared" si="8"/>
        <v>n/a</v>
      </c>
      <c r="AC27" s="932" t="str">
        <f>IF('MASTER PubCo Inputs'!C41="","",'MASTER PubCo Inputs'!C41)</f>
        <v>(Invalid Identifier)</v>
      </c>
      <c r="AD27" s="179" t="str">
        <f>'Capital IQ Sheet-GPC'!AP26</f>
        <v>(Invalid Identifier)</v>
      </c>
    </row>
    <row r="28" spans="2:36" ht="14.85" hidden="1" customHeight="1" outlineLevel="1">
      <c r="B28" s="549" t="str">
        <f>'Capital IQ Sheet-GPC'!C27</f>
        <v>(Invalid Identifier)</v>
      </c>
      <c r="C28" s="1576"/>
      <c r="D28" s="1909" t="str">
        <f>'Capital IQ Sheet-GPC'!BE27</f>
        <v>(Invalid Identifier)</v>
      </c>
      <c r="E28" s="1129" t="str">
        <f>'Capital IQ Sheet-GPC'!BF27</f>
        <v>(Invalid Identifier)</v>
      </c>
      <c r="F28" s="1129" t="str">
        <f>'Capital IQ Sheet-GPC'!BG27</f>
        <v>(Invalid Identifier)</v>
      </c>
      <c r="G28" s="1129" t="str">
        <f>'Capital IQ Sheet-GPC'!BH27</f>
        <v>(Invalid Identifier)</v>
      </c>
      <c r="H28" s="1129" t="str">
        <f>'Capital IQ Sheet-GPC'!BI27</f>
        <v>(Invalid Identifier)</v>
      </c>
      <c r="I28" s="1129">
        <f t="shared" si="0"/>
        <v>0</v>
      </c>
      <c r="J28" s="1129">
        <f t="shared" si="1"/>
        <v>0</v>
      </c>
      <c r="K28" s="1129" t="str">
        <f>'Capital IQ Sheet-GPC'!BJ27</f>
        <v>(Invalid Identifier)</v>
      </c>
      <c r="L28" s="1129" t="str">
        <f t="shared" si="2"/>
        <v>n/a</v>
      </c>
      <c r="M28" s="698"/>
      <c r="N28" s="1909" t="str">
        <f>'Capital IQ Sheet-GPC'!I27</f>
        <v>(Invalid Identifier)</v>
      </c>
      <c r="O28" s="1129" t="str">
        <f>'Capital IQ Sheet-GPC'!J27</f>
        <v>(Invalid Identifier)</v>
      </c>
      <c r="P28" s="1129" t="str">
        <f>'Capital IQ Sheet-GPC'!K27</f>
        <v>(Invalid Identifier)</v>
      </c>
      <c r="Q28" s="1129" t="str">
        <f>'Capital IQ Sheet-GPC'!L27</f>
        <v>(Invalid Identifier)</v>
      </c>
      <c r="R28" s="1129" t="str">
        <f>'Capital IQ Sheet-GPC'!M27</f>
        <v>(Invalid Identifier)</v>
      </c>
      <c r="S28" s="1129">
        <f t="shared" si="3"/>
        <v>0</v>
      </c>
      <c r="T28" s="1129">
        <f t="shared" si="4"/>
        <v>0</v>
      </c>
      <c r="U28" s="1129" t="str">
        <f>'Capital IQ Sheet-GPC'!N27</f>
        <v>(Invalid Identifier)</v>
      </c>
      <c r="V28" s="1129" t="str">
        <f t="shared" si="5"/>
        <v>n/a</v>
      </c>
      <c r="X28" s="1061" t="str">
        <f t="shared" si="6"/>
        <v>n/a</v>
      </c>
      <c r="Y28" s="1061" t="str">
        <f t="shared" si="7"/>
        <v>n/a</v>
      </c>
      <c r="Z28" s="1061" t="str">
        <f t="shared" si="8"/>
        <v>n/a</v>
      </c>
      <c r="AC28" s="932" t="str">
        <f>IF('MASTER PubCo Inputs'!C42="","",'MASTER PubCo Inputs'!C42)</f>
        <v>(Invalid Identifier)</v>
      </c>
      <c r="AD28" s="179" t="str">
        <f>'Capital IQ Sheet-GPC'!AP27</f>
        <v>(Invalid Identifier)</v>
      </c>
    </row>
    <row r="29" spans="2:36" ht="14.85" hidden="1" customHeight="1" outlineLevel="1">
      <c r="B29" s="549" t="str">
        <f>'Capital IQ Sheet-GPC'!C28</f>
        <v>(Invalid Identifier)</v>
      </c>
      <c r="C29" s="1576"/>
      <c r="D29" s="1909" t="str">
        <f>'Capital IQ Sheet-GPC'!BE28</f>
        <v>(Invalid Identifier)</v>
      </c>
      <c r="E29" s="1129" t="str">
        <f>'Capital IQ Sheet-GPC'!BF28</f>
        <v>(Invalid Identifier)</v>
      </c>
      <c r="F29" s="1129" t="str">
        <f>'Capital IQ Sheet-GPC'!BG28</f>
        <v>(Invalid Identifier)</v>
      </c>
      <c r="G29" s="1129" t="str">
        <f>'Capital IQ Sheet-GPC'!BH28</f>
        <v>(Invalid Identifier)</v>
      </c>
      <c r="H29" s="1129" t="str">
        <f>'Capital IQ Sheet-GPC'!BI28</f>
        <v>(Invalid Identifier)</v>
      </c>
      <c r="I29" s="1129">
        <f t="shared" si="0"/>
        <v>0</v>
      </c>
      <c r="J29" s="1129">
        <f t="shared" si="1"/>
        <v>0</v>
      </c>
      <c r="K29" s="1129" t="str">
        <f>'Capital IQ Sheet-GPC'!BJ28</f>
        <v>(Invalid Identifier)</v>
      </c>
      <c r="L29" s="1129" t="str">
        <f t="shared" si="2"/>
        <v>n/a</v>
      </c>
      <c r="M29" s="698"/>
      <c r="N29" s="1909" t="str">
        <f>'Capital IQ Sheet-GPC'!I28</f>
        <v>(Invalid Identifier)</v>
      </c>
      <c r="O29" s="1129" t="str">
        <f>'Capital IQ Sheet-GPC'!J28</f>
        <v>(Invalid Identifier)</v>
      </c>
      <c r="P29" s="1129" t="str">
        <f>'Capital IQ Sheet-GPC'!K28</f>
        <v>(Invalid Identifier)</v>
      </c>
      <c r="Q29" s="1129" t="str">
        <f>'Capital IQ Sheet-GPC'!L28</f>
        <v>(Invalid Identifier)</v>
      </c>
      <c r="R29" s="1129" t="str">
        <f>'Capital IQ Sheet-GPC'!M28</f>
        <v>(Invalid Identifier)</v>
      </c>
      <c r="S29" s="1129">
        <f t="shared" si="3"/>
        <v>0</v>
      </c>
      <c r="T29" s="1129">
        <f t="shared" si="4"/>
        <v>0</v>
      </c>
      <c r="U29" s="1129" t="str">
        <f>'Capital IQ Sheet-GPC'!N28</f>
        <v>(Invalid Identifier)</v>
      </c>
      <c r="V29" s="1129" t="str">
        <f t="shared" si="5"/>
        <v>n/a</v>
      </c>
      <c r="X29" s="1061" t="str">
        <f t="shared" si="6"/>
        <v>n/a</v>
      </c>
      <c r="Y29" s="1061" t="str">
        <f t="shared" si="7"/>
        <v>n/a</v>
      </c>
      <c r="Z29" s="1061" t="str">
        <f t="shared" si="8"/>
        <v>n/a</v>
      </c>
      <c r="AC29" s="932" t="str">
        <f>IF('MASTER PubCo Inputs'!C43="","",'MASTER PubCo Inputs'!C43)</f>
        <v>(Invalid Identifier)</v>
      </c>
      <c r="AD29" s="179" t="str">
        <f>'Capital IQ Sheet-GPC'!AP28</f>
        <v>(Invalid Identifier)</v>
      </c>
    </row>
    <row r="30" spans="2:36" ht="14.85" hidden="1" customHeight="1" outlineLevel="1">
      <c r="B30" s="549" t="str">
        <f>'Capital IQ Sheet-GPC'!C29</f>
        <v>(Invalid Identifier)</v>
      </c>
      <c r="C30" s="1576"/>
      <c r="D30" s="1909" t="str">
        <f>'Capital IQ Sheet-GPC'!BE29</f>
        <v>(Invalid Identifier)</v>
      </c>
      <c r="E30" s="1129" t="str">
        <f>'Capital IQ Sheet-GPC'!BF29</f>
        <v>(Invalid Identifier)</v>
      </c>
      <c r="F30" s="1129" t="str">
        <f>'Capital IQ Sheet-GPC'!BG29</f>
        <v>(Invalid Identifier)</v>
      </c>
      <c r="G30" s="1129" t="str">
        <f>'Capital IQ Sheet-GPC'!BH29</f>
        <v>(Invalid Identifier)</v>
      </c>
      <c r="H30" s="1129" t="str">
        <f>'Capital IQ Sheet-GPC'!BI29</f>
        <v>(Invalid Identifier)</v>
      </c>
      <c r="I30" s="1129">
        <f t="shared" si="0"/>
        <v>0</v>
      </c>
      <c r="J30" s="1129">
        <f t="shared" si="1"/>
        <v>0</v>
      </c>
      <c r="K30" s="1129" t="str">
        <f>'Capital IQ Sheet-GPC'!BJ29</f>
        <v>(Invalid Identifier)</v>
      </c>
      <c r="L30" s="1129" t="str">
        <f t="shared" si="2"/>
        <v>n/a</v>
      </c>
      <c r="M30" s="698"/>
      <c r="N30" s="1909" t="str">
        <f>'Capital IQ Sheet-GPC'!I29</f>
        <v>(Invalid Identifier)</v>
      </c>
      <c r="O30" s="1129" t="str">
        <f>'Capital IQ Sheet-GPC'!J29</f>
        <v>(Invalid Identifier)</v>
      </c>
      <c r="P30" s="1129" t="str">
        <f>'Capital IQ Sheet-GPC'!K29</f>
        <v>(Invalid Identifier)</v>
      </c>
      <c r="Q30" s="1129" t="str">
        <f>'Capital IQ Sheet-GPC'!L29</f>
        <v>(Invalid Identifier)</v>
      </c>
      <c r="R30" s="1129" t="str">
        <f>'Capital IQ Sheet-GPC'!M29</f>
        <v>(Invalid Identifier)</v>
      </c>
      <c r="S30" s="1129">
        <f t="shared" si="3"/>
        <v>0</v>
      </c>
      <c r="T30" s="1129">
        <f t="shared" si="4"/>
        <v>0</v>
      </c>
      <c r="U30" s="1129" t="str">
        <f>'Capital IQ Sheet-GPC'!N29</f>
        <v>(Invalid Identifier)</v>
      </c>
      <c r="V30" s="1129" t="str">
        <f t="shared" si="5"/>
        <v>n/a</v>
      </c>
      <c r="X30" s="1061" t="str">
        <f t="shared" si="6"/>
        <v>n/a</v>
      </c>
      <c r="Y30" s="1061" t="str">
        <f t="shared" si="7"/>
        <v>n/a</v>
      </c>
      <c r="Z30" s="1061" t="str">
        <f t="shared" si="8"/>
        <v>n/a</v>
      </c>
      <c r="AC30" s="932" t="str">
        <f>IF('MASTER PubCo Inputs'!C44="","",'MASTER PubCo Inputs'!C44)</f>
        <v>(Invalid Identifier)</v>
      </c>
      <c r="AD30" s="179" t="str">
        <f>'Capital IQ Sheet-GPC'!AP29</f>
        <v>(Invalid Identifier)</v>
      </c>
    </row>
    <row r="31" spans="2:36" ht="14.85" hidden="1" customHeight="1" outlineLevel="1">
      <c r="B31" s="549" t="str">
        <f>'Capital IQ Sheet-GPC'!C30</f>
        <v>(Invalid Identifier)</v>
      </c>
      <c r="C31" s="1576"/>
      <c r="D31" s="1909" t="str">
        <f>'Capital IQ Sheet-GPC'!BE30</f>
        <v>(Invalid Identifier)</v>
      </c>
      <c r="E31" s="1129" t="str">
        <f>'Capital IQ Sheet-GPC'!BF30</f>
        <v>(Invalid Identifier)</v>
      </c>
      <c r="F31" s="1129" t="str">
        <f>'Capital IQ Sheet-GPC'!BG30</f>
        <v>(Invalid Identifier)</v>
      </c>
      <c r="G31" s="1129" t="str">
        <f>'Capital IQ Sheet-GPC'!BH30</f>
        <v>(Invalid Identifier)</v>
      </c>
      <c r="H31" s="1129" t="str">
        <f>'Capital IQ Sheet-GPC'!BI30</f>
        <v>(Invalid Identifier)</v>
      </c>
      <c r="I31" s="1129">
        <f t="shared" si="0"/>
        <v>0</v>
      </c>
      <c r="J31" s="1129">
        <f t="shared" si="1"/>
        <v>0</v>
      </c>
      <c r="K31" s="1129" t="str">
        <f>'Capital IQ Sheet-GPC'!BJ30</f>
        <v>(Invalid Identifier)</v>
      </c>
      <c r="L31" s="1129" t="str">
        <f t="shared" si="2"/>
        <v>n/a</v>
      </c>
      <c r="M31" s="698"/>
      <c r="N31" s="1909" t="str">
        <f>'Capital IQ Sheet-GPC'!I30</f>
        <v>(Invalid Identifier)</v>
      </c>
      <c r="O31" s="1129" t="str">
        <f>'Capital IQ Sheet-GPC'!J30</f>
        <v>(Invalid Identifier)</v>
      </c>
      <c r="P31" s="1129" t="str">
        <f>'Capital IQ Sheet-GPC'!K30</f>
        <v>(Invalid Identifier)</v>
      </c>
      <c r="Q31" s="1129" t="str">
        <f>'Capital IQ Sheet-GPC'!L30</f>
        <v>(Invalid Identifier)</v>
      </c>
      <c r="R31" s="1129" t="str">
        <f>'Capital IQ Sheet-GPC'!M30</f>
        <v>(Invalid Identifier)</v>
      </c>
      <c r="S31" s="1129">
        <f t="shared" si="3"/>
        <v>0</v>
      </c>
      <c r="T31" s="1129">
        <f t="shared" si="4"/>
        <v>0</v>
      </c>
      <c r="U31" s="1129" t="str">
        <f>'Capital IQ Sheet-GPC'!N30</f>
        <v>(Invalid Identifier)</v>
      </c>
      <c r="V31" s="1129" t="str">
        <f t="shared" si="5"/>
        <v>n/a</v>
      </c>
      <c r="X31" s="1061" t="str">
        <f t="shared" si="6"/>
        <v>n/a</v>
      </c>
      <c r="Y31" s="1061" t="str">
        <f t="shared" si="7"/>
        <v>n/a</v>
      </c>
      <c r="Z31" s="1061" t="str">
        <f t="shared" si="8"/>
        <v>n/a</v>
      </c>
      <c r="AC31" s="932" t="str">
        <f>IF('MASTER PubCo Inputs'!C45="","",'MASTER PubCo Inputs'!C45)</f>
        <v>(Invalid Identifier)</v>
      </c>
      <c r="AD31" s="179" t="str">
        <f>'Capital IQ Sheet-GPC'!AP30</f>
        <v>(Invalid Identifier)</v>
      </c>
    </row>
    <row r="32" spans="2:36" ht="14.85" hidden="1" customHeight="1" outlineLevel="1">
      <c r="B32" s="549" t="str">
        <f>'Capital IQ Sheet-GPC'!C31</f>
        <v>(Invalid Identifier)</v>
      </c>
      <c r="C32" s="1576"/>
      <c r="D32" s="1909" t="str">
        <f>'Capital IQ Sheet-GPC'!BE31</f>
        <v>(Invalid Identifier)</v>
      </c>
      <c r="E32" s="1129" t="str">
        <f>'Capital IQ Sheet-GPC'!BF31</f>
        <v>(Invalid Identifier)</v>
      </c>
      <c r="F32" s="1129" t="str">
        <f>'Capital IQ Sheet-GPC'!BG31</f>
        <v>(Invalid Identifier)</v>
      </c>
      <c r="G32" s="1129" t="str">
        <f>'Capital IQ Sheet-GPC'!BH31</f>
        <v>(Invalid Identifier)</v>
      </c>
      <c r="H32" s="1129" t="str">
        <f>'Capital IQ Sheet-GPC'!BI31</f>
        <v>(Invalid Identifier)</v>
      </c>
      <c r="I32" s="1129">
        <f t="shared" si="0"/>
        <v>0</v>
      </c>
      <c r="J32" s="1129">
        <f t="shared" si="1"/>
        <v>0</v>
      </c>
      <c r="K32" s="1129" t="str">
        <f>'Capital IQ Sheet-GPC'!BJ31</f>
        <v>(Invalid Identifier)</v>
      </c>
      <c r="L32" s="1129" t="str">
        <f t="shared" si="2"/>
        <v>n/a</v>
      </c>
      <c r="M32" s="698"/>
      <c r="N32" s="1909" t="str">
        <f>'Capital IQ Sheet-GPC'!I31</f>
        <v>(Invalid Identifier)</v>
      </c>
      <c r="O32" s="1129" t="str">
        <f>'Capital IQ Sheet-GPC'!J31</f>
        <v>(Invalid Identifier)</v>
      </c>
      <c r="P32" s="1129" t="str">
        <f>'Capital IQ Sheet-GPC'!K31</f>
        <v>(Invalid Identifier)</v>
      </c>
      <c r="Q32" s="1129" t="str">
        <f>'Capital IQ Sheet-GPC'!L31</f>
        <v>(Invalid Identifier)</v>
      </c>
      <c r="R32" s="1129" t="str">
        <f>'Capital IQ Sheet-GPC'!M31</f>
        <v>(Invalid Identifier)</v>
      </c>
      <c r="S32" s="1129">
        <f t="shared" si="3"/>
        <v>0</v>
      </c>
      <c r="T32" s="1129">
        <f t="shared" si="4"/>
        <v>0</v>
      </c>
      <c r="U32" s="1129" t="str">
        <f>'Capital IQ Sheet-GPC'!N31</f>
        <v>(Invalid Identifier)</v>
      </c>
      <c r="V32" s="1129" t="str">
        <f t="shared" si="5"/>
        <v>n/a</v>
      </c>
      <c r="X32" s="1061" t="str">
        <f t="shared" si="6"/>
        <v>n/a</v>
      </c>
      <c r="Y32" s="1061" t="str">
        <f t="shared" si="7"/>
        <v>n/a</v>
      </c>
      <c r="Z32" s="1061" t="str">
        <f t="shared" si="8"/>
        <v>n/a</v>
      </c>
      <c r="AC32" s="932" t="str">
        <f>IF('MASTER PubCo Inputs'!C46="","",'MASTER PubCo Inputs'!C46)</f>
        <v>(Invalid Identifier)</v>
      </c>
      <c r="AD32" s="179" t="str">
        <f>'Capital IQ Sheet-GPC'!AP31</f>
        <v>(Invalid Identifier)</v>
      </c>
    </row>
    <row r="33" spans="2:30" ht="14.85" hidden="1" customHeight="1" outlineLevel="1">
      <c r="B33" s="549" t="str">
        <f>'Capital IQ Sheet-GPC'!C32</f>
        <v>(Invalid Identifier)</v>
      </c>
      <c r="C33" s="1576"/>
      <c r="D33" s="1909" t="str">
        <f>'Capital IQ Sheet-GPC'!BE32</f>
        <v>(Invalid Identifier)</v>
      </c>
      <c r="E33" s="1129" t="str">
        <f>'Capital IQ Sheet-GPC'!BF32</f>
        <v>(Invalid Identifier)</v>
      </c>
      <c r="F33" s="1129" t="str">
        <f>'Capital IQ Sheet-GPC'!BG32</f>
        <v>(Invalid Identifier)</v>
      </c>
      <c r="G33" s="1129" t="str">
        <f>'Capital IQ Sheet-GPC'!BH32</f>
        <v>(Invalid Identifier)</v>
      </c>
      <c r="H33" s="1129" t="str">
        <f>'Capital IQ Sheet-GPC'!BI32</f>
        <v>(Invalid Identifier)</v>
      </c>
      <c r="I33" s="1129">
        <f t="shared" si="0"/>
        <v>0</v>
      </c>
      <c r="J33" s="1129">
        <f t="shared" si="1"/>
        <v>0</v>
      </c>
      <c r="K33" s="1129" t="str">
        <f>'Capital IQ Sheet-GPC'!BJ32</f>
        <v>(Invalid Identifier)</v>
      </c>
      <c r="L33" s="1129" t="str">
        <f t="shared" si="2"/>
        <v>n/a</v>
      </c>
      <c r="M33" s="698"/>
      <c r="N33" s="1909" t="str">
        <f>'Capital IQ Sheet-GPC'!I32</f>
        <v>(Invalid Identifier)</v>
      </c>
      <c r="O33" s="1129" t="str">
        <f>'Capital IQ Sheet-GPC'!J32</f>
        <v>(Invalid Identifier)</v>
      </c>
      <c r="P33" s="1129" t="str">
        <f>'Capital IQ Sheet-GPC'!K32</f>
        <v>(Invalid Identifier)</v>
      </c>
      <c r="Q33" s="1129" t="str">
        <f>'Capital IQ Sheet-GPC'!L32</f>
        <v>(Invalid Identifier)</v>
      </c>
      <c r="R33" s="1129" t="str">
        <f>'Capital IQ Sheet-GPC'!M32</f>
        <v>(Invalid Identifier)</v>
      </c>
      <c r="S33" s="1129">
        <f t="shared" si="3"/>
        <v>0</v>
      </c>
      <c r="T33" s="1129">
        <f t="shared" si="4"/>
        <v>0</v>
      </c>
      <c r="U33" s="1129" t="str">
        <f>'Capital IQ Sheet-GPC'!N32</f>
        <v>(Invalid Identifier)</v>
      </c>
      <c r="V33" s="1129" t="str">
        <f t="shared" si="5"/>
        <v>n/a</v>
      </c>
      <c r="X33" s="1061" t="str">
        <f t="shared" si="6"/>
        <v>n/a</v>
      </c>
      <c r="Y33" s="1061" t="str">
        <f t="shared" si="7"/>
        <v>n/a</v>
      </c>
      <c r="Z33" s="1061" t="str">
        <f t="shared" si="8"/>
        <v>n/a</v>
      </c>
      <c r="AC33" s="932" t="str">
        <f>IF('MASTER PubCo Inputs'!C47="","",'MASTER PubCo Inputs'!C47)</f>
        <v>(Invalid Identifier)</v>
      </c>
      <c r="AD33" s="179" t="str">
        <f>'Capital IQ Sheet-GPC'!AP32</f>
        <v>(Invalid Identifier)</v>
      </c>
    </row>
    <row r="34" spans="2:30" ht="14.85" hidden="1" customHeight="1" outlineLevel="1">
      <c r="B34" s="549" t="str">
        <f>'Capital IQ Sheet-GPC'!C33</f>
        <v>(Invalid Identifier)</v>
      </c>
      <c r="C34" s="1576"/>
      <c r="D34" s="1909" t="str">
        <f>'Capital IQ Sheet-GPC'!BE33</f>
        <v>(Invalid Identifier)</v>
      </c>
      <c r="E34" s="1129" t="str">
        <f>'Capital IQ Sheet-GPC'!BF33</f>
        <v>(Invalid Identifier)</v>
      </c>
      <c r="F34" s="1129" t="str">
        <f>'Capital IQ Sheet-GPC'!BG33</f>
        <v>(Invalid Identifier)</v>
      </c>
      <c r="G34" s="1129" t="str">
        <f>'Capital IQ Sheet-GPC'!BH33</f>
        <v>(Invalid Identifier)</v>
      </c>
      <c r="H34" s="1129" t="str">
        <f>'Capital IQ Sheet-GPC'!BI33</f>
        <v>(Invalid Identifier)</v>
      </c>
      <c r="I34" s="1129">
        <f t="shared" si="0"/>
        <v>0</v>
      </c>
      <c r="J34" s="1129">
        <f t="shared" si="1"/>
        <v>0</v>
      </c>
      <c r="K34" s="1129" t="str">
        <f>'Capital IQ Sheet-GPC'!BJ33</f>
        <v>(Invalid Identifier)</v>
      </c>
      <c r="L34" s="1129" t="str">
        <f t="shared" si="2"/>
        <v>n/a</v>
      </c>
      <c r="M34" s="698"/>
      <c r="N34" s="1909" t="str">
        <f>'Capital IQ Sheet-GPC'!I33</f>
        <v>(Invalid Identifier)</v>
      </c>
      <c r="O34" s="1129" t="str">
        <f>'Capital IQ Sheet-GPC'!J33</f>
        <v>(Invalid Identifier)</v>
      </c>
      <c r="P34" s="1129" t="str">
        <f>'Capital IQ Sheet-GPC'!K33</f>
        <v>(Invalid Identifier)</v>
      </c>
      <c r="Q34" s="1129" t="str">
        <f>'Capital IQ Sheet-GPC'!L33</f>
        <v>(Invalid Identifier)</v>
      </c>
      <c r="R34" s="1129" t="str">
        <f>'Capital IQ Sheet-GPC'!M33</f>
        <v>(Invalid Identifier)</v>
      </c>
      <c r="S34" s="1129">
        <f t="shared" si="3"/>
        <v>0</v>
      </c>
      <c r="T34" s="1129">
        <f t="shared" si="4"/>
        <v>0</v>
      </c>
      <c r="U34" s="1129" t="str">
        <f>'Capital IQ Sheet-GPC'!N33</f>
        <v>(Invalid Identifier)</v>
      </c>
      <c r="V34" s="1129" t="str">
        <f t="shared" si="5"/>
        <v>n/a</v>
      </c>
      <c r="X34" s="1061" t="str">
        <f t="shared" si="6"/>
        <v>n/a</v>
      </c>
      <c r="Y34" s="1061" t="str">
        <f t="shared" si="7"/>
        <v>n/a</v>
      </c>
      <c r="Z34" s="1061" t="str">
        <f t="shared" si="8"/>
        <v>n/a</v>
      </c>
      <c r="AC34" s="932" t="str">
        <f>IF('MASTER PubCo Inputs'!C48="","",'MASTER PubCo Inputs'!C48)</f>
        <v>(Invalid Identifier)</v>
      </c>
      <c r="AD34" s="179" t="str">
        <f>'Capital IQ Sheet-GPC'!AP33</f>
        <v>(Invalid Identifier)</v>
      </c>
    </row>
    <row r="35" spans="2:30" ht="14.85" hidden="1" customHeight="1" outlineLevel="1">
      <c r="B35" s="549" t="str">
        <f>'Capital IQ Sheet-GPC'!C34</f>
        <v>(Invalid Identifier)</v>
      </c>
      <c r="C35" s="1576"/>
      <c r="D35" s="1909" t="str">
        <f>'Capital IQ Sheet-GPC'!BE34</f>
        <v>(Invalid Identifier)</v>
      </c>
      <c r="E35" s="1129" t="str">
        <f>'Capital IQ Sheet-GPC'!BF34</f>
        <v>(Invalid Identifier)</v>
      </c>
      <c r="F35" s="1129" t="str">
        <f>'Capital IQ Sheet-GPC'!BG34</f>
        <v>(Invalid Identifier)</v>
      </c>
      <c r="G35" s="1129" t="str">
        <f>'Capital IQ Sheet-GPC'!BH34</f>
        <v>(Invalid Identifier)</v>
      </c>
      <c r="H35" s="1129" t="str">
        <f>'Capital IQ Sheet-GPC'!BI34</f>
        <v>(Invalid Identifier)</v>
      </c>
      <c r="I35" s="1129">
        <f t="shared" si="0"/>
        <v>0</v>
      </c>
      <c r="J35" s="1129">
        <f t="shared" si="1"/>
        <v>0</v>
      </c>
      <c r="K35" s="1129" t="str">
        <f>'Capital IQ Sheet-GPC'!BJ34</f>
        <v>(Invalid Identifier)</v>
      </c>
      <c r="L35" s="1129" t="str">
        <f t="shared" si="2"/>
        <v>n/a</v>
      </c>
      <c r="M35" s="698"/>
      <c r="N35" s="1909" t="str">
        <f>'Capital IQ Sheet-GPC'!I34</f>
        <v>(Invalid Identifier)</v>
      </c>
      <c r="O35" s="1129" t="str">
        <f>'Capital IQ Sheet-GPC'!J34</f>
        <v>(Invalid Identifier)</v>
      </c>
      <c r="P35" s="1129" t="str">
        <f>'Capital IQ Sheet-GPC'!K34</f>
        <v>(Invalid Identifier)</v>
      </c>
      <c r="Q35" s="1129" t="str">
        <f>'Capital IQ Sheet-GPC'!L34</f>
        <v>(Invalid Identifier)</v>
      </c>
      <c r="R35" s="1129" t="str">
        <f>'Capital IQ Sheet-GPC'!M34</f>
        <v>(Invalid Identifier)</v>
      </c>
      <c r="S35" s="1129">
        <f t="shared" si="3"/>
        <v>0</v>
      </c>
      <c r="T35" s="1129">
        <f t="shared" si="4"/>
        <v>0</v>
      </c>
      <c r="U35" s="1129" t="str">
        <f>'Capital IQ Sheet-GPC'!N34</f>
        <v>(Invalid Identifier)</v>
      </c>
      <c r="V35" s="1129" t="str">
        <f t="shared" si="5"/>
        <v>n/a</v>
      </c>
      <c r="X35" s="1061" t="str">
        <f t="shared" si="6"/>
        <v>n/a</v>
      </c>
      <c r="Y35" s="1061" t="str">
        <f t="shared" si="7"/>
        <v>n/a</v>
      </c>
      <c r="Z35" s="1061" t="str">
        <f t="shared" si="8"/>
        <v>n/a</v>
      </c>
      <c r="AC35" s="932" t="str">
        <f>IF('MASTER PubCo Inputs'!C49="","",'MASTER PubCo Inputs'!C49)</f>
        <v>(Invalid Identifier)</v>
      </c>
      <c r="AD35" s="179" t="str">
        <f>'Capital IQ Sheet-GPC'!AP34</f>
        <v>(Invalid Identifier)</v>
      </c>
    </row>
    <row r="36" spans="2:30" ht="14.85" hidden="1" customHeight="1" outlineLevel="1">
      <c r="B36" s="549" t="str">
        <f>'Capital IQ Sheet-GPC'!C35</f>
        <v>(Invalid Identifier)</v>
      </c>
      <c r="C36" s="1576"/>
      <c r="D36" s="1909" t="str">
        <f>'Capital IQ Sheet-GPC'!BE35</f>
        <v>(Invalid Identifier)</v>
      </c>
      <c r="E36" s="1129" t="str">
        <f>'Capital IQ Sheet-GPC'!BF35</f>
        <v>(Invalid Identifier)</v>
      </c>
      <c r="F36" s="1129" t="str">
        <f>'Capital IQ Sheet-GPC'!BG35</f>
        <v>(Invalid Identifier)</v>
      </c>
      <c r="G36" s="1129" t="str">
        <f>'Capital IQ Sheet-GPC'!BH35</f>
        <v>(Invalid Identifier)</v>
      </c>
      <c r="H36" s="1129" t="str">
        <f>'Capital IQ Sheet-GPC'!BI35</f>
        <v>(Invalid Identifier)</v>
      </c>
      <c r="I36" s="1129">
        <f t="shared" si="0"/>
        <v>0</v>
      </c>
      <c r="J36" s="1129">
        <f t="shared" si="1"/>
        <v>0</v>
      </c>
      <c r="K36" s="1129" t="str">
        <f>'Capital IQ Sheet-GPC'!BJ35</f>
        <v>(Invalid Identifier)</v>
      </c>
      <c r="L36" s="1129" t="str">
        <f t="shared" si="2"/>
        <v>n/a</v>
      </c>
      <c r="M36" s="698"/>
      <c r="N36" s="1909" t="str">
        <f>'Capital IQ Sheet-GPC'!I35</f>
        <v>(Invalid Identifier)</v>
      </c>
      <c r="O36" s="1129" t="str">
        <f>'Capital IQ Sheet-GPC'!J35</f>
        <v>(Invalid Identifier)</v>
      </c>
      <c r="P36" s="1129" t="str">
        <f>'Capital IQ Sheet-GPC'!K35</f>
        <v>(Invalid Identifier)</v>
      </c>
      <c r="Q36" s="1129" t="str">
        <f>'Capital IQ Sheet-GPC'!L35</f>
        <v>(Invalid Identifier)</v>
      </c>
      <c r="R36" s="1129" t="str">
        <f>'Capital IQ Sheet-GPC'!M35</f>
        <v>(Invalid Identifier)</v>
      </c>
      <c r="S36" s="1129">
        <f t="shared" si="3"/>
        <v>0</v>
      </c>
      <c r="T36" s="1129">
        <f t="shared" si="4"/>
        <v>0</v>
      </c>
      <c r="U36" s="1129" t="str">
        <f>'Capital IQ Sheet-GPC'!N35</f>
        <v>(Invalid Identifier)</v>
      </c>
      <c r="V36" s="1129" t="str">
        <f t="shared" si="5"/>
        <v>n/a</v>
      </c>
      <c r="X36" s="1061" t="str">
        <f t="shared" si="6"/>
        <v>n/a</v>
      </c>
      <c r="Y36" s="1061" t="str">
        <f t="shared" si="7"/>
        <v>n/a</v>
      </c>
      <c r="Z36" s="1061" t="str">
        <f t="shared" si="8"/>
        <v>n/a</v>
      </c>
      <c r="AC36" s="932" t="str">
        <f>IF('MASTER PubCo Inputs'!C50="","",'MASTER PubCo Inputs'!C50)</f>
        <v>(Invalid Identifier)</v>
      </c>
      <c r="AD36" s="179" t="str">
        <f>'Capital IQ Sheet-GPC'!AP35</f>
        <v>(Invalid Identifier)</v>
      </c>
    </row>
    <row r="37" spans="2:30" ht="14.85" hidden="1" customHeight="1" outlineLevel="1">
      <c r="B37" s="549" t="str">
        <f>'Capital IQ Sheet-GPC'!C36</f>
        <v>(Invalid Identifier)</v>
      </c>
      <c r="C37" s="1576"/>
      <c r="D37" s="1909" t="str">
        <f>'Capital IQ Sheet-GPC'!BE36</f>
        <v>(Invalid Identifier)</v>
      </c>
      <c r="E37" s="1129" t="str">
        <f>'Capital IQ Sheet-GPC'!BF36</f>
        <v>(Invalid Identifier)</v>
      </c>
      <c r="F37" s="1129" t="str">
        <f>'Capital IQ Sheet-GPC'!BG36</f>
        <v>(Invalid Identifier)</v>
      </c>
      <c r="G37" s="1129" t="str">
        <f>'Capital IQ Sheet-GPC'!BH36</f>
        <v>(Invalid Identifier)</v>
      </c>
      <c r="H37" s="1129" t="str">
        <f>'Capital IQ Sheet-GPC'!BI36</f>
        <v>(Invalid Identifier)</v>
      </c>
      <c r="I37" s="1129">
        <f t="shared" si="0"/>
        <v>0</v>
      </c>
      <c r="J37" s="1129">
        <f t="shared" si="1"/>
        <v>0</v>
      </c>
      <c r="K37" s="1129" t="str">
        <f>'Capital IQ Sheet-GPC'!BJ36</f>
        <v>(Invalid Identifier)</v>
      </c>
      <c r="L37" s="1129" t="str">
        <f t="shared" si="2"/>
        <v>n/a</v>
      </c>
      <c r="M37" s="698"/>
      <c r="N37" s="1909" t="str">
        <f>'Capital IQ Sheet-GPC'!I36</f>
        <v>(Invalid Identifier)</v>
      </c>
      <c r="O37" s="1129" t="str">
        <f>'Capital IQ Sheet-GPC'!J36</f>
        <v>(Invalid Identifier)</v>
      </c>
      <c r="P37" s="1129" t="str">
        <f>'Capital IQ Sheet-GPC'!K36</f>
        <v>(Invalid Identifier)</v>
      </c>
      <c r="Q37" s="1129" t="str">
        <f>'Capital IQ Sheet-GPC'!L36</f>
        <v>(Invalid Identifier)</v>
      </c>
      <c r="R37" s="1129" t="str">
        <f>'Capital IQ Sheet-GPC'!M36</f>
        <v>(Invalid Identifier)</v>
      </c>
      <c r="S37" s="1129">
        <f t="shared" si="3"/>
        <v>0</v>
      </c>
      <c r="T37" s="1129">
        <f t="shared" si="4"/>
        <v>0</v>
      </c>
      <c r="U37" s="1129" t="str">
        <f>'Capital IQ Sheet-GPC'!N36</f>
        <v>(Invalid Identifier)</v>
      </c>
      <c r="V37" s="1129" t="str">
        <f t="shared" si="5"/>
        <v>n/a</v>
      </c>
      <c r="X37" s="1061" t="str">
        <f t="shared" si="6"/>
        <v>n/a</v>
      </c>
      <c r="Y37" s="1061" t="str">
        <f t="shared" si="7"/>
        <v>n/a</v>
      </c>
      <c r="Z37" s="1061" t="str">
        <f t="shared" si="8"/>
        <v>n/a</v>
      </c>
      <c r="AC37" s="932" t="str">
        <f>IF('MASTER PubCo Inputs'!C51="","",'MASTER PubCo Inputs'!C51)</f>
        <v>(Invalid Identifier)</v>
      </c>
      <c r="AD37" s="179" t="str">
        <f>'Capital IQ Sheet-GPC'!AP36</f>
        <v>(Invalid Identifier)</v>
      </c>
    </row>
    <row r="38" spans="2:30" ht="14.85" hidden="1" customHeight="1" outlineLevel="1">
      <c r="B38" s="549" t="str">
        <f>'Capital IQ Sheet-GPC'!C37</f>
        <v>(Invalid Identifier)</v>
      </c>
      <c r="C38" s="1576"/>
      <c r="D38" s="1909" t="str">
        <f>'Capital IQ Sheet-GPC'!BE37</f>
        <v>(Invalid Identifier)</v>
      </c>
      <c r="E38" s="1129" t="str">
        <f>'Capital IQ Sheet-GPC'!BF37</f>
        <v>(Invalid Identifier)</v>
      </c>
      <c r="F38" s="1129" t="str">
        <f>'Capital IQ Sheet-GPC'!BG37</f>
        <v>(Invalid Identifier)</v>
      </c>
      <c r="G38" s="1129" t="str">
        <f>'Capital IQ Sheet-GPC'!BH37</f>
        <v>(Invalid Identifier)</v>
      </c>
      <c r="H38" s="1129" t="str">
        <f>'Capital IQ Sheet-GPC'!BI37</f>
        <v>(Invalid Identifier)</v>
      </c>
      <c r="I38" s="1129">
        <f t="shared" ref="I38:I43" si="18">SUM(F38:H38)</f>
        <v>0</v>
      </c>
      <c r="J38" s="1129">
        <f t="shared" ref="J38:J43" si="19">SUM(E38:H38)</f>
        <v>0</v>
      </c>
      <c r="K38" s="1129" t="str">
        <f>'Capital IQ Sheet-GPC'!BJ37</f>
        <v>(Invalid Identifier)</v>
      </c>
      <c r="L38" s="1129" t="str">
        <f t="shared" ref="L38:L43" si="20">IF(ISERROR(J38-K38), "n/a", J38-K38)</f>
        <v>n/a</v>
      </c>
      <c r="M38" s="698"/>
      <c r="N38" s="1909" t="str">
        <f>'Capital IQ Sheet-GPC'!I37</f>
        <v>(Invalid Identifier)</v>
      </c>
      <c r="O38" s="1129" t="str">
        <f>'Capital IQ Sheet-GPC'!J37</f>
        <v>(Invalid Identifier)</v>
      </c>
      <c r="P38" s="1129" t="str">
        <f>'Capital IQ Sheet-GPC'!K37</f>
        <v>(Invalid Identifier)</v>
      </c>
      <c r="Q38" s="1129" t="str">
        <f>'Capital IQ Sheet-GPC'!L37</f>
        <v>(Invalid Identifier)</v>
      </c>
      <c r="R38" s="1129" t="str">
        <f>'Capital IQ Sheet-GPC'!M37</f>
        <v>(Invalid Identifier)</v>
      </c>
      <c r="S38" s="1129">
        <f t="shared" ref="S38:S43" si="21">SUM(P38:R38)</f>
        <v>0</v>
      </c>
      <c r="T38" s="1129">
        <f t="shared" ref="T38:T43" si="22">SUM(O38:R38)</f>
        <v>0</v>
      </c>
      <c r="U38" s="1129" t="str">
        <f>'Capital IQ Sheet-GPC'!N37</f>
        <v>(Invalid Identifier)</v>
      </c>
      <c r="V38" s="1129" t="str">
        <f t="shared" ref="V38:V43" si="23">IF(ISERROR(T38-U38), "n/a", T38-U38)</f>
        <v>n/a</v>
      </c>
      <c r="X38" s="1061" t="str">
        <f t="shared" si="6"/>
        <v>n/a</v>
      </c>
      <c r="Y38" s="1061" t="str">
        <f t="shared" si="7"/>
        <v>n/a</v>
      </c>
      <c r="Z38" s="1061" t="str">
        <f t="shared" si="8"/>
        <v>n/a</v>
      </c>
      <c r="AC38" s="932" t="str">
        <f>IF('MASTER PubCo Inputs'!C52="","",'MASTER PubCo Inputs'!C52)</f>
        <v>(Invalid Identifier)</v>
      </c>
      <c r="AD38" s="179" t="str">
        <f>'Capital IQ Sheet-GPC'!AP37</f>
        <v>(Invalid Identifier)</v>
      </c>
    </row>
    <row r="39" spans="2:30" ht="14.85" hidden="1" customHeight="1" outlineLevel="1">
      <c r="B39" s="549" t="str">
        <f>'Capital IQ Sheet-GPC'!C38</f>
        <v>(Invalid Identifier)</v>
      </c>
      <c r="C39" s="1576"/>
      <c r="D39" s="1909" t="str">
        <f>'Capital IQ Sheet-GPC'!BE38</f>
        <v>(Invalid Identifier)</v>
      </c>
      <c r="E39" s="1129" t="str">
        <f>'Capital IQ Sheet-GPC'!BF38</f>
        <v>(Invalid Identifier)</v>
      </c>
      <c r="F39" s="1129" t="str">
        <f>'Capital IQ Sheet-GPC'!BG38</f>
        <v>(Invalid Identifier)</v>
      </c>
      <c r="G39" s="1129" t="str">
        <f>'Capital IQ Sheet-GPC'!BH38</f>
        <v>(Invalid Identifier)</v>
      </c>
      <c r="H39" s="1129" t="str">
        <f>'Capital IQ Sheet-GPC'!BI38</f>
        <v>(Invalid Identifier)</v>
      </c>
      <c r="I39" s="1129">
        <f t="shared" si="18"/>
        <v>0</v>
      </c>
      <c r="J39" s="1129">
        <f t="shared" si="19"/>
        <v>0</v>
      </c>
      <c r="K39" s="1129" t="str">
        <f>'Capital IQ Sheet-GPC'!BJ38</f>
        <v>(Invalid Identifier)</v>
      </c>
      <c r="L39" s="1129" t="str">
        <f t="shared" si="20"/>
        <v>n/a</v>
      </c>
      <c r="M39" s="698"/>
      <c r="N39" s="1909" t="str">
        <f>'Capital IQ Sheet-GPC'!I38</f>
        <v>(Invalid Identifier)</v>
      </c>
      <c r="O39" s="1129" t="str">
        <f>'Capital IQ Sheet-GPC'!J38</f>
        <v>(Invalid Identifier)</v>
      </c>
      <c r="P39" s="1129" t="str">
        <f>'Capital IQ Sheet-GPC'!K38</f>
        <v>(Invalid Identifier)</v>
      </c>
      <c r="Q39" s="1129" t="str">
        <f>'Capital IQ Sheet-GPC'!L38</f>
        <v>(Invalid Identifier)</v>
      </c>
      <c r="R39" s="1129" t="str">
        <f>'Capital IQ Sheet-GPC'!M38</f>
        <v>(Invalid Identifier)</v>
      </c>
      <c r="S39" s="1129">
        <f t="shared" si="21"/>
        <v>0</v>
      </c>
      <c r="T39" s="1129">
        <f t="shared" si="22"/>
        <v>0</v>
      </c>
      <c r="U39" s="1129" t="str">
        <f>'Capital IQ Sheet-GPC'!N38</f>
        <v>(Invalid Identifier)</v>
      </c>
      <c r="V39" s="1129" t="str">
        <f t="shared" si="23"/>
        <v>n/a</v>
      </c>
      <c r="X39" s="1061" t="str">
        <f t="shared" si="6"/>
        <v>n/a</v>
      </c>
      <c r="Y39" s="1061" t="str">
        <f t="shared" si="7"/>
        <v>n/a</v>
      </c>
      <c r="Z39" s="1061" t="str">
        <f t="shared" si="8"/>
        <v>n/a</v>
      </c>
      <c r="AC39" s="932" t="str">
        <f>IF('MASTER PubCo Inputs'!C53="","",'MASTER PubCo Inputs'!C53)</f>
        <v>(Invalid Identifier)</v>
      </c>
      <c r="AD39" s="179" t="str">
        <f>'Capital IQ Sheet-GPC'!AP38</f>
        <v>(Invalid Identifier)</v>
      </c>
    </row>
    <row r="40" spans="2:30" ht="14.85" hidden="1" customHeight="1" outlineLevel="1">
      <c r="B40" s="549" t="str">
        <f>'Capital IQ Sheet-GPC'!C39</f>
        <v>(Invalid Identifier)</v>
      </c>
      <c r="C40" s="1576"/>
      <c r="D40" s="1909" t="str">
        <f>'Capital IQ Sheet-GPC'!BE39</f>
        <v>(Invalid Identifier)</v>
      </c>
      <c r="E40" s="1129" t="str">
        <f>'Capital IQ Sheet-GPC'!BF39</f>
        <v>(Invalid Identifier)</v>
      </c>
      <c r="F40" s="1129" t="str">
        <f>'Capital IQ Sheet-GPC'!BG39</f>
        <v>(Invalid Identifier)</v>
      </c>
      <c r="G40" s="1129" t="str">
        <f>'Capital IQ Sheet-GPC'!BH39</f>
        <v>(Invalid Identifier)</v>
      </c>
      <c r="H40" s="1129" t="str">
        <f>'Capital IQ Sheet-GPC'!BI39</f>
        <v>(Invalid Identifier)</v>
      </c>
      <c r="I40" s="1129">
        <f t="shared" si="18"/>
        <v>0</v>
      </c>
      <c r="J40" s="1129">
        <f t="shared" si="19"/>
        <v>0</v>
      </c>
      <c r="K40" s="1129" t="str">
        <f>'Capital IQ Sheet-GPC'!BJ39</f>
        <v>(Invalid Identifier)</v>
      </c>
      <c r="L40" s="1129" t="str">
        <f t="shared" si="20"/>
        <v>n/a</v>
      </c>
      <c r="M40" s="698"/>
      <c r="N40" s="1909" t="str">
        <f>'Capital IQ Sheet-GPC'!I39</f>
        <v>(Invalid Identifier)</v>
      </c>
      <c r="O40" s="1129" t="str">
        <f>'Capital IQ Sheet-GPC'!J39</f>
        <v>(Invalid Identifier)</v>
      </c>
      <c r="P40" s="1129" t="str">
        <f>'Capital IQ Sheet-GPC'!K39</f>
        <v>(Invalid Identifier)</v>
      </c>
      <c r="Q40" s="1129" t="str">
        <f>'Capital IQ Sheet-GPC'!L39</f>
        <v>(Invalid Identifier)</v>
      </c>
      <c r="R40" s="1129" t="str">
        <f>'Capital IQ Sheet-GPC'!M39</f>
        <v>(Invalid Identifier)</v>
      </c>
      <c r="S40" s="1129">
        <f t="shared" si="21"/>
        <v>0</v>
      </c>
      <c r="T40" s="1129">
        <f t="shared" si="22"/>
        <v>0</v>
      </c>
      <c r="U40" s="1129" t="str">
        <f>'Capital IQ Sheet-GPC'!N39</f>
        <v>(Invalid Identifier)</v>
      </c>
      <c r="V40" s="1129" t="str">
        <f t="shared" si="23"/>
        <v>n/a</v>
      </c>
      <c r="X40" s="1061" t="str">
        <f t="shared" si="6"/>
        <v>n/a</v>
      </c>
      <c r="Y40" s="1061" t="str">
        <f t="shared" si="7"/>
        <v>n/a</v>
      </c>
      <c r="Z40" s="1061" t="str">
        <f t="shared" si="8"/>
        <v>n/a</v>
      </c>
      <c r="AC40" s="932" t="str">
        <f>IF('MASTER PubCo Inputs'!C54="","",'MASTER PubCo Inputs'!C54)</f>
        <v>(Invalid Identifier)</v>
      </c>
      <c r="AD40" s="179" t="str">
        <f>'Capital IQ Sheet-GPC'!AP39</f>
        <v>(Invalid Identifier)</v>
      </c>
    </row>
    <row r="41" spans="2:30" ht="14.85" hidden="1" customHeight="1" outlineLevel="1">
      <c r="B41" s="549" t="str">
        <f>'Capital IQ Sheet-GPC'!C40</f>
        <v>(Invalid Identifier)</v>
      </c>
      <c r="C41" s="1576"/>
      <c r="D41" s="1909" t="str">
        <f>'Capital IQ Sheet-GPC'!BE40</f>
        <v>(Invalid Identifier)</v>
      </c>
      <c r="E41" s="1129" t="str">
        <f>'Capital IQ Sheet-GPC'!BF40</f>
        <v>(Invalid Identifier)</v>
      </c>
      <c r="F41" s="1129" t="str">
        <f>'Capital IQ Sheet-GPC'!BG40</f>
        <v>(Invalid Identifier)</v>
      </c>
      <c r="G41" s="1129" t="str">
        <f>'Capital IQ Sheet-GPC'!BH40</f>
        <v>(Invalid Identifier)</v>
      </c>
      <c r="H41" s="1129" t="str">
        <f>'Capital IQ Sheet-GPC'!BI40</f>
        <v>(Invalid Identifier)</v>
      </c>
      <c r="I41" s="1129">
        <f t="shared" si="18"/>
        <v>0</v>
      </c>
      <c r="J41" s="1129">
        <f t="shared" si="19"/>
        <v>0</v>
      </c>
      <c r="K41" s="1129" t="str">
        <f>'Capital IQ Sheet-GPC'!BJ40</f>
        <v>(Invalid Identifier)</v>
      </c>
      <c r="L41" s="1129" t="str">
        <f t="shared" si="20"/>
        <v>n/a</v>
      </c>
      <c r="M41" s="698"/>
      <c r="N41" s="1909" t="str">
        <f>'Capital IQ Sheet-GPC'!I40</f>
        <v>(Invalid Identifier)</v>
      </c>
      <c r="O41" s="1129" t="str">
        <f>'Capital IQ Sheet-GPC'!J40</f>
        <v>(Invalid Identifier)</v>
      </c>
      <c r="P41" s="1129" t="str">
        <f>'Capital IQ Sheet-GPC'!K40</f>
        <v>(Invalid Identifier)</v>
      </c>
      <c r="Q41" s="1129" t="str">
        <f>'Capital IQ Sheet-GPC'!L40</f>
        <v>(Invalid Identifier)</v>
      </c>
      <c r="R41" s="1129" t="str">
        <f>'Capital IQ Sheet-GPC'!M40</f>
        <v>(Invalid Identifier)</v>
      </c>
      <c r="S41" s="1129">
        <f t="shared" si="21"/>
        <v>0</v>
      </c>
      <c r="T41" s="1129">
        <f t="shared" si="22"/>
        <v>0</v>
      </c>
      <c r="U41" s="1129" t="str">
        <f>'Capital IQ Sheet-GPC'!N40</f>
        <v>(Invalid Identifier)</v>
      </c>
      <c r="V41" s="1129" t="str">
        <f t="shared" si="23"/>
        <v>n/a</v>
      </c>
      <c r="X41" s="1061" t="str">
        <f t="shared" si="6"/>
        <v>n/a</v>
      </c>
      <c r="Y41" s="1061" t="str">
        <f t="shared" si="7"/>
        <v>n/a</v>
      </c>
      <c r="Z41" s="1061" t="str">
        <f t="shared" si="8"/>
        <v>n/a</v>
      </c>
      <c r="AC41" s="932" t="str">
        <f>IF('MASTER PubCo Inputs'!C55="","",'MASTER PubCo Inputs'!C55)</f>
        <v>(Invalid Identifier)</v>
      </c>
      <c r="AD41" s="179" t="str">
        <f>'Capital IQ Sheet-GPC'!AP40</f>
        <v>(Invalid Identifier)</v>
      </c>
    </row>
    <row r="42" spans="2:30" ht="14.85" hidden="1" customHeight="1" outlineLevel="1">
      <c r="B42" s="549" t="str">
        <f>'Capital IQ Sheet-GPC'!C41</f>
        <v>(Invalid Identifier)</v>
      </c>
      <c r="C42" s="1576"/>
      <c r="D42" s="1909" t="str">
        <f>'Capital IQ Sheet-GPC'!BE41</f>
        <v>(Invalid Identifier)</v>
      </c>
      <c r="E42" s="1129" t="str">
        <f>'Capital IQ Sheet-GPC'!BF41</f>
        <v>(Invalid Identifier)</v>
      </c>
      <c r="F42" s="1129" t="str">
        <f>'Capital IQ Sheet-GPC'!BG41</f>
        <v>(Invalid Identifier)</v>
      </c>
      <c r="G42" s="1129" t="str">
        <f>'Capital IQ Sheet-GPC'!BH41</f>
        <v>(Invalid Identifier)</v>
      </c>
      <c r="H42" s="1129" t="str">
        <f>'Capital IQ Sheet-GPC'!BI41</f>
        <v>(Invalid Identifier)</v>
      </c>
      <c r="I42" s="1129">
        <f t="shared" si="18"/>
        <v>0</v>
      </c>
      <c r="J42" s="1129">
        <f t="shared" si="19"/>
        <v>0</v>
      </c>
      <c r="K42" s="1129" t="str">
        <f>'Capital IQ Sheet-GPC'!BJ41</f>
        <v>(Invalid Identifier)</v>
      </c>
      <c r="L42" s="1129" t="str">
        <f t="shared" si="20"/>
        <v>n/a</v>
      </c>
      <c r="M42" s="698"/>
      <c r="N42" s="1909" t="str">
        <f>'Capital IQ Sheet-GPC'!I41</f>
        <v>(Invalid Identifier)</v>
      </c>
      <c r="O42" s="1129" t="str">
        <f>'Capital IQ Sheet-GPC'!J41</f>
        <v>(Invalid Identifier)</v>
      </c>
      <c r="P42" s="1129" t="str">
        <f>'Capital IQ Sheet-GPC'!K41</f>
        <v>(Invalid Identifier)</v>
      </c>
      <c r="Q42" s="1129" t="str">
        <f>'Capital IQ Sheet-GPC'!L41</f>
        <v>(Invalid Identifier)</v>
      </c>
      <c r="R42" s="1129" t="str">
        <f>'Capital IQ Sheet-GPC'!M41</f>
        <v>(Invalid Identifier)</v>
      </c>
      <c r="S42" s="1129">
        <f t="shared" si="21"/>
        <v>0</v>
      </c>
      <c r="T42" s="1129">
        <f t="shared" si="22"/>
        <v>0</v>
      </c>
      <c r="U42" s="1129" t="str">
        <f>'Capital IQ Sheet-GPC'!N41</f>
        <v>(Invalid Identifier)</v>
      </c>
      <c r="V42" s="1129" t="str">
        <f t="shared" si="23"/>
        <v>n/a</v>
      </c>
      <c r="X42" s="1061" t="str">
        <f t="shared" si="6"/>
        <v>n/a</v>
      </c>
      <c r="Y42" s="1061" t="str">
        <f t="shared" si="7"/>
        <v>n/a</v>
      </c>
      <c r="Z42" s="1061" t="str">
        <f t="shared" si="8"/>
        <v>n/a</v>
      </c>
      <c r="AC42" s="932" t="str">
        <f>IF('MASTER PubCo Inputs'!C56="","",'MASTER PubCo Inputs'!C56)</f>
        <v>(Invalid Identifier)</v>
      </c>
      <c r="AD42" s="179" t="str">
        <f>'Capital IQ Sheet-GPC'!AP41</f>
        <v>(Invalid Identifier)</v>
      </c>
    </row>
    <row r="43" spans="2:30" ht="14.85" hidden="1" customHeight="1" outlineLevel="1">
      <c r="B43" s="549" t="str">
        <f>'Capital IQ Sheet-GPC'!C42</f>
        <v>(Invalid Identifier)</v>
      </c>
      <c r="C43" s="1576"/>
      <c r="D43" s="1909" t="str">
        <f>'Capital IQ Sheet-GPC'!BE42</f>
        <v>(Invalid Identifier)</v>
      </c>
      <c r="E43" s="1129" t="str">
        <f>'Capital IQ Sheet-GPC'!BF42</f>
        <v>(Invalid Identifier)</v>
      </c>
      <c r="F43" s="1129" t="str">
        <f>'Capital IQ Sheet-GPC'!BG42</f>
        <v>(Invalid Identifier)</v>
      </c>
      <c r="G43" s="1129" t="str">
        <f>'Capital IQ Sheet-GPC'!BH42</f>
        <v>(Invalid Identifier)</v>
      </c>
      <c r="H43" s="1129" t="str">
        <f>'Capital IQ Sheet-GPC'!BI42</f>
        <v>(Invalid Identifier)</v>
      </c>
      <c r="I43" s="1129">
        <f t="shared" si="18"/>
        <v>0</v>
      </c>
      <c r="J43" s="1129">
        <f t="shared" si="19"/>
        <v>0</v>
      </c>
      <c r="K43" s="1129" t="str">
        <f>'Capital IQ Sheet-GPC'!BJ42</f>
        <v>(Invalid Identifier)</v>
      </c>
      <c r="L43" s="1129" t="str">
        <f t="shared" si="20"/>
        <v>n/a</v>
      </c>
      <c r="M43" s="698"/>
      <c r="N43" s="1909" t="str">
        <f>'Capital IQ Sheet-GPC'!I42</f>
        <v>(Invalid Identifier)</v>
      </c>
      <c r="O43" s="1129" t="str">
        <f>'Capital IQ Sheet-GPC'!J42</f>
        <v>(Invalid Identifier)</v>
      </c>
      <c r="P43" s="1129" t="str">
        <f>'Capital IQ Sheet-GPC'!K42</f>
        <v>(Invalid Identifier)</v>
      </c>
      <c r="Q43" s="1129" t="str">
        <f>'Capital IQ Sheet-GPC'!L42</f>
        <v>(Invalid Identifier)</v>
      </c>
      <c r="R43" s="1129" t="str">
        <f>'Capital IQ Sheet-GPC'!M42</f>
        <v>(Invalid Identifier)</v>
      </c>
      <c r="S43" s="1129">
        <f t="shared" si="21"/>
        <v>0</v>
      </c>
      <c r="T43" s="1129">
        <f t="shared" si="22"/>
        <v>0</v>
      </c>
      <c r="U43" s="1129" t="str">
        <f>'Capital IQ Sheet-GPC'!N42</f>
        <v>(Invalid Identifier)</v>
      </c>
      <c r="V43" s="1129" t="str">
        <f t="shared" si="23"/>
        <v>n/a</v>
      </c>
      <c r="X43" s="1061" t="str">
        <f t="shared" si="6"/>
        <v>n/a</v>
      </c>
      <c r="Y43" s="1061" t="str">
        <f t="shared" si="7"/>
        <v>n/a</v>
      </c>
      <c r="Z43" s="1061" t="str">
        <f t="shared" si="8"/>
        <v>n/a</v>
      </c>
      <c r="AC43" s="932" t="str">
        <f>IF('MASTER PubCo Inputs'!C57="","",'MASTER PubCo Inputs'!C57)</f>
        <v>(Invalid Identifier)</v>
      </c>
      <c r="AD43" s="179" t="str">
        <f>'Capital IQ Sheet-GPC'!AP42</f>
        <v>(Invalid Identifier)</v>
      </c>
    </row>
    <row r="44" spans="2:30" ht="14.85" customHeight="1" collapsed="1">
      <c r="D44" s="1466"/>
      <c r="N44" s="1466"/>
    </row>
    <row r="45" spans="2:30" ht="14.85" customHeight="1">
      <c r="B45" s="1577" t="s">
        <v>111</v>
      </c>
      <c r="C45" s="1578"/>
      <c r="D45" s="1910">
        <f>MAX(D11:D43)</f>
        <v>30.73</v>
      </c>
      <c r="E45" s="1579">
        <f t="shared" ref="E45:Z45" si="24">MAX(E11:E43)</f>
        <v>1354.91391</v>
      </c>
      <c r="F45" s="1579">
        <f t="shared" si="24"/>
        <v>43.990749999999998</v>
      </c>
      <c r="G45" s="1579">
        <f t="shared" si="24"/>
        <v>0</v>
      </c>
      <c r="H45" s="1579">
        <f t="shared" si="24"/>
        <v>0</v>
      </c>
      <c r="I45" s="1579">
        <f t="shared" si="24"/>
        <v>43.990749999999998</v>
      </c>
      <c r="J45" s="1579">
        <f t="shared" si="24"/>
        <v>1388.5809099999999</v>
      </c>
      <c r="K45" s="1579">
        <f t="shared" si="24"/>
        <v>295.69099999999997</v>
      </c>
      <c r="L45" s="1579">
        <f t="shared" si="24"/>
        <v>1092.8899099999999</v>
      </c>
      <c r="M45" s="1505"/>
      <c r="N45" s="1910">
        <f t="shared" si="24"/>
        <v>36.53</v>
      </c>
      <c r="O45" s="1579">
        <f t="shared" si="24"/>
        <v>1705.3104800000001</v>
      </c>
      <c r="P45" s="1579">
        <f t="shared" si="24"/>
        <v>49.826320000000003</v>
      </c>
      <c r="Q45" s="1579">
        <f t="shared" si="24"/>
        <v>0</v>
      </c>
      <c r="R45" s="1579">
        <f t="shared" si="24"/>
        <v>0</v>
      </c>
      <c r="S45" s="1579">
        <f t="shared" si="24"/>
        <v>49.826320000000003</v>
      </c>
      <c r="T45" s="1579">
        <f t="shared" si="24"/>
        <v>1738.5004800000002</v>
      </c>
      <c r="U45" s="1579">
        <f t="shared" si="24"/>
        <v>358.82100000000003</v>
      </c>
      <c r="V45" s="1579">
        <f t="shared" si="24"/>
        <v>1379.6794800000002</v>
      </c>
      <c r="W45" s="1579"/>
      <c r="X45" s="1580">
        <f t="shared" si="24"/>
        <v>0.93842364532019729</v>
      </c>
      <c r="Y45" s="1580">
        <f t="shared" si="24"/>
        <v>0.84283185092571622</v>
      </c>
      <c r="Z45" s="1581">
        <f t="shared" si="24"/>
        <v>0.70975905298087438</v>
      </c>
    </row>
    <row r="46" spans="2:30" ht="14.85" customHeight="1">
      <c r="B46" s="941" t="s">
        <v>115</v>
      </c>
      <c r="C46" s="942"/>
      <c r="D46" s="1911">
        <f>QUARTILE(D11:D43,3)</f>
        <v>5.9214025000000001</v>
      </c>
      <c r="E46" s="944">
        <f t="shared" ref="E46:Z46" si="25">QUARTILE(E11:E43,3)</f>
        <v>172.39874750000001</v>
      </c>
      <c r="F46" s="944">
        <f t="shared" si="25"/>
        <v>11.38569</v>
      </c>
      <c r="G46" s="944">
        <f t="shared" si="25"/>
        <v>0</v>
      </c>
      <c r="H46" s="944">
        <f t="shared" si="25"/>
        <v>0</v>
      </c>
      <c r="I46" s="944">
        <f t="shared" si="25"/>
        <v>0</v>
      </c>
      <c r="J46" s="944">
        <f t="shared" si="25"/>
        <v>44.871030000000005</v>
      </c>
      <c r="K46" s="944">
        <f t="shared" si="25"/>
        <v>68.805107499999991</v>
      </c>
      <c r="L46" s="944">
        <f t="shared" si="25"/>
        <v>147.6132925</v>
      </c>
      <c r="M46" s="944"/>
      <c r="N46" s="1911">
        <f t="shared" si="25"/>
        <v>8.3980425000000007</v>
      </c>
      <c r="O46" s="944">
        <f t="shared" si="25"/>
        <v>192.67051499999999</v>
      </c>
      <c r="P46" s="944">
        <f t="shared" si="25"/>
        <v>9.06297</v>
      </c>
      <c r="Q46" s="944">
        <f t="shared" si="25"/>
        <v>0</v>
      </c>
      <c r="R46" s="944">
        <f t="shared" si="25"/>
        <v>0</v>
      </c>
      <c r="S46" s="944">
        <f t="shared" si="25"/>
        <v>0</v>
      </c>
      <c r="T46" s="944">
        <f t="shared" si="25"/>
        <v>39.849169999999994</v>
      </c>
      <c r="U46" s="944">
        <f t="shared" si="25"/>
        <v>70.872820000000004</v>
      </c>
      <c r="V46" s="944">
        <f t="shared" si="25"/>
        <v>149.1635</v>
      </c>
      <c r="W46" s="944"/>
      <c r="X46" s="1046">
        <f t="shared" si="25"/>
        <v>0.71127767657360508</v>
      </c>
      <c r="Y46" s="1046">
        <f t="shared" si="25"/>
        <v>0.25861168552030001</v>
      </c>
      <c r="Z46" s="1047">
        <f t="shared" si="25"/>
        <v>8.3419180169732543E-2</v>
      </c>
    </row>
    <row r="47" spans="2:30" ht="14.85" customHeight="1">
      <c r="B47" s="941" t="s">
        <v>113</v>
      </c>
      <c r="C47" s="942"/>
      <c r="D47" s="1911">
        <f>AVERAGE(D11:D43)</f>
        <v>7.3157791666666663</v>
      </c>
      <c r="E47" s="944">
        <f t="shared" ref="E47:Z47" si="26">AVERAGE(E11:E43)</f>
        <v>222.00504583333327</v>
      </c>
      <c r="F47" s="944">
        <f t="shared" si="26"/>
        <v>9.9397283333333331</v>
      </c>
      <c r="G47" s="944">
        <f t="shared" si="26"/>
        <v>0</v>
      </c>
      <c r="H47" s="944">
        <f t="shared" si="26"/>
        <v>-1.6885714285714286E-3</v>
      </c>
      <c r="I47" s="944">
        <f t="shared" si="26"/>
        <v>3.6140884848484847</v>
      </c>
      <c r="J47" s="944">
        <f t="shared" si="26"/>
        <v>84.343196060606033</v>
      </c>
      <c r="K47" s="944">
        <f t="shared" si="26"/>
        <v>61.073686666666667</v>
      </c>
      <c r="L47" s="944">
        <f t="shared" si="26"/>
        <v>170.8701025</v>
      </c>
      <c r="M47" s="942"/>
      <c r="N47" s="1911">
        <f t="shared" si="26"/>
        <v>7.5194300000000007</v>
      </c>
      <c r="O47" s="944">
        <f t="shared" si="26"/>
        <v>277.38206083333324</v>
      </c>
      <c r="P47" s="944">
        <f t="shared" si="26"/>
        <v>9.6419066666666655</v>
      </c>
      <c r="Q47" s="944">
        <f t="shared" si="26"/>
        <v>0</v>
      </c>
      <c r="R47" s="944">
        <f t="shared" si="26"/>
        <v>-6.5185714285714283E-3</v>
      </c>
      <c r="S47" s="944">
        <f t="shared" si="26"/>
        <v>3.5047651515151514</v>
      </c>
      <c r="T47" s="944">
        <f t="shared" si="26"/>
        <v>104.37096909090907</v>
      </c>
      <c r="U47" s="944">
        <f t="shared" si="26"/>
        <v>63.669420000000009</v>
      </c>
      <c r="V47" s="944">
        <f t="shared" si="26"/>
        <v>223.35074499999999</v>
      </c>
      <c r="W47" s="944"/>
      <c r="X47" s="940">
        <f t="shared" si="26"/>
        <v>0.2794835023832607</v>
      </c>
      <c r="Y47" s="940">
        <f t="shared" si="26"/>
        <v>0.15285365404401416</v>
      </c>
      <c r="Z47" s="1582">
        <f t="shared" si="26"/>
        <v>2.5723876615126526E-2</v>
      </c>
    </row>
    <row r="48" spans="2:30" ht="14.85" customHeight="1">
      <c r="B48" s="941" t="s">
        <v>44</v>
      </c>
      <c r="C48" s="942"/>
      <c r="D48" s="1911">
        <f>MEDIAN(D11:D43)</f>
        <v>5.55</v>
      </c>
      <c r="E48" s="944">
        <f t="shared" ref="E48:Z48" si="27">MEDIAN(E11:E43)</f>
        <v>128.59088500000001</v>
      </c>
      <c r="F48" s="944">
        <f t="shared" si="27"/>
        <v>5.33371</v>
      </c>
      <c r="G48" s="944">
        <f t="shared" si="27"/>
        <v>0</v>
      </c>
      <c r="H48" s="944">
        <f t="shared" si="27"/>
        <v>0</v>
      </c>
      <c r="I48" s="944">
        <f t="shared" si="27"/>
        <v>0</v>
      </c>
      <c r="J48" s="944">
        <f t="shared" si="27"/>
        <v>0</v>
      </c>
      <c r="K48" s="944">
        <f t="shared" si="27"/>
        <v>19.9693</v>
      </c>
      <c r="L48" s="944">
        <f t="shared" si="27"/>
        <v>34.388180000000006</v>
      </c>
      <c r="M48" s="942"/>
      <c r="N48" s="1911">
        <f t="shared" si="27"/>
        <v>4.45</v>
      </c>
      <c r="O48" s="944">
        <f t="shared" si="27"/>
        <v>136.06998999999999</v>
      </c>
      <c r="P48" s="944">
        <f t="shared" si="27"/>
        <v>2.6891699999999998</v>
      </c>
      <c r="Q48" s="944">
        <f t="shared" si="27"/>
        <v>0</v>
      </c>
      <c r="R48" s="944">
        <f t="shared" si="27"/>
        <v>0</v>
      </c>
      <c r="S48" s="944">
        <f t="shared" si="27"/>
        <v>0</v>
      </c>
      <c r="T48" s="944">
        <f t="shared" si="27"/>
        <v>0</v>
      </c>
      <c r="U48" s="944">
        <f t="shared" si="27"/>
        <v>20.945219999999999</v>
      </c>
      <c r="V48" s="944">
        <f t="shared" si="27"/>
        <v>41.120945000000006</v>
      </c>
      <c r="W48" s="944"/>
      <c r="X48" s="940">
        <f t="shared" si="27"/>
        <v>0.14926054172163328</v>
      </c>
      <c r="Y48" s="940">
        <f t="shared" si="27"/>
        <v>-6.0128506433921314E-2</v>
      </c>
      <c r="Z48" s="1582">
        <f t="shared" si="27"/>
        <v>-0.1006720363252383</v>
      </c>
    </row>
    <row r="49" spans="2:26" ht="14.85" customHeight="1">
      <c r="B49" s="941" t="s">
        <v>114</v>
      </c>
      <c r="C49" s="942"/>
      <c r="D49" s="1911">
        <f>QUARTILE(D11:D43,1)</f>
        <v>4.3455325</v>
      </c>
      <c r="E49" s="944">
        <f t="shared" ref="E49:Z49" si="28">QUARTILE(E11:E43,1)</f>
        <v>36.844684999999998</v>
      </c>
      <c r="F49" s="944">
        <f t="shared" si="28"/>
        <v>0</v>
      </c>
      <c r="G49" s="944">
        <f t="shared" si="28"/>
        <v>0</v>
      </c>
      <c r="H49" s="944">
        <f t="shared" si="28"/>
        <v>0</v>
      </c>
      <c r="I49" s="944">
        <f t="shared" si="28"/>
        <v>0</v>
      </c>
      <c r="J49" s="944">
        <f t="shared" si="28"/>
        <v>0</v>
      </c>
      <c r="K49" s="944">
        <f t="shared" si="28"/>
        <v>12.5385025</v>
      </c>
      <c r="L49" s="944">
        <f t="shared" si="28"/>
        <v>29.726702500000016</v>
      </c>
      <c r="M49" s="942"/>
      <c r="N49" s="1911">
        <f t="shared" si="28"/>
        <v>2.6089849999999997</v>
      </c>
      <c r="O49" s="944">
        <f t="shared" si="28"/>
        <v>37.159999999999997</v>
      </c>
      <c r="P49" s="944">
        <f t="shared" si="28"/>
        <v>0</v>
      </c>
      <c r="Q49" s="944">
        <f t="shared" si="28"/>
        <v>0</v>
      </c>
      <c r="R49" s="944">
        <f t="shared" si="28"/>
        <v>0</v>
      </c>
      <c r="S49" s="944">
        <f t="shared" si="28"/>
        <v>0</v>
      </c>
      <c r="T49" s="944">
        <f t="shared" si="28"/>
        <v>0</v>
      </c>
      <c r="U49" s="944">
        <f t="shared" si="28"/>
        <v>13.2705</v>
      </c>
      <c r="V49" s="944">
        <f t="shared" si="28"/>
        <v>25.845989999999986</v>
      </c>
      <c r="W49" s="944"/>
      <c r="X49" s="940">
        <f t="shared" si="28"/>
        <v>-0.12906614326943394</v>
      </c>
      <c r="Y49" s="940">
        <f t="shared" si="28"/>
        <v>-0.10616288160909615</v>
      </c>
      <c r="Z49" s="1582">
        <f t="shared" si="28"/>
        <v>-0.1400566325408375</v>
      </c>
    </row>
    <row r="50" spans="2:26" ht="14.85" customHeight="1">
      <c r="B50" s="946" t="s">
        <v>112</v>
      </c>
      <c r="C50" s="663"/>
      <c r="D50" s="1912">
        <f>MIN(D11:D43)</f>
        <v>1.9923200000000001</v>
      </c>
      <c r="E50" s="672">
        <f t="shared" ref="E50:Z50" si="29">MIN(E11:E43)</f>
        <v>26.176690000000001</v>
      </c>
      <c r="F50" s="672">
        <f t="shared" si="29"/>
        <v>0</v>
      </c>
      <c r="G50" s="672">
        <f t="shared" si="29"/>
        <v>0</v>
      </c>
      <c r="H50" s="672">
        <f t="shared" si="29"/>
        <v>-1.1820000000000001E-2</v>
      </c>
      <c r="I50" s="672">
        <f t="shared" si="29"/>
        <v>0</v>
      </c>
      <c r="J50" s="672">
        <f t="shared" si="29"/>
        <v>0</v>
      </c>
      <c r="K50" s="672">
        <f t="shared" si="29"/>
        <v>9.6880000000000006</v>
      </c>
      <c r="L50" s="672">
        <f t="shared" si="29"/>
        <v>9.6727799999999995</v>
      </c>
      <c r="M50" s="1101"/>
      <c r="N50" s="1912">
        <f t="shared" si="29"/>
        <v>1.19</v>
      </c>
      <c r="O50" s="672">
        <f t="shared" si="29"/>
        <v>7.2796900000000004</v>
      </c>
      <c r="P50" s="672">
        <f t="shared" si="29"/>
        <v>0</v>
      </c>
      <c r="Q50" s="672">
        <f t="shared" si="29"/>
        <v>0</v>
      </c>
      <c r="R50" s="672">
        <f t="shared" si="29"/>
        <v>-4.5629999999999997E-2</v>
      </c>
      <c r="S50" s="672">
        <f t="shared" si="29"/>
        <v>0</v>
      </c>
      <c r="T50" s="672">
        <f t="shared" si="29"/>
        <v>0</v>
      </c>
      <c r="U50" s="672">
        <f t="shared" si="29"/>
        <v>9.1175599999999992</v>
      </c>
      <c r="V50" s="672">
        <f t="shared" si="29"/>
        <v>3.072160000000002</v>
      </c>
      <c r="W50" s="1101"/>
      <c r="X50" s="1048">
        <f t="shared" si="29"/>
        <v>-0.19819819819819817</v>
      </c>
      <c r="Y50" s="1048">
        <f t="shared" si="29"/>
        <v>-0.19184430858970325</v>
      </c>
      <c r="Z50" s="1049">
        <f t="shared" si="29"/>
        <v>-0.24123000286821483</v>
      </c>
    </row>
    <row r="51" spans="2:26" ht="14.85" customHeight="1"/>
    <row r="52" spans="2:26" ht="14.85" customHeight="1">
      <c r="B52" s="272" t="s">
        <v>116</v>
      </c>
      <c r="C52" s="272"/>
      <c r="D52" s="272"/>
      <c r="N52" s="272"/>
    </row>
    <row r="53" spans="2:26" ht="14.85" customHeight="1"/>
    <row r="54" spans="2:26" ht="14.85" customHeight="1"/>
    <row r="55" spans="2:26" ht="14.85" customHeight="1"/>
    <row r="56" spans="2:26" ht="14.85" customHeight="1"/>
    <row r="57" spans="2:26" ht="14.85" customHeight="1"/>
    <row r="58" spans="2:26" ht="14.85" customHeight="1"/>
    <row r="59" spans="2:26" ht="14.85" customHeight="1"/>
    <row r="60" spans="2:26" ht="14.85" customHeight="1"/>
    <row r="61" spans="2:26" ht="14.85" customHeight="1"/>
    <row r="62" spans="2:26" ht="14.85" customHeight="1"/>
    <row r="63" spans="2:26" ht="14.85" customHeight="1"/>
    <row r="64" spans="2:26"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sheetData>
  <mergeCells count="5">
    <mergeCell ref="AD11:AG11"/>
    <mergeCell ref="AD12:AG12"/>
    <mergeCell ref="AD13:AG13"/>
    <mergeCell ref="AD14:AG14"/>
    <mergeCell ref="AD15:AG15"/>
  </mergeCells>
  <conditionalFormatting sqref="B4:Y4">
    <cfRule type="cellIs" dxfId="204" priority="20" stopIfTrue="1" operator="equal">
      <formula>"input"</formula>
    </cfRule>
  </conditionalFormatting>
  <conditionalFormatting sqref="B11:C43 N11:N43">
    <cfRule type="cellIs" dxfId="203" priority="19" operator="equal">
      <formula>"(Invalid Identifier)"</formula>
    </cfRule>
  </conditionalFormatting>
  <conditionalFormatting sqref="Z4">
    <cfRule type="cellIs" dxfId="202" priority="17" stopIfTrue="1" operator="equal">
      <formula>"input"</formula>
    </cfRule>
  </conditionalFormatting>
  <conditionalFormatting sqref="Z4">
    <cfRule type="cellIs" dxfId="201" priority="18" stopIfTrue="1" operator="equal">
      <formula>"input"</formula>
    </cfRule>
  </conditionalFormatting>
  <conditionalFormatting sqref="D11:D43">
    <cfRule type="cellIs" dxfId="200" priority="16" operator="equal">
      <formula>"(Invalid Identifier)"</formula>
    </cfRule>
  </conditionalFormatting>
  <conditionalFormatting sqref="E11:E43">
    <cfRule type="cellIs" dxfId="199" priority="10" operator="equal">
      <formula>"(Invalid Identifier)"</formula>
    </cfRule>
  </conditionalFormatting>
  <conditionalFormatting sqref="F11:F43">
    <cfRule type="cellIs" dxfId="198" priority="9" operator="equal">
      <formula>"(Invalid Identifier)"</formula>
    </cfRule>
  </conditionalFormatting>
  <conditionalFormatting sqref="G11:G43">
    <cfRule type="cellIs" dxfId="197" priority="8" operator="equal">
      <formula>"(Invalid Identifier)"</formula>
    </cfRule>
  </conditionalFormatting>
  <conditionalFormatting sqref="H11:H43">
    <cfRule type="cellIs" dxfId="196" priority="7" operator="equal">
      <formula>"(Invalid Identifier)"</formula>
    </cfRule>
  </conditionalFormatting>
  <conditionalFormatting sqref="K11:K43">
    <cfRule type="cellIs" dxfId="195" priority="6" operator="equal">
      <formula>"(Invalid Identifier)"</formula>
    </cfRule>
  </conditionalFormatting>
  <conditionalFormatting sqref="O11:O43">
    <cfRule type="cellIs" dxfId="194" priority="5" operator="equal">
      <formula>"(Invalid Identifier)"</formula>
    </cfRule>
  </conditionalFormatting>
  <conditionalFormatting sqref="P11:P43">
    <cfRule type="cellIs" dxfId="193" priority="4" operator="equal">
      <formula>"(Invalid Identifier)"</formula>
    </cfRule>
  </conditionalFormatting>
  <conditionalFormatting sqref="Q11:Q43">
    <cfRule type="cellIs" dxfId="192" priority="3" operator="equal">
      <formula>"(Invalid Identifier)"</formula>
    </cfRule>
  </conditionalFormatting>
  <conditionalFormatting sqref="R11:R43">
    <cfRule type="cellIs" dxfId="191" priority="2" operator="equal">
      <formula>"(Invalid Identifier)"</formula>
    </cfRule>
  </conditionalFormatting>
  <conditionalFormatting sqref="U11:U43">
    <cfRule type="cellIs" dxfId="190" priority="1" operator="equal">
      <formula>"(Invalid Identifier)"</formula>
    </cfRule>
  </conditionalFormatting>
  <pageMargins left="0.5" right="0.5" top="0.5" bottom="0.5" header="0.5" footer="0.5"/>
  <pageSetup scale="90" fitToWidth="0" fitToHeight="0" orientation="landscape" r:id="rId1"/>
  <legacyDrawingHF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62"/>
  <dimension ref="A1:BU780"/>
  <sheetViews>
    <sheetView showGridLines="0" view="pageBreakPreview" topLeftCell="A154" zoomScale="80" zoomScaleNormal="100" zoomScaleSheetLayoutView="80" workbookViewId="0">
      <selection activeCell="K111" sqref="K111"/>
    </sheetView>
  </sheetViews>
  <sheetFormatPr defaultColWidth="10.6640625" defaultRowHeight="12.75" outlineLevelCol="1"/>
  <cols>
    <col min="1" max="1" width="4.5" style="1303" customWidth="1"/>
    <col min="2" max="2" width="41.5" style="1303" customWidth="1"/>
    <col min="3" max="3" width="19.83203125" style="1303" hidden="1" customWidth="1" outlineLevel="1"/>
    <col min="4" max="4" width="16.5" style="1303" customWidth="1" collapsed="1"/>
    <col min="5" max="5" width="15.1640625" style="1303" hidden="1" customWidth="1" outlineLevel="1"/>
    <col min="6" max="6" width="12.5" style="1305" customWidth="1" collapsed="1"/>
    <col min="7" max="7" width="12" style="1305" customWidth="1"/>
    <col min="8" max="9" width="14" style="1305" hidden="1" customWidth="1" outlineLevel="1"/>
    <col min="10" max="10" width="15" style="1305" customWidth="1" collapsed="1"/>
    <col min="11" max="11" width="12.33203125" style="1305" customWidth="1"/>
    <col min="12" max="12" width="14" style="1305" customWidth="1"/>
    <col min="13" max="13" width="14.5" style="1305" customWidth="1"/>
    <col min="14" max="14" width="18.6640625" style="1305" customWidth="1"/>
    <col min="15" max="15" width="13.33203125" style="1305" customWidth="1"/>
    <col min="16" max="16" width="18.33203125" style="1305" customWidth="1"/>
    <col min="17" max="17" width="4.5" style="1305" customWidth="1"/>
    <col min="18" max="18" width="29.1640625" style="1305" bestFit="1" customWidth="1"/>
    <col min="19" max="19" width="16.33203125" style="1303" customWidth="1"/>
    <col min="20" max="20" width="13.6640625" style="1303" customWidth="1"/>
    <col min="21" max="21" width="14.83203125" style="1303" customWidth="1"/>
    <col min="22" max="22" width="13.5" style="1303" bestFit="1" customWidth="1"/>
    <col min="23" max="23" width="16.1640625" style="1303" bestFit="1" customWidth="1"/>
    <col min="24" max="24" width="16.1640625" style="1303" customWidth="1"/>
    <col min="25" max="25" width="22.6640625" style="1303" bestFit="1" customWidth="1"/>
    <col min="26" max="28" width="16.1640625" style="1303" customWidth="1"/>
    <col min="29" max="29" width="11.83203125" style="1303" customWidth="1"/>
    <col min="30" max="30" width="10.83203125" style="1303" customWidth="1"/>
    <col min="31" max="31" width="11.83203125" style="1303" bestFit="1" customWidth="1"/>
    <col min="32" max="32" width="11" style="1303" bestFit="1" customWidth="1"/>
    <col min="33" max="35" width="10.6640625" style="1303"/>
    <col min="36" max="36" width="12.5" style="1303" bestFit="1" customWidth="1"/>
    <col min="37" max="37" width="15.1640625" style="1303" bestFit="1" customWidth="1"/>
    <col min="38" max="42" width="10.6640625" style="1303"/>
    <col min="43" max="44" width="12.5" style="1303" bestFit="1" customWidth="1"/>
    <col min="45" max="45" width="14" style="1303" bestFit="1" customWidth="1"/>
    <col min="46" max="46" width="10.6640625" style="1303"/>
    <col min="47" max="48" width="11" style="1303" bestFit="1" customWidth="1"/>
    <col min="49" max="49" width="12.5" style="1303" bestFit="1" customWidth="1"/>
    <col min="50" max="50" width="12.33203125" style="1303" bestFit="1" customWidth="1"/>
    <col min="51" max="51" width="14" style="1303" bestFit="1" customWidth="1"/>
    <col min="52" max="52" width="14.33203125" style="1303" bestFit="1" customWidth="1"/>
    <col min="53" max="53" width="11" style="1303" bestFit="1" customWidth="1"/>
    <col min="54" max="54" width="18" style="1303" bestFit="1" customWidth="1"/>
    <col min="55" max="55" width="14" style="1303" bestFit="1" customWidth="1"/>
    <col min="56" max="56" width="18" style="1303" bestFit="1" customWidth="1"/>
    <col min="57" max="59" width="11" style="1303" bestFit="1" customWidth="1"/>
    <col min="60" max="60" width="14" style="1303" bestFit="1" customWidth="1"/>
    <col min="61" max="61" width="11" style="1303" bestFit="1" customWidth="1"/>
    <col min="62" max="62" width="18.1640625" style="1303" bestFit="1" customWidth="1"/>
    <col min="63" max="63" width="10.6640625" style="1303"/>
    <col min="64" max="64" width="14" style="1303" bestFit="1" customWidth="1"/>
    <col min="65" max="65" width="11" style="1303" bestFit="1" customWidth="1"/>
    <col min="66" max="66" width="12" style="1303" bestFit="1" customWidth="1"/>
    <col min="67" max="67" width="15.5" style="1303" bestFit="1" customWidth="1"/>
    <col min="68" max="68" width="12" style="1303" bestFit="1" customWidth="1"/>
    <col min="69" max="72" width="10.6640625" style="1303"/>
    <col min="73" max="73" width="11" style="1303" bestFit="1" customWidth="1"/>
    <col min="74" max="16384" width="10.6640625" style="1303"/>
  </cols>
  <sheetData>
    <row r="1" spans="1:43" ht="11.25" customHeight="1" thickBot="1">
      <c r="A1" s="1302"/>
      <c r="F1" s="1304"/>
      <c r="G1" s="1304"/>
      <c r="H1" s="1304"/>
      <c r="I1" s="1304"/>
      <c r="J1" s="1304"/>
      <c r="K1" s="1304"/>
      <c r="L1" s="1304"/>
      <c r="M1" s="1304"/>
      <c r="N1" s="1304"/>
      <c r="R1" s="1303"/>
      <c r="S1" s="1306"/>
      <c r="T1" s="1307"/>
      <c r="W1" s="1303" t="s">
        <v>462</v>
      </c>
      <c r="X1" s="1303" t="s">
        <v>464</v>
      </c>
      <c r="AQ1" s="1308"/>
    </row>
    <row r="2" spans="1:43" ht="15" thickTop="1">
      <c r="A2" s="1309"/>
      <c r="B2" s="187" t="str">
        <f>'MASTER PubCo Inputs'!$C$5</f>
        <v>Decibel Therapeutics, Inc.</v>
      </c>
      <c r="C2" s="187"/>
      <c r="D2" s="187"/>
      <c r="E2" s="187"/>
      <c r="F2" s="187"/>
      <c r="G2" s="187"/>
      <c r="H2" s="187"/>
      <c r="I2" s="187"/>
      <c r="J2" s="187"/>
      <c r="K2" s="187"/>
      <c r="L2" s="187"/>
      <c r="M2" s="187"/>
      <c r="N2" s="187"/>
      <c r="O2" s="187"/>
      <c r="P2" s="187"/>
      <c r="Q2" s="1310"/>
      <c r="R2" s="1311"/>
      <c r="S2" s="1312" t="s">
        <v>1575</v>
      </c>
      <c r="T2" s="1313">
        <v>43245</v>
      </c>
      <c r="W2" s="1303" t="s">
        <v>843</v>
      </c>
      <c r="X2" s="1303" t="s">
        <v>844</v>
      </c>
    </row>
    <row r="3" spans="1:43" ht="14.25">
      <c r="A3" s="1309"/>
      <c r="B3" s="188" t="str">
        <f>VLOOKUP(B4,Outline!$E$8:$G$75,COLUMNS(Outline!$E$8:$G$8),FALSE)</f>
        <v>Workpaper #15</v>
      </c>
      <c r="C3" s="188"/>
      <c r="D3" s="188"/>
      <c r="E3" s="188"/>
      <c r="F3" s="188"/>
      <c r="G3" s="188"/>
      <c r="H3" s="188"/>
      <c r="I3" s="188"/>
      <c r="J3" s="188"/>
      <c r="K3" s="188"/>
      <c r="L3" s="188"/>
      <c r="M3" s="188"/>
      <c r="N3" s="188"/>
      <c r="O3" s="188"/>
      <c r="P3" s="188"/>
      <c r="Q3" s="1310"/>
      <c r="R3" s="1311"/>
      <c r="S3" s="1314" t="s">
        <v>2180</v>
      </c>
      <c r="T3" s="1315"/>
      <c r="W3" s="1303" t="s">
        <v>463</v>
      </c>
      <c r="X3" s="1303" t="s">
        <v>465</v>
      </c>
    </row>
    <row r="4" spans="1:43" ht="15" thickBot="1">
      <c r="B4" s="726" t="s">
        <v>1203</v>
      </c>
      <c r="C4" s="726"/>
      <c r="D4" s="726"/>
      <c r="E4" s="726"/>
      <c r="F4" s="726"/>
      <c r="G4" s="726"/>
      <c r="H4" s="726"/>
      <c r="I4" s="726"/>
      <c r="J4" s="726"/>
      <c r="K4" s="726"/>
      <c r="L4" s="726"/>
      <c r="M4" s="726"/>
      <c r="N4" s="726"/>
      <c r="O4" s="726"/>
      <c r="P4" s="727" t="str">
        <f>'MASTER PubCo Inputs'!C20</f>
        <v>(in thousands of USD and shares, except price per share)</v>
      </c>
      <c r="Q4" s="1310"/>
      <c r="R4" s="1303"/>
      <c r="W4" s="1303" t="s">
        <v>89</v>
      </c>
      <c r="X4" s="1303" t="s">
        <v>90</v>
      </c>
    </row>
    <row r="5" spans="1:43" ht="14.85" customHeight="1" thickTop="1">
      <c r="B5" s="1309"/>
      <c r="C5" s="1309"/>
      <c r="D5" s="1309"/>
      <c r="E5" s="1309"/>
      <c r="F5" s="1304"/>
      <c r="G5" s="1304"/>
      <c r="H5" s="1304"/>
      <c r="I5" s="1304"/>
      <c r="J5" s="1304"/>
      <c r="K5" s="1304"/>
      <c r="L5" s="1304"/>
      <c r="M5" s="1304"/>
      <c r="N5" s="1304"/>
      <c r="Q5" s="1310"/>
      <c r="R5" s="1303"/>
    </row>
    <row r="6" spans="1:43" ht="14.85" customHeight="1">
      <c r="B6" s="1309"/>
      <c r="C6" s="1309"/>
      <c r="D6" s="1309"/>
      <c r="E6" s="1309"/>
      <c r="F6" s="1304"/>
      <c r="G6" s="1304"/>
      <c r="H6" s="1304"/>
      <c r="I6" s="1304"/>
      <c r="J6" s="1304"/>
      <c r="K6" s="1304"/>
      <c r="L6" s="1318"/>
      <c r="M6" s="1304"/>
      <c r="N6" s="1319"/>
      <c r="P6" s="1320"/>
    </row>
    <row r="7" spans="1:43" s="1321" customFormat="1" ht="14.85" customHeight="1">
      <c r="B7" s="1322" t="s">
        <v>1204</v>
      </c>
      <c r="C7" s="1323"/>
      <c r="D7" s="1323"/>
      <c r="E7" s="1323"/>
      <c r="F7" s="1323"/>
      <c r="G7" s="1323"/>
      <c r="H7" s="1323"/>
      <c r="I7" s="1323"/>
      <c r="J7" s="1323"/>
      <c r="K7" s="1323"/>
      <c r="L7" s="1323"/>
      <c r="M7" s="1323"/>
      <c r="N7" s="1323"/>
      <c r="O7" s="1323"/>
      <c r="P7" s="1324"/>
      <c r="Q7" s="1325"/>
      <c r="R7" s="1325"/>
      <c r="S7" s="1325"/>
      <c r="T7" s="1326"/>
      <c r="U7" s="1326"/>
    </row>
    <row r="8" spans="1:43" s="1327" customFormat="1" ht="14.85" customHeight="1">
      <c r="B8" s="1328"/>
      <c r="C8" s="1329"/>
      <c r="D8" s="2067" t="s">
        <v>2081</v>
      </c>
      <c r="E8" s="1329" t="s">
        <v>1206</v>
      </c>
      <c r="F8" s="2067" t="s">
        <v>1848</v>
      </c>
      <c r="G8" s="2069" t="s">
        <v>1207</v>
      </c>
      <c r="H8" s="2069" t="s">
        <v>1208</v>
      </c>
      <c r="I8" s="2069"/>
      <c r="J8" s="2069" t="s">
        <v>1209</v>
      </c>
      <c r="K8" s="2069" t="s">
        <v>2079</v>
      </c>
      <c r="L8" s="2069" t="s">
        <v>1210</v>
      </c>
      <c r="M8" s="2069" t="s">
        <v>1211</v>
      </c>
      <c r="N8" s="2069" t="s">
        <v>1212</v>
      </c>
      <c r="O8" s="2069" t="s">
        <v>2080</v>
      </c>
      <c r="P8" s="2071" t="s">
        <v>1785</v>
      </c>
      <c r="Q8" s="1325"/>
      <c r="R8" s="1325"/>
      <c r="S8" s="2066" t="s">
        <v>1209</v>
      </c>
      <c r="T8" s="2066" t="s">
        <v>1786</v>
      </c>
      <c r="U8" s="2066" t="s">
        <v>1787</v>
      </c>
      <c r="V8" s="2065" t="s">
        <v>1216</v>
      </c>
      <c r="X8" s="2066" t="s">
        <v>1217</v>
      </c>
      <c r="Y8" s="1330"/>
      <c r="Z8" s="1330"/>
      <c r="AA8" s="2066" t="s">
        <v>147</v>
      </c>
      <c r="AB8" s="2066" t="s">
        <v>2085</v>
      </c>
      <c r="AC8" s="2066" t="s">
        <v>2086</v>
      </c>
      <c r="AD8" s="2066" t="s">
        <v>2087</v>
      </c>
      <c r="AE8" s="2066" t="s">
        <v>2088</v>
      </c>
    </row>
    <row r="9" spans="1:43" s="1327" customFormat="1" ht="14.85" customHeight="1">
      <c r="B9" s="1331" t="s">
        <v>1218</v>
      </c>
      <c r="C9" s="1332" t="s">
        <v>1219</v>
      </c>
      <c r="D9" s="2068"/>
      <c r="E9" s="1332" t="s">
        <v>1220</v>
      </c>
      <c r="F9" s="2068"/>
      <c r="G9" s="2070"/>
      <c r="H9" s="1333" t="s">
        <v>112</v>
      </c>
      <c r="I9" s="1333" t="s">
        <v>111</v>
      </c>
      <c r="J9" s="2070"/>
      <c r="K9" s="2070"/>
      <c r="L9" s="2070"/>
      <c r="M9" s="2070"/>
      <c r="N9" s="2070"/>
      <c r="O9" s="2070"/>
      <c r="P9" s="2072"/>
      <c r="Q9" s="1325"/>
      <c r="R9" s="1334" t="s">
        <v>2183</v>
      </c>
      <c r="S9" s="2066"/>
      <c r="T9" s="2066" t="s">
        <v>1786</v>
      </c>
      <c r="U9" s="2066"/>
      <c r="V9" s="2065"/>
      <c r="W9" s="1335" t="s">
        <v>1788</v>
      </c>
      <c r="X9" s="2066"/>
      <c r="Y9" s="1330" t="s">
        <v>95</v>
      </c>
      <c r="Z9" s="1330" t="s">
        <v>824</v>
      </c>
      <c r="AA9" s="2066"/>
      <c r="AB9" s="2066"/>
      <c r="AC9" s="2066"/>
      <c r="AD9" s="2066"/>
      <c r="AE9" s="2066"/>
    </row>
    <row r="10" spans="1:43" s="1327" customFormat="1" ht="14.85" customHeight="1">
      <c r="B10" s="1335"/>
      <c r="C10" s="1335"/>
      <c r="D10" s="1335"/>
      <c r="E10" s="1335"/>
      <c r="F10" s="1335"/>
      <c r="G10" s="1335"/>
      <c r="H10" s="1335"/>
      <c r="I10" s="1335"/>
      <c r="J10" s="1335"/>
      <c r="K10" s="1335"/>
      <c r="L10" s="1335"/>
      <c r="M10" s="1335"/>
      <c r="N10" s="1335"/>
      <c r="O10" s="1335"/>
      <c r="P10" s="1335"/>
      <c r="Q10" s="1325"/>
      <c r="R10" s="1325"/>
      <c r="S10" s="1325"/>
      <c r="T10" s="1336"/>
      <c r="U10" s="1336"/>
      <c r="AF10" s="1335" t="s">
        <v>110</v>
      </c>
    </row>
    <row r="11" spans="1:43" s="1327" customFormat="1" ht="14.85" customHeight="1">
      <c r="B11" s="1337" t="s">
        <v>1789</v>
      </c>
      <c r="C11" s="1335"/>
      <c r="D11" s="1335"/>
      <c r="E11" s="1335"/>
      <c r="F11" s="1338"/>
      <c r="G11" s="1335"/>
      <c r="H11" s="1335"/>
      <c r="I11" s="1335"/>
      <c r="J11" s="1335"/>
      <c r="K11" s="1335"/>
      <c r="L11" s="1339"/>
      <c r="M11" s="1335"/>
      <c r="N11" s="1335"/>
      <c r="O11" s="1335"/>
      <c r="P11" s="1335"/>
      <c r="Q11" s="1325"/>
      <c r="R11" s="1325"/>
      <c r="S11" s="1325"/>
      <c r="T11" s="1336"/>
      <c r="U11" s="1336"/>
    </row>
    <row r="12" spans="1:43" s="1327" customFormat="1" ht="14.85" customHeight="1">
      <c r="B12" s="1321" t="s">
        <v>3655</v>
      </c>
      <c r="C12" s="1340" t="s">
        <v>3656</v>
      </c>
      <c r="D12" s="1341" t="s">
        <v>885</v>
      </c>
      <c r="E12" s="1340" t="s">
        <v>3657</v>
      </c>
      <c r="F12" s="1342">
        <v>43186</v>
      </c>
      <c r="G12" s="1343">
        <v>16</v>
      </c>
      <c r="H12" s="1343">
        <v>14</v>
      </c>
      <c r="I12" s="1343">
        <v>16</v>
      </c>
      <c r="J12" s="1343">
        <v>20.85</v>
      </c>
      <c r="K12" s="1325">
        <v>27080.819000000003</v>
      </c>
      <c r="L12" s="1344">
        <v>9000</v>
      </c>
      <c r="M12" s="1344">
        <v>36080.819000000003</v>
      </c>
      <c r="N12" s="1325">
        <v>433293.10400000005</v>
      </c>
      <c r="O12" s="1345">
        <v>144000</v>
      </c>
      <c r="P12" s="1325">
        <v>577293.10400000005</v>
      </c>
      <c r="Q12" s="1325"/>
      <c r="R12" s="1325">
        <v>1</v>
      </c>
      <c r="S12" s="1343">
        <v>20.85</v>
      </c>
      <c r="T12" s="1346">
        <v>752285.0761500001</v>
      </c>
      <c r="U12" s="1347">
        <v>0.30312500000000009</v>
      </c>
      <c r="V12" s="1348" t="s">
        <v>3658</v>
      </c>
      <c r="W12" s="1349" t="s">
        <v>3659</v>
      </c>
      <c r="X12" s="1350">
        <v>577293.10400000005</v>
      </c>
      <c r="Y12" s="1351">
        <v>0</v>
      </c>
      <c r="Z12" s="1351">
        <v>51574.93</v>
      </c>
      <c r="AA12" s="1352">
        <v>525718.174</v>
      </c>
      <c r="AB12" s="1353"/>
      <c r="AC12" s="1353"/>
      <c r="AD12" s="1354" t="s">
        <v>13</v>
      </c>
      <c r="AE12" s="1354" t="s">
        <v>13</v>
      </c>
      <c r="AF12" s="1355">
        <v>0</v>
      </c>
    </row>
    <row r="13" spans="1:43" s="1327" customFormat="1" ht="14.85" customHeight="1">
      <c r="B13" s="1321" t="s">
        <v>3660</v>
      </c>
      <c r="C13" s="1340" t="s">
        <v>3661</v>
      </c>
      <c r="D13" s="1341" t="s">
        <v>885</v>
      </c>
      <c r="E13" s="1340" t="s">
        <v>3662</v>
      </c>
      <c r="F13" s="1342">
        <v>43096</v>
      </c>
      <c r="G13" s="1343">
        <v>7.5</v>
      </c>
      <c r="H13" s="1343">
        <v>6</v>
      </c>
      <c r="I13" s="1343">
        <v>8</v>
      </c>
      <c r="J13" s="1343">
        <v>14.95</v>
      </c>
      <c r="K13" s="1325">
        <v>11307.255999999999</v>
      </c>
      <c r="L13" s="1344">
        <v>9333.3330000000005</v>
      </c>
      <c r="M13" s="1344">
        <v>20640.589</v>
      </c>
      <c r="N13" s="1325">
        <v>84804.42</v>
      </c>
      <c r="O13" s="1345">
        <v>69999.997499999998</v>
      </c>
      <c r="P13" s="1325">
        <v>154804.41749999998</v>
      </c>
      <c r="Q13" s="1325"/>
      <c r="R13" s="1325">
        <v>1</v>
      </c>
      <c r="S13" s="1343">
        <v>14.95</v>
      </c>
      <c r="T13" s="1346">
        <v>308576.80554999999</v>
      </c>
      <c r="U13" s="1347">
        <v>0.9933333333333334</v>
      </c>
      <c r="V13" s="1348" t="s">
        <v>3663</v>
      </c>
      <c r="W13" s="1349" t="s">
        <v>3664</v>
      </c>
      <c r="X13" s="1350">
        <v>154804.41749999998</v>
      </c>
      <c r="Y13" s="1351">
        <v>0</v>
      </c>
      <c r="Z13" s="1351">
        <v>3400.48</v>
      </c>
      <c r="AA13" s="1352">
        <v>151403.93749999997</v>
      </c>
      <c r="AB13" s="1353"/>
      <c r="AC13" s="1353"/>
      <c r="AD13" s="1354" t="s">
        <v>13</v>
      </c>
      <c r="AE13" s="1354" t="s">
        <v>13</v>
      </c>
      <c r="AF13" s="1355">
        <v>0</v>
      </c>
    </row>
    <row r="14" spans="1:43" s="1327" customFormat="1" ht="14.85" customHeight="1">
      <c r="B14" s="1321" t="s">
        <v>2117</v>
      </c>
      <c r="C14" s="1340" t="s">
        <v>2118</v>
      </c>
      <c r="D14" s="1341" t="s">
        <v>885</v>
      </c>
      <c r="E14" s="1340" t="s">
        <v>2119</v>
      </c>
      <c r="F14" s="1342">
        <v>42997</v>
      </c>
      <c r="G14" s="1343">
        <v>10</v>
      </c>
      <c r="H14" s="1343">
        <v>9</v>
      </c>
      <c r="I14" s="1343">
        <v>11</v>
      </c>
      <c r="J14" s="1343">
        <v>9.99</v>
      </c>
      <c r="K14" s="1325">
        <v>5643.2469999999994</v>
      </c>
      <c r="L14" s="1344">
        <v>4000</v>
      </c>
      <c r="M14" s="1344">
        <v>9643.2469999999994</v>
      </c>
      <c r="N14" s="1325">
        <v>56832.47</v>
      </c>
      <c r="O14" s="1345">
        <v>40000</v>
      </c>
      <c r="P14" s="1325">
        <v>96832.47</v>
      </c>
      <c r="Q14" s="1325"/>
      <c r="R14" s="1325">
        <v>1</v>
      </c>
      <c r="S14" s="1343">
        <v>9.99</v>
      </c>
      <c r="T14" s="1346">
        <v>96336.037530000001</v>
      </c>
      <c r="U14" s="1347">
        <v>-5.1267149335342266E-3</v>
      </c>
      <c r="V14" s="1348" t="s">
        <v>2120</v>
      </c>
      <c r="W14" s="1349" t="s">
        <v>2121</v>
      </c>
      <c r="X14" s="1350">
        <v>96832.47</v>
      </c>
      <c r="Y14" s="1351">
        <v>0</v>
      </c>
      <c r="Z14" s="1351">
        <v>3518</v>
      </c>
      <c r="AA14" s="1352">
        <v>93314.47</v>
      </c>
      <c r="AB14" s="1353">
        <v>1518</v>
      </c>
      <c r="AC14" s="1353">
        <v>-46202</v>
      </c>
      <c r="AD14" s="1354">
        <v>61.471982872200265</v>
      </c>
      <c r="AE14" s="1354">
        <v>-2.0197062897710056</v>
      </c>
      <c r="AF14" s="1355">
        <v>0</v>
      </c>
    </row>
    <row r="15" spans="1:43" s="1327" customFormat="1" ht="14.85" customHeight="1">
      <c r="B15" s="1321" t="s">
        <v>907</v>
      </c>
      <c r="C15" s="1340" t="s">
        <v>905</v>
      </c>
      <c r="D15" s="1341" t="s">
        <v>1048</v>
      </c>
      <c r="E15" s="1340" t="s">
        <v>1226</v>
      </c>
      <c r="F15" s="1342">
        <v>42661</v>
      </c>
      <c r="G15" s="1343">
        <v>14</v>
      </c>
      <c r="H15" s="1343">
        <v>15</v>
      </c>
      <c r="I15" s="1343">
        <v>17</v>
      </c>
      <c r="J15" s="1343">
        <v>20.5</v>
      </c>
      <c r="K15" s="1325">
        <v>35360.633999999998</v>
      </c>
      <c r="L15" s="1344">
        <v>4000</v>
      </c>
      <c r="M15" s="1344">
        <v>39360.633999999998</v>
      </c>
      <c r="N15" s="1325">
        <v>495048.87599999999</v>
      </c>
      <c r="O15" s="1345">
        <v>56000</v>
      </c>
      <c r="P15" s="1325">
        <v>551048.87599999993</v>
      </c>
      <c r="Q15" s="1325"/>
      <c r="R15" s="1325">
        <v>1</v>
      </c>
      <c r="S15" s="1343">
        <v>20.5</v>
      </c>
      <c r="T15" s="1346">
        <v>806892.99699999997</v>
      </c>
      <c r="U15" s="1347">
        <v>0.46428571428571441</v>
      </c>
      <c r="V15" s="1348" t="s">
        <v>906</v>
      </c>
      <c r="W15" s="1349" t="s">
        <v>908</v>
      </c>
      <c r="X15" s="1350">
        <v>551048.87599999993</v>
      </c>
      <c r="Y15" s="1351">
        <v>0</v>
      </c>
      <c r="Z15" s="1351">
        <v>246849</v>
      </c>
      <c r="AA15" s="1352">
        <v>304199.87599999993</v>
      </c>
      <c r="AB15" s="1353">
        <v>1518</v>
      </c>
      <c r="AC15" s="1353">
        <v>-46202</v>
      </c>
      <c r="AD15" s="1354">
        <v>200.39517523056648</v>
      </c>
      <c r="AE15" s="1354">
        <v>-6.584127873252239</v>
      </c>
      <c r="AF15" s="1355">
        <v>0</v>
      </c>
    </row>
    <row r="16" spans="1:43" s="1327" customFormat="1" ht="14.85" customHeight="1">
      <c r="B16" s="1321" t="s">
        <v>934</v>
      </c>
      <c r="C16" s="1340" t="s">
        <v>932</v>
      </c>
      <c r="D16" s="1341" t="s">
        <v>885</v>
      </c>
      <c r="E16" s="1340" t="s">
        <v>1252</v>
      </c>
      <c r="F16" s="1342">
        <v>42571</v>
      </c>
      <c r="G16" s="1356">
        <v>15</v>
      </c>
      <c r="H16" s="1356">
        <v>14</v>
      </c>
      <c r="I16" s="1356">
        <v>16</v>
      </c>
      <c r="J16" s="1356">
        <v>14.4</v>
      </c>
      <c r="K16" s="1325">
        <v>16020.378000000001</v>
      </c>
      <c r="L16" s="1344">
        <v>5000</v>
      </c>
      <c r="M16" s="1344">
        <v>21020.378000000001</v>
      </c>
      <c r="N16" s="1325">
        <v>240305.67</v>
      </c>
      <c r="O16" s="1345">
        <v>75000</v>
      </c>
      <c r="P16" s="1325">
        <v>315305.67000000004</v>
      </c>
      <c r="Q16" s="1325"/>
      <c r="R16" s="1325">
        <v>1</v>
      </c>
      <c r="S16" s="1343">
        <v>14.4</v>
      </c>
      <c r="T16" s="1346">
        <v>302693.44320000004</v>
      </c>
      <c r="U16" s="1347">
        <v>-4.0000000000000036E-2</v>
      </c>
      <c r="V16" s="1357" t="s">
        <v>933</v>
      </c>
      <c r="W16" s="1349" t="s">
        <v>935</v>
      </c>
      <c r="X16" s="1350">
        <v>315305.67000000004</v>
      </c>
      <c r="Y16" s="1350">
        <v>0</v>
      </c>
      <c r="Z16" s="1350">
        <v>59713</v>
      </c>
      <c r="AA16" s="1352">
        <v>255592.67000000004</v>
      </c>
      <c r="AB16" s="1353">
        <v>0</v>
      </c>
      <c r="AC16" s="1358">
        <v>-40429</v>
      </c>
      <c r="AD16" s="1354" t="s">
        <v>13</v>
      </c>
      <c r="AE16" s="1354">
        <v>-6.3220131588711084</v>
      </c>
      <c r="AF16" s="1355">
        <v>0</v>
      </c>
      <c r="AG16" s="1359"/>
    </row>
    <row r="17" spans="1:42" s="1327" customFormat="1" ht="14.85" customHeight="1">
      <c r="B17" s="1321" t="s">
        <v>1259</v>
      </c>
      <c r="C17" s="1340" t="s">
        <v>1260</v>
      </c>
      <c r="D17" s="1341" t="s">
        <v>885</v>
      </c>
      <c r="E17" s="1340" t="s">
        <v>1261</v>
      </c>
      <c r="F17" s="1342">
        <v>42522</v>
      </c>
      <c r="G17" s="1356">
        <v>6</v>
      </c>
      <c r="H17" s="1356">
        <v>5</v>
      </c>
      <c r="I17" s="1356">
        <v>6</v>
      </c>
      <c r="J17" s="1356">
        <v>7.0350000000000001</v>
      </c>
      <c r="K17" s="1325">
        <v>6895.2960000000003</v>
      </c>
      <c r="L17" s="1344">
        <v>1540.0260000000001</v>
      </c>
      <c r="M17" s="1344">
        <v>8435.3220000000001</v>
      </c>
      <c r="N17" s="1325">
        <v>41371.775999999998</v>
      </c>
      <c r="O17" s="1345">
        <v>9240.1560000000009</v>
      </c>
      <c r="P17" s="1325">
        <v>50611.932000000001</v>
      </c>
      <c r="Q17" s="1325"/>
      <c r="R17" s="1325">
        <v>1</v>
      </c>
      <c r="S17" s="1343">
        <v>7.0350000000000001</v>
      </c>
      <c r="T17" s="1346">
        <v>59342.490270000002</v>
      </c>
      <c r="U17" s="1347">
        <v>0.1725000000000001</v>
      </c>
      <c r="V17" s="1357" t="s">
        <v>1262</v>
      </c>
      <c r="W17" s="1349" t="s">
        <v>1263</v>
      </c>
      <c r="X17" s="1350">
        <v>50611.932000000001</v>
      </c>
      <c r="Y17" s="1350">
        <v>450000</v>
      </c>
      <c r="Z17" s="1350">
        <v>28.09</v>
      </c>
      <c r="AA17" s="1352">
        <v>500583.842</v>
      </c>
      <c r="AB17" s="1353">
        <v>0</v>
      </c>
      <c r="AC17" s="1358">
        <v>0</v>
      </c>
      <c r="AD17" s="1354" t="s">
        <v>13</v>
      </c>
      <c r="AE17" s="1354" t="s">
        <v>13</v>
      </c>
      <c r="AF17" s="1355">
        <v>0</v>
      </c>
      <c r="AG17" s="1359"/>
    </row>
    <row r="18" spans="1:42" s="1359" customFormat="1" ht="14.85" customHeight="1">
      <c r="A18" s="1327"/>
      <c r="B18" s="1321" t="s">
        <v>943</v>
      </c>
      <c r="C18" s="1340" t="s">
        <v>941</v>
      </c>
      <c r="D18" s="1341" t="s">
        <v>885</v>
      </c>
      <c r="E18" s="1340" t="s">
        <v>1274</v>
      </c>
      <c r="F18" s="1342">
        <v>42507</v>
      </c>
      <c r="G18" s="1356">
        <v>5</v>
      </c>
      <c r="H18" s="1356">
        <v>0</v>
      </c>
      <c r="I18" s="1356">
        <v>0</v>
      </c>
      <c r="J18" s="1356">
        <v>5.18</v>
      </c>
      <c r="K18" s="1325">
        <v>7883.2340000000004</v>
      </c>
      <c r="L18" s="1344">
        <v>3700</v>
      </c>
      <c r="M18" s="1344">
        <v>11583.234</v>
      </c>
      <c r="N18" s="1325">
        <v>39416.17</v>
      </c>
      <c r="O18" s="1345">
        <v>18500</v>
      </c>
      <c r="P18" s="1325">
        <v>57916.17</v>
      </c>
      <c r="Q18" s="1325"/>
      <c r="R18" s="1325">
        <v>1</v>
      </c>
      <c r="S18" s="1343">
        <v>5.18</v>
      </c>
      <c r="T18" s="1346">
        <v>60001.152119999999</v>
      </c>
      <c r="U18" s="1347">
        <v>3.6000000000000032E-2</v>
      </c>
      <c r="V18" s="1357" t="s">
        <v>942</v>
      </c>
      <c r="W18" s="1349" t="s">
        <v>944</v>
      </c>
      <c r="X18" s="1350">
        <v>57916.17</v>
      </c>
      <c r="Y18" s="1350">
        <v>19992000</v>
      </c>
      <c r="Z18" s="1350">
        <v>905</v>
      </c>
      <c r="AA18" s="1352">
        <v>20049011.170000002</v>
      </c>
      <c r="AB18" s="1353">
        <v>0</v>
      </c>
      <c r="AC18" s="1358">
        <v>-14899</v>
      </c>
      <c r="AD18" s="1354" t="s">
        <v>13</v>
      </c>
      <c r="AE18" s="1354">
        <v>-1345.6615323176054</v>
      </c>
      <c r="AF18" s="1355">
        <v>0</v>
      </c>
      <c r="AG18" s="1327"/>
      <c r="AK18" s="1355"/>
      <c r="AL18" s="1360"/>
    </row>
    <row r="19" spans="1:42" s="1327" customFormat="1" ht="14.85" customHeight="1">
      <c r="B19" s="1321" t="s">
        <v>927</v>
      </c>
      <c r="C19" s="1340" t="s">
        <v>925</v>
      </c>
      <c r="D19" s="1341" t="s">
        <v>1048</v>
      </c>
      <c r="E19" s="1340" t="s">
        <v>1280</v>
      </c>
      <c r="F19" s="1342">
        <v>42495</v>
      </c>
      <c r="G19" s="1356">
        <v>18</v>
      </c>
      <c r="H19" s="1356">
        <v>16</v>
      </c>
      <c r="I19" s="1356">
        <v>18</v>
      </c>
      <c r="J19" s="1356">
        <v>28.8</v>
      </c>
      <c r="K19" s="1325">
        <v>29096.264999999999</v>
      </c>
      <c r="L19" s="1344">
        <v>6000</v>
      </c>
      <c r="M19" s="1344">
        <v>35096.264999999999</v>
      </c>
      <c r="N19" s="1325">
        <v>523732.77</v>
      </c>
      <c r="O19" s="1345">
        <v>108000</v>
      </c>
      <c r="P19" s="1325">
        <v>631732.77</v>
      </c>
      <c r="Q19" s="1325"/>
      <c r="R19" s="1325">
        <v>1</v>
      </c>
      <c r="S19" s="1343">
        <v>28.8</v>
      </c>
      <c r="T19" s="1346">
        <v>1010772.432</v>
      </c>
      <c r="U19" s="1347">
        <v>0.60000000000000009</v>
      </c>
      <c r="V19" s="1357" t="s">
        <v>926</v>
      </c>
      <c r="W19" s="1349" t="s">
        <v>928</v>
      </c>
      <c r="X19" s="1350">
        <v>631732.77</v>
      </c>
      <c r="Y19" s="1350">
        <v>0</v>
      </c>
      <c r="Z19" s="1350">
        <v>75816</v>
      </c>
      <c r="AA19" s="1352">
        <v>555916.77</v>
      </c>
      <c r="AB19" s="1353">
        <v>9364</v>
      </c>
      <c r="AC19" s="1358">
        <v>-21770</v>
      </c>
      <c r="AD19" s="1354">
        <v>59.367446604015377</v>
      </c>
      <c r="AE19" s="1354">
        <v>-25.535910427193386</v>
      </c>
      <c r="AF19" s="1355">
        <v>0</v>
      </c>
      <c r="AK19" s="1355"/>
      <c r="AL19" s="1360"/>
      <c r="AM19" s="1359"/>
    </row>
    <row r="20" spans="1:42" s="1327" customFormat="1" ht="14.85" customHeight="1">
      <c r="B20" s="1321" t="s">
        <v>1285</v>
      </c>
      <c r="C20" s="1340" t="s">
        <v>1286</v>
      </c>
      <c r="D20" s="1341" t="s">
        <v>1790</v>
      </c>
      <c r="E20" s="1340" t="s">
        <v>1287</v>
      </c>
      <c r="F20" s="1342">
        <v>42466</v>
      </c>
      <c r="G20" s="1356">
        <v>10</v>
      </c>
      <c r="H20" s="1356">
        <v>16</v>
      </c>
      <c r="I20" s="1356">
        <v>18</v>
      </c>
      <c r="J20" s="1356">
        <v>8.7100000000000009</v>
      </c>
      <c r="K20" s="1325">
        <v>7929.8320000000003</v>
      </c>
      <c r="L20" s="1344">
        <v>5000</v>
      </c>
      <c r="M20" s="1344">
        <v>12929.832</v>
      </c>
      <c r="N20" s="1325">
        <v>79298.320000000007</v>
      </c>
      <c r="O20" s="1345">
        <v>50000</v>
      </c>
      <c r="P20" s="1325">
        <v>129298.32</v>
      </c>
      <c r="Q20" s="1325"/>
      <c r="R20" s="1325">
        <v>1</v>
      </c>
      <c r="S20" s="1343">
        <v>8.7100000000000009</v>
      </c>
      <c r="T20" s="1346">
        <v>112618.83672000002</v>
      </c>
      <c r="U20" s="1347">
        <v>-0.12899999999999989</v>
      </c>
      <c r="V20" s="1348" t="s">
        <v>1288</v>
      </c>
      <c r="W20" s="1349" t="s">
        <v>1289</v>
      </c>
      <c r="X20" s="1350">
        <v>129298.32</v>
      </c>
      <c r="Y20" s="1350">
        <v>0</v>
      </c>
      <c r="Z20" s="1350">
        <v>29294</v>
      </c>
      <c r="AA20" s="1352">
        <v>100004.32</v>
      </c>
      <c r="AB20" s="1353">
        <v>4890</v>
      </c>
      <c r="AC20" s="1358">
        <v>-17383</v>
      </c>
      <c r="AD20" s="1354">
        <v>20.450781186094073</v>
      </c>
      <c r="AE20" s="1354">
        <v>-5.7529954553299207</v>
      </c>
      <c r="AF20" s="1355">
        <v>0</v>
      </c>
      <c r="AK20" s="1345"/>
      <c r="AL20" s="1360"/>
      <c r="AM20" s="1359"/>
    </row>
    <row r="21" spans="1:42" s="1321" customFormat="1" ht="14.85" customHeight="1">
      <c r="A21" s="1327"/>
      <c r="B21" s="1321" t="s">
        <v>1304</v>
      </c>
      <c r="C21" s="1340" t="s">
        <v>1305</v>
      </c>
      <c r="D21" s="1341" t="s">
        <v>1790</v>
      </c>
      <c r="E21" s="1340" t="s">
        <v>1306</v>
      </c>
      <c r="F21" s="1342">
        <v>42410</v>
      </c>
      <c r="G21" s="1356">
        <v>8</v>
      </c>
      <c r="H21" s="1356">
        <v>12</v>
      </c>
      <c r="I21" s="1356">
        <v>14</v>
      </c>
      <c r="J21" s="1356">
        <v>8.9600000000000009</v>
      </c>
      <c r="K21" s="1325">
        <v>12861.478999999999</v>
      </c>
      <c r="L21" s="1344">
        <v>6250</v>
      </c>
      <c r="M21" s="1344">
        <v>19111.478999999999</v>
      </c>
      <c r="N21" s="1325">
        <v>102891.83199999999</v>
      </c>
      <c r="O21" s="1345">
        <v>50000</v>
      </c>
      <c r="P21" s="1325">
        <v>152891.83199999999</v>
      </c>
      <c r="Q21" s="1325"/>
      <c r="R21" s="1325">
        <v>1</v>
      </c>
      <c r="S21" s="1343">
        <v>8.9600000000000009</v>
      </c>
      <c r="T21" s="1346">
        <v>171238.85184000002</v>
      </c>
      <c r="U21" s="1347">
        <v>0.12000000000000011</v>
      </c>
      <c r="V21" s="1348" t="s">
        <v>1307</v>
      </c>
      <c r="W21" s="1349" t="s">
        <v>1308</v>
      </c>
      <c r="X21" s="1350">
        <v>152891.83199999999</v>
      </c>
      <c r="Y21" s="1350">
        <v>0</v>
      </c>
      <c r="Z21" s="1350">
        <v>20919</v>
      </c>
      <c r="AA21" s="1352">
        <v>131972.83199999999</v>
      </c>
      <c r="AB21" s="1353">
        <v>5044</v>
      </c>
      <c r="AC21" s="1358">
        <v>-29704</v>
      </c>
      <c r="AD21" s="1354">
        <v>26.164320380650278</v>
      </c>
      <c r="AE21" s="1354">
        <v>-4.442931322380824</v>
      </c>
      <c r="AF21" s="1355">
        <v>0</v>
      </c>
      <c r="AG21" s="1327"/>
      <c r="AK21" s="1345"/>
      <c r="AL21" s="1360"/>
      <c r="AM21" s="1359"/>
    </row>
    <row r="22" spans="1:42" s="1321" customFormat="1" ht="14.85" customHeight="1">
      <c r="A22" s="1327"/>
      <c r="B22" s="1321" t="s">
        <v>919</v>
      </c>
      <c r="C22" s="1340" t="s">
        <v>917</v>
      </c>
      <c r="D22" s="1341" t="s">
        <v>885</v>
      </c>
      <c r="E22" s="1340" t="s">
        <v>1309</v>
      </c>
      <c r="F22" s="1342">
        <v>42402</v>
      </c>
      <c r="G22" s="1356">
        <v>16</v>
      </c>
      <c r="H22" s="1356">
        <v>16</v>
      </c>
      <c r="I22" s="1356">
        <v>18</v>
      </c>
      <c r="J22" s="1356">
        <v>35.56</v>
      </c>
      <c r="K22" s="1325">
        <v>29799.538</v>
      </c>
      <c r="L22" s="1344">
        <v>5900</v>
      </c>
      <c r="M22" s="1344">
        <v>35699.538</v>
      </c>
      <c r="N22" s="1325">
        <v>476792.60800000001</v>
      </c>
      <c r="O22" s="1345">
        <v>94400</v>
      </c>
      <c r="P22" s="1325">
        <v>571192.60800000001</v>
      </c>
      <c r="Q22" s="1325"/>
      <c r="R22" s="1325">
        <v>1</v>
      </c>
      <c r="S22" s="1343">
        <v>35.56</v>
      </c>
      <c r="T22" s="1346">
        <v>1269475.57128</v>
      </c>
      <c r="U22" s="1347">
        <v>1.2225000000000001</v>
      </c>
      <c r="V22" s="1348" t="s">
        <v>918</v>
      </c>
      <c r="W22" s="1349" t="s">
        <v>920</v>
      </c>
      <c r="X22" s="1350">
        <v>571192.60800000001</v>
      </c>
      <c r="Y22" s="1350">
        <v>1826000</v>
      </c>
      <c r="Z22" s="1350">
        <v>155301</v>
      </c>
      <c r="AA22" s="1352">
        <v>2241891.608</v>
      </c>
      <c r="AB22" s="1353">
        <v>5655</v>
      </c>
      <c r="AC22" s="1358">
        <v>-56081</v>
      </c>
      <c r="AD22" s="1354">
        <v>396.44413934571173</v>
      </c>
      <c r="AE22" s="1354">
        <v>-39.975956348852556</v>
      </c>
      <c r="AF22" s="1355">
        <v>0</v>
      </c>
      <c r="AG22" s="1327"/>
      <c r="AK22" s="1345"/>
      <c r="AL22" s="1360"/>
      <c r="AM22" s="1359"/>
    </row>
    <row r="23" spans="1:42" s="1321" customFormat="1" ht="14.85" customHeight="1">
      <c r="A23" s="1327"/>
      <c r="B23" s="1321" t="s">
        <v>911</v>
      </c>
      <c r="C23" s="1340" t="s">
        <v>909</v>
      </c>
      <c r="D23" s="1341" t="s">
        <v>885</v>
      </c>
      <c r="E23" s="1340" t="s">
        <v>1318</v>
      </c>
      <c r="F23" s="1342">
        <v>42318</v>
      </c>
      <c r="G23" s="1356">
        <v>16</v>
      </c>
      <c r="H23" s="1356">
        <v>15</v>
      </c>
      <c r="I23" s="1356">
        <v>17</v>
      </c>
      <c r="J23" s="1356">
        <v>13.785</v>
      </c>
      <c r="K23" s="1325">
        <v>14558.296999999999</v>
      </c>
      <c r="L23" s="1344">
        <v>6375</v>
      </c>
      <c r="M23" s="1344">
        <v>20933.296999999999</v>
      </c>
      <c r="N23" s="1325">
        <v>232932.75199999998</v>
      </c>
      <c r="O23" s="1345">
        <v>102000</v>
      </c>
      <c r="P23" s="1325">
        <v>334932.75199999998</v>
      </c>
      <c r="Q23" s="1325"/>
      <c r="R23" s="1325">
        <v>1</v>
      </c>
      <c r="S23" s="1343">
        <v>13.785</v>
      </c>
      <c r="T23" s="1346">
        <v>288565.49914500001</v>
      </c>
      <c r="U23" s="1347">
        <v>-0.13843749999999988</v>
      </c>
      <c r="V23" s="1348" t="s">
        <v>910</v>
      </c>
      <c r="W23" s="1349" t="s">
        <v>912</v>
      </c>
      <c r="X23" s="1350">
        <v>334932.75199999998</v>
      </c>
      <c r="Y23" s="1350">
        <v>171000</v>
      </c>
      <c r="Z23" s="1350">
        <v>7779</v>
      </c>
      <c r="AA23" s="1352">
        <v>498153.75199999998</v>
      </c>
      <c r="AB23" s="1353">
        <v>417</v>
      </c>
      <c r="AC23" s="1358">
        <v>-31242</v>
      </c>
      <c r="AD23" s="1354">
        <v>1194.613314148681</v>
      </c>
      <c r="AE23" s="1354">
        <v>-15.945001984508034</v>
      </c>
      <c r="AF23" s="1355">
        <v>0</v>
      </c>
      <c r="AG23" s="1327"/>
      <c r="AK23" s="1345"/>
      <c r="AL23" s="1360"/>
      <c r="AM23" s="1359"/>
    </row>
    <row r="24" spans="1:42" s="1321" customFormat="1" ht="14.85" customHeight="1">
      <c r="A24" s="1327"/>
      <c r="B24" s="1321" t="s">
        <v>1335</v>
      </c>
      <c r="C24" s="1340" t="s">
        <v>1336</v>
      </c>
      <c r="D24" s="1341" t="s">
        <v>885</v>
      </c>
      <c r="E24" s="1340" t="s">
        <v>1337</v>
      </c>
      <c r="F24" s="1342">
        <v>42284</v>
      </c>
      <c r="G24" s="1356">
        <v>12</v>
      </c>
      <c r="H24" s="1356">
        <v>14</v>
      </c>
      <c r="I24" s="1356">
        <v>16</v>
      </c>
      <c r="J24" s="1356">
        <v>11.42</v>
      </c>
      <c r="K24" s="1325">
        <v>28253.925999999999</v>
      </c>
      <c r="L24" s="1344">
        <v>6666.6670000000004</v>
      </c>
      <c r="M24" s="1344">
        <v>34920.593000000001</v>
      </c>
      <c r="N24" s="1325">
        <v>339047.11199999996</v>
      </c>
      <c r="O24" s="1345">
        <v>80000.004000000001</v>
      </c>
      <c r="P24" s="1325">
        <v>419047.11599999998</v>
      </c>
      <c r="Q24" s="1325"/>
      <c r="R24" s="1325">
        <v>1</v>
      </c>
      <c r="S24" s="1343">
        <v>11.42</v>
      </c>
      <c r="T24" s="1346">
        <v>398793.17206000001</v>
      </c>
      <c r="U24" s="1347">
        <v>-4.8333333333333228E-2</v>
      </c>
      <c r="V24" s="1348" t="s">
        <v>1338</v>
      </c>
      <c r="W24" s="1349" t="s">
        <v>1339</v>
      </c>
      <c r="X24" s="1350">
        <v>419047.11599999998</v>
      </c>
      <c r="Y24" s="1350">
        <v>2292000</v>
      </c>
      <c r="Z24" s="1350">
        <v>45842</v>
      </c>
      <c r="AA24" s="1352">
        <v>2665205.1159999999</v>
      </c>
      <c r="AB24" s="1353">
        <v>9244</v>
      </c>
      <c r="AC24" s="1358">
        <v>-51797</v>
      </c>
      <c r="AD24" s="1354">
        <v>288.31729943747297</v>
      </c>
      <c r="AE24" s="1354">
        <v>-51.454816224877888</v>
      </c>
      <c r="AF24" s="1355">
        <v>0</v>
      </c>
      <c r="AG24" s="1327"/>
      <c r="AK24" s="1345"/>
      <c r="AL24" s="1360"/>
      <c r="AM24" s="1359"/>
    </row>
    <row r="25" spans="1:42" s="1321" customFormat="1" ht="14.85" customHeight="1">
      <c r="A25" s="1327"/>
      <c r="B25" s="1321" t="s">
        <v>915</v>
      </c>
      <c r="C25" s="1340" t="s">
        <v>913</v>
      </c>
      <c r="D25" s="1341" t="s">
        <v>885</v>
      </c>
      <c r="E25" s="1340" t="s">
        <v>1354</v>
      </c>
      <c r="F25" s="1342">
        <v>42263</v>
      </c>
      <c r="G25" s="1356">
        <v>22</v>
      </c>
      <c r="H25" s="1356">
        <v>17</v>
      </c>
      <c r="I25" s="1356">
        <v>19</v>
      </c>
      <c r="J25" s="1356">
        <v>18.55</v>
      </c>
      <c r="K25" s="1325">
        <v>19050.707999999999</v>
      </c>
      <c r="L25" s="1344">
        <v>6300</v>
      </c>
      <c r="M25" s="1344">
        <v>25350.707999999999</v>
      </c>
      <c r="N25" s="1325">
        <v>419115.576</v>
      </c>
      <c r="O25" s="1345">
        <v>138600</v>
      </c>
      <c r="P25" s="1325">
        <v>557715.576</v>
      </c>
      <c r="Q25" s="1325"/>
      <c r="R25" s="1325">
        <v>1</v>
      </c>
      <c r="S25" s="1343">
        <v>18.55</v>
      </c>
      <c r="T25" s="1346">
        <v>470255.63339999999</v>
      </c>
      <c r="U25" s="1347">
        <v>-0.15681818181818186</v>
      </c>
      <c r="V25" s="1361" t="s">
        <v>914</v>
      </c>
      <c r="W25" s="1349" t="s">
        <v>916</v>
      </c>
      <c r="X25" s="1350">
        <v>557715.576</v>
      </c>
      <c r="Y25" s="1350">
        <v>0</v>
      </c>
      <c r="Z25" s="1350">
        <v>85215</v>
      </c>
      <c r="AA25" s="1352">
        <v>472500.576</v>
      </c>
      <c r="AB25" s="1353">
        <v>8349</v>
      </c>
      <c r="AC25" s="1358">
        <v>-38825</v>
      </c>
      <c r="AD25" s="1354">
        <v>56.593673014732303</v>
      </c>
      <c r="AE25" s="1354">
        <v>-12.170008396651642</v>
      </c>
      <c r="AF25" s="1355">
        <v>0</v>
      </c>
      <c r="AG25" s="1362"/>
      <c r="AH25" s="1362"/>
      <c r="AI25" s="1362"/>
      <c r="AJ25" s="1362"/>
      <c r="AK25" s="1363"/>
      <c r="AL25" s="1360"/>
      <c r="AM25" s="1359"/>
      <c r="AN25" s="1362"/>
      <c r="AO25" s="1362"/>
      <c r="AP25" s="1362"/>
    </row>
    <row r="26" spans="1:42" s="1321" customFormat="1" ht="14.85" customHeight="1">
      <c r="A26" s="1327"/>
      <c r="B26" s="1321" t="s">
        <v>1365</v>
      </c>
      <c r="C26" s="1340" t="s">
        <v>1366</v>
      </c>
      <c r="D26" s="1341" t="s">
        <v>885</v>
      </c>
      <c r="E26" s="1340" t="s">
        <v>1367</v>
      </c>
      <c r="F26" s="1342">
        <v>42220</v>
      </c>
      <c r="G26" s="1356">
        <v>14</v>
      </c>
      <c r="H26" s="1356">
        <v>13</v>
      </c>
      <c r="I26" s="1356">
        <v>15</v>
      </c>
      <c r="J26" s="1356">
        <v>28.8</v>
      </c>
      <c r="K26" s="1325">
        <v>5733.9629999999997</v>
      </c>
      <c r="L26" s="1344">
        <v>3000</v>
      </c>
      <c r="M26" s="1344">
        <v>8733.9629999999997</v>
      </c>
      <c r="N26" s="1325">
        <v>80275.481999999989</v>
      </c>
      <c r="O26" s="1345">
        <v>42000</v>
      </c>
      <c r="P26" s="1325">
        <v>122275.48199999999</v>
      </c>
      <c r="Q26" s="1325"/>
      <c r="R26" s="1325">
        <v>1</v>
      </c>
      <c r="S26" s="1343">
        <v>28.8</v>
      </c>
      <c r="T26" s="1346">
        <v>251538.13440000001</v>
      </c>
      <c r="U26" s="1347">
        <v>1.0571428571428574</v>
      </c>
      <c r="V26" s="1361" t="s">
        <v>1368</v>
      </c>
      <c r="W26" s="1349" t="s">
        <v>1369</v>
      </c>
      <c r="X26" s="1350">
        <v>122275.48199999999</v>
      </c>
      <c r="Y26" s="1350">
        <v>0</v>
      </c>
      <c r="Z26" s="1350">
        <v>7375.9800000000005</v>
      </c>
      <c r="AA26" s="1352">
        <v>114899.50199999999</v>
      </c>
      <c r="AB26" s="1353">
        <v>255.92999999999998</v>
      </c>
      <c r="AC26" s="1358">
        <v>-19887.91</v>
      </c>
      <c r="AD26" s="1354">
        <v>448.94893916305239</v>
      </c>
      <c r="AE26" s="1354">
        <v>-5.7773542820738824</v>
      </c>
      <c r="AF26" s="1355">
        <v>0</v>
      </c>
      <c r="AG26" s="1364"/>
      <c r="AH26" s="1363"/>
      <c r="AI26" s="1364"/>
      <c r="AJ26" s="1365"/>
      <c r="AK26" s="1363"/>
      <c r="AL26" s="1360"/>
      <c r="AM26" s="1359"/>
      <c r="AN26" s="1361"/>
      <c r="AO26" s="1366"/>
      <c r="AP26" s="1366"/>
    </row>
    <row r="27" spans="1:42" s="1362" customFormat="1" ht="14.85" customHeight="1">
      <c r="A27" s="1327"/>
      <c r="B27" s="1321" t="s">
        <v>1416</v>
      </c>
      <c r="C27" s="1340" t="s">
        <v>1417</v>
      </c>
      <c r="D27" s="1341" t="s">
        <v>885</v>
      </c>
      <c r="E27" s="1340" t="s">
        <v>1418</v>
      </c>
      <c r="F27" s="1342">
        <v>42125</v>
      </c>
      <c r="G27" s="1356">
        <v>3.0585200000000001</v>
      </c>
      <c r="H27" s="1356">
        <v>0</v>
      </c>
      <c r="I27" s="1356">
        <v>0</v>
      </c>
      <c r="J27" s="1356">
        <v>3.2423000000000002</v>
      </c>
      <c r="K27" s="1325">
        <v>117170.86200000002</v>
      </c>
      <c r="L27" s="1344">
        <v>32569.046999999999</v>
      </c>
      <c r="M27" s="1344">
        <v>149739.90900000001</v>
      </c>
      <c r="N27" s="1325">
        <v>358369.42484424007</v>
      </c>
      <c r="O27" s="1345">
        <v>99613.081630440007</v>
      </c>
      <c r="P27" s="1325">
        <v>457982.50647468009</v>
      </c>
      <c r="Q27" s="1325"/>
      <c r="R27" s="1325">
        <v>1</v>
      </c>
      <c r="S27" s="1343">
        <v>3.2423000000000002</v>
      </c>
      <c r="T27" s="1346">
        <v>485501.70695070009</v>
      </c>
      <c r="U27" s="1347">
        <v>6.0087885644036998E-2</v>
      </c>
      <c r="V27" s="1348" t="s">
        <v>1419</v>
      </c>
      <c r="W27" s="1349" t="s">
        <v>1420</v>
      </c>
      <c r="X27" s="1350">
        <v>457982.50647468009</v>
      </c>
      <c r="Y27" s="1350">
        <v>2081999.9999999998</v>
      </c>
      <c r="Z27" s="1350">
        <v>213</v>
      </c>
      <c r="AA27" s="1352">
        <v>2539769.5064746798</v>
      </c>
      <c r="AB27" s="1353">
        <v>0</v>
      </c>
      <c r="AC27" s="1358">
        <v>-13913</v>
      </c>
      <c r="AD27" s="1354" t="s">
        <v>13</v>
      </c>
      <c r="AE27" s="1354">
        <v>-182.54650373569177</v>
      </c>
      <c r="AF27" s="1355">
        <v>0</v>
      </c>
      <c r="AG27" s="1327"/>
      <c r="AH27" s="1321"/>
      <c r="AI27" s="1321"/>
      <c r="AJ27" s="1321"/>
      <c r="AK27" s="1345"/>
      <c r="AL27" s="1360"/>
      <c r="AM27" s="1359"/>
      <c r="AN27" s="1321"/>
      <c r="AO27" s="1321"/>
      <c r="AP27" s="1321"/>
    </row>
    <row r="28" spans="1:42" s="1362" customFormat="1" ht="14.85" customHeight="1">
      <c r="A28" s="1327"/>
      <c r="B28" s="1321" t="s">
        <v>1186</v>
      </c>
      <c r="C28" s="1340" t="s">
        <v>1421</v>
      </c>
      <c r="D28" s="1341" t="s">
        <v>1791</v>
      </c>
      <c r="E28" s="1340" t="s">
        <v>1422</v>
      </c>
      <c r="F28" s="1342">
        <v>42123</v>
      </c>
      <c r="G28" s="1356">
        <v>18</v>
      </c>
      <c r="H28" s="1356">
        <v>15</v>
      </c>
      <c r="I28" s="1356">
        <v>17</v>
      </c>
      <c r="J28" s="1356">
        <v>28.69</v>
      </c>
      <c r="K28" s="1325">
        <v>17686.131000000001</v>
      </c>
      <c r="L28" s="1344">
        <v>8145.8339999999998</v>
      </c>
      <c r="M28" s="1344">
        <v>25831.965</v>
      </c>
      <c r="N28" s="1325">
        <v>318350.35800000001</v>
      </c>
      <c r="O28" s="1345">
        <v>146625.01199999999</v>
      </c>
      <c r="P28" s="1325">
        <v>464975.37</v>
      </c>
      <c r="Q28" s="1325"/>
      <c r="R28" s="1325">
        <v>1</v>
      </c>
      <c r="S28" s="1343">
        <v>28.69</v>
      </c>
      <c r="T28" s="1346">
        <v>741119.07585000002</v>
      </c>
      <c r="U28" s="1347">
        <v>0.59388888888888891</v>
      </c>
      <c r="V28" s="1361" t="s">
        <v>1423</v>
      </c>
      <c r="W28" s="1349" t="s">
        <v>1792</v>
      </c>
      <c r="X28" s="1350">
        <v>464975.37</v>
      </c>
      <c r="Y28" s="1350">
        <v>9042000</v>
      </c>
      <c r="Z28" s="1350">
        <v>47240</v>
      </c>
      <c r="AA28" s="1352">
        <v>9459735.3699999992</v>
      </c>
      <c r="AB28" s="1353">
        <v>21982</v>
      </c>
      <c r="AC28" s="1358">
        <v>-60899</v>
      </c>
      <c r="AD28" s="1354">
        <v>430.3400677827313</v>
      </c>
      <c r="AE28" s="1354">
        <v>-155.33482273928962</v>
      </c>
      <c r="AF28" s="1355">
        <v>0</v>
      </c>
      <c r="AK28" s="1363"/>
      <c r="AL28" s="1360"/>
      <c r="AM28" s="1359"/>
    </row>
    <row r="29" spans="1:42" s="1362" customFormat="1" ht="14.85" customHeight="1">
      <c r="A29" s="1327"/>
      <c r="B29" s="1321" t="s">
        <v>1434</v>
      </c>
      <c r="C29" s="1340" t="s">
        <v>1435</v>
      </c>
      <c r="D29" s="1341" t="s">
        <v>885</v>
      </c>
      <c r="E29" s="1340" t="s">
        <v>1436</v>
      </c>
      <c r="F29" s="1342">
        <v>42108</v>
      </c>
      <c r="G29" s="1356">
        <v>16</v>
      </c>
      <c r="H29" s="1356">
        <v>14</v>
      </c>
      <c r="I29" s="1356">
        <v>16</v>
      </c>
      <c r="J29" s="1356">
        <v>16.32</v>
      </c>
      <c r="K29" s="1325">
        <v>8694.1180000000004</v>
      </c>
      <c r="L29" s="1344">
        <v>4800</v>
      </c>
      <c r="M29" s="1344">
        <v>13494.118</v>
      </c>
      <c r="N29" s="1325">
        <v>139105.88800000001</v>
      </c>
      <c r="O29" s="1345">
        <v>76800</v>
      </c>
      <c r="P29" s="1325">
        <v>215905.88800000001</v>
      </c>
      <c r="Q29" s="1325"/>
      <c r="R29" s="1325">
        <v>1</v>
      </c>
      <c r="S29" s="1343">
        <v>16.32</v>
      </c>
      <c r="T29" s="1346">
        <v>220224.00576</v>
      </c>
      <c r="U29" s="1347">
        <v>2.0000000000000018E-2</v>
      </c>
      <c r="V29" s="1349" t="s">
        <v>1437</v>
      </c>
      <c r="W29" s="1349" t="s">
        <v>1438</v>
      </c>
      <c r="X29" s="1350">
        <v>215905.88800000001</v>
      </c>
      <c r="Y29" s="1350">
        <v>0</v>
      </c>
      <c r="Z29" s="1350">
        <v>22796</v>
      </c>
      <c r="AA29" s="1352">
        <v>193109.88800000001</v>
      </c>
      <c r="AB29" s="1353">
        <v>0</v>
      </c>
      <c r="AC29" s="1358">
        <v>-40241</v>
      </c>
      <c r="AD29" s="1354" t="s">
        <v>13</v>
      </c>
      <c r="AE29" s="1354">
        <v>-4.7988342238015953</v>
      </c>
      <c r="AF29" s="1355">
        <v>0</v>
      </c>
      <c r="AG29" s="1321"/>
      <c r="AH29" s="1321"/>
      <c r="AI29" s="1321"/>
      <c r="AJ29" s="1345"/>
      <c r="AK29" s="1360"/>
      <c r="AL29" s="1359"/>
      <c r="AM29" s="1321"/>
      <c r="AN29" s="1321"/>
      <c r="AO29" s="1321"/>
    </row>
    <row r="30" spans="1:42" s="1362" customFormat="1" ht="14.85" customHeight="1">
      <c r="A30" s="1327"/>
      <c r="B30" s="1321" t="s">
        <v>1468</v>
      </c>
      <c r="C30" s="1340" t="s">
        <v>1469</v>
      </c>
      <c r="D30" s="1341" t="s">
        <v>885</v>
      </c>
      <c r="E30" s="1340" t="s">
        <v>1470</v>
      </c>
      <c r="F30" s="1342">
        <v>42032</v>
      </c>
      <c r="G30" s="1356">
        <v>16</v>
      </c>
      <c r="H30" s="1356">
        <v>12</v>
      </c>
      <c r="I30" s="1356">
        <v>14</v>
      </c>
      <c r="J30" s="1356">
        <v>17.385000000000002</v>
      </c>
      <c r="K30" s="1325">
        <v>12405.409</v>
      </c>
      <c r="L30" s="1344">
        <v>5400</v>
      </c>
      <c r="M30" s="1344">
        <v>17805.409</v>
      </c>
      <c r="N30" s="1325">
        <v>198486.54399999999</v>
      </c>
      <c r="O30" s="1345">
        <v>86400</v>
      </c>
      <c r="P30" s="1325">
        <v>284886.54399999999</v>
      </c>
      <c r="Q30" s="1325"/>
      <c r="R30" s="1325">
        <v>1</v>
      </c>
      <c r="S30" s="1343">
        <v>17.385000000000002</v>
      </c>
      <c r="T30" s="1346">
        <v>309547.03546500002</v>
      </c>
      <c r="U30" s="1347">
        <v>8.6562500000000098E-2</v>
      </c>
      <c r="V30" s="1349" t="s">
        <v>1471</v>
      </c>
      <c r="W30" s="1349" t="s">
        <v>1793</v>
      </c>
      <c r="X30" s="1350">
        <v>284886.54399999999</v>
      </c>
      <c r="Y30" s="1350">
        <v>0</v>
      </c>
      <c r="Z30" s="1350">
        <v>0</v>
      </c>
      <c r="AA30" s="1352">
        <v>284886.54399999999</v>
      </c>
      <c r="AB30" s="1353">
        <v>112.69</v>
      </c>
      <c r="AC30" s="1358">
        <v>-37145.539999999994</v>
      </c>
      <c r="AD30" s="1354">
        <v>2528.0552311651431</v>
      </c>
      <c r="AE30" s="1354">
        <v>-7.6694683668618104</v>
      </c>
      <c r="AF30" s="1355">
        <v>0</v>
      </c>
      <c r="AG30" s="1321"/>
      <c r="AH30" s="1321"/>
      <c r="AI30" s="1321"/>
      <c r="AJ30" s="1345"/>
      <c r="AK30" s="1360"/>
      <c r="AL30" s="1359"/>
      <c r="AM30" s="1321"/>
      <c r="AN30" s="1321"/>
      <c r="AO30" s="1321"/>
    </row>
    <row r="31" spans="1:42" s="1362" customFormat="1" ht="14.85" customHeight="1">
      <c r="A31" s="1327"/>
      <c r="B31" s="1321"/>
      <c r="C31" s="1340"/>
      <c r="D31" s="1341"/>
      <c r="E31" s="1340"/>
      <c r="F31" s="1342"/>
      <c r="G31" s="1367"/>
      <c r="H31" s="1356"/>
      <c r="I31" s="1356"/>
      <c r="J31" s="1367"/>
      <c r="K31" s="1368"/>
      <c r="L31" s="1345"/>
      <c r="M31" s="1345"/>
      <c r="N31" s="1325"/>
      <c r="O31" s="1345"/>
      <c r="P31" s="1325"/>
      <c r="Q31" s="1325"/>
      <c r="R31" s="1325"/>
      <c r="S31" s="1343"/>
      <c r="T31" s="1346"/>
      <c r="U31" s="1347"/>
      <c r="V31" s="1349"/>
      <c r="W31" s="1349"/>
      <c r="X31" s="1350"/>
      <c r="Y31" s="1350"/>
      <c r="Z31" s="1350"/>
      <c r="AA31" s="1352"/>
      <c r="AB31" s="1353"/>
      <c r="AC31" s="1358"/>
      <c r="AD31" s="1354"/>
      <c r="AE31" s="1354"/>
      <c r="AF31" s="1355"/>
      <c r="AG31" s="1321"/>
      <c r="AH31" s="1321"/>
      <c r="AI31" s="1321"/>
      <c r="AJ31" s="1345"/>
      <c r="AK31" s="1360"/>
      <c r="AL31" s="1359"/>
      <c r="AM31" s="1321"/>
      <c r="AN31" s="1321"/>
      <c r="AO31" s="1321"/>
    </row>
    <row r="32" spans="1:42" s="1362" customFormat="1" ht="14.85" customHeight="1">
      <c r="A32" s="1327"/>
      <c r="B32" s="1369" t="s">
        <v>111</v>
      </c>
      <c r="C32" s="1370"/>
      <c r="D32" s="1370"/>
      <c r="E32" s="1370"/>
      <c r="F32" s="1370"/>
      <c r="G32" s="1370"/>
      <c r="H32" s="1370"/>
      <c r="I32" s="1370"/>
      <c r="J32" s="1370"/>
      <c r="K32" s="1370"/>
      <c r="L32" s="1370"/>
      <c r="M32" s="1370"/>
      <c r="N32" s="1371">
        <f>MAX(N12:N30)</f>
        <v>523732.77</v>
      </c>
      <c r="O32" s="1371"/>
      <c r="P32" s="1372">
        <f>MAX(P12:P30)</f>
        <v>631732.77</v>
      </c>
      <c r="Q32" s="1325"/>
      <c r="R32" s="1325"/>
      <c r="S32" s="1373">
        <f>MAX(S12:S30)</f>
        <v>35.56</v>
      </c>
      <c r="T32" s="1346"/>
      <c r="U32" s="1347"/>
      <c r="V32" s="1349"/>
      <c r="W32" s="1349"/>
      <c r="X32" s="1350"/>
      <c r="Y32" s="1350"/>
      <c r="Z32" s="1350"/>
      <c r="AA32" s="1352"/>
      <c r="AB32" s="1353"/>
      <c r="AC32" s="1358"/>
      <c r="AD32" s="1354"/>
      <c r="AE32" s="1354"/>
      <c r="AF32" s="1355"/>
      <c r="AG32" s="1321"/>
      <c r="AH32" s="1321"/>
      <c r="AI32" s="1321"/>
      <c r="AJ32" s="1345"/>
      <c r="AK32" s="1360"/>
      <c r="AL32" s="1359"/>
      <c r="AM32" s="1321"/>
      <c r="AN32" s="1321"/>
      <c r="AO32" s="1321"/>
    </row>
    <row r="33" spans="1:73" s="1362" customFormat="1" ht="14.85" customHeight="1">
      <c r="A33" s="1327"/>
      <c r="B33" s="1374" t="s">
        <v>115</v>
      </c>
      <c r="C33" s="1375"/>
      <c r="D33" s="1375"/>
      <c r="E33" s="1375"/>
      <c r="F33" s="1375"/>
      <c r="G33" s="1375"/>
      <c r="H33" s="1375"/>
      <c r="I33" s="1375"/>
      <c r="J33" s="1375"/>
      <c r="K33" s="1375"/>
      <c r="L33" s="1375"/>
      <c r="M33" s="1375"/>
      <c r="N33" s="1299">
        <f>_xlfn.QUARTILE.INC(N12:N30,3)</f>
        <v>388742.50042212004</v>
      </c>
      <c r="O33" s="1299"/>
      <c r="P33" s="1376">
        <f>_xlfn.QUARTILE.INC(P12:P30,3)</f>
        <v>508012.12299999996</v>
      </c>
      <c r="Q33" s="1325"/>
      <c r="R33" s="1325"/>
      <c r="S33" s="1377">
        <f>_xlfn.QUARTILE.INC(S12:S30,3)</f>
        <v>20.675000000000001</v>
      </c>
      <c r="T33" s="1346"/>
      <c r="U33" s="1347"/>
      <c r="V33" s="1349"/>
      <c r="W33" s="1349"/>
      <c r="X33" s="1350"/>
      <c r="Y33" s="1350"/>
      <c r="Z33" s="1350"/>
      <c r="AA33" s="1352"/>
      <c r="AB33" s="1353"/>
      <c r="AC33" s="1358"/>
      <c r="AD33" s="1354"/>
      <c r="AE33" s="1354"/>
      <c r="AF33" s="1355"/>
      <c r="AG33" s="1321"/>
      <c r="AH33" s="1321"/>
      <c r="AI33" s="1321"/>
      <c r="AJ33" s="1345"/>
      <c r="AK33" s="1360"/>
      <c r="AL33" s="1359"/>
      <c r="AM33" s="1321"/>
      <c r="AN33" s="1321"/>
      <c r="AO33" s="1321"/>
    </row>
    <row r="34" spans="1:73" s="1362" customFormat="1" ht="14.85" customHeight="1">
      <c r="A34" s="1327"/>
      <c r="B34" s="1374" t="s">
        <v>43</v>
      </c>
      <c r="C34" s="1375"/>
      <c r="D34" s="1375"/>
      <c r="E34" s="1375"/>
      <c r="F34" s="1375"/>
      <c r="G34" s="1375"/>
      <c r="H34" s="1375"/>
      <c r="I34" s="1375"/>
      <c r="J34" s="1375"/>
      <c r="K34" s="1375"/>
      <c r="L34" s="1375"/>
      <c r="M34" s="1375"/>
      <c r="N34" s="1299">
        <f>AVERAGE(N12:N30)</f>
        <v>245235.32383390737</v>
      </c>
      <c r="O34" s="1299"/>
      <c r="P34" s="1376">
        <f>AVERAGE(P12:P30)</f>
        <v>323507.86336708843</v>
      </c>
      <c r="Q34" s="1325"/>
      <c r="R34" s="1325"/>
      <c r="S34" s="1377">
        <f>AVERAGE(S12:S30)</f>
        <v>16.480384210526314</v>
      </c>
      <c r="T34" s="1346"/>
      <c r="U34" s="1347"/>
      <c r="V34" s="1349"/>
      <c r="W34" s="1349"/>
      <c r="X34" s="1350"/>
      <c r="Y34" s="1350"/>
      <c r="Z34" s="1350"/>
      <c r="AA34" s="1352"/>
      <c r="AB34" s="1353"/>
      <c r="AC34" s="1358"/>
      <c r="AD34" s="1354"/>
      <c r="AE34" s="1354"/>
      <c r="AF34" s="1355"/>
      <c r="AG34" s="1321"/>
      <c r="AH34" s="1321"/>
      <c r="AI34" s="1321"/>
      <c r="AJ34" s="1345"/>
      <c r="AK34" s="1360"/>
      <c r="AL34" s="1359"/>
      <c r="AM34" s="1321"/>
      <c r="AN34" s="1321"/>
      <c r="AO34" s="1321"/>
    </row>
    <row r="35" spans="1:73" s="1362" customFormat="1" ht="14.85" customHeight="1">
      <c r="A35" s="1327"/>
      <c r="B35" s="1374" t="s">
        <v>44</v>
      </c>
      <c r="C35" s="1375"/>
      <c r="D35" s="1375"/>
      <c r="E35" s="1375"/>
      <c r="F35" s="1375"/>
      <c r="G35" s="1375"/>
      <c r="H35" s="1375"/>
      <c r="I35" s="1375"/>
      <c r="J35" s="1375"/>
      <c r="K35" s="1375"/>
      <c r="L35" s="1375"/>
      <c r="M35" s="1375"/>
      <c r="N35" s="1299">
        <f>MEDIAN(N12:N30)</f>
        <v>232932.75199999998</v>
      </c>
      <c r="O35" s="1299"/>
      <c r="P35" s="1376">
        <f>MEDIAN(P12:P30)</f>
        <v>315305.67000000004</v>
      </c>
      <c r="Q35" s="1325"/>
      <c r="R35" s="1325"/>
      <c r="S35" s="1377">
        <f>MEDIAN(S12:S30)</f>
        <v>14.95</v>
      </c>
      <c r="T35" s="1346"/>
      <c r="U35" s="1347"/>
      <c r="V35" s="1349"/>
      <c r="W35" s="1349"/>
      <c r="X35" s="1350"/>
      <c r="Y35" s="1350"/>
      <c r="Z35" s="1350"/>
      <c r="AA35" s="1352"/>
      <c r="AB35" s="1353"/>
      <c r="AC35" s="1358"/>
      <c r="AD35" s="1354"/>
      <c r="AE35" s="1354"/>
      <c r="AF35" s="1355"/>
      <c r="AG35" s="1321"/>
      <c r="AH35" s="1321"/>
      <c r="AI35" s="1321"/>
      <c r="AJ35" s="1345"/>
      <c r="AK35" s="1360"/>
      <c r="AL35" s="1359"/>
      <c r="AM35" s="1321"/>
      <c r="AN35" s="1321"/>
      <c r="AO35" s="1321"/>
    </row>
    <row r="36" spans="1:73" s="1362" customFormat="1" ht="14.85" customHeight="1">
      <c r="A36" s="1327"/>
      <c r="B36" s="1374" t="s">
        <v>114</v>
      </c>
      <c r="C36" s="1375"/>
      <c r="D36" s="1375"/>
      <c r="E36" s="1375"/>
      <c r="F36" s="1375"/>
      <c r="G36" s="1375"/>
      <c r="H36" s="1375"/>
      <c r="I36" s="1375"/>
      <c r="J36" s="1375"/>
      <c r="K36" s="1375"/>
      <c r="L36" s="1375"/>
      <c r="M36" s="1375"/>
      <c r="N36" s="1299">
        <f>_xlfn.QUARTILE.INC(N12:N30,1)</f>
        <v>82539.951000000001</v>
      </c>
      <c r="O36" s="1299"/>
      <c r="P36" s="1376">
        <f>_xlfn.QUARTILE.INC(P12:P30,1)</f>
        <v>141095.076</v>
      </c>
      <c r="Q36" s="1325"/>
      <c r="R36" s="1325"/>
      <c r="S36" s="1377">
        <f>_xlfn.QUARTILE.INC(S12:S30,1)</f>
        <v>9.4750000000000014</v>
      </c>
      <c r="T36" s="1346"/>
      <c r="U36" s="1347"/>
      <c r="V36" s="1349"/>
      <c r="W36" s="1349"/>
      <c r="X36" s="1350"/>
      <c r="Y36" s="1350"/>
      <c r="Z36" s="1350"/>
      <c r="AA36" s="1352"/>
      <c r="AB36" s="1353"/>
      <c r="AC36" s="1358"/>
      <c r="AD36" s="1354"/>
      <c r="AE36" s="1354"/>
      <c r="AF36" s="1355"/>
      <c r="AG36" s="1321"/>
      <c r="AH36" s="1321"/>
      <c r="AI36" s="1321"/>
      <c r="AJ36" s="1345"/>
      <c r="AK36" s="1360"/>
      <c r="AL36" s="1359"/>
      <c r="AM36" s="1321"/>
      <c r="AN36" s="1321"/>
      <c r="AO36" s="1321"/>
    </row>
    <row r="37" spans="1:73" s="1362" customFormat="1" ht="14.85" customHeight="1">
      <c r="A37" s="1327"/>
      <c r="B37" s="1378" t="s">
        <v>112</v>
      </c>
      <c r="C37" s="1379"/>
      <c r="D37" s="1379"/>
      <c r="E37" s="1379"/>
      <c r="F37" s="1379"/>
      <c r="G37" s="1379"/>
      <c r="H37" s="1379"/>
      <c r="I37" s="1379"/>
      <c r="J37" s="1379"/>
      <c r="K37" s="1379"/>
      <c r="L37" s="1379"/>
      <c r="M37" s="1379"/>
      <c r="N37" s="1301">
        <f>MIN(N12:N30)</f>
        <v>39416.17</v>
      </c>
      <c r="O37" s="1301"/>
      <c r="P37" s="1380">
        <f>MIN(P12:P30)</f>
        <v>50611.932000000001</v>
      </c>
      <c r="Q37" s="1325"/>
      <c r="R37" s="1325"/>
      <c r="S37" s="1381">
        <f>MIN(S12:S30)</f>
        <v>3.2423000000000002</v>
      </c>
      <c r="T37" s="1346"/>
      <c r="U37" s="1347"/>
      <c r="V37" s="1349"/>
      <c r="W37" s="1349"/>
      <c r="X37" s="1350"/>
      <c r="Y37" s="1350"/>
      <c r="Z37" s="1350"/>
      <c r="AA37" s="1352"/>
      <c r="AB37" s="1353"/>
      <c r="AC37" s="1358"/>
      <c r="AD37" s="1354"/>
      <c r="AE37" s="1354"/>
      <c r="AF37" s="1355"/>
      <c r="AG37" s="1321"/>
      <c r="AH37" s="1321"/>
      <c r="AI37" s="1321"/>
      <c r="AJ37" s="1345"/>
      <c r="AK37" s="1360"/>
      <c r="AL37" s="1359"/>
      <c r="AM37" s="1321"/>
      <c r="AN37" s="1321"/>
      <c r="AO37" s="1321"/>
    </row>
    <row r="38" spans="1:73" s="1362" customFormat="1" ht="14.85" customHeight="1">
      <c r="A38" s="1327"/>
      <c r="B38" s="1321"/>
      <c r="C38" s="1340"/>
      <c r="D38" s="1341"/>
      <c r="E38" s="1340"/>
      <c r="F38" s="1342"/>
      <c r="G38" s="1367"/>
      <c r="H38" s="1356"/>
      <c r="I38" s="1356"/>
      <c r="J38" s="1367"/>
      <c r="K38" s="1368"/>
      <c r="L38" s="1345"/>
      <c r="M38" s="1345"/>
      <c r="N38" s="1325"/>
      <c r="O38" s="1345"/>
      <c r="P38" s="1325"/>
      <c r="Q38" s="1325"/>
      <c r="R38" s="1325"/>
      <c r="S38" s="1343"/>
      <c r="T38" s="1346"/>
      <c r="U38" s="1347"/>
      <c r="V38" s="1349"/>
      <c r="W38" s="1349"/>
      <c r="X38" s="1355"/>
      <c r="Y38" s="1350"/>
      <c r="Z38" s="1350"/>
      <c r="AA38" s="1352"/>
      <c r="AB38" s="1353"/>
      <c r="AC38" s="1358"/>
      <c r="AD38" s="1354"/>
      <c r="AE38" s="1354"/>
      <c r="AF38" s="1327"/>
      <c r="AG38" s="1321"/>
      <c r="AH38" s="1321"/>
      <c r="AI38" s="1321"/>
      <c r="AJ38" s="1345"/>
      <c r="AK38" s="1360"/>
      <c r="AL38" s="1359"/>
      <c r="AM38" s="1321"/>
      <c r="AN38" s="1321"/>
      <c r="AO38" s="1321"/>
    </row>
    <row r="39" spans="1:73" s="1362" customFormat="1" ht="14.85" customHeight="1">
      <c r="A39" s="1327"/>
      <c r="B39" s="1382" t="s">
        <v>1794</v>
      </c>
      <c r="C39" s="1340"/>
      <c r="D39" s="1341"/>
      <c r="E39" s="1340"/>
      <c r="F39" s="1342"/>
      <c r="G39" s="1367"/>
      <c r="H39" s="1356"/>
      <c r="I39" s="1356"/>
      <c r="J39" s="1367"/>
      <c r="K39" s="1368"/>
      <c r="L39" s="1345"/>
      <c r="M39" s="1345"/>
      <c r="N39" s="1325"/>
      <c r="O39" s="1345"/>
      <c r="P39" s="1325"/>
      <c r="Q39" s="1325"/>
      <c r="R39" s="1325"/>
      <c r="S39" s="1343"/>
      <c r="T39" s="1346"/>
      <c r="U39" s="1347"/>
      <c r="V39" s="1349"/>
      <c r="W39" s="1349"/>
      <c r="X39" s="1355"/>
      <c r="Y39" s="1350"/>
      <c r="Z39" s="1350"/>
      <c r="AA39" s="1352"/>
      <c r="AB39" s="1353"/>
      <c r="AC39" s="1358"/>
      <c r="AD39" s="1354"/>
      <c r="AE39" s="1354"/>
      <c r="AF39" s="1327"/>
      <c r="AG39" s="1321"/>
      <c r="AH39" s="1321"/>
      <c r="AI39" s="1321"/>
      <c r="AJ39" s="1345"/>
      <c r="AK39" s="1360"/>
      <c r="AL39" s="1359"/>
      <c r="AM39" s="1321"/>
      <c r="AN39" s="1321"/>
      <c r="AO39" s="1321"/>
    </row>
    <row r="40" spans="1:73" s="1384" customFormat="1" ht="14.85" customHeight="1">
      <c r="A40" s="1327"/>
      <c r="B40" s="1321" t="s">
        <v>3665</v>
      </c>
      <c r="C40" s="1340" t="s">
        <v>3666</v>
      </c>
      <c r="D40" s="1341" t="s">
        <v>610</v>
      </c>
      <c r="E40" s="1340" t="s">
        <v>3667</v>
      </c>
      <c r="F40" s="1342">
        <v>43243</v>
      </c>
      <c r="G40" s="1356">
        <v>14</v>
      </c>
      <c r="H40" s="1356">
        <v>13</v>
      </c>
      <c r="I40" s="1356">
        <v>15</v>
      </c>
      <c r="J40" s="1356">
        <v>21.62</v>
      </c>
      <c r="K40" s="1325">
        <v>19080.536</v>
      </c>
      <c r="L40" s="1345">
        <v>5360</v>
      </c>
      <c r="M40" s="1345">
        <v>24440.536</v>
      </c>
      <c r="N40" s="1325">
        <v>267127.50400000002</v>
      </c>
      <c r="O40" s="1345">
        <v>75040</v>
      </c>
      <c r="P40" s="1325">
        <v>342167.50400000002</v>
      </c>
      <c r="Q40" s="1325"/>
      <c r="R40" s="1325">
        <v>1</v>
      </c>
      <c r="S40" s="1343">
        <v>21.62</v>
      </c>
      <c r="T40" s="1346">
        <v>528404.38832000003</v>
      </c>
      <c r="U40" s="1347">
        <v>0.54428571428571426</v>
      </c>
      <c r="V40" s="1348" t="s">
        <v>3668</v>
      </c>
      <c r="W40" s="1349" t="s">
        <v>3669</v>
      </c>
      <c r="X40" s="1350">
        <v>342167.50400000002</v>
      </c>
      <c r="Y40" s="1353">
        <v>0</v>
      </c>
      <c r="Z40" s="1383"/>
      <c r="AA40" s="1352"/>
      <c r="AC40" s="1353"/>
      <c r="AD40" s="1385"/>
      <c r="AE40" s="1385"/>
      <c r="AF40" s="1355"/>
      <c r="AG40" s="1327"/>
      <c r="AH40" s="1321"/>
      <c r="AI40" s="1321"/>
      <c r="AJ40" s="1321"/>
      <c r="AK40" s="1345"/>
      <c r="AL40" s="1360"/>
      <c r="AM40" s="1359"/>
      <c r="AN40" s="1321"/>
      <c r="AO40" s="1321"/>
      <c r="AP40" s="1321"/>
      <c r="AQ40" s="1362"/>
      <c r="AR40" s="1362"/>
      <c r="AS40" s="1362"/>
      <c r="AT40" s="1362"/>
      <c r="AU40" s="1362"/>
      <c r="AV40" s="1362"/>
      <c r="AW40" s="1362"/>
      <c r="AX40" s="1362"/>
      <c r="AY40" s="1362"/>
      <c r="AZ40" s="1362"/>
      <c r="BA40" s="1362"/>
      <c r="BB40" s="1362"/>
      <c r="BC40" s="1362"/>
      <c r="BD40" s="1362"/>
      <c r="BE40" s="1362"/>
      <c r="BF40" s="1362"/>
      <c r="BG40" s="1362"/>
      <c r="BH40" s="1362"/>
      <c r="BI40" s="1362"/>
      <c r="BJ40" s="1362"/>
      <c r="BK40" s="1362"/>
      <c r="BL40" s="1362"/>
      <c r="BM40" s="1362"/>
      <c r="BN40" s="1362"/>
      <c r="BO40" s="1362"/>
      <c r="BP40" s="1362"/>
      <c r="BQ40" s="1362"/>
      <c r="BR40" s="1362"/>
      <c r="BS40" s="1362"/>
      <c r="BT40" s="1362"/>
      <c r="BU40" s="1362"/>
    </row>
    <row r="41" spans="1:73" s="1384" customFormat="1" ht="14.85" customHeight="1">
      <c r="A41" s="1327"/>
      <c r="B41" s="1321" t="s">
        <v>3670</v>
      </c>
      <c r="C41" s="1340" t="s">
        <v>3671</v>
      </c>
      <c r="D41" s="1341" t="s">
        <v>610</v>
      </c>
      <c r="E41" s="1340" t="s">
        <v>3672</v>
      </c>
      <c r="F41" s="1342">
        <v>43228</v>
      </c>
      <c r="G41" s="1356">
        <v>16</v>
      </c>
      <c r="H41" s="1356">
        <v>15</v>
      </c>
      <c r="I41" s="1356">
        <v>17</v>
      </c>
      <c r="J41" s="1356">
        <v>14.75</v>
      </c>
      <c r="K41" s="1325">
        <v>26558.353999999999</v>
      </c>
      <c r="L41" s="1345">
        <v>5312.5</v>
      </c>
      <c r="M41" s="1345">
        <v>31870.853999999999</v>
      </c>
      <c r="N41" s="1325">
        <v>424933.66399999999</v>
      </c>
      <c r="O41" s="1345">
        <v>85000</v>
      </c>
      <c r="P41" s="1325">
        <v>509933.66399999999</v>
      </c>
      <c r="Q41" s="1325"/>
      <c r="R41" s="1325">
        <v>1</v>
      </c>
      <c r="S41" s="1343">
        <v>14.75</v>
      </c>
      <c r="T41" s="1346">
        <v>470095.09649999999</v>
      </c>
      <c r="U41" s="1347">
        <v>-7.8125E-2</v>
      </c>
      <c r="V41" s="1348" t="s">
        <v>3673</v>
      </c>
      <c r="W41" s="1349" t="s">
        <v>3674</v>
      </c>
      <c r="X41" s="1350">
        <v>509933.66399999999</v>
      </c>
      <c r="Y41" s="1353">
        <v>0</v>
      </c>
      <c r="Z41" s="1383"/>
      <c r="AA41" s="1352"/>
      <c r="AC41" s="1353"/>
      <c r="AD41" s="1385"/>
      <c r="AE41" s="1385"/>
      <c r="AF41" s="1355"/>
      <c r="AG41" s="1327"/>
      <c r="AH41" s="1321"/>
      <c r="AI41" s="1321"/>
      <c r="AJ41" s="1321"/>
      <c r="AK41" s="1345"/>
      <c r="AL41" s="1360"/>
      <c r="AM41" s="1359"/>
      <c r="AN41" s="1321"/>
      <c r="AO41" s="1321"/>
      <c r="AP41" s="1321"/>
      <c r="AQ41" s="1362"/>
      <c r="AR41" s="1362"/>
      <c r="AS41" s="1362"/>
      <c r="AT41" s="1362"/>
      <c r="AU41" s="1362"/>
      <c r="AV41" s="1362"/>
      <c r="AW41" s="1362"/>
      <c r="AX41" s="1362"/>
      <c r="AY41" s="1362"/>
      <c r="AZ41" s="1362"/>
      <c r="BA41" s="1362"/>
      <c r="BB41" s="1362"/>
      <c r="BC41" s="1362"/>
      <c r="BD41" s="1362"/>
      <c r="BE41" s="1362"/>
      <c r="BF41" s="1362"/>
      <c r="BG41" s="1362"/>
      <c r="BH41" s="1362"/>
      <c r="BI41" s="1362"/>
      <c r="BJ41" s="1362"/>
      <c r="BK41" s="1362"/>
      <c r="BL41" s="1362"/>
      <c r="BM41" s="1362"/>
      <c r="BN41" s="1362"/>
      <c r="BO41" s="1362"/>
      <c r="BP41" s="1362"/>
      <c r="BQ41" s="1362"/>
      <c r="BR41" s="1362"/>
      <c r="BS41" s="1362"/>
      <c r="BT41" s="1362"/>
      <c r="BU41" s="1362"/>
    </row>
    <row r="42" spans="1:73" s="1384" customFormat="1" ht="14.85" customHeight="1">
      <c r="A42" s="1327"/>
      <c r="B42" s="1321" t="s">
        <v>3675</v>
      </c>
      <c r="C42" s="1340" t="s">
        <v>3676</v>
      </c>
      <c r="D42" s="1341" t="s">
        <v>610</v>
      </c>
      <c r="E42" s="1340" t="s">
        <v>3677</v>
      </c>
      <c r="F42" s="1342">
        <v>43222</v>
      </c>
      <c r="G42" s="1356">
        <v>17</v>
      </c>
      <c r="H42" s="1356">
        <v>16</v>
      </c>
      <c r="I42" s="1356">
        <v>18</v>
      </c>
      <c r="J42" s="1356">
        <v>15.11</v>
      </c>
      <c r="K42" s="1325">
        <v>36903.538</v>
      </c>
      <c r="L42" s="1345">
        <v>5000</v>
      </c>
      <c r="M42" s="1345">
        <v>41903.538</v>
      </c>
      <c r="N42" s="1325">
        <v>627360.14599999995</v>
      </c>
      <c r="O42" s="1345">
        <v>85000</v>
      </c>
      <c r="P42" s="1325">
        <v>712360.14599999995</v>
      </c>
      <c r="Q42" s="1325"/>
      <c r="R42" s="1325">
        <v>1</v>
      </c>
      <c r="S42" s="1343">
        <v>15.11</v>
      </c>
      <c r="T42" s="1346">
        <v>633162.45918000001</v>
      </c>
      <c r="U42" s="1347">
        <v>-0.11117647058823521</v>
      </c>
      <c r="V42" s="1348" t="s">
        <v>3678</v>
      </c>
      <c r="W42" s="1349" t="s">
        <v>3679</v>
      </c>
      <c r="X42" s="1350">
        <v>712360.14599999995</v>
      </c>
      <c r="Y42" s="1353">
        <v>0</v>
      </c>
      <c r="Z42" s="1383"/>
      <c r="AA42" s="1352"/>
      <c r="AC42" s="1353"/>
      <c r="AD42" s="1385"/>
      <c r="AE42" s="1385"/>
      <c r="AF42" s="1355"/>
      <c r="AG42" s="1327"/>
      <c r="AH42" s="1321"/>
      <c r="AI42" s="1321"/>
      <c r="AJ42" s="1321"/>
      <c r="AK42" s="1345"/>
      <c r="AL42" s="1360"/>
      <c r="AM42" s="1359"/>
      <c r="AN42" s="1321"/>
      <c r="AO42" s="1321"/>
      <c r="AP42" s="1321"/>
      <c r="AQ42" s="1362"/>
      <c r="AR42" s="1362"/>
      <c r="AS42" s="1362"/>
      <c r="AT42" s="1362"/>
      <c r="AU42" s="1362"/>
      <c r="AV42" s="1362"/>
      <c r="AW42" s="1362"/>
      <c r="AX42" s="1362"/>
      <c r="AY42" s="1362"/>
      <c r="AZ42" s="1362"/>
      <c r="BA42" s="1362"/>
      <c r="BB42" s="1362"/>
      <c r="BC42" s="1362"/>
      <c r="BD42" s="1362"/>
      <c r="BE42" s="1362"/>
      <c r="BF42" s="1362"/>
      <c r="BG42" s="1362"/>
      <c r="BH42" s="1362"/>
      <c r="BI42" s="1362"/>
      <c r="BJ42" s="1362"/>
      <c r="BK42" s="1362"/>
      <c r="BL42" s="1362"/>
      <c r="BM42" s="1362"/>
      <c r="BN42" s="1362"/>
      <c r="BO42" s="1362"/>
      <c r="BP42" s="1362"/>
      <c r="BQ42" s="1362"/>
      <c r="BR42" s="1362"/>
      <c r="BS42" s="1362"/>
      <c r="BT42" s="1362"/>
      <c r="BU42" s="1362"/>
    </row>
    <row r="43" spans="1:73" s="1384" customFormat="1" ht="14.85" customHeight="1">
      <c r="A43" s="1327"/>
      <c r="B43" s="1321" t="s">
        <v>3680</v>
      </c>
      <c r="C43" s="1340" t="s">
        <v>3681</v>
      </c>
      <c r="D43" s="1341" t="s">
        <v>610</v>
      </c>
      <c r="E43" s="1340" t="s">
        <v>3682</v>
      </c>
      <c r="F43" s="1342">
        <v>43208</v>
      </c>
      <c r="G43" s="1356">
        <v>15</v>
      </c>
      <c r="H43" s="1356">
        <v>13</v>
      </c>
      <c r="I43" s="1356">
        <v>15</v>
      </c>
      <c r="J43" s="1356">
        <v>13.39</v>
      </c>
      <c r="K43" s="1325">
        <v>20397.314999999999</v>
      </c>
      <c r="L43" s="1345">
        <v>7200</v>
      </c>
      <c r="M43" s="1345">
        <v>27597.314999999999</v>
      </c>
      <c r="N43" s="1325">
        <v>305959.72499999998</v>
      </c>
      <c r="O43" s="1345">
        <v>108000</v>
      </c>
      <c r="P43" s="1325">
        <v>413959.72499999998</v>
      </c>
      <c r="Q43" s="1325"/>
      <c r="R43" s="1325">
        <v>1</v>
      </c>
      <c r="S43" s="1343">
        <v>13.39</v>
      </c>
      <c r="T43" s="1346">
        <v>369528.04784999997</v>
      </c>
      <c r="U43" s="1347">
        <v>-0.10733333333333339</v>
      </c>
      <c r="V43" s="1348" t="s">
        <v>3683</v>
      </c>
      <c r="W43" s="1349" t="s">
        <v>3684</v>
      </c>
      <c r="X43" s="1350">
        <v>413959.72499999998</v>
      </c>
      <c r="Y43" s="1353">
        <v>0</v>
      </c>
      <c r="Z43" s="1383"/>
      <c r="AA43" s="1352"/>
      <c r="AC43" s="1353"/>
      <c r="AD43" s="1385"/>
      <c r="AE43" s="1385"/>
      <c r="AF43" s="1355"/>
      <c r="AG43" s="1327"/>
      <c r="AH43" s="1321"/>
      <c r="AI43" s="1321"/>
      <c r="AJ43" s="1321"/>
      <c r="AK43" s="1345"/>
      <c r="AL43" s="1360"/>
      <c r="AM43" s="1359"/>
      <c r="AN43" s="1321"/>
      <c r="AO43" s="1321"/>
      <c r="AP43" s="1321"/>
      <c r="AQ43" s="1362"/>
      <c r="AR43" s="1362"/>
      <c r="AS43" s="1362"/>
      <c r="AT43" s="1362"/>
      <c r="AU43" s="1362"/>
      <c r="AV43" s="1362"/>
      <c r="AW43" s="1362"/>
      <c r="AX43" s="1362"/>
      <c r="AY43" s="1362"/>
      <c r="AZ43" s="1362"/>
      <c r="BA43" s="1362"/>
      <c r="BB43" s="1362"/>
      <c r="BC43" s="1362"/>
      <c r="BD43" s="1362"/>
      <c r="BE43" s="1362"/>
      <c r="BF43" s="1362"/>
      <c r="BG43" s="1362"/>
      <c r="BH43" s="1362"/>
      <c r="BI43" s="1362"/>
      <c r="BJ43" s="1362"/>
      <c r="BK43" s="1362"/>
      <c r="BL43" s="1362"/>
      <c r="BM43" s="1362"/>
      <c r="BN43" s="1362"/>
      <c r="BO43" s="1362"/>
      <c r="BP43" s="1362"/>
      <c r="BQ43" s="1362"/>
      <c r="BR43" s="1362"/>
      <c r="BS43" s="1362"/>
      <c r="BT43" s="1362"/>
      <c r="BU43" s="1362"/>
    </row>
    <row r="44" spans="1:73" s="1384" customFormat="1" ht="14.85" customHeight="1">
      <c r="A44" s="1327"/>
      <c r="B44" s="1321" t="s">
        <v>3685</v>
      </c>
      <c r="C44" s="1340" t="s">
        <v>3686</v>
      </c>
      <c r="D44" s="1341" t="s">
        <v>610</v>
      </c>
      <c r="E44" s="1340" t="s">
        <v>3687</v>
      </c>
      <c r="F44" s="1342">
        <v>43187</v>
      </c>
      <c r="G44" s="1356">
        <v>12</v>
      </c>
      <c r="H44" s="1356">
        <v>12</v>
      </c>
      <c r="I44" s="1356">
        <v>14</v>
      </c>
      <c r="J44" s="1356">
        <v>11.78</v>
      </c>
      <c r="K44" s="1325">
        <v>23847.718000000001</v>
      </c>
      <c r="L44" s="1345">
        <v>5770</v>
      </c>
      <c r="M44" s="1345">
        <v>29617.718000000001</v>
      </c>
      <c r="N44" s="1325">
        <v>286172.61600000004</v>
      </c>
      <c r="O44" s="1345">
        <v>69240</v>
      </c>
      <c r="P44" s="1325">
        <v>355412.61600000004</v>
      </c>
      <c r="Q44" s="1325"/>
      <c r="R44" s="1325">
        <v>1</v>
      </c>
      <c r="S44" s="1343">
        <v>11.78</v>
      </c>
      <c r="T44" s="1346">
        <v>348896.71804000001</v>
      </c>
      <c r="U44" s="1347">
        <v>-1.8333333333333424E-2</v>
      </c>
      <c r="V44" s="1348" t="s">
        <v>3688</v>
      </c>
      <c r="W44" s="1349" t="s">
        <v>3689</v>
      </c>
      <c r="X44" s="1350">
        <v>355412.61600000004</v>
      </c>
      <c r="Y44" s="1353">
        <v>0</v>
      </c>
      <c r="Z44" s="1383"/>
      <c r="AA44" s="1352"/>
      <c r="AC44" s="1353"/>
      <c r="AD44" s="1385"/>
      <c r="AE44" s="1385"/>
      <c r="AF44" s="1355"/>
      <c r="AG44" s="1327"/>
      <c r="AH44" s="1321"/>
      <c r="AI44" s="1321"/>
      <c r="AJ44" s="1321"/>
      <c r="AK44" s="1345"/>
      <c r="AL44" s="1360"/>
      <c r="AM44" s="1359"/>
      <c r="AN44" s="1321"/>
      <c r="AO44" s="1321"/>
      <c r="AP44" s="1321"/>
      <c r="AQ44" s="1362"/>
      <c r="AR44" s="1362"/>
      <c r="AS44" s="1362"/>
      <c r="AT44" s="1362"/>
      <c r="AU44" s="1362"/>
      <c r="AV44" s="1362"/>
      <c r="AW44" s="1362"/>
      <c r="AX44" s="1362"/>
      <c r="AY44" s="1362"/>
      <c r="AZ44" s="1362"/>
      <c r="BA44" s="1362"/>
      <c r="BB44" s="1362"/>
      <c r="BC44" s="1362"/>
      <c r="BD44" s="1362"/>
      <c r="BE44" s="1362"/>
      <c r="BF44" s="1362"/>
      <c r="BG44" s="1362"/>
      <c r="BH44" s="1362"/>
      <c r="BI44" s="1362"/>
      <c r="BJ44" s="1362"/>
      <c r="BK44" s="1362"/>
      <c r="BL44" s="1362"/>
      <c r="BM44" s="1362"/>
      <c r="BN44" s="1362"/>
      <c r="BO44" s="1362"/>
      <c r="BP44" s="1362"/>
      <c r="BQ44" s="1362"/>
      <c r="BR44" s="1362"/>
      <c r="BS44" s="1362"/>
      <c r="BT44" s="1362"/>
      <c r="BU44" s="1362"/>
    </row>
    <row r="45" spans="1:73" s="1384" customFormat="1" ht="14.85" customHeight="1">
      <c r="A45" s="1327"/>
      <c r="B45" s="1321" t="s">
        <v>3690</v>
      </c>
      <c r="C45" s="1340" t="s">
        <v>3691</v>
      </c>
      <c r="D45" s="1341" t="s">
        <v>610</v>
      </c>
      <c r="E45" s="1340" t="s">
        <v>3692</v>
      </c>
      <c r="F45" s="1342">
        <v>43173</v>
      </c>
      <c r="G45" s="1356">
        <v>15</v>
      </c>
      <c r="H45" s="1356">
        <v>13</v>
      </c>
      <c r="I45" s="1356">
        <v>15</v>
      </c>
      <c r="J45" s="1356">
        <v>15.27</v>
      </c>
      <c r="K45" s="1325">
        <v>34550.472000000002</v>
      </c>
      <c r="L45" s="1345">
        <v>8000</v>
      </c>
      <c r="M45" s="1345">
        <v>42550.472000000002</v>
      </c>
      <c r="N45" s="1325">
        <v>518257.08</v>
      </c>
      <c r="O45" s="1345">
        <v>120000</v>
      </c>
      <c r="P45" s="1325">
        <v>638257.08000000007</v>
      </c>
      <c r="Q45" s="1325"/>
      <c r="R45" s="1325">
        <v>1</v>
      </c>
      <c r="S45" s="1343">
        <v>15.27</v>
      </c>
      <c r="T45" s="1346">
        <v>649745.70744000003</v>
      </c>
      <c r="U45" s="1347">
        <v>1.8000000000000016E-2</v>
      </c>
      <c r="V45" s="1348" t="s">
        <v>3693</v>
      </c>
      <c r="W45" s="1349" t="s">
        <v>3694</v>
      </c>
      <c r="X45" s="1350">
        <v>638257.08000000007</v>
      </c>
      <c r="Y45" s="1353">
        <v>0</v>
      </c>
      <c r="Z45" s="1383"/>
      <c r="AA45" s="1352"/>
      <c r="AC45" s="1353"/>
      <c r="AD45" s="1385"/>
      <c r="AE45" s="1385"/>
      <c r="AF45" s="1355"/>
      <c r="AG45" s="1327"/>
      <c r="AH45" s="1321"/>
      <c r="AI45" s="1321"/>
      <c r="AJ45" s="1321"/>
      <c r="AK45" s="1345"/>
      <c r="AL45" s="1360"/>
      <c r="AM45" s="1359"/>
      <c r="AN45" s="1321"/>
      <c r="AO45" s="1321"/>
      <c r="AP45" s="1321"/>
      <c r="AQ45" s="1362"/>
      <c r="AR45" s="1362"/>
      <c r="AS45" s="1362"/>
      <c r="AT45" s="1362"/>
      <c r="AU45" s="1362"/>
      <c r="AV45" s="1362"/>
      <c r="AW45" s="1362"/>
      <c r="AX45" s="1362"/>
      <c r="AY45" s="1362"/>
      <c r="AZ45" s="1362"/>
      <c r="BA45" s="1362"/>
      <c r="BB45" s="1362"/>
      <c r="BC45" s="1362"/>
      <c r="BD45" s="1362"/>
      <c r="BE45" s="1362"/>
      <c r="BF45" s="1362"/>
      <c r="BG45" s="1362"/>
      <c r="BH45" s="1362"/>
      <c r="BI45" s="1362"/>
      <c r="BJ45" s="1362"/>
      <c r="BK45" s="1362"/>
      <c r="BL45" s="1362"/>
      <c r="BM45" s="1362"/>
      <c r="BN45" s="1362"/>
      <c r="BO45" s="1362"/>
      <c r="BP45" s="1362"/>
      <c r="BQ45" s="1362"/>
      <c r="BR45" s="1362"/>
      <c r="BS45" s="1362"/>
      <c r="BT45" s="1362"/>
      <c r="BU45" s="1362"/>
    </row>
    <row r="46" spans="1:73" s="1384" customFormat="1" ht="14.85" customHeight="1">
      <c r="A46" s="1327"/>
      <c r="B46" s="1321" t="s">
        <v>3695</v>
      </c>
      <c r="C46" s="1340" t="s">
        <v>3696</v>
      </c>
      <c r="D46" s="1341" t="s">
        <v>586</v>
      </c>
      <c r="E46" s="1340" t="s">
        <v>3697</v>
      </c>
      <c r="F46" s="1342">
        <v>43167</v>
      </c>
      <c r="G46" s="1356">
        <v>11</v>
      </c>
      <c r="H46" s="1356">
        <v>11</v>
      </c>
      <c r="I46" s="1356">
        <v>13</v>
      </c>
      <c r="J46" s="1356">
        <v>11.05</v>
      </c>
      <c r="K46" s="1325">
        <v>10191</v>
      </c>
      <c r="L46" s="1345">
        <v>5454.5450000000001</v>
      </c>
      <c r="M46" s="1345">
        <v>15645.545</v>
      </c>
      <c r="N46" s="1325">
        <v>112101</v>
      </c>
      <c r="O46" s="1345">
        <v>59999.995000000003</v>
      </c>
      <c r="P46" s="1325">
        <v>172100.995</v>
      </c>
      <c r="Q46" s="1325"/>
      <c r="R46" s="1325">
        <v>1</v>
      </c>
      <c r="S46" s="1343">
        <v>11.05</v>
      </c>
      <c r="T46" s="1346">
        <v>172883.27225000001</v>
      </c>
      <c r="U46" s="1347">
        <v>4.5454545454546302E-3</v>
      </c>
      <c r="V46" s="1348" t="s">
        <v>3698</v>
      </c>
      <c r="W46" s="1349" t="s">
        <v>3699</v>
      </c>
      <c r="X46" s="1350">
        <v>172100.995</v>
      </c>
      <c r="Y46" s="1353">
        <v>0</v>
      </c>
      <c r="Z46" s="1383"/>
      <c r="AA46" s="1352"/>
      <c r="AC46" s="1353"/>
      <c r="AD46" s="1385"/>
      <c r="AE46" s="1385"/>
      <c r="AF46" s="1355"/>
      <c r="AG46" s="1327"/>
      <c r="AH46" s="1321"/>
      <c r="AI46" s="1321"/>
      <c r="AJ46" s="1321"/>
      <c r="AK46" s="1345"/>
      <c r="AL46" s="1360"/>
      <c r="AM46" s="1359"/>
      <c r="AN46" s="1321"/>
      <c r="AO46" s="1321"/>
      <c r="AP46" s="1321"/>
      <c r="AQ46" s="1362"/>
      <c r="AR46" s="1362"/>
      <c r="AS46" s="1362"/>
      <c r="AT46" s="1362"/>
      <c r="AU46" s="1362"/>
      <c r="AV46" s="1362"/>
      <c r="AW46" s="1362"/>
      <c r="AX46" s="1362"/>
      <c r="AY46" s="1362"/>
      <c r="AZ46" s="1362"/>
      <c r="BA46" s="1362"/>
      <c r="BB46" s="1362"/>
      <c r="BC46" s="1362"/>
      <c r="BD46" s="1362"/>
      <c r="BE46" s="1362"/>
      <c r="BF46" s="1362"/>
      <c r="BG46" s="1362"/>
      <c r="BH46" s="1362"/>
      <c r="BI46" s="1362"/>
      <c r="BJ46" s="1362"/>
      <c r="BK46" s="1362"/>
      <c r="BL46" s="1362"/>
      <c r="BM46" s="1362"/>
      <c r="BN46" s="1362"/>
      <c r="BO46" s="1362"/>
      <c r="BP46" s="1362"/>
      <c r="BQ46" s="1362"/>
      <c r="BR46" s="1362"/>
      <c r="BS46" s="1362"/>
      <c r="BT46" s="1362"/>
      <c r="BU46" s="1362"/>
    </row>
    <row r="47" spans="1:73" s="1384" customFormat="1" ht="14.85" customHeight="1">
      <c r="A47" s="1327"/>
      <c r="B47" s="1321" t="s">
        <v>3700</v>
      </c>
      <c r="C47" s="1340" t="s">
        <v>3701</v>
      </c>
      <c r="D47" s="1341" t="s">
        <v>1326</v>
      </c>
      <c r="E47" s="1340" t="s">
        <v>3702</v>
      </c>
      <c r="F47" s="1342">
        <v>43125</v>
      </c>
      <c r="G47" s="1356">
        <v>16</v>
      </c>
      <c r="H47" s="1356">
        <v>16</v>
      </c>
      <c r="I47" s="1356">
        <v>18</v>
      </c>
      <c r="J47" s="1356">
        <v>29.56</v>
      </c>
      <c r="K47" s="1325">
        <v>26338.521999999997</v>
      </c>
      <c r="L47" s="1345">
        <v>7812.5</v>
      </c>
      <c r="M47" s="1345">
        <v>34151.021999999997</v>
      </c>
      <c r="N47" s="1325">
        <v>421416.35199999996</v>
      </c>
      <c r="O47" s="1345">
        <v>125000</v>
      </c>
      <c r="P47" s="1325">
        <v>546416.35199999996</v>
      </c>
      <c r="Q47" s="1325"/>
      <c r="R47" s="1325">
        <v>1</v>
      </c>
      <c r="S47" s="1343">
        <v>29.56</v>
      </c>
      <c r="T47" s="1346">
        <v>1009504.2103199998</v>
      </c>
      <c r="U47" s="1347">
        <v>0.84749999999999992</v>
      </c>
      <c r="V47" s="1348" t="s">
        <v>3703</v>
      </c>
      <c r="W47" s="1349" t="s">
        <v>3704</v>
      </c>
      <c r="X47" s="1350">
        <v>546416.35199999996</v>
      </c>
      <c r="Y47" s="1353">
        <v>0</v>
      </c>
      <c r="Z47" s="1383"/>
      <c r="AA47" s="1352"/>
      <c r="AC47" s="1353"/>
      <c r="AD47" s="1385"/>
      <c r="AE47" s="1385"/>
      <c r="AF47" s="1355"/>
      <c r="AG47" s="1327"/>
      <c r="AH47" s="1321"/>
      <c r="AI47" s="1321"/>
      <c r="AJ47" s="1321"/>
      <c r="AK47" s="1345"/>
      <c r="AL47" s="1360"/>
      <c r="AM47" s="1359"/>
      <c r="AN47" s="1321"/>
      <c r="AO47" s="1321"/>
      <c r="AP47" s="1321"/>
      <c r="AQ47" s="1362"/>
      <c r="AR47" s="1362"/>
      <c r="AS47" s="1362"/>
      <c r="AT47" s="1362"/>
      <c r="AU47" s="1362"/>
      <c r="AV47" s="1362"/>
      <c r="AW47" s="1362"/>
      <c r="AX47" s="1362"/>
      <c r="AY47" s="1362"/>
      <c r="AZ47" s="1362"/>
      <c r="BA47" s="1362"/>
      <c r="BB47" s="1362"/>
      <c r="BC47" s="1362"/>
      <c r="BD47" s="1362"/>
      <c r="BE47" s="1362"/>
      <c r="BF47" s="1362"/>
      <c r="BG47" s="1362"/>
      <c r="BH47" s="1362"/>
      <c r="BI47" s="1362"/>
      <c r="BJ47" s="1362"/>
      <c r="BK47" s="1362"/>
      <c r="BL47" s="1362"/>
      <c r="BM47" s="1362"/>
      <c r="BN47" s="1362"/>
      <c r="BO47" s="1362"/>
      <c r="BP47" s="1362"/>
      <c r="BQ47" s="1362"/>
      <c r="BR47" s="1362"/>
      <c r="BS47" s="1362"/>
      <c r="BT47" s="1362"/>
      <c r="BU47" s="1362"/>
    </row>
    <row r="48" spans="1:73" s="1384" customFormat="1" ht="14.85" customHeight="1">
      <c r="A48" s="1327"/>
      <c r="B48" s="1321" t="s">
        <v>2184</v>
      </c>
      <c r="C48" s="1340" t="s">
        <v>2185</v>
      </c>
      <c r="D48" s="1341" t="s">
        <v>610</v>
      </c>
      <c r="E48" s="1340" t="s">
        <v>2186</v>
      </c>
      <c r="F48" s="1342">
        <v>43076</v>
      </c>
      <c r="G48" s="1356">
        <v>18</v>
      </c>
      <c r="H48" s="1356">
        <v>17</v>
      </c>
      <c r="I48" s="1356">
        <v>19</v>
      </c>
      <c r="J48" s="1356">
        <v>18.71</v>
      </c>
      <c r="K48" s="1325">
        <v>74090.587</v>
      </c>
      <c r="L48" s="1345">
        <v>13888.888000000001</v>
      </c>
      <c r="M48" s="1345">
        <v>87979.475000000006</v>
      </c>
      <c r="N48" s="1325">
        <v>1333630.5660000001</v>
      </c>
      <c r="O48" s="1345">
        <v>249999.98400000003</v>
      </c>
      <c r="P48" s="1325">
        <v>1583630.55</v>
      </c>
      <c r="Q48" s="1325"/>
      <c r="R48" s="1325">
        <v>1</v>
      </c>
      <c r="S48" s="1343">
        <v>18.71</v>
      </c>
      <c r="T48" s="1346">
        <v>1646095.9772500002</v>
      </c>
      <c r="U48" s="1347">
        <v>3.9444444444444615E-2</v>
      </c>
      <c r="V48" s="1348" t="s">
        <v>2187</v>
      </c>
      <c r="W48" s="1349" t="s">
        <v>2188</v>
      </c>
      <c r="X48" s="1350">
        <v>1583630.55</v>
      </c>
      <c r="Y48" s="1353">
        <v>0</v>
      </c>
      <c r="Z48" s="1383"/>
      <c r="AA48" s="1352"/>
      <c r="AC48" s="1353"/>
      <c r="AD48" s="1385"/>
      <c r="AE48" s="1385"/>
      <c r="AF48" s="1355"/>
      <c r="AG48" s="1327"/>
      <c r="AH48" s="1321"/>
      <c r="AI48" s="1321"/>
      <c r="AJ48" s="1321"/>
      <c r="AK48" s="1345"/>
      <c r="AL48" s="1360"/>
      <c r="AM48" s="1359"/>
      <c r="AN48" s="1321"/>
      <c r="AO48" s="1321"/>
      <c r="AP48" s="1321"/>
      <c r="AQ48" s="1362"/>
      <c r="AR48" s="1362"/>
      <c r="AS48" s="1362"/>
      <c r="AT48" s="1362"/>
      <c r="AU48" s="1362"/>
      <c r="AV48" s="1362"/>
      <c r="AW48" s="1362"/>
      <c r="AX48" s="1362"/>
      <c r="AY48" s="1362"/>
      <c r="AZ48" s="1362"/>
      <c r="BA48" s="1362"/>
      <c r="BB48" s="1362"/>
      <c r="BC48" s="1362"/>
      <c r="BD48" s="1362"/>
      <c r="BE48" s="1362"/>
      <c r="BF48" s="1362"/>
      <c r="BG48" s="1362"/>
      <c r="BH48" s="1362"/>
      <c r="BI48" s="1362"/>
      <c r="BJ48" s="1362"/>
      <c r="BK48" s="1362"/>
      <c r="BL48" s="1362"/>
      <c r="BM48" s="1362"/>
      <c r="BN48" s="1362"/>
      <c r="BO48" s="1362"/>
      <c r="BP48" s="1362"/>
      <c r="BQ48" s="1362"/>
      <c r="BR48" s="1362"/>
      <c r="BS48" s="1362"/>
      <c r="BT48" s="1362"/>
      <c r="BU48" s="1362"/>
    </row>
    <row r="49" spans="1:73" s="1384" customFormat="1" ht="14.85" customHeight="1">
      <c r="A49" s="1327"/>
      <c r="B49" s="1321" t="s">
        <v>2194</v>
      </c>
      <c r="C49" s="1340" t="s">
        <v>2195</v>
      </c>
      <c r="D49" s="1341" t="s">
        <v>610</v>
      </c>
      <c r="E49" s="1340" t="s">
        <v>2196</v>
      </c>
      <c r="F49" s="1342">
        <v>43040</v>
      </c>
      <c r="G49" s="1356">
        <v>14</v>
      </c>
      <c r="H49" s="1356">
        <v>14</v>
      </c>
      <c r="I49" s="1356">
        <v>16</v>
      </c>
      <c r="J49" s="1356">
        <v>12.14</v>
      </c>
      <c r="K49" s="1325">
        <v>8397.6839999999993</v>
      </c>
      <c r="L49" s="1345">
        <v>5500</v>
      </c>
      <c r="M49" s="1345">
        <v>13897.683999999999</v>
      </c>
      <c r="N49" s="1325">
        <v>117567.57599999999</v>
      </c>
      <c r="O49" s="1345">
        <v>77000</v>
      </c>
      <c r="P49" s="1325">
        <v>194567.576</v>
      </c>
      <c r="Q49" s="1325"/>
      <c r="R49" s="1325">
        <v>1</v>
      </c>
      <c r="S49" s="1343">
        <v>12.14</v>
      </c>
      <c r="T49" s="1346">
        <v>168717.88376</v>
      </c>
      <c r="U49" s="1347">
        <v>-0.1328571428571429</v>
      </c>
      <c r="V49" s="1348" t="s">
        <v>2197</v>
      </c>
      <c r="W49" s="1349" t="s">
        <v>2198</v>
      </c>
      <c r="X49" s="1350">
        <v>194567.576</v>
      </c>
      <c r="Y49" s="1353">
        <v>0</v>
      </c>
      <c r="Z49" s="1383"/>
      <c r="AA49" s="1352"/>
      <c r="AC49" s="1353"/>
      <c r="AD49" s="1385"/>
      <c r="AE49" s="1385"/>
      <c r="AF49" s="1355"/>
      <c r="AG49" s="1327"/>
      <c r="AH49" s="1321"/>
      <c r="AI49" s="1321"/>
      <c r="AJ49" s="1321"/>
      <c r="AK49" s="1345"/>
      <c r="AL49" s="1360"/>
      <c r="AM49" s="1359"/>
      <c r="AN49" s="1321"/>
      <c r="AO49" s="1321"/>
      <c r="AP49" s="1321"/>
      <c r="AQ49" s="1362"/>
      <c r="AR49" s="1362"/>
      <c r="AS49" s="1362"/>
      <c r="AT49" s="1362"/>
      <c r="AU49" s="1362"/>
      <c r="AV49" s="1362"/>
      <c r="AW49" s="1362"/>
      <c r="AX49" s="1362"/>
      <c r="AY49" s="1362"/>
      <c r="AZ49" s="1362"/>
      <c r="BA49" s="1362"/>
      <c r="BB49" s="1362"/>
      <c r="BC49" s="1362"/>
      <c r="BD49" s="1362"/>
      <c r="BE49" s="1362"/>
      <c r="BF49" s="1362"/>
      <c r="BG49" s="1362"/>
      <c r="BH49" s="1362"/>
      <c r="BI49" s="1362"/>
      <c r="BJ49" s="1362"/>
      <c r="BK49" s="1362"/>
      <c r="BL49" s="1362"/>
      <c r="BM49" s="1362"/>
      <c r="BN49" s="1362"/>
      <c r="BO49" s="1362"/>
      <c r="BP49" s="1362"/>
      <c r="BQ49" s="1362"/>
      <c r="BR49" s="1362"/>
      <c r="BS49" s="1362"/>
      <c r="BT49" s="1362"/>
      <c r="BU49" s="1362"/>
    </row>
    <row r="50" spans="1:73" s="1384" customFormat="1" ht="14.85" customHeight="1">
      <c r="A50" s="1327"/>
      <c r="B50" s="1321" t="s">
        <v>2112</v>
      </c>
      <c r="C50" s="1340" t="s">
        <v>2113</v>
      </c>
      <c r="D50" s="1341" t="s">
        <v>610</v>
      </c>
      <c r="E50" s="1340" t="s">
        <v>2114</v>
      </c>
      <c r="F50" s="1342">
        <v>43005</v>
      </c>
      <c r="G50" s="1356">
        <v>17</v>
      </c>
      <c r="H50" s="1356">
        <v>15</v>
      </c>
      <c r="I50" s="1356">
        <v>17</v>
      </c>
      <c r="J50" s="1356">
        <v>18.64</v>
      </c>
      <c r="K50" s="1325">
        <v>25091.686000000002</v>
      </c>
      <c r="L50" s="1345">
        <v>7500</v>
      </c>
      <c r="M50" s="1345">
        <v>32591.686000000002</v>
      </c>
      <c r="N50" s="1325">
        <v>426558.66200000001</v>
      </c>
      <c r="O50" s="1345">
        <v>127500</v>
      </c>
      <c r="P50" s="1325">
        <v>554058.66200000001</v>
      </c>
      <c r="Q50" s="1325"/>
      <c r="R50" s="1325">
        <v>1</v>
      </c>
      <c r="S50" s="1343">
        <v>18.64</v>
      </c>
      <c r="T50" s="1346">
        <v>607509.02704000007</v>
      </c>
      <c r="U50" s="1347">
        <v>9.6470588235294308E-2</v>
      </c>
      <c r="V50" s="1348" t="s">
        <v>2115</v>
      </c>
      <c r="W50" s="1349" t="s">
        <v>2116</v>
      </c>
      <c r="X50" s="1350">
        <v>554058.66200000001</v>
      </c>
      <c r="Y50" s="1353">
        <v>0</v>
      </c>
      <c r="Z50" s="1383"/>
      <c r="AA50" s="1352"/>
      <c r="AC50" s="1353"/>
      <c r="AD50" s="1385"/>
      <c r="AE50" s="1385"/>
      <c r="AF50" s="1355"/>
      <c r="AG50" s="1327"/>
      <c r="AH50" s="1321"/>
      <c r="AI50" s="1321"/>
      <c r="AJ50" s="1321"/>
      <c r="AK50" s="1345"/>
      <c r="AL50" s="1360"/>
      <c r="AM50" s="1359"/>
      <c r="AN50" s="1321"/>
      <c r="AO50" s="1321"/>
      <c r="AP50" s="1321"/>
      <c r="AQ50" s="1362"/>
      <c r="AR50" s="1362"/>
      <c r="AS50" s="1362"/>
      <c r="AT50" s="1362"/>
      <c r="AU50" s="1362"/>
      <c r="AV50" s="1362"/>
      <c r="AW50" s="1362"/>
      <c r="AX50" s="1362"/>
      <c r="AY50" s="1362"/>
      <c r="AZ50" s="1362"/>
      <c r="BA50" s="1362"/>
      <c r="BB50" s="1362"/>
      <c r="BC50" s="1362"/>
      <c r="BD50" s="1362"/>
      <c r="BE50" s="1362"/>
      <c r="BF50" s="1362"/>
      <c r="BG50" s="1362"/>
      <c r="BH50" s="1362"/>
      <c r="BI50" s="1362"/>
      <c r="BJ50" s="1362"/>
      <c r="BK50" s="1362"/>
      <c r="BL50" s="1362"/>
      <c r="BM50" s="1362"/>
      <c r="BN50" s="1362"/>
      <c r="BO50" s="1362"/>
      <c r="BP50" s="1362"/>
      <c r="BQ50" s="1362"/>
      <c r="BR50" s="1362"/>
      <c r="BS50" s="1362"/>
      <c r="BT50" s="1362"/>
      <c r="BU50" s="1362"/>
    </row>
    <row r="51" spans="1:73" s="1384" customFormat="1" ht="14.85" customHeight="1">
      <c r="A51" s="1327"/>
      <c r="B51" s="1321" t="s">
        <v>2199</v>
      </c>
      <c r="C51" s="1340" t="s">
        <v>2200</v>
      </c>
      <c r="D51" s="1341" t="s">
        <v>1326</v>
      </c>
      <c r="E51" s="1340" t="s">
        <v>2201</v>
      </c>
      <c r="F51" s="1342">
        <v>43005</v>
      </c>
      <c r="G51" s="1356">
        <v>14</v>
      </c>
      <c r="H51" s="1356">
        <v>13</v>
      </c>
      <c r="I51" s="1356">
        <v>15</v>
      </c>
      <c r="J51" s="1356">
        <v>20.8</v>
      </c>
      <c r="K51" s="1325">
        <v>22740.714</v>
      </c>
      <c r="L51" s="1345">
        <v>5360</v>
      </c>
      <c r="M51" s="1345">
        <v>28100.714</v>
      </c>
      <c r="N51" s="1325">
        <v>318369.99599999998</v>
      </c>
      <c r="O51" s="1345">
        <v>75040</v>
      </c>
      <c r="P51" s="1325">
        <v>393409.99599999998</v>
      </c>
      <c r="Q51" s="1325"/>
      <c r="R51" s="1325">
        <v>1</v>
      </c>
      <c r="S51" s="1343">
        <v>20.8</v>
      </c>
      <c r="T51" s="1346">
        <v>584494.85120000003</v>
      </c>
      <c r="U51" s="1347">
        <v>0.48571428571428577</v>
      </c>
      <c r="V51" s="1348" t="s">
        <v>2202</v>
      </c>
      <c r="W51" s="1349" t="s">
        <v>2203</v>
      </c>
      <c r="X51" s="1350">
        <v>393409.99599999998</v>
      </c>
      <c r="Y51" s="1353">
        <v>0</v>
      </c>
      <c r="Z51" s="1383"/>
      <c r="AA51" s="1352"/>
      <c r="AC51" s="1353"/>
      <c r="AD51" s="1385"/>
      <c r="AE51" s="1385"/>
      <c r="AF51" s="1355"/>
      <c r="AG51" s="1327"/>
      <c r="AH51" s="1321"/>
      <c r="AI51" s="1321"/>
      <c r="AJ51" s="1321"/>
      <c r="AK51" s="1345"/>
      <c r="AL51" s="1360"/>
      <c r="AM51" s="1359"/>
      <c r="AN51" s="1321"/>
      <c r="AO51" s="1321"/>
      <c r="AP51" s="1321"/>
      <c r="AQ51" s="1362"/>
      <c r="AR51" s="1362"/>
      <c r="AS51" s="1362"/>
      <c r="AT51" s="1362"/>
      <c r="AU51" s="1362"/>
      <c r="AV51" s="1362"/>
      <c r="AW51" s="1362"/>
      <c r="AX51" s="1362"/>
      <c r="AY51" s="1362"/>
      <c r="AZ51" s="1362"/>
      <c r="BA51" s="1362"/>
      <c r="BB51" s="1362"/>
      <c r="BC51" s="1362"/>
      <c r="BD51" s="1362"/>
      <c r="BE51" s="1362"/>
      <c r="BF51" s="1362"/>
      <c r="BG51" s="1362"/>
      <c r="BH51" s="1362"/>
      <c r="BI51" s="1362"/>
      <c r="BJ51" s="1362"/>
      <c r="BK51" s="1362"/>
      <c r="BL51" s="1362"/>
      <c r="BM51" s="1362"/>
      <c r="BN51" s="1362"/>
      <c r="BO51" s="1362"/>
      <c r="BP51" s="1362"/>
      <c r="BQ51" s="1362"/>
      <c r="BR51" s="1362"/>
      <c r="BS51" s="1362"/>
      <c r="BT51" s="1362"/>
      <c r="BU51" s="1362"/>
    </row>
    <row r="52" spans="1:73" s="1384" customFormat="1" ht="14.85" customHeight="1">
      <c r="A52" s="1327"/>
      <c r="B52" s="1321" t="s">
        <v>2117</v>
      </c>
      <c r="C52" s="1340" t="s">
        <v>2118</v>
      </c>
      <c r="D52" s="1341" t="s">
        <v>610</v>
      </c>
      <c r="E52" s="1340" t="s">
        <v>2119</v>
      </c>
      <c r="F52" s="1342">
        <v>42997</v>
      </c>
      <c r="G52" s="1356">
        <v>10</v>
      </c>
      <c r="H52" s="1356">
        <v>9</v>
      </c>
      <c r="I52" s="1356">
        <v>11</v>
      </c>
      <c r="J52" s="1356">
        <v>9.99</v>
      </c>
      <c r="K52" s="1325">
        <v>4084.884</v>
      </c>
      <c r="L52" s="1345">
        <v>3960</v>
      </c>
      <c r="M52" s="1345">
        <v>8044.884</v>
      </c>
      <c r="N52" s="1325">
        <v>40848.839999999997</v>
      </c>
      <c r="O52" s="1345">
        <v>39600</v>
      </c>
      <c r="P52" s="1325">
        <v>80448.84</v>
      </c>
      <c r="Q52" s="1325"/>
      <c r="R52" s="1325">
        <v>1</v>
      </c>
      <c r="S52" s="1343">
        <v>9.99</v>
      </c>
      <c r="T52" s="1346">
        <v>80368.391159999999</v>
      </c>
      <c r="U52" s="1347">
        <v>-1.0000000000000009E-3</v>
      </c>
      <c r="V52" s="1348" t="s">
        <v>2120</v>
      </c>
      <c r="W52" s="1349" t="s">
        <v>2121</v>
      </c>
      <c r="X52" s="1350">
        <v>80448.84</v>
      </c>
      <c r="Y52" s="1353">
        <v>0</v>
      </c>
      <c r="Z52" s="1383"/>
      <c r="AA52" s="1352"/>
      <c r="AC52" s="1353"/>
      <c r="AD52" s="1385"/>
      <c r="AE52" s="1385"/>
      <c r="AF52" s="1355"/>
      <c r="AG52" s="1327"/>
      <c r="AH52" s="1321"/>
      <c r="AI52" s="1321"/>
      <c r="AJ52" s="1321"/>
      <c r="AK52" s="1345"/>
      <c r="AL52" s="1360"/>
      <c r="AM52" s="1359"/>
      <c r="AN52" s="1321"/>
      <c r="AO52" s="1321"/>
      <c r="AP52" s="1321"/>
      <c r="AQ52" s="1362"/>
      <c r="AR52" s="1362"/>
      <c r="AS52" s="1362"/>
      <c r="AT52" s="1362"/>
      <c r="AU52" s="1362"/>
      <c r="AV52" s="1362"/>
      <c r="AW52" s="1362"/>
      <c r="AX52" s="1362"/>
      <c r="AY52" s="1362"/>
      <c r="AZ52" s="1362"/>
      <c r="BA52" s="1362"/>
      <c r="BB52" s="1362"/>
      <c r="BC52" s="1362"/>
      <c r="BD52" s="1362"/>
      <c r="BE52" s="1362"/>
      <c r="BF52" s="1362"/>
      <c r="BG52" s="1362"/>
      <c r="BH52" s="1362"/>
      <c r="BI52" s="1362"/>
      <c r="BJ52" s="1362"/>
      <c r="BK52" s="1362"/>
      <c r="BL52" s="1362"/>
      <c r="BM52" s="1362"/>
      <c r="BN52" s="1362"/>
      <c r="BO52" s="1362"/>
      <c r="BP52" s="1362"/>
      <c r="BQ52" s="1362"/>
      <c r="BR52" s="1362"/>
      <c r="BS52" s="1362"/>
      <c r="BT52" s="1362"/>
      <c r="BU52" s="1362"/>
    </row>
    <row r="53" spans="1:73" s="1384" customFormat="1" ht="14.85" customHeight="1">
      <c r="A53" s="1327"/>
      <c r="B53" s="1321" t="s">
        <v>2122</v>
      </c>
      <c r="C53" s="1340" t="s">
        <v>2123</v>
      </c>
      <c r="D53" s="1341" t="s">
        <v>610</v>
      </c>
      <c r="E53" s="1340" t="s">
        <v>2124</v>
      </c>
      <c r="F53" s="1342">
        <v>42913</v>
      </c>
      <c r="G53" s="1356">
        <v>15</v>
      </c>
      <c r="H53" s="1356">
        <v>14</v>
      </c>
      <c r="I53" s="1356">
        <v>16</v>
      </c>
      <c r="J53" s="1356">
        <v>14.61</v>
      </c>
      <c r="K53" s="1325">
        <v>17645.620999999999</v>
      </c>
      <c r="L53" s="1345">
        <v>5000</v>
      </c>
      <c r="M53" s="1345">
        <v>22645.620999999999</v>
      </c>
      <c r="N53" s="1325">
        <v>264684.315</v>
      </c>
      <c r="O53" s="1345">
        <v>75000</v>
      </c>
      <c r="P53" s="1325">
        <v>339684.315</v>
      </c>
      <c r="Q53" s="1325"/>
      <c r="R53" s="1325">
        <v>1</v>
      </c>
      <c r="S53" s="1343">
        <v>14.61</v>
      </c>
      <c r="T53" s="1346">
        <v>330852.52280999999</v>
      </c>
      <c r="U53" s="1347">
        <v>-2.6000000000000023E-2</v>
      </c>
      <c r="V53" s="1348" t="s">
        <v>2125</v>
      </c>
      <c r="W53" s="1349" t="s">
        <v>2126</v>
      </c>
      <c r="X53" s="1350">
        <v>339684.315</v>
      </c>
      <c r="Y53" s="1383">
        <v>0</v>
      </c>
      <c r="Z53" s="1383"/>
      <c r="AA53" s="1352"/>
      <c r="AB53" s="1353"/>
      <c r="AC53" s="1353"/>
      <c r="AD53" s="1385"/>
      <c r="AE53" s="1385"/>
      <c r="AF53" s="1355"/>
      <c r="AG53" s="1327"/>
      <c r="AH53" s="1321"/>
      <c r="AI53" s="1321"/>
      <c r="AJ53" s="1321"/>
      <c r="AK53" s="1345"/>
      <c r="AL53" s="1360"/>
      <c r="AM53" s="1359"/>
      <c r="AN53" s="1321"/>
      <c r="AO53" s="1321"/>
      <c r="AP53" s="1321"/>
      <c r="AQ53" s="1362"/>
      <c r="AR53" s="1362"/>
      <c r="AS53" s="1362"/>
      <c r="AT53" s="1362"/>
      <c r="AU53" s="1362"/>
      <c r="AV53" s="1362"/>
      <c r="AW53" s="1362"/>
      <c r="AX53" s="1362"/>
      <c r="AY53" s="1362"/>
      <c r="AZ53" s="1362"/>
      <c r="BA53" s="1362"/>
      <c r="BB53" s="1362"/>
      <c r="BC53" s="1362"/>
      <c r="BD53" s="1362"/>
      <c r="BE53" s="1362"/>
      <c r="BF53" s="1362"/>
      <c r="BG53" s="1362"/>
      <c r="BH53" s="1362"/>
      <c r="BI53" s="1362"/>
      <c r="BJ53" s="1362"/>
      <c r="BK53" s="1362"/>
      <c r="BL53" s="1362"/>
      <c r="BM53" s="1362"/>
      <c r="BN53" s="1362"/>
      <c r="BO53" s="1362"/>
      <c r="BP53" s="1362"/>
      <c r="BQ53" s="1362"/>
      <c r="BR53" s="1362"/>
      <c r="BS53" s="1362"/>
      <c r="BT53" s="1362"/>
      <c r="BU53" s="1362"/>
    </row>
    <row r="54" spans="1:73" s="1384" customFormat="1" ht="14.85" customHeight="1">
      <c r="A54" s="1386"/>
      <c r="B54" s="1387" t="s">
        <v>2127</v>
      </c>
      <c r="C54" s="1388" t="s">
        <v>2128</v>
      </c>
      <c r="D54" s="1389" t="s">
        <v>586</v>
      </c>
      <c r="E54" s="1388" t="s">
        <v>2129</v>
      </c>
      <c r="F54" s="1342">
        <v>42871</v>
      </c>
      <c r="G54" s="1356">
        <v>15</v>
      </c>
      <c r="H54" s="1356">
        <v>15</v>
      </c>
      <c r="I54" s="1356">
        <v>17</v>
      </c>
      <c r="J54" s="1356">
        <v>17.12</v>
      </c>
      <c r="K54" s="1325">
        <v>20413.833999999999</v>
      </c>
      <c r="L54" s="1345">
        <v>6250</v>
      </c>
      <c r="M54" s="1345">
        <v>26663.833999999999</v>
      </c>
      <c r="N54" s="1325">
        <v>306207.51</v>
      </c>
      <c r="O54" s="1345">
        <v>93750</v>
      </c>
      <c r="P54" s="1325">
        <v>399957.51</v>
      </c>
      <c r="Q54" s="1390"/>
      <c r="R54" s="1325">
        <v>1</v>
      </c>
      <c r="S54" s="1343">
        <v>17.12</v>
      </c>
      <c r="T54" s="1346">
        <v>456484.83808000002</v>
      </c>
      <c r="U54" s="1347">
        <v>0.14133333333333331</v>
      </c>
      <c r="V54" s="1391" t="s">
        <v>2130</v>
      </c>
      <c r="W54" s="1392" t="s">
        <v>2131</v>
      </c>
      <c r="X54" s="1393">
        <v>399957.51</v>
      </c>
      <c r="Y54" s="1383">
        <v>0</v>
      </c>
      <c r="Z54" s="1383"/>
      <c r="AA54" s="1352"/>
      <c r="AB54" s="1353"/>
      <c r="AC54" s="1353"/>
      <c r="AD54" s="1385"/>
      <c r="AE54" s="1385"/>
      <c r="AF54" s="1394"/>
      <c r="AG54" s="1387"/>
      <c r="AH54" s="1387"/>
    </row>
    <row r="55" spans="1:73" s="1362" customFormat="1" ht="14.85" customHeight="1">
      <c r="A55" s="1327"/>
      <c r="B55" s="1321" t="s">
        <v>2204</v>
      </c>
      <c r="C55" s="1340" t="s">
        <v>2205</v>
      </c>
      <c r="D55" s="1341" t="s">
        <v>610</v>
      </c>
      <c r="E55" s="1340" t="s">
        <v>2206</v>
      </c>
      <c r="F55" s="1342">
        <v>42852</v>
      </c>
      <c r="G55" s="1356">
        <v>13</v>
      </c>
      <c r="H55" s="1356">
        <v>13</v>
      </c>
      <c r="I55" s="1356">
        <v>16</v>
      </c>
      <c r="J55" s="1356">
        <v>12.67601</v>
      </c>
      <c r="K55" s="1325">
        <v>20424.460999999999</v>
      </c>
      <c r="L55" s="1345">
        <v>4500</v>
      </c>
      <c r="M55" s="1345">
        <v>24924.460999999999</v>
      </c>
      <c r="N55" s="1325">
        <v>265517.99300000002</v>
      </c>
      <c r="O55" s="1345">
        <v>58500</v>
      </c>
      <c r="P55" s="1325">
        <v>324017.99300000002</v>
      </c>
      <c r="Q55" s="1325"/>
      <c r="R55" s="1325">
        <v>1</v>
      </c>
      <c r="S55" s="1343">
        <v>12.67601</v>
      </c>
      <c r="T55" s="1346">
        <v>315942.71688060998</v>
      </c>
      <c r="U55" s="1347">
        <v>-2.4922307692307855E-2</v>
      </c>
      <c r="V55" s="1348" t="s">
        <v>2207</v>
      </c>
      <c r="W55" s="1349" t="s">
        <v>2208</v>
      </c>
      <c r="X55" s="1350">
        <v>324017.99300000002</v>
      </c>
      <c r="Y55" s="1353">
        <v>0</v>
      </c>
      <c r="Z55" s="1383"/>
      <c r="AA55" s="1352"/>
      <c r="AB55" s="1384"/>
      <c r="AC55" s="1353"/>
      <c r="AD55" s="1385"/>
      <c r="AE55" s="1385"/>
      <c r="AF55" s="1355"/>
      <c r="AG55" s="1327"/>
      <c r="AH55" s="1321"/>
      <c r="AI55" s="1321"/>
      <c r="AJ55" s="1321"/>
      <c r="AK55" s="1345"/>
      <c r="AL55" s="1360"/>
      <c r="AM55" s="1359"/>
      <c r="AN55" s="1321"/>
      <c r="AO55" s="1321"/>
      <c r="AP55" s="1321"/>
    </row>
    <row r="56" spans="1:73" s="1362" customFormat="1" ht="14.85" customHeight="1">
      <c r="A56" s="1327"/>
      <c r="B56" s="1321" t="s">
        <v>1795</v>
      </c>
      <c r="C56" s="1340" t="s">
        <v>1796</v>
      </c>
      <c r="D56" s="1341" t="s">
        <v>1326</v>
      </c>
      <c r="E56" s="1340" t="s">
        <v>1797</v>
      </c>
      <c r="F56" s="1342">
        <v>42761</v>
      </c>
      <c r="G56" s="1356">
        <v>16</v>
      </c>
      <c r="H56" s="1356">
        <v>13</v>
      </c>
      <c r="I56" s="1356">
        <v>15</v>
      </c>
      <c r="J56" s="1356">
        <v>19.84</v>
      </c>
      <c r="K56" s="1325">
        <v>24802.026000000002</v>
      </c>
      <c r="L56" s="1345">
        <v>5360</v>
      </c>
      <c r="M56" s="1345">
        <v>30162.026000000002</v>
      </c>
      <c r="N56" s="1325">
        <v>396832.41600000003</v>
      </c>
      <c r="O56" s="1345">
        <v>85760</v>
      </c>
      <c r="P56" s="1325">
        <v>482592.41600000003</v>
      </c>
      <c r="Q56" s="1325"/>
      <c r="R56" s="1325">
        <v>1</v>
      </c>
      <c r="S56" s="1343">
        <v>19.84</v>
      </c>
      <c r="T56" s="1346">
        <v>598414.59584000008</v>
      </c>
      <c r="U56" s="1347">
        <v>0.24</v>
      </c>
      <c r="V56" s="1348" t="s">
        <v>1797</v>
      </c>
      <c r="W56" s="1349" t="s">
        <v>2091</v>
      </c>
      <c r="X56" s="1350">
        <v>482592.41600000003</v>
      </c>
      <c r="Y56" s="1350">
        <v>0</v>
      </c>
      <c r="Z56" s="1350"/>
      <c r="AA56" s="1352"/>
      <c r="AB56" s="1353"/>
      <c r="AC56" s="1358"/>
      <c r="AD56" s="1354"/>
      <c r="AE56" s="1354"/>
      <c r="AF56" s="1355"/>
      <c r="AG56" s="1321"/>
      <c r="AH56" s="1321"/>
      <c r="AI56" s="1321"/>
      <c r="AJ56" s="1345"/>
      <c r="AK56" s="1360"/>
      <c r="AL56" s="1359"/>
      <c r="AM56" s="1321"/>
      <c r="AN56" s="1321"/>
      <c r="AO56" s="1321"/>
    </row>
    <row r="57" spans="1:73" s="1327" customFormat="1" ht="14.85" customHeight="1">
      <c r="B57" s="1321" t="s">
        <v>1798</v>
      </c>
      <c r="C57" s="1340" t="s">
        <v>1799</v>
      </c>
      <c r="D57" s="1341" t="s">
        <v>610</v>
      </c>
      <c r="E57" s="1340" t="s">
        <v>1800</v>
      </c>
      <c r="F57" s="1342">
        <v>42760</v>
      </c>
      <c r="G57" s="1343">
        <v>15</v>
      </c>
      <c r="H57" s="1343">
        <v>14</v>
      </c>
      <c r="I57" s="1343">
        <v>16</v>
      </c>
      <c r="J57" s="1343">
        <v>24.6</v>
      </c>
      <c r="K57" s="1325">
        <v>14159.332999999999</v>
      </c>
      <c r="L57" s="1344">
        <v>4000</v>
      </c>
      <c r="M57" s="1344">
        <v>18159.332999999999</v>
      </c>
      <c r="N57" s="1325">
        <v>212389.995</v>
      </c>
      <c r="O57" s="1345">
        <v>60000</v>
      </c>
      <c r="P57" s="1325">
        <v>272389.995</v>
      </c>
      <c r="Q57" s="1325"/>
      <c r="R57" s="1325">
        <v>1</v>
      </c>
      <c r="S57" s="1343">
        <v>24.6</v>
      </c>
      <c r="T57" s="1346">
        <v>446719.59179999999</v>
      </c>
      <c r="U57" s="1347">
        <v>0.6399999999999999</v>
      </c>
      <c r="V57" s="1348" t="s">
        <v>1801</v>
      </c>
      <c r="W57" s="1349" t="s">
        <v>2092</v>
      </c>
      <c r="X57" s="1350">
        <v>272389.995</v>
      </c>
      <c r="Y57" s="1350">
        <v>0</v>
      </c>
      <c r="Z57" s="1350"/>
      <c r="AA57" s="1352"/>
      <c r="AB57" s="1353"/>
      <c r="AC57" s="1358"/>
      <c r="AD57" s="1354"/>
      <c r="AE57" s="1354"/>
      <c r="AF57" s="1355"/>
    </row>
    <row r="58" spans="1:73" s="1327" customFormat="1" ht="14.85" customHeight="1">
      <c r="B58" s="1321" t="s">
        <v>1221</v>
      </c>
      <c r="C58" s="1340" t="s">
        <v>1222</v>
      </c>
      <c r="D58" s="1341" t="s">
        <v>610</v>
      </c>
      <c r="E58" s="1340" t="s">
        <v>1223</v>
      </c>
      <c r="F58" s="1342">
        <v>42668</v>
      </c>
      <c r="G58" s="1343">
        <v>13</v>
      </c>
      <c r="H58" s="1343">
        <v>12</v>
      </c>
      <c r="I58" s="1343">
        <v>14</v>
      </c>
      <c r="J58" s="1343">
        <v>13.14</v>
      </c>
      <c r="K58" s="1325">
        <v>14439.55</v>
      </c>
      <c r="L58" s="1344">
        <v>7049.23</v>
      </c>
      <c r="M58" s="1344">
        <v>21488.78</v>
      </c>
      <c r="N58" s="1325">
        <v>187714.15</v>
      </c>
      <c r="O58" s="1345">
        <v>91639.989999999991</v>
      </c>
      <c r="P58" s="1325">
        <v>279354.14</v>
      </c>
      <c r="Q58" s="1325"/>
      <c r="R58" s="1325">
        <v>1</v>
      </c>
      <c r="S58" s="1343">
        <v>13.14</v>
      </c>
      <c r="T58" s="1346">
        <v>282362.56919999997</v>
      </c>
      <c r="U58" s="1347">
        <v>1.0769230769230642E-2</v>
      </c>
      <c r="V58" s="1348" t="s">
        <v>1224</v>
      </c>
      <c r="W58" s="1349" t="s">
        <v>1225</v>
      </c>
      <c r="X58" s="1350">
        <v>279354.14</v>
      </c>
      <c r="Y58" s="1350">
        <v>0</v>
      </c>
      <c r="Z58" s="1350"/>
      <c r="AA58" s="1352"/>
      <c r="AB58" s="1353"/>
      <c r="AC58" s="1358"/>
      <c r="AD58" s="1354"/>
      <c r="AE58" s="1354"/>
      <c r="AF58" s="1355"/>
    </row>
    <row r="59" spans="1:73" s="1327" customFormat="1" ht="14.85" customHeight="1">
      <c r="B59" s="1321" t="s">
        <v>1227</v>
      </c>
      <c r="C59" s="1340" t="s">
        <v>1228</v>
      </c>
      <c r="D59" s="1341" t="s">
        <v>1802</v>
      </c>
      <c r="E59" s="1340" t="s">
        <v>1229</v>
      </c>
      <c r="F59" s="1342">
        <v>42654</v>
      </c>
      <c r="G59" s="1343">
        <v>5.5</v>
      </c>
      <c r="H59" s="1343">
        <v>6</v>
      </c>
      <c r="I59" s="1343">
        <v>8</v>
      </c>
      <c r="J59" s="1343">
        <v>4.74</v>
      </c>
      <c r="K59" s="1325">
        <v>8671.0879999999997</v>
      </c>
      <c r="L59" s="1344">
        <v>960</v>
      </c>
      <c r="M59" s="1344">
        <v>9631.0879999999997</v>
      </c>
      <c r="N59" s="1325">
        <v>47690.983999999997</v>
      </c>
      <c r="O59" s="1345">
        <v>5280</v>
      </c>
      <c r="P59" s="1325">
        <v>52970.983999999997</v>
      </c>
      <c r="Q59" s="1325"/>
      <c r="R59" s="1325">
        <v>1</v>
      </c>
      <c r="S59" s="1343">
        <v>4.74</v>
      </c>
      <c r="T59" s="1346">
        <v>45651.357120000001</v>
      </c>
      <c r="U59" s="1347">
        <v>-0.13818181818181807</v>
      </c>
      <c r="V59" s="1348" t="s">
        <v>1230</v>
      </c>
      <c r="W59" s="1349" t="s">
        <v>1231</v>
      </c>
      <c r="X59" s="1350">
        <v>52970.983999999997</v>
      </c>
      <c r="Y59" s="1350">
        <v>0</v>
      </c>
      <c r="Z59" s="1350"/>
      <c r="AA59" s="1352"/>
      <c r="AB59" s="1353"/>
      <c r="AC59" s="1358"/>
      <c r="AD59" s="1354"/>
      <c r="AE59" s="1354"/>
      <c r="AF59" s="1355"/>
    </row>
    <row r="60" spans="1:73" s="1327" customFormat="1" ht="14.85" customHeight="1">
      <c r="B60" s="1321" t="s">
        <v>1237</v>
      </c>
      <c r="C60" s="1340" t="s">
        <v>1238</v>
      </c>
      <c r="D60" s="1341" t="s">
        <v>610</v>
      </c>
      <c r="E60" s="1340" t="s">
        <v>1239</v>
      </c>
      <c r="F60" s="1342">
        <v>42592</v>
      </c>
      <c r="G60" s="1343">
        <v>12</v>
      </c>
      <c r="H60" s="1343">
        <v>11</v>
      </c>
      <c r="I60" s="1343">
        <v>13</v>
      </c>
      <c r="J60" s="1343">
        <v>12.4</v>
      </c>
      <c r="K60" s="1325">
        <v>8823.5509999999995</v>
      </c>
      <c r="L60" s="1344">
        <v>7500</v>
      </c>
      <c r="M60" s="1344">
        <v>16323.550999999999</v>
      </c>
      <c r="N60" s="1325">
        <v>105882.61199999999</v>
      </c>
      <c r="O60" s="1345">
        <v>90000</v>
      </c>
      <c r="P60" s="1325">
        <v>195882.61199999999</v>
      </c>
      <c r="Q60" s="1325"/>
      <c r="R60" s="1325">
        <v>1</v>
      </c>
      <c r="S60" s="1343">
        <v>12.4</v>
      </c>
      <c r="T60" s="1346">
        <v>202412.0324</v>
      </c>
      <c r="U60" s="1347">
        <v>3.3333333333333437E-2</v>
      </c>
      <c r="V60" s="1357" t="s">
        <v>1240</v>
      </c>
      <c r="W60" s="1349" t="s">
        <v>1241</v>
      </c>
      <c r="X60" s="1350">
        <v>195882.61199999999</v>
      </c>
      <c r="Y60" s="1350">
        <v>0</v>
      </c>
      <c r="Z60" s="1350"/>
      <c r="AA60" s="1352"/>
      <c r="AB60" s="1353"/>
      <c r="AC60" s="1358"/>
      <c r="AD60" s="1354"/>
      <c r="AE60" s="1354"/>
      <c r="AF60" s="1355"/>
      <c r="AG60" s="1359"/>
    </row>
    <row r="61" spans="1:73" s="1327" customFormat="1" ht="14.85" customHeight="1">
      <c r="B61" s="1321" t="s">
        <v>938</v>
      </c>
      <c r="C61" s="1340" t="s">
        <v>936</v>
      </c>
      <c r="D61" s="1341" t="s">
        <v>610</v>
      </c>
      <c r="E61" s="1340" t="s">
        <v>1253</v>
      </c>
      <c r="F61" s="1342">
        <v>42550</v>
      </c>
      <c r="G61" s="1356">
        <v>12.5</v>
      </c>
      <c r="H61" s="1356">
        <v>14</v>
      </c>
      <c r="I61" s="1356">
        <v>16</v>
      </c>
      <c r="J61" s="1356">
        <v>11.58</v>
      </c>
      <c r="K61" s="1325">
        <v>18760.161</v>
      </c>
      <c r="L61" s="1344">
        <v>4000</v>
      </c>
      <c r="M61" s="1344">
        <v>22760.161</v>
      </c>
      <c r="N61" s="1325">
        <v>234502.01250000001</v>
      </c>
      <c r="O61" s="1345">
        <v>50000</v>
      </c>
      <c r="P61" s="1325">
        <v>284502.01250000001</v>
      </c>
      <c r="Q61" s="1325"/>
      <c r="R61" s="1325">
        <v>1</v>
      </c>
      <c r="S61" s="1343">
        <v>11.58</v>
      </c>
      <c r="T61" s="1346">
        <v>263562.66438000003</v>
      </c>
      <c r="U61" s="1347">
        <v>-7.3599999999999888E-2</v>
      </c>
      <c r="V61" s="1357" t="s">
        <v>937</v>
      </c>
      <c r="W61" s="1349" t="s">
        <v>939</v>
      </c>
      <c r="X61" s="1350">
        <v>284502.01250000001</v>
      </c>
      <c r="Y61" s="1350">
        <v>0</v>
      </c>
      <c r="Z61" s="1350"/>
      <c r="AA61" s="1352"/>
      <c r="AB61" s="1353"/>
      <c r="AC61" s="1358"/>
      <c r="AD61" s="1354"/>
      <c r="AE61" s="1354"/>
      <c r="AF61" s="1355"/>
      <c r="AG61" s="1359"/>
    </row>
    <row r="62" spans="1:73" s="1327" customFormat="1" ht="14.85" customHeight="1">
      <c r="B62" s="1321" t="s">
        <v>1254</v>
      </c>
      <c r="C62" s="1340" t="s">
        <v>1255</v>
      </c>
      <c r="D62" s="1341" t="s">
        <v>610</v>
      </c>
      <c r="E62" s="1340" t="s">
        <v>1256</v>
      </c>
      <c r="F62" s="1342">
        <v>42542</v>
      </c>
      <c r="G62" s="1356">
        <v>14</v>
      </c>
      <c r="H62" s="1356">
        <v>14</v>
      </c>
      <c r="I62" s="1356">
        <v>16</v>
      </c>
      <c r="J62" s="1356">
        <v>13.77</v>
      </c>
      <c r="K62" s="1325">
        <v>12899.585999999999</v>
      </c>
      <c r="L62" s="1344">
        <v>5000</v>
      </c>
      <c r="M62" s="1344">
        <v>17899.585999999999</v>
      </c>
      <c r="N62" s="1325">
        <v>180594.204</v>
      </c>
      <c r="O62" s="1345">
        <v>70000</v>
      </c>
      <c r="P62" s="1325">
        <v>250594.204</v>
      </c>
      <c r="Q62" s="1325"/>
      <c r="R62" s="1325">
        <v>1</v>
      </c>
      <c r="S62" s="1343">
        <v>13.77</v>
      </c>
      <c r="T62" s="1346">
        <v>246477.29921999999</v>
      </c>
      <c r="U62" s="1347">
        <v>-1.6428571428571459E-2</v>
      </c>
      <c r="V62" s="1357" t="s">
        <v>1257</v>
      </c>
      <c r="W62" s="1349" t="s">
        <v>1258</v>
      </c>
      <c r="X62" s="1350">
        <v>250594.204</v>
      </c>
      <c r="Y62" s="1350">
        <v>0</v>
      </c>
      <c r="Z62" s="1350"/>
      <c r="AA62" s="1352"/>
      <c r="AB62" s="1353"/>
      <c r="AC62" s="1358"/>
      <c r="AD62" s="1354"/>
      <c r="AE62" s="1354"/>
      <c r="AF62" s="1355"/>
      <c r="AG62" s="1359"/>
    </row>
    <row r="63" spans="1:73" s="1327" customFormat="1" ht="14.85" customHeight="1">
      <c r="B63" s="1321" t="s">
        <v>1269</v>
      </c>
      <c r="C63" s="1340" t="s">
        <v>1270</v>
      </c>
      <c r="D63" s="1341" t="s">
        <v>1326</v>
      </c>
      <c r="E63" s="1340" t="s">
        <v>1271</v>
      </c>
      <c r="F63" s="1342">
        <v>42508</v>
      </c>
      <c r="G63" s="1356">
        <v>10</v>
      </c>
      <c r="H63" s="1356">
        <v>14</v>
      </c>
      <c r="I63" s="1356">
        <v>16</v>
      </c>
      <c r="J63" s="1356">
        <v>9.1691500000000001</v>
      </c>
      <c r="K63" s="1325">
        <v>8740.4410000000007</v>
      </c>
      <c r="L63" s="1344">
        <v>5500</v>
      </c>
      <c r="M63" s="1344">
        <v>14240.441000000001</v>
      </c>
      <c r="N63" s="1325">
        <v>87404.41</v>
      </c>
      <c r="O63" s="1345">
        <v>55000</v>
      </c>
      <c r="P63" s="1325">
        <v>142404.41</v>
      </c>
      <c r="Q63" s="1325"/>
      <c r="R63" s="1325">
        <v>1</v>
      </c>
      <c r="S63" s="1343">
        <v>9.1691500000000001</v>
      </c>
      <c r="T63" s="1346">
        <v>130572.73959515001</v>
      </c>
      <c r="U63" s="1347">
        <v>-8.3084999999999964E-2</v>
      </c>
      <c r="V63" s="1357" t="s">
        <v>1272</v>
      </c>
      <c r="W63" s="1349" t="s">
        <v>1273</v>
      </c>
      <c r="X63" s="1350">
        <v>142404.41</v>
      </c>
      <c r="Y63" s="1350">
        <v>0</v>
      </c>
      <c r="Z63" s="1350"/>
      <c r="AA63" s="1352"/>
      <c r="AB63" s="1353"/>
      <c r="AC63" s="1358"/>
      <c r="AD63" s="1354"/>
      <c r="AE63" s="1354"/>
      <c r="AF63" s="1355"/>
      <c r="AG63" s="1359"/>
    </row>
    <row r="64" spans="1:73" s="1327" customFormat="1" ht="14.85" customHeight="1">
      <c r="B64" s="1321" t="s">
        <v>1275</v>
      </c>
      <c r="C64" s="1340" t="s">
        <v>1276</v>
      </c>
      <c r="D64" s="1341" t="s">
        <v>610</v>
      </c>
      <c r="E64" s="1340" t="s">
        <v>1277</v>
      </c>
      <c r="F64" s="1342">
        <v>42502</v>
      </c>
      <c r="G64" s="1356">
        <v>6</v>
      </c>
      <c r="H64" s="1356">
        <v>11</v>
      </c>
      <c r="I64" s="1356">
        <v>13</v>
      </c>
      <c r="J64" s="1356">
        <v>3.35</v>
      </c>
      <c r="K64" s="1325">
        <v>16969.444</v>
      </c>
      <c r="L64" s="1344">
        <v>5833.3339999999998</v>
      </c>
      <c r="M64" s="1344">
        <v>22802.777999999998</v>
      </c>
      <c r="N64" s="1325">
        <v>101816.66399999999</v>
      </c>
      <c r="O64" s="1345">
        <v>35000.004000000001</v>
      </c>
      <c r="P64" s="1325">
        <v>136816.66800000001</v>
      </c>
      <c r="Q64" s="1325"/>
      <c r="R64" s="1325">
        <v>1</v>
      </c>
      <c r="S64" s="1343">
        <v>3.35</v>
      </c>
      <c r="T64" s="1346">
        <v>76389.306299999997</v>
      </c>
      <c r="U64" s="1347">
        <v>-0.44166666666666676</v>
      </c>
      <c r="V64" s="1357" t="s">
        <v>1278</v>
      </c>
      <c r="W64" s="1349" t="s">
        <v>1279</v>
      </c>
      <c r="X64" s="1350">
        <v>136816.66800000001</v>
      </c>
      <c r="Y64" s="1350">
        <v>0</v>
      </c>
      <c r="Z64" s="1350"/>
      <c r="AA64" s="1352"/>
      <c r="AB64" s="1353"/>
      <c r="AC64" s="1358"/>
      <c r="AD64" s="1354"/>
      <c r="AE64" s="1354"/>
      <c r="AF64" s="1355"/>
      <c r="AK64" s="1355"/>
      <c r="AL64" s="1360"/>
      <c r="AM64" s="1359"/>
    </row>
    <row r="65" spans="1:42" s="1321" customFormat="1" ht="14.85" customHeight="1">
      <c r="A65" s="1327"/>
      <c r="B65" s="1321" t="s">
        <v>1116</v>
      </c>
      <c r="C65" s="1340" t="s">
        <v>1290</v>
      </c>
      <c r="D65" s="1341" t="s">
        <v>1291</v>
      </c>
      <c r="E65" s="1340" t="s">
        <v>1292</v>
      </c>
      <c r="F65" s="1342">
        <v>42451</v>
      </c>
      <c r="G65" s="1356">
        <v>15</v>
      </c>
      <c r="H65" s="1356">
        <v>15</v>
      </c>
      <c r="I65" s="1356">
        <v>17</v>
      </c>
      <c r="J65" s="1356">
        <v>15.13</v>
      </c>
      <c r="K65" s="1325">
        <v>15706.356</v>
      </c>
      <c r="L65" s="1344">
        <v>4700</v>
      </c>
      <c r="M65" s="1344">
        <v>20406.356</v>
      </c>
      <c r="N65" s="1325">
        <v>235595.34</v>
      </c>
      <c r="O65" s="1345">
        <v>70500</v>
      </c>
      <c r="P65" s="1325">
        <v>306095.33999999997</v>
      </c>
      <c r="Q65" s="1325"/>
      <c r="R65" s="1325">
        <v>1</v>
      </c>
      <c r="S65" s="1343">
        <v>15.13</v>
      </c>
      <c r="T65" s="1346">
        <v>308748.16628</v>
      </c>
      <c r="U65" s="1347">
        <v>8.6666666666668224E-3</v>
      </c>
      <c r="V65" s="1348" t="s">
        <v>1293</v>
      </c>
      <c r="W65" s="1349" t="s">
        <v>1294</v>
      </c>
      <c r="X65" s="1350">
        <v>306095.33999999997</v>
      </c>
      <c r="Y65" s="1350">
        <v>0</v>
      </c>
      <c r="Z65" s="1350"/>
      <c r="AA65" s="1352"/>
      <c r="AB65" s="1353"/>
      <c r="AC65" s="1358"/>
      <c r="AD65" s="1354"/>
      <c r="AE65" s="1354"/>
      <c r="AF65" s="1355"/>
      <c r="AG65" s="1327"/>
      <c r="AK65" s="1345"/>
      <c r="AL65" s="1360"/>
      <c r="AM65" s="1359"/>
    </row>
    <row r="66" spans="1:42" s="1321" customFormat="1" ht="14.85" customHeight="1">
      <c r="A66" s="1327"/>
      <c r="B66" s="1321" t="s">
        <v>1120</v>
      </c>
      <c r="C66" s="1340" t="s">
        <v>1295</v>
      </c>
      <c r="D66" s="1341" t="s">
        <v>1402</v>
      </c>
      <c r="E66" s="1340" t="s">
        <v>1296</v>
      </c>
      <c r="F66" s="1342">
        <v>42431</v>
      </c>
      <c r="G66" s="1356">
        <v>12</v>
      </c>
      <c r="H66" s="1356">
        <v>14</v>
      </c>
      <c r="I66" s="1356">
        <v>16</v>
      </c>
      <c r="J66" s="1356">
        <v>13.11</v>
      </c>
      <c r="K66" s="1325">
        <v>12972.674999999999</v>
      </c>
      <c r="L66" s="1344">
        <v>4400</v>
      </c>
      <c r="M66" s="1344">
        <v>17372.674999999999</v>
      </c>
      <c r="N66" s="1325">
        <v>155672.09999999998</v>
      </c>
      <c r="O66" s="1345">
        <v>52800</v>
      </c>
      <c r="P66" s="1325">
        <v>208472.09999999998</v>
      </c>
      <c r="Q66" s="1325"/>
      <c r="R66" s="1325">
        <v>1</v>
      </c>
      <c r="S66" s="1343">
        <v>13.11</v>
      </c>
      <c r="T66" s="1346">
        <v>227755.76924999998</v>
      </c>
      <c r="U66" s="1347">
        <v>9.2500000000000027E-2</v>
      </c>
      <c r="V66" s="1348" t="s">
        <v>1297</v>
      </c>
      <c r="W66" s="1349" t="s">
        <v>1298</v>
      </c>
      <c r="X66" s="1350">
        <v>208472.09999999998</v>
      </c>
      <c r="Y66" s="1350">
        <v>0</v>
      </c>
      <c r="Z66" s="1350"/>
      <c r="AA66" s="1352"/>
      <c r="AB66" s="1353"/>
      <c r="AC66" s="1358"/>
      <c r="AD66" s="1354"/>
      <c r="AE66" s="1354"/>
      <c r="AF66" s="1355"/>
      <c r="AG66" s="1327"/>
      <c r="AK66" s="1345"/>
      <c r="AL66" s="1360"/>
      <c r="AM66" s="1359"/>
    </row>
    <row r="67" spans="1:42" s="1321" customFormat="1" ht="14.85" customHeight="1">
      <c r="A67" s="1327"/>
      <c r="B67" s="1321" t="s">
        <v>1299</v>
      </c>
      <c r="C67" s="1340" t="s">
        <v>1300</v>
      </c>
      <c r="D67" s="1341" t="s">
        <v>610</v>
      </c>
      <c r="E67" s="1340" t="s">
        <v>1301</v>
      </c>
      <c r="F67" s="1342">
        <v>42410</v>
      </c>
      <c r="G67" s="1356">
        <v>20</v>
      </c>
      <c r="H67" s="1356">
        <v>19</v>
      </c>
      <c r="I67" s="1356">
        <v>21</v>
      </c>
      <c r="J67" s="1356">
        <v>21.15</v>
      </c>
      <c r="K67" s="1325">
        <v>17650.57</v>
      </c>
      <c r="L67" s="1344">
        <v>4750</v>
      </c>
      <c r="M67" s="1344">
        <v>22400.57</v>
      </c>
      <c r="N67" s="1325">
        <v>353011.4</v>
      </c>
      <c r="O67" s="1345">
        <v>95000</v>
      </c>
      <c r="P67" s="1325">
        <v>448011.4</v>
      </c>
      <c r="Q67" s="1325"/>
      <c r="R67" s="1325">
        <v>1</v>
      </c>
      <c r="S67" s="1343">
        <v>21.15</v>
      </c>
      <c r="T67" s="1346">
        <v>473772.05549999996</v>
      </c>
      <c r="U67" s="1347">
        <v>5.7499999999999885E-2</v>
      </c>
      <c r="V67" s="1348" t="s">
        <v>1302</v>
      </c>
      <c r="W67" s="1349" t="s">
        <v>1303</v>
      </c>
      <c r="X67" s="1350">
        <v>448011.4</v>
      </c>
      <c r="Y67" s="1350">
        <v>0</v>
      </c>
      <c r="Z67" s="1350"/>
      <c r="AA67" s="1352"/>
      <c r="AB67" s="1353"/>
      <c r="AC67" s="1358"/>
      <c r="AD67" s="1354"/>
      <c r="AE67" s="1354"/>
      <c r="AF67" s="1355"/>
      <c r="AG67" s="1327"/>
      <c r="AK67" s="1345"/>
      <c r="AL67" s="1360"/>
      <c r="AM67" s="1359"/>
    </row>
    <row r="68" spans="1:42" s="1321" customFormat="1" ht="14.85" customHeight="1">
      <c r="A68" s="1327"/>
      <c r="B68" s="1321" t="s">
        <v>821</v>
      </c>
      <c r="C68" s="1340" t="s">
        <v>1315</v>
      </c>
      <c r="D68" s="1341" t="s">
        <v>586</v>
      </c>
      <c r="E68" s="1340" t="s">
        <v>1316</v>
      </c>
      <c r="F68" s="1342">
        <v>42318</v>
      </c>
      <c r="G68" s="1356">
        <v>14</v>
      </c>
      <c r="H68" s="1356">
        <v>15</v>
      </c>
      <c r="I68" s="1356">
        <v>17</v>
      </c>
      <c r="J68" s="1356">
        <v>23.72</v>
      </c>
      <c r="K68" s="1325">
        <v>21034.71</v>
      </c>
      <c r="L68" s="1344">
        <v>5000</v>
      </c>
      <c r="M68" s="1344">
        <v>26034.71</v>
      </c>
      <c r="N68" s="1325">
        <v>294485.94</v>
      </c>
      <c r="O68" s="1345">
        <v>70000</v>
      </c>
      <c r="P68" s="1325">
        <v>364485.94</v>
      </c>
      <c r="Q68" s="1325"/>
      <c r="R68" s="1325">
        <v>1</v>
      </c>
      <c r="S68" s="1343">
        <v>23.72</v>
      </c>
      <c r="T68" s="1346">
        <v>617543.32120000001</v>
      </c>
      <c r="U68" s="1347">
        <v>0.69428571428571439</v>
      </c>
      <c r="V68" s="1361" t="s">
        <v>1317</v>
      </c>
      <c r="W68" s="1349" t="s">
        <v>1803</v>
      </c>
      <c r="X68" s="1350">
        <v>364485.94</v>
      </c>
      <c r="Y68" s="1350">
        <v>0</v>
      </c>
      <c r="Z68" s="1350"/>
      <c r="AA68" s="1352"/>
      <c r="AB68" s="1353"/>
      <c r="AC68" s="1358"/>
      <c r="AD68" s="1354"/>
      <c r="AE68" s="1354"/>
      <c r="AF68" s="1355"/>
      <c r="AG68" s="1364"/>
      <c r="AH68" s="1363"/>
      <c r="AI68" s="1364"/>
      <c r="AJ68" s="1364"/>
      <c r="AK68" s="1363"/>
      <c r="AL68" s="1360"/>
      <c r="AM68" s="1359"/>
      <c r="AN68" s="1361"/>
      <c r="AO68" s="1366"/>
      <c r="AP68" s="1366"/>
    </row>
    <row r="69" spans="1:42" s="1321" customFormat="1" ht="14.85" customHeight="1">
      <c r="A69" s="1327"/>
      <c r="B69" s="1321" t="s">
        <v>1319</v>
      </c>
      <c r="C69" s="1340" t="s">
        <v>1320</v>
      </c>
      <c r="D69" s="1341" t="s">
        <v>610</v>
      </c>
      <c r="E69" s="1340" t="s">
        <v>1321</v>
      </c>
      <c r="F69" s="1342">
        <v>42305</v>
      </c>
      <c r="G69" s="1356">
        <v>10</v>
      </c>
      <c r="H69" s="1356">
        <v>15</v>
      </c>
      <c r="I69" s="1356">
        <v>17</v>
      </c>
      <c r="J69" s="1356">
        <v>12.4</v>
      </c>
      <c r="K69" s="1325">
        <v>20805.473000000002</v>
      </c>
      <c r="L69" s="1344">
        <v>5437.5</v>
      </c>
      <c r="M69" s="1344">
        <v>26242.973000000002</v>
      </c>
      <c r="N69" s="1325">
        <v>208054.73</v>
      </c>
      <c r="O69" s="1345">
        <v>54375</v>
      </c>
      <c r="P69" s="1325">
        <v>262429.73</v>
      </c>
      <c r="Q69" s="1325"/>
      <c r="R69" s="1325">
        <v>1</v>
      </c>
      <c r="S69" s="1343">
        <v>12.4</v>
      </c>
      <c r="T69" s="1346">
        <v>325412.86520000006</v>
      </c>
      <c r="U69" s="1347">
        <v>0.24000000000000021</v>
      </c>
      <c r="V69" s="1361" t="s">
        <v>1322</v>
      </c>
      <c r="W69" s="1349" t="s">
        <v>1323</v>
      </c>
      <c r="X69" s="1350">
        <v>262429.73</v>
      </c>
      <c r="Y69" s="1350">
        <v>0</v>
      </c>
      <c r="Z69" s="1350"/>
      <c r="AA69" s="1352"/>
      <c r="AB69" s="1353"/>
      <c r="AC69" s="1358"/>
      <c r="AD69" s="1354"/>
      <c r="AE69" s="1354"/>
      <c r="AF69" s="1355"/>
      <c r="AG69" s="1364"/>
      <c r="AH69" s="1363"/>
      <c r="AI69" s="1364"/>
      <c r="AJ69" s="1364"/>
      <c r="AK69" s="1363"/>
      <c r="AL69" s="1360"/>
      <c r="AM69" s="1359"/>
      <c r="AN69" s="1361"/>
      <c r="AO69" s="1366"/>
      <c r="AP69" s="1366"/>
    </row>
    <row r="70" spans="1:42" s="1321" customFormat="1" ht="14.85" customHeight="1">
      <c r="A70" s="1327"/>
      <c r="B70" s="1321" t="s">
        <v>1324</v>
      </c>
      <c r="C70" s="1340" t="s">
        <v>1325</v>
      </c>
      <c r="D70" s="1341" t="s">
        <v>610</v>
      </c>
      <c r="E70" s="1340" t="s">
        <v>1327</v>
      </c>
      <c r="F70" s="1342">
        <v>42298</v>
      </c>
      <c r="G70" s="1356">
        <v>13</v>
      </c>
      <c r="H70" s="1356">
        <v>14</v>
      </c>
      <c r="I70" s="1356">
        <v>16</v>
      </c>
      <c r="J70" s="1356">
        <v>13.45</v>
      </c>
      <c r="K70" s="1325">
        <v>19379.574000000001</v>
      </c>
      <c r="L70" s="1344">
        <v>5500</v>
      </c>
      <c r="M70" s="1344">
        <v>24879.574000000001</v>
      </c>
      <c r="N70" s="1325">
        <v>251934.462</v>
      </c>
      <c r="O70" s="1345">
        <v>71500</v>
      </c>
      <c r="P70" s="1325">
        <v>323434.462</v>
      </c>
      <c r="Q70" s="1325"/>
      <c r="R70" s="1325">
        <v>1</v>
      </c>
      <c r="S70" s="1343">
        <v>13.45</v>
      </c>
      <c r="T70" s="1346">
        <v>334630.27029999997</v>
      </c>
      <c r="U70" s="1347">
        <v>3.4615384615384492E-2</v>
      </c>
      <c r="V70" s="1348" t="s">
        <v>1328</v>
      </c>
      <c r="W70" s="1349" t="s">
        <v>1329</v>
      </c>
      <c r="X70" s="1350">
        <v>323434.462</v>
      </c>
      <c r="Y70" s="1350">
        <v>0</v>
      </c>
      <c r="Z70" s="1350"/>
      <c r="AA70" s="1352"/>
      <c r="AB70" s="1353"/>
      <c r="AC70" s="1358"/>
      <c r="AD70" s="1354"/>
      <c r="AE70" s="1354"/>
      <c r="AF70" s="1355"/>
      <c r="AG70" s="1327"/>
      <c r="AK70" s="1345"/>
      <c r="AL70" s="1360"/>
      <c r="AM70" s="1359"/>
    </row>
    <row r="71" spans="1:42" s="1321" customFormat="1" ht="14.85" customHeight="1">
      <c r="A71" s="1327"/>
      <c r="B71" s="1321" t="s">
        <v>1345</v>
      </c>
      <c r="C71" s="1340" t="s">
        <v>1346</v>
      </c>
      <c r="D71" s="1341" t="s">
        <v>610</v>
      </c>
      <c r="E71" s="1340" t="s">
        <v>1347</v>
      </c>
      <c r="F71" s="1342">
        <v>42277</v>
      </c>
      <c r="G71" s="1356">
        <v>7</v>
      </c>
      <c r="H71" s="1356">
        <v>13</v>
      </c>
      <c r="I71" s="1356">
        <v>15</v>
      </c>
      <c r="J71" s="1356">
        <v>5.78</v>
      </c>
      <c r="K71" s="1325">
        <v>13806.725999999999</v>
      </c>
      <c r="L71" s="1344">
        <v>6250</v>
      </c>
      <c r="M71" s="1344">
        <v>20056.725999999999</v>
      </c>
      <c r="N71" s="1325">
        <v>96647.081999999995</v>
      </c>
      <c r="O71" s="1345">
        <v>43750</v>
      </c>
      <c r="P71" s="1325">
        <v>140397.08199999999</v>
      </c>
      <c r="Q71" s="1325"/>
      <c r="R71" s="1325">
        <v>1</v>
      </c>
      <c r="S71" s="1343">
        <v>5.78</v>
      </c>
      <c r="T71" s="1346">
        <v>115927.87628</v>
      </c>
      <c r="U71" s="1347">
        <v>-0.17428571428571427</v>
      </c>
      <c r="V71" s="1348" t="s">
        <v>1348</v>
      </c>
      <c r="W71" s="1349" t="s">
        <v>1804</v>
      </c>
      <c r="X71" s="1350">
        <v>140397.08199999999</v>
      </c>
      <c r="Y71" s="1350">
        <v>0</v>
      </c>
      <c r="Z71" s="1350"/>
      <c r="AA71" s="1352"/>
      <c r="AB71" s="1353"/>
      <c r="AC71" s="1358"/>
      <c r="AD71" s="1354"/>
      <c r="AE71" s="1354"/>
      <c r="AF71" s="1355"/>
      <c r="AG71" s="1327"/>
      <c r="AK71" s="1345"/>
      <c r="AL71" s="1360"/>
      <c r="AM71" s="1359"/>
    </row>
    <row r="72" spans="1:42" s="1321" customFormat="1" ht="14.85" customHeight="1">
      <c r="A72" s="1327"/>
      <c r="B72" s="1321" t="s">
        <v>1386</v>
      </c>
      <c r="C72" s="1340" t="s">
        <v>1387</v>
      </c>
      <c r="D72" s="1341" t="s">
        <v>1326</v>
      </c>
      <c r="E72" s="1340" t="s">
        <v>1388</v>
      </c>
      <c r="F72" s="1342">
        <v>42179</v>
      </c>
      <c r="G72" s="1356">
        <v>12</v>
      </c>
      <c r="H72" s="1356">
        <v>13</v>
      </c>
      <c r="I72" s="1356">
        <v>15</v>
      </c>
      <c r="J72" s="1356">
        <v>13.9</v>
      </c>
      <c r="K72" s="1325">
        <v>9547.7960000000003</v>
      </c>
      <c r="L72" s="1344">
        <v>5000</v>
      </c>
      <c r="M72" s="1344">
        <v>14547.796</v>
      </c>
      <c r="N72" s="1325">
        <v>114573.552</v>
      </c>
      <c r="O72" s="1345">
        <v>60000</v>
      </c>
      <c r="P72" s="1325">
        <v>174573.552</v>
      </c>
      <c r="Q72" s="1325"/>
      <c r="R72" s="1325">
        <v>1</v>
      </c>
      <c r="S72" s="1343">
        <v>13.9</v>
      </c>
      <c r="T72" s="1346">
        <v>202214.36440000002</v>
      </c>
      <c r="U72" s="1347">
        <v>0.15833333333333344</v>
      </c>
      <c r="V72" s="1361" t="s">
        <v>1389</v>
      </c>
      <c r="W72" s="1349" t="s">
        <v>1805</v>
      </c>
      <c r="X72" s="1350">
        <v>174573.552</v>
      </c>
      <c r="Y72" s="1350">
        <v>0</v>
      </c>
      <c r="Z72" s="1350"/>
      <c r="AA72" s="1352"/>
      <c r="AB72" s="1353"/>
      <c r="AC72" s="1358"/>
      <c r="AD72" s="1354"/>
      <c r="AE72" s="1354"/>
      <c r="AF72" s="1355"/>
      <c r="AG72" s="1364"/>
      <c r="AH72" s="1363"/>
      <c r="AI72" s="1364"/>
      <c r="AJ72" s="1365"/>
      <c r="AK72" s="1363"/>
      <c r="AL72" s="1360"/>
      <c r="AM72" s="1359"/>
      <c r="AN72" s="1361"/>
      <c r="AO72" s="1366"/>
      <c r="AP72" s="1366"/>
    </row>
    <row r="73" spans="1:42" s="1362" customFormat="1" ht="14.85" customHeight="1">
      <c r="A73" s="1327"/>
      <c r="B73" s="1321" t="s">
        <v>1396</v>
      </c>
      <c r="C73" s="1340" t="s">
        <v>1397</v>
      </c>
      <c r="D73" s="1341" t="s">
        <v>586</v>
      </c>
      <c r="E73" s="1340" t="s">
        <v>1398</v>
      </c>
      <c r="F73" s="1342">
        <v>42171</v>
      </c>
      <c r="G73" s="1356">
        <v>14</v>
      </c>
      <c r="H73" s="1356">
        <v>13</v>
      </c>
      <c r="I73" s="1356">
        <v>15</v>
      </c>
      <c r="J73" s="1356">
        <v>19.010000000000002</v>
      </c>
      <c r="K73" s="1325">
        <v>9126.6830000000009</v>
      </c>
      <c r="L73" s="1344">
        <v>5500</v>
      </c>
      <c r="M73" s="1344">
        <v>14626.683000000001</v>
      </c>
      <c r="N73" s="1325">
        <v>127773.56200000001</v>
      </c>
      <c r="O73" s="1345">
        <v>77000</v>
      </c>
      <c r="P73" s="1325">
        <v>204773.56200000001</v>
      </c>
      <c r="Q73" s="1325"/>
      <c r="R73" s="1325">
        <v>1</v>
      </c>
      <c r="S73" s="1343">
        <v>19.010000000000002</v>
      </c>
      <c r="T73" s="1346">
        <v>278053.24383000005</v>
      </c>
      <c r="U73" s="1347">
        <v>0.3578571428571431</v>
      </c>
      <c r="V73" s="1348" t="s">
        <v>1399</v>
      </c>
      <c r="W73" s="1349" t="s">
        <v>1400</v>
      </c>
      <c r="X73" s="1350">
        <v>204773.56200000001</v>
      </c>
      <c r="Y73" s="1350">
        <v>0</v>
      </c>
      <c r="Z73" s="1350"/>
      <c r="AA73" s="1352"/>
      <c r="AB73" s="1353"/>
      <c r="AC73" s="1358"/>
      <c r="AD73" s="1354"/>
      <c r="AE73" s="1354"/>
      <c r="AF73" s="1355"/>
      <c r="AG73" s="1327"/>
      <c r="AH73" s="1321"/>
      <c r="AI73" s="1321"/>
      <c r="AJ73" s="1321"/>
      <c r="AK73" s="1345"/>
      <c r="AL73" s="1360"/>
      <c r="AM73" s="1359"/>
      <c r="AN73" s="1321"/>
      <c r="AO73" s="1321"/>
      <c r="AP73" s="1321"/>
    </row>
    <row r="74" spans="1:42" s="1362" customFormat="1" ht="14.85" customHeight="1">
      <c r="A74" s="1327"/>
      <c r="B74" s="1321" t="s">
        <v>1806</v>
      </c>
      <c r="C74" s="1340" t="s">
        <v>1401</v>
      </c>
      <c r="D74" s="1341" t="s">
        <v>1402</v>
      </c>
      <c r="E74" s="1340" t="s">
        <v>1403</v>
      </c>
      <c r="F74" s="1342">
        <v>42130</v>
      </c>
      <c r="G74" s="1356">
        <v>14</v>
      </c>
      <c r="H74" s="1356">
        <v>13</v>
      </c>
      <c r="I74" s="1356">
        <v>15</v>
      </c>
      <c r="J74" s="1356">
        <v>25.87</v>
      </c>
      <c r="K74" s="1325">
        <v>17189.739000000001</v>
      </c>
      <c r="L74" s="1344">
        <v>5360</v>
      </c>
      <c r="M74" s="1344">
        <v>22549.739000000001</v>
      </c>
      <c r="N74" s="1325">
        <v>240656.34600000002</v>
      </c>
      <c r="O74" s="1345">
        <v>75040</v>
      </c>
      <c r="P74" s="1325">
        <v>315696.34600000002</v>
      </c>
      <c r="Q74" s="1325"/>
      <c r="R74" s="1325">
        <v>1</v>
      </c>
      <c r="S74" s="1343">
        <v>25.87</v>
      </c>
      <c r="T74" s="1346">
        <v>583361.74793000007</v>
      </c>
      <c r="U74" s="1347">
        <v>0.84785714285714286</v>
      </c>
      <c r="V74" s="1348" t="s">
        <v>1404</v>
      </c>
      <c r="W74" s="1349" t="s">
        <v>1405</v>
      </c>
      <c r="X74" s="1350">
        <v>315696.34600000002</v>
      </c>
      <c r="Y74" s="1350">
        <v>0</v>
      </c>
      <c r="Z74" s="1350"/>
      <c r="AA74" s="1352"/>
      <c r="AB74" s="1353"/>
      <c r="AC74" s="1358"/>
      <c r="AD74" s="1354"/>
      <c r="AE74" s="1354"/>
      <c r="AF74" s="1355"/>
      <c r="AG74" s="1327"/>
      <c r="AH74" s="1321"/>
      <c r="AI74" s="1321"/>
      <c r="AJ74" s="1321"/>
      <c r="AK74" s="1345"/>
      <c r="AL74" s="1360"/>
      <c r="AM74" s="1359"/>
      <c r="AN74" s="1321"/>
      <c r="AO74" s="1321"/>
      <c r="AP74" s="1321"/>
    </row>
    <row r="75" spans="1:42" s="1362" customFormat="1" ht="14.85" customHeight="1">
      <c r="A75" s="1395"/>
      <c r="B75" s="1321" t="s">
        <v>1807</v>
      </c>
      <c r="C75" s="1340" t="s">
        <v>1808</v>
      </c>
      <c r="D75" s="1341" t="s">
        <v>1326</v>
      </c>
      <c r="E75" s="1340" t="s">
        <v>1809</v>
      </c>
      <c r="F75" s="1342">
        <v>42130</v>
      </c>
      <c r="G75" s="1356">
        <v>17</v>
      </c>
      <c r="H75" s="1356">
        <v>15</v>
      </c>
      <c r="I75" s="1356">
        <v>17</v>
      </c>
      <c r="J75" s="1356">
        <v>15.34</v>
      </c>
      <c r="K75" s="1325">
        <v>59535.316666666695</v>
      </c>
      <c r="L75" s="1344">
        <v>9375</v>
      </c>
      <c r="M75" s="1344">
        <v>68910.316666666695</v>
      </c>
      <c r="N75" s="1325">
        <v>1012100.3833333338</v>
      </c>
      <c r="O75" s="1345">
        <v>159375</v>
      </c>
      <c r="P75" s="1325">
        <v>1171475.3833333338</v>
      </c>
      <c r="Q75" s="1325"/>
      <c r="R75" s="1325">
        <v>1</v>
      </c>
      <c r="S75" s="1343">
        <v>15.34</v>
      </c>
      <c r="T75" s="1346">
        <v>1057084.257666667</v>
      </c>
      <c r="U75" s="1347">
        <v>-9.764705882352942E-2</v>
      </c>
      <c r="V75" s="1348" t="s">
        <v>1810</v>
      </c>
      <c r="W75" s="1349" t="s">
        <v>1811</v>
      </c>
      <c r="X75" s="1350">
        <v>1171475.3833333338</v>
      </c>
      <c r="Y75" s="1350">
        <v>0</v>
      </c>
      <c r="Z75" s="1350"/>
      <c r="AA75" s="1352"/>
      <c r="AB75" s="1353"/>
      <c r="AC75" s="1358"/>
      <c r="AD75" s="1354"/>
      <c r="AE75" s="1354"/>
      <c r="AF75" s="1355"/>
      <c r="AG75" s="1327"/>
      <c r="AH75" s="1321"/>
      <c r="AI75" s="1321"/>
      <c r="AJ75" s="1321"/>
      <c r="AK75" s="1345"/>
      <c r="AL75" s="1360"/>
      <c r="AM75" s="1359"/>
      <c r="AN75" s="1321"/>
      <c r="AO75" s="1321"/>
      <c r="AP75" s="1321"/>
    </row>
    <row r="76" spans="1:42" s="1362" customFormat="1" ht="14.85" customHeight="1">
      <c r="A76" s="1327"/>
      <c r="B76" s="1321" t="s">
        <v>1424</v>
      </c>
      <c r="C76" s="1340" t="s">
        <v>1425</v>
      </c>
      <c r="D76" s="1341" t="s">
        <v>610</v>
      </c>
      <c r="E76" s="1340" t="s">
        <v>1426</v>
      </c>
      <c r="F76" s="1342">
        <v>42122</v>
      </c>
      <c r="G76" s="1356">
        <v>8</v>
      </c>
      <c r="H76" s="1356">
        <v>10</v>
      </c>
      <c r="I76" s="1356">
        <v>12</v>
      </c>
      <c r="J76" s="1356">
        <v>8.23</v>
      </c>
      <c r="K76" s="1325">
        <v>6154.3289999999997</v>
      </c>
      <c r="L76" s="1344">
        <v>3000</v>
      </c>
      <c r="M76" s="1344">
        <v>9154.3289999999997</v>
      </c>
      <c r="N76" s="1325">
        <v>49234.631999999998</v>
      </c>
      <c r="O76" s="1345">
        <v>24000</v>
      </c>
      <c r="P76" s="1325">
        <v>73234.631999999998</v>
      </c>
      <c r="Q76" s="1325"/>
      <c r="R76" s="1325">
        <v>1</v>
      </c>
      <c r="S76" s="1343">
        <v>8.23</v>
      </c>
      <c r="T76" s="1346">
        <v>75340.127670000002</v>
      </c>
      <c r="U76" s="1347">
        <v>2.8750000000000053E-2</v>
      </c>
      <c r="V76" s="1361" t="s">
        <v>1427</v>
      </c>
      <c r="W76" s="1349" t="s">
        <v>1428</v>
      </c>
      <c r="X76" s="1350">
        <v>73234.631999999998</v>
      </c>
      <c r="Y76" s="1350">
        <v>0</v>
      </c>
      <c r="Z76" s="1350"/>
      <c r="AA76" s="1352"/>
      <c r="AB76" s="1353"/>
      <c r="AC76" s="1358"/>
      <c r="AD76" s="1354"/>
      <c r="AE76" s="1354"/>
      <c r="AF76" s="1355"/>
      <c r="AK76" s="1363"/>
      <c r="AL76" s="1360"/>
      <c r="AM76" s="1359"/>
    </row>
    <row r="77" spans="1:42" s="1362" customFormat="1" ht="14.85" customHeight="1">
      <c r="A77" s="1395"/>
      <c r="B77" s="1321" t="s">
        <v>1482</v>
      </c>
      <c r="C77" s="1340" t="s">
        <v>1483</v>
      </c>
      <c r="D77" s="1341" t="s">
        <v>1326</v>
      </c>
      <c r="E77" s="1340" t="s">
        <v>1484</v>
      </c>
      <c r="F77" s="1342">
        <v>41991</v>
      </c>
      <c r="G77" s="1356">
        <v>24</v>
      </c>
      <c r="H77" s="1356">
        <v>15</v>
      </c>
      <c r="I77" s="1356">
        <v>18</v>
      </c>
      <c r="J77" s="1356">
        <v>50.14</v>
      </c>
      <c r="K77" s="1325">
        <f>+M77-L77</f>
        <v>65143.189000000006</v>
      </c>
      <c r="L77" s="1344">
        <v>12676.353999999999</v>
      </c>
      <c r="M77" s="1344">
        <v>77819.543000000005</v>
      </c>
      <c r="N77" s="1325">
        <f>+G77*K77</f>
        <v>1563436.5360000001</v>
      </c>
      <c r="O77" s="1345">
        <f>+G77*L77</f>
        <v>304232.49599999998</v>
      </c>
      <c r="P77" s="1325">
        <f>+N77+O77</f>
        <v>1867669.0320000001</v>
      </c>
      <c r="Q77" s="1325"/>
      <c r="R77" s="1325">
        <v>1</v>
      </c>
      <c r="S77" s="1343">
        <f>J77</f>
        <v>50.14</v>
      </c>
      <c r="T77" s="1346">
        <f>S77*M77</f>
        <v>3901871.8860200001</v>
      </c>
      <c r="U77" s="1347">
        <f>T77/P77-1</f>
        <v>1.0891666666666664</v>
      </c>
      <c r="V77" s="1349" t="s">
        <v>1485</v>
      </c>
      <c r="W77" s="1349" t="s">
        <v>1486</v>
      </c>
      <c r="X77" s="1350">
        <f>+N77+O77</f>
        <v>1867669.0320000001</v>
      </c>
      <c r="Y77" s="1350">
        <v>0</v>
      </c>
      <c r="Z77" s="1350">
        <v>35966</v>
      </c>
      <c r="AA77" s="1352">
        <f>X77+Y77-Z77</f>
        <v>1831703.0320000001</v>
      </c>
      <c r="AB77" s="1353">
        <v>43131</v>
      </c>
      <c r="AC77" s="1358">
        <v>-234013</v>
      </c>
      <c r="AD77" s="1354">
        <f>IFERROR(AA77/AB77,"n/a")</f>
        <v>42.468364563770841</v>
      </c>
      <c r="AE77" s="1354">
        <f>IFERROR(AA77/AC77,"n/a")</f>
        <v>-7.8273558819381837</v>
      </c>
      <c r="AF77" s="1355">
        <f>+P77-X77</f>
        <v>0</v>
      </c>
      <c r="AK77" s="1363"/>
      <c r="AL77" s="1360"/>
      <c r="AM77" s="1359"/>
    </row>
    <row r="78" spans="1:42" s="1362" customFormat="1" ht="14.85" customHeight="1">
      <c r="A78" s="1327"/>
      <c r="B78" s="1321"/>
      <c r="C78" s="1340"/>
      <c r="D78" s="1341"/>
      <c r="E78" s="1340"/>
      <c r="F78" s="1342"/>
      <c r="G78" s="1367"/>
      <c r="H78" s="1356"/>
      <c r="I78" s="1356"/>
      <c r="J78" s="1367"/>
      <c r="K78" s="1368"/>
      <c r="L78" s="1345"/>
      <c r="M78" s="1345"/>
      <c r="N78" s="1325"/>
      <c r="O78" s="1345"/>
      <c r="P78" s="1325"/>
      <c r="Q78" s="1325"/>
      <c r="R78" s="1325"/>
      <c r="S78" s="1343"/>
      <c r="T78" s="1346"/>
      <c r="U78" s="1347"/>
      <c r="V78" s="1361"/>
      <c r="W78" s="1349"/>
      <c r="X78" s="1350"/>
      <c r="Y78" s="1350"/>
      <c r="Z78" s="1350"/>
      <c r="AA78" s="1352"/>
      <c r="AB78" s="1353"/>
      <c r="AC78" s="1358"/>
      <c r="AD78" s="1354"/>
      <c r="AE78" s="1354"/>
      <c r="AF78" s="1355"/>
      <c r="AK78" s="1363"/>
      <c r="AL78" s="1360"/>
      <c r="AM78" s="1359"/>
    </row>
    <row r="79" spans="1:42" s="1362" customFormat="1" ht="14.85" customHeight="1">
      <c r="A79" s="1327"/>
      <c r="B79" s="1369" t="s">
        <v>111</v>
      </c>
      <c r="C79" s="1370"/>
      <c r="D79" s="1370"/>
      <c r="E79" s="1370"/>
      <c r="F79" s="1370"/>
      <c r="G79" s="1370"/>
      <c r="H79" s="1370"/>
      <c r="I79" s="1370"/>
      <c r="J79" s="1370"/>
      <c r="K79" s="1370"/>
      <c r="L79" s="1370"/>
      <c r="M79" s="1370"/>
      <c r="N79" s="1371">
        <f>MAX(N40:N77)</f>
        <v>1563436.5360000001</v>
      </c>
      <c r="O79" s="1371"/>
      <c r="P79" s="1372">
        <f>MAX(P40:P77)</f>
        <v>1867669.0320000001</v>
      </c>
      <c r="Q79" s="1325"/>
      <c r="R79" s="1325"/>
      <c r="S79" s="1373">
        <f>MAX(S40:S77)</f>
        <v>50.14</v>
      </c>
      <c r="T79" s="1346"/>
      <c r="U79" s="1347"/>
      <c r="V79" s="1361"/>
      <c r="W79" s="1349"/>
      <c r="X79" s="1350"/>
      <c r="Y79" s="1350"/>
      <c r="Z79" s="1350"/>
      <c r="AA79" s="1352"/>
      <c r="AB79" s="1353"/>
      <c r="AC79" s="1358"/>
      <c r="AD79" s="1354"/>
      <c r="AE79" s="1354"/>
      <c r="AF79" s="1355"/>
      <c r="AK79" s="1363"/>
      <c r="AL79" s="1360"/>
      <c r="AM79" s="1359"/>
    </row>
    <row r="80" spans="1:42" s="1362" customFormat="1" ht="14.85" customHeight="1">
      <c r="A80" s="1327"/>
      <c r="B80" s="1374" t="s">
        <v>115</v>
      </c>
      <c r="C80" s="1375"/>
      <c r="D80" s="1375"/>
      <c r="E80" s="1375"/>
      <c r="F80" s="1375"/>
      <c r="G80" s="1375"/>
      <c r="H80" s="1375"/>
      <c r="I80" s="1375"/>
      <c r="J80" s="1375"/>
      <c r="K80" s="1375"/>
      <c r="L80" s="1375"/>
      <c r="M80" s="1375"/>
      <c r="N80" s="1299">
        <f>_xlfn.QUARTILE.INC(N40:N77,3)</f>
        <v>344351.049</v>
      </c>
      <c r="O80" s="1299"/>
      <c r="P80" s="1376">
        <f>_xlfn.QUARTILE.INC(P40:P77,3)</f>
        <v>439498.48125000001</v>
      </c>
      <c r="Q80" s="1325"/>
      <c r="R80" s="1325"/>
      <c r="S80" s="1377">
        <f>_xlfn.QUARTILE.INC(S40:S77,3)</f>
        <v>18.935000000000002</v>
      </c>
      <c r="T80" s="1346"/>
      <c r="U80" s="1347"/>
      <c r="V80" s="1361"/>
      <c r="W80" s="1349"/>
      <c r="X80" s="1350"/>
      <c r="Y80" s="1350"/>
      <c r="Z80" s="1350"/>
      <c r="AA80" s="1352"/>
      <c r="AB80" s="1353"/>
      <c r="AC80" s="1358"/>
      <c r="AD80" s="1354"/>
      <c r="AE80" s="1354"/>
      <c r="AF80" s="1355"/>
      <c r="AK80" s="1363"/>
      <c r="AL80" s="1360"/>
      <c r="AM80" s="1359"/>
    </row>
    <row r="81" spans="1:42" s="1362" customFormat="1" ht="14.85" customHeight="1">
      <c r="A81" s="1327"/>
      <c r="B81" s="1374" t="s">
        <v>43</v>
      </c>
      <c r="C81" s="1375"/>
      <c r="D81" s="1375"/>
      <c r="E81" s="1375"/>
      <c r="F81" s="1375"/>
      <c r="G81" s="1375"/>
      <c r="H81" s="1375"/>
      <c r="I81" s="1375"/>
      <c r="J81" s="1375"/>
      <c r="K81" s="1375"/>
      <c r="L81" s="1375"/>
      <c r="M81" s="1375"/>
      <c r="N81" s="1299">
        <f>AVERAGE(N40:N77)</f>
        <v>323545.18573245616</v>
      </c>
      <c r="O81" s="1299"/>
      <c r="P81" s="1376">
        <f>AVERAGE(P40:P77)</f>
        <v>408385.2507061403</v>
      </c>
      <c r="Q81" s="1325"/>
      <c r="R81" s="1325"/>
      <c r="S81" s="1377">
        <f>AVERAGE(S40:S77)</f>
        <v>15.974609473684207</v>
      </c>
      <c r="T81" s="1346"/>
      <c r="U81" s="1347"/>
      <c r="V81" s="1361"/>
      <c r="W81" s="1349"/>
      <c r="X81" s="1350"/>
      <c r="Y81" s="1350"/>
      <c r="Z81" s="1350"/>
      <c r="AA81" s="1352"/>
      <c r="AB81" s="1353"/>
      <c r="AC81" s="1358"/>
      <c r="AD81" s="1354"/>
      <c r="AE81" s="1354"/>
      <c r="AF81" s="1355"/>
      <c r="AK81" s="1363"/>
      <c r="AL81" s="1360"/>
      <c r="AM81" s="1359"/>
    </row>
    <row r="82" spans="1:42" s="1362" customFormat="1" ht="14.85" customHeight="1">
      <c r="A82" s="1327"/>
      <c r="B82" s="1374" t="s">
        <v>44</v>
      </c>
      <c r="C82" s="1375"/>
      <c r="D82" s="1375"/>
      <c r="E82" s="1375"/>
      <c r="F82" s="1375"/>
      <c r="G82" s="1375"/>
      <c r="H82" s="1375"/>
      <c r="I82" s="1375"/>
      <c r="J82" s="1375"/>
      <c r="K82" s="1375"/>
      <c r="L82" s="1375"/>
      <c r="M82" s="1375"/>
      <c r="N82" s="1299">
        <f>MEDIAN(N40:N77)</f>
        <v>246295.40400000001</v>
      </c>
      <c r="O82" s="1299"/>
      <c r="P82" s="1376">
        <f>MEDIAN(P40:P77)</f>
        <v>319565.40399999998</v>
      </c>
      <c r="Q82" s="1325"/>
      <c r="R82" s="1325"/>
      <c r="S82" s="1377">
        <f>MEDIAN(S40:S77)</f>
        <v>14.254999999999999</v>
      </c>
      <c r="T82" s="1346"/>
      <c r="U82" s="1347"/>
      <c r="V82" s="1361"/>
      <c r="W82" s="1349"/>
      <c r="X82" s="1350"/>
      <c r="Y82" s="1350"/>
      <c r="Z82" s="1350"/>
      <c r="AA82" s="1352"/>
      <c r="AB82" s="1353"/>
      <c r="AC82" s="1358"/>
      <c r="AD82" s="1354"/>
      <c r="AE82" s="1354"/>
      <c r="AF82" s="1355"/>
      <c r="AK82" s="1363"/>
      <c r="AL82" s="1360"/>
      <c r="AM82" s="1359"/>
    </row>
    <row r="83" spans="1:42" s="1362" customFormat="1" ht="14.85" customHeight="1">
      <c r="A83" s="1327"/>
      <c r="B83" s="1374" t="s">
        <v>114</v>
      </c>
      <c r="C83" s="1375"/>
      <c r="D83" s="1375"/>
      <c r="E83" s="1375"/>
      <c r="F83" s="1375"/>
      <c r="G83" s="1375"/>
      <c r="H83" s="1375"/>
      <c r="I83" s="1375"/>
      <c r="J83" s="1375"/>
      <c r="K83" s="1375"/>
      <c r="L83" s="1375"/>
      <c r="M83" s="1375"/>
      <c r="N83" s="1299">
        <f>_xlfn.QUARTILE.INC(N40:N77,1)</f>
        <v>120119.07249999999</v>
      </c>
      <c r="O83" s="1299"/>
      <c r="P83" s="1376">
        <f>_xlfn.QUARTILE.INC(P40:P77,1)</f>
        <v>198105.34950000001</v>
      </c>
      <c r="Q83" s="1325"/>
      <c r="R83" s="1325"/>
      <c r="S83" s="1377">
        <f>_xlfn.QUARTILE.INC(S40:S77,1)</f>
        <v>12.205</v>
      </c>
      <c r="T83" s="1346">
        <v>1000</v>
      </c>
      <c r="U83" s="1347"/>
      <c r="V83" s="1361"/>
      <c r="W83" s="1349"/>
      <c r="X83" s="1350"/>
      <c r="Y83" s="1350"/>
      <c r="Z83" s="1350"/>
      <c r="AA83" s="1352"/>
      <c r="AB83" s="1353"/>
      <c r="AC83" s="1358"/>
      <c r="AD83" s="1354"/>
      <c r="AE83" s="1354"/>
      <c r="AF83" s="1355"/>
      <c r="AK83" s="1363"/>
      <c r="AL83" s="1360"/>
      <c r="AM83" s="1359"/>
    </row>
    <row r="84" spans="1:42" s="1362" customFormat="1" ht="14.85" customHeight="1">
      <c r="A84" s="1327"/>
      <c r="B84" s="1378" t="s">
        <v>112</v>
      </c>
      <c r="C84" s="1379"/>
      <c r="D84" s="1379"/>
      <c r="E84" s="1379"/>
      <c r="F84" s="1379"/>
      <c r="G84" s="1379"/>
      <c r="H84" s="1379"/>
      <c r="I84" s="1379"/>
      <c r="J84" s="1379"/>
      <c r="K84" s="1379"/>
      <c r="L84" s="1379"/>
      <c r="M84" s="1379"/>
      <c r="N84" s="1301">
        <f>MIN(N40:N77)</f>
        <v>40848.839999999997</v>
      </c>
      <c r="O84" s="1301"/>
      <c r="P84" s="1380">
        <f>MIN(P40:P77)</f>
        <v>52970.983999999997</v>
      </c>
      <c r="Q84" s="1325"/>
      <c r="R84" s="1325"/>
      <c r="S84" s="1381">
        <f>MIN(S40:S77)</f>
        <v>3.35</v>
      </c>
      <c r="T84" s="1346"/>
      <c r="U84" s="1347"/>
      <c r="V84" s="1361"/>
      <c r="W84" s="1349"/>
      <c r="X84" s="1350"/>
      <c r="Y84" s="1350"/>
      <c r="Z84" s="1350"/>
      <c r="AA84" s="1352"/>
      <c r="AB84" s="1353"/>
      <c r="AC84" s="1358"/>
      <c r="AD84" s="1354"/>
      <c r="AE84" s="1354"/>
      <c r="AF84" s="1355"/>
      <c r="AK84" s="1363"/>
      <c r="AL84" s="1360"/>
      <c r="AM84" s="1359"/>
    </row>
    <row r="85" spans="1:42" s="1362" customFormat="1" ht="14.85" customHeight="1">
      <c r="A85" s="1327"/>
      <c r="B85" s="1321"/>
      <c r="C85" s="1340"/>
      <c r="D85" s="1341"/>
      <c r="E85" s="1340"/>
      <c r="F85" s="1342"/>
      <c r="G85" s="1367"/>
      <c r="H85" s="1356"/>
      <c r="I85" s="1356"/>
      <c r="J85" s="1367"/>
      <c r="K85" s="1368"/>
      <c r="L85" s="1345"/>
      <c r="M85" s="1345"/>
      <c r="N85" s="1325"/>
      <c r="O85" s="1345"/>
      <c r="P85" s="1325"/>
      <c r="Q85" s="1325"/>
      <c r="R85" s="1325"/>
      <c r="S85" s="1343"/>
      <c r="T85" s="1346"/>
      <c r="U85" s="1347"/>
      <c r="V85" s="1361"/>
      <c r="W85" s="1349"/>
      <c r="X85" s="1350"/>
      <c r="Y85" s="1350"/>
      <c r="Z85" s="1350"/>
      <c r="AA85" s="1352"/>
      <c r="AB85" s="1353"/>
      <c r="AC85" s="1358"/>
      <c r="AD85" s="1354"/>
      <c r="AE85" s="1354"/>
      <c r="AF85" s="1355"/>
      <c r="AK85" s="1363"/>
      <c r="AL85" s="1360"/>
      <c r="AM85" s="1359"/>
    </row>
    <row r="86" spans="1:42" s="1362" customFormat="1" ht="14.85" customHeight="1">
      <c r="A86" s="1327"/>
      <c r="B86" s="1382" t="s">
        <v>1812</v>
      </c>
      <c r="C86" s="1340"/>
      <c r="D86" s="1341"/>
      <c r="E86" s="1340"/>
      <c r="F86" s="1342"/>
      <c r="G86" s="1367"/>
      <c r="H86" s="1356"/>
      <c r="I86" s="1356"/>
      <c r="J86" s="1367"/>
      <c r="K86" s="1368"/>
      <c r="L86" s="1345"/>
      <c r="M86" s="1345"/>
      <c r="N86" s="1325"/>
      <c r="O86" s="1345"/>
      <c r="P86" s="1325"/>
      <c r="Q86" s="1325"/>
      <c r="R86" s="1325"/>
      <c r="S86" s="1343"/>
      <c r="T86" s="1346"/>
      <c r="U86" s="1347"/>
      <c r="V86" s="1361"/>
      <c r="W86" s="1349"/>
      <c r="X86" s="1350"/>
      <c r="Y86" s="1350"/>
      <c r="Z86" s="1350"/>
      <c r="AA86" s="1352"/>
      <c r="AB86" s="1353"/>
      <c r="AC86" s="1358"/>
      <c r="AD86" s="1354"/>
      <c r="AE86" s="1354"/>
      <c r="AF86" s="1355"/>
      <c r="AK86" s="1363"/>
      <c r="AL86" s="1360"/>
      <c r="AM86" s="1359"/>
    </row>
    <row r="87" spans="1:42" s="1362" customFormat="1" ht="14.85" customHeight="1">
      <c r="A87" s="1327"/>
      <c r="B87" s="1321" t="s">
        <v>3705</v>
      </c>
      <c r="C87" s="1340" t="s">
        <v>3706</v>
      </c>
      <c r="D87" s="1341" t="s">
        <v>587</v>
      </c>
      <c r="E87" s="1340" t="s">
        <v>3707</v>
      </c>
      <c r="F87" s="1342">
        <v>43243</v>
      </c>
      <c r="G87" s="1356">
        <v>18</v>
      </c>
      <c r="H87" s="1356">
        <v>17</v>
      </c>
      <c r="I87" s="1356">
        <v>19</v>
      </c>
      <c r="J87" s="1356">
        <v>19.22</v>
      </c>
      <c r="K87" s="1325">
        <v>6270.5689999999995</v>
      </c>
      <c r="L87" s="1345">
        <v>8477.777</v>
      </c>
      <c r="M87" s="1345">
        <v>14748.346</v>
      </c>
      <c r="N87" s="1325">
        <v>112870.242</v>
      </c>
      <c r="O87" s="1345">
        <v>152599.986</v>
      </c>
      <c r="P87" s="1325">
        <v>265470.228</v>
      </c>
      <c r="Q87" s="1325"/>
      <c r="R87" s="1325">
        <v>1</v>
      </c>
      <c r="S87" s="1343">
        <v>19.22</v>
      </c>
      <c r="T87" s="1346">
        <v>283463.21012</v>
      </c>
      <c r="U87" s="1347">
        <v>6.7777777777777715E-2</v>
      </c>
      <c r="V87" s="1348" t="s">
        <v>3708</v>
      </c>
      <c r="W87" s="1349" t="s">
        <v>3709</v>
      </c>
      <c r="X87" s="1350">
        <v>265470.228</v>
      </c>
      <c r="Y87" s="1383">
        <v>0</v>
      </c>
      <c r="Z87" s="1383"/>
      <c r="AA87" s="1352"/>
      <c r="AB87" s="1353"/>
      <c r="AC87" s="1353"/>
      <c r="AD87" s="1385"/>
      <c r="AE87" s="1385"/>
      <c r="AF87" s="1355"/>
      <c r="AG87" s="1327"/>
      <c r="AH87" s="1321"/>
      <c r="AI87" s="1321"/>
      <c r="AJ87" s="1321"/>
      <c r="AK87" s="1345"/>
      <c r="AL87" s="1360"/>
      <c r="AM87" s="1359"/>
      <c r="AN87" s="1321"/>
      <c r="AO87" s="1321"/>
      <c r="AP87" s="1321"/>
    </row>
    <row r="88" spans="1:42" s="1362" customFormat="1" ht="14.85" customHeight="1">
      <c r="A88" s="1327"/>
      <c r="B88" s="1321" t="s">
        <v>3710</v>
      </c>
      <c r="C88" s="1340" t="s">
        <v>3711</v>
      </c>
      <c r="D88" s="1341" t="s">
        <v>587</v>
      </c>
      <c r="E88" s="1340" t="s">
        <v>3712</v>
      </c>
      <c r="F88" s="1342">
        <v>43187</v>
      </c>
      <c r="G88" s="1356">
        <v>5</v>
      </c>
      <c r="H88" s="1356">
        <v>4</v>
      </c>
      <c r="I88" s="1356">
        <v>6</v>
      </c>
      <c r="J88" s="1356">
        <v>15.21</v>
      </c>
      <c r="K88" s="1325">
        <v>11755.004000000001</v>
      </c>
      <c r="L88" s="1345">
        <v>1280</v>
      </c>
      <c r="M88" s="1345">
        <v>13035.004000000001</v>
      </c>
      <c r="N88" s="1325">
        <v>58775.020000000004</v>
      </c>
      <c r="O88" s="1345">
        <v>6400</v>
      </c>
      <c r="P88" s="1325">
        <v>65175.020000000004</v>
      </c>
      <c r="Q88" s="1325"/>
      <c r="R88" s="1325">
        <v>1</v>
      </c>
      <c r="S88" s="1343">
        <v>15.21</v>
      </c>
      <c r="T88" s="1346">
        <v>198262.41084000003</v>
      </c>
      <c r="U88" s="1347">
        <v>2.0420000000000003</v>
      </c>
      <c r="V88" s="1348" t="s">
        <v>3713</v>
      </c>
      <c r="W88" s="1349" t="s">
        <v>3714</v>
      </c>
      <c r="X88" s="1350">
        <v>65175.020000000004</v>
      </c>
      <c r="Y88" s="1383">
        <v>0</v>
      </c>
      <c r="Z88" s="1383"/>
      <c r="AA88" s="1352"/>
      <c r="AB88" s="1353"/>
      <c r="AC88" s="1353"/>
      <c r="AD88" s="1385"/>
      <c r="AE88" s="1385"/>
      <c r="AF88" s="1355"/>
      <c r="AG88" s="1327"/>
      <c r="AH88" s="1321"/>
      <c r="AI88" s="1321"/>
      <c r="AJ88" s="1321"/>
      <c r="AK88" s="1345"/>
      <c r="AL88" s="1360"/>
      <c r="AM88" s="1359"/>
      <c r="AN88" s="1321"/>
      <c r="AO88" s="1321"/>
      <c r="AP88" s="1321"/>
    </row>
    <row r="89" spans="1:42" s="1362" customFormat="1" ht="14.85" customHeight="1">
      <c r="A89" s="1327"/>
      <c r="B89" s="1321" t="s">
        <v>3715</v>
      </c>
      <c r="C89" s="1340" t="s">
        <v>3716</v>
      </c>
      <c r="D89" s="1341" t="s">
        <v>587</v>
      </c>
      <c r="E89" s="1340" t="s">
        <v>3717</v>
      </c>
      <c r="F89" s="1342">
        <v>43131</v>
      </c>
      <c r="G89" s="1356">
        <v>12</v>
      </c>
      <c r="H89" s="1356">
        <v>11</v>
      </c>
      <c r="I89" s="1356">
        <v>13</v>
      </c>
      <c r="J89" s="1356">
        <v>10.96</v>
      </c>
      <c r="K89" s="1325">
        <v>11735.069</v>
      </c>
      <c r="L89" s="1345">
        <v>6250</v>
      </c>
      <c r="M89" s="1345">
        <v>17985.069</v>
      </c>
      <c r="N89" s="1325">
        <v>140820.82799999998</v>
      </c>
      <c r="O89" s="1345">
        <v>75000</v>
      </c>
      <c r="P89" s="1325">
        <v>215820.82799999998</v>
      </c>
      <c r="Q89" s="1325"/>
      <c r="R89" s="1325">
        <v>1</v>
      </c>
      <c r="S89" s="1343">
        <v>10.96</v>
      </c>
      <c r="T89" s="1346">
        <v>197116.35624000002</v>
      </c>
      <c r="U89" s="1347">
        <v>-8.6666666666666448E-2</v>
      </c>
      <c r="V89" s="1348" t="s">
        <v>3718</v>
      </c>
      <c r="W89" s="1349" t="s">
        <v>3719</v>
      </c>
      <c r="X89" s="1350">
        <v>215820.82799999998</v>
      </c>
      <c r="Y89" s="1383">
        <v>0</v>
      </c>
      <c r="Z89" s="1383"/>
      <c r="AA89" s="1352"/>
      <c r="AB89" s="1353"/>
      <c r="AC89" s="1353"/>
      <c r="AD89" s="1385"/>
      <c r="AE89" s="1385"/>
      <c r="AF89" s="1355"/>
      <c r="AG89" s="1327"/>
      <c r="AH89" s="1321"/>
      <c r="AI89" s="1321"/>
      <c r="AJ89" s="1321"/>
      <c r="AK89" s="1345"/>
      <c r="AL89" s="1360"/>
      <c r="AM89" s="1359"/>
      <c r="AN89" s="1321"/>
      <c r="AO89" s="1321"/>
      <c r="AP89" s="1321"/>
    </row>
    <row r="90" spans="1:42" s="1362" customFormat="1" ht="14.85" customHeight="1">
      <c r="A90" s="1327"/>
      <c r="B90" s="1321" t="s">
        <v>3720</v>
      </c>
      <c r="C90" s="1340" t="s">
        <v>3721</v>
      </c>
      <c r="D90" s="1341" t="s">
        <v>1392</v>
      </c>
      <c r="E90" s="1340" t="s">
        <v>3722</v>
      </c>
      <c r="F90" s="1342">
        <v>43125</v>
      </c>
      <c r="G90" s="1356">
        <v>15</v>
      </c>
      <c r="H90" s="1356">
        <v>14</v>
      </c>
      <c r="I90" s="1356">
        <v>16</v>
      </c>
      <c r="J90" s="1356">
        <v>20.85</v>
      </c>
      <c r="K90" s="1325">
        <v>21529.647999999997</v>
      </c>
      <c r="L90" s="1345">
        <v>5666.6670000000004</v>
      </c>
      <c r="M90" s="1345">
        <v>27196.314999999999</v>
      </c>
      <c r="N90" s="1325">
        <v>322944.71999999997</v>
      </c>
      <c r="O90" s="1345">
        <v>85000.005000000005</v>
      </c>
      <c r="P90" s="1325">
        <v>407944.72499999998</v>
      </c>
      <c r="Q90" s="1325"/>
      <c r="R90" s="1325">
        <v>1</v>
      </c>
      <c r="S90" s="1343">
        <v>20.85</v>
      </c>
      <c r="T90" s="1346">
        <v>567043.16775000002</v>
      </c>
      <c r="U90" s="1347">
        <v>0.39000000000000012</v>
      </c>
      <c r="V90" s="1348" t="s">
        <v>3723</v>
      </c>
      <c r="W90" s="1349" t="s">
        <v>3724</v>
      </c>
      <c r="X90" s="1350">
        <v>407944.72499999998</v>
      </c>
      <c r="Y90" s="1383">
        <v>0</v>
      </c>
      <c r="Z90" s="1383"/>
      <c r="AA90" s="1352"/>
      <c r="AB90" s="1353"/>
      <c r="AC90" s="1353"/>
      <c r="AD90" s="1385"/>
      <c r="AE90" s="1385"/>
      <c r="AF90" s="1355"/>
      <c r="AG90" s="1327"/>
      <c r="AH90" s="1321"/>
      <c r="AI90" s="1321"/>
      <c r="AJ90" s="1321"/>
      <c r="AK90" s="1345"/>
      <c r="AL90" s="1360"/>
      <c r="AM90" s="1359"/>
      <c r="AN90" s="1321"/>
      <c r="AO90" s="1321"/>
      <c r="AP90" s="1321"/>
    </row>
    <row r="91" spans="1:42" s="1362" customFormat="1" ht="14.85" customHeight="1">
      <c r="A91" s="1327"/>
      <c r="B91" s="1321" t="s">
        <v>3725</v>
      </c>
      <c r="C91" s="1340" t="s">
        <v>3726</v>
      </c>
      <c r="D91" s="1341" t="s">
        <v>587</v>
      </c>
      <c r="E91" s="1340" t="s">
        <v>3727</v>
      </c>
      <c r="F91" s="1342">
        <v>43124</v>
      </c>
      <c r="G91" s="1356">
        <v>17</v>
      </c>
      <c r="H91" s="1356">
        <v>14</v>
      </c>
      <c r="I91" s="1356">
        <v>16</v>
      </c>
      <c r="J91" s="1356">
        <v>34.729999999999997</v>
      </c>
      <c r="K91" s="1325">
        <v>14927.998</v>
      </c>
      <c r="L91" s="1345">
        <v>7000</v>
      </c>
      <c r="M91" s="1345">
        <v>21927.998</v>
      </c>
      <c r="N91" s="1325">
        <v>253775.96599999999</v>
      </c>
      <c r="O91" s="1345">
        <v>119000</v>
      </c>
      <c r="P91" s="1325">
        <v>372775.96600000001</v>
      </c>
      <c r="Q91" s="1325"/>
      <c r="R91" s="1325">
        <v>1</v>
      </c>
      <c r="S91" s="1343">
        <v>34.729999999999997</v>
      </c>
      <c r="T91" s="1346">
        <v>761559.37053999992</v>
      </c>
      <c r="U91" s="1347">
        <v>1.0429411764705878</v>
      </c>
      <c r="V91" s="1348" t="s">
        <v>3728</v>
      </c>
      <c r="W91" s="1349" t="s">
        <v>3729</v>
      </c>
      <c r="X91" s="1350">
        <v>372775.96600000001</v>
      </c>
      <c r="Y91" s="1383">
        <v>0</v>
      </c>
      <c r="Z91" s="1383"/>
      <c r="AA91" s="1352"/>
      <c r="AB91" s="1353"/>
      <c r="AC91" s="1353"/>
      <c r="AD91" s="1385"/>
      <c r="AE91" s="1385"/>
      <c r="AF91" s="1355"/>
      <c r="AG91" s="1327"/>
      <c r="AH91" s="1321"/>
      <c r="AI91" s="1321"/>
      <c r="AJ91" s="1321"/>
      <c r="AK91" s="1345"/>
      <c r="AL91" s="1360"/>
      <c r="AM91" s="1359"/>
      <c r="AN91" s="1321"/>
      <c r="AO91" s="1321"/>
      <c r="AP91" s="1321"/>
    </row>
    <row r="92" spans="1:42" s="1362" customFormat="1" ht="14.85" customHeight="1">
      <c r="A92" s="1327"/>
      <c r="B92" s="1321" t="s">
        <v>3730</v>
      </c>
      <c r="C92" s="1340" t="s">
        <v>3731</v>
      </c>
      <c r="D92" s="1341" t="s">
        <v>587</v>
      </c>
      <c r="E92" s="1340" t="s">
        <v>3732</v>
      </c>
      <c r="F92" s="1342">
        <v>43124</v>
      </c>
      <c r="G92" s="1356">
        <v>10</v>
      </c>
      <c r="H92" s="1356">
        <v>10</v>
      </c>
      <c r="I92" s="1356">
        <v>12</v>
      </c>
      <c r="J92" s="1356">
        <v>9.5500000000000007</v>
      </c>
      <c r="K92" s="1325">
        <v>7206.7710000000006</v>
      </c>
      <c r="L92" s="1345">
        <v>2730</v>
      </c>
      <c r="M92" s="1345">
        <v>9936.7710000000006</v>
      </c>
      <c r="N92" s="1325">
        <v>72067.710000000006</v>
      </c>
      <c r="O92" s="1345">
        <v>27300</v>
      </c>
      <c r="P92" s="1325">
        <v>99367.71</v>
      </c>
      <c r="Q92" s="1325"/>
      <c r="R92" s="1325">
        <v>1</v>
      </c>
      <c r="S92" s="1343">
        <v>9.5500000000000007</v>
      </c>
      <c r="T92" s="1346">
        <v>94896.163050000017</v>
      </c>
      <c r="U92" s="1347">
        <v>-4.4999999999999929E-2</v>
      </c>
      <c r="V92" s="1348" t="s">
        <v>3733</v>
      </c>
      <c r="W92" s="1349" t="s">
        <v>3734</v>
      </c>
      <c r="X92" s="1350">
        <v>99367.71</v>
      </c>
      <c r="Y92" s="1383">
        <v>0</v>
      </c>
      <c r="Z92" s="1383"/>
      <c r="AA92" s="1352"/>
      <c r="AB92" s="1353"/>
      <c r="AC92" s="1353"/>
      <c r="AD92" s="1385"/>
      <c r="AE92" s="1385"/>
      <c r="AF92" s="1355"/>
      <c r="AG92" s="1327"/>
      <c r="AH92" s="1321"/>
      <c r="AI92" s="1321"/>
      <c r="AJ92" s="1321"/>
      <c r="AK92" s="1345"/>
      <c r="AL92" s="1360"/>
      <c r="AM92" s="1359"/>
      <c r="AN92" s="1321"/>
      <c r="AO92" s="1321"/>
      <c r="AP92" s="1321"/>
    </row>
    <row r="93" spans="1:42" s="1362" customFormat="1" ht="14.85" customHeight="1">
      <c r="A93" s="1327"/>
      <c r="B93" s="1321" t="s">
        <v>2189</v>
      </c>
      <c r="C93" s="1340" t="s">
        <v>2190</v>
      </c>
      <c r="D93" s="1341" t="s">
        <v>587</v>
      </c>
      <c r="E93" s="1340" t="s">
        <v>2191</v>
      </c>
      <c r="F93" s="1342">
        <v>43075</v>
      </c>
      <c r="G93" s="1356">
        <v>24</v>
      </c>
      <c r="H93" s="1356">
        <v>24</v>
      </c>
      <c r="I93" s="1356">
        <v>27</v>
      </c>
      <c r="J93" s="1356">
        <v>22.72</v>
      </c>
      <c r="K93" s="1325">
        <v>20640.356</v>
      </c>
      <c r="L93" s="1345">
        <v>6250</v>
      </c>
      <c r="M93" s="1345">
        <v>26890.356</v>
      </c>
      <c r="N93" s="1325">
        <v>495368.54399999999</v>
      </c>
      <c r="O93" s="1345">
        <v>150000</v>
      </c>
      <c r="P93" s="1325">
        <v>645368.54399999999</v>
      </c>
      <c r="Q93" s="1325"/>
      <c r="R93" s="1325">
        <v>1</v>
      </c>
      <c r="S93" s="1343">
        <v>22.72</v>
      </c>
      <c r="T93" s="1346">
        <v>610948.88831999991</v>
      </c>
      <c r="U93" s="1347">
        <v>-5.3333333333333455E-2</v>
      </c>
      <c r="V93" s="1348" t="s">
        <v>2192</v>
      </c>
      <c r="W93" s="1349" t="s">
        <v>2193</v>
      </c>
      <c r="X93" s="1350">
        <v>645368.54399999999</v>
      </c>
      <c r="Y93" s="1383">
        <v>0</v>
      </c>
      <c r="Z93" s="1383"/>
      <c r="AA93" s="1352"/>
      <c r="AB93" s="1353"/>
      <c r="AC93" s="1353"/>
      <c r="AD93" s="1385"/>
      <c r="AE93" s="1385"/>
      <c r="AF93" s="1355"/>
      <c r="AG93" s="1327"/>
      <c r="AH93" s="1321"/>
      <c r="AI93" s="1321"/>
      <c r="AJ93" s="1321"/>
      <c r="AK93" s="1345"/>
      <c r="AL93" s="1360"/>
      <c r="AM93" s="1359"/>
      <c r="AN93" s="1321"/>
      <c r="AO93" s="1321"/>
      <c r="AP93" s="1321"/>
    </row>
    <row r="94" spans="1:42" s="1362" customFormat="1" ht="14.85" customHeight="1">
      <c r="A94" s="1327"/>
      <c r="B94" s="1321" t="s">
        <v>2132</v>
      </c>
      <c r="C94" s="1340" t="s">
        <v>2133</v>
      </c>
      <c r="D94" s="1341" t="s">
        <v>587</v>
      </c>
      <c r="E94" s="1340" t="s">
        <v>2134</v>
      </c>
      <c r="F94" s="1342">
        <v>43054</v>
      </c>
      <c r="G94" s="1356">
        <v>10</v>
      </c>
      <c r="H94" s="1356">
        <v>15</v>
      </c>
      <c r="I94" s="1356">
        <v>17</v>
      </c>
      <c r="J94" s="1356">
        <v>11.2</v>
      </c>
      <c r="K94" s="1325">
        <v>9694.3829999999998</v>
      </c>
      <c r="L94" s="1345">
        <v>4000</v>
      </c>
      <c r="M94" s="1345">
        <v>13694.383</v>
      </c>
      <c r="N94" s="1325">
        <v>96943.83</v>
      </c>
      <c r="O94" s="1345">
        <v>40000</v>
      </c>
      <c r="P94" s="1325">
        <v>136943.83000000002</v>
      </c>
      <c r="Q94" s="1325"/>
      <c r="R94" s="1325">
        <v>1</v>
      </c>
      <c r="S94" s="1343">
        <v>11.2</v>
      </c>
      <c r="T94" s="1346">
        <v>153377.08959999998</v>
      </c>
      <c r="U94" s="1347">
        <v>0.11999999999999966</v>
      </c>
      <c r="V94" s="1348" t="s">
        <v>2135</v>
      </c>
      <c r="W94" s="1349" t="s">
        <v>2136</v>
      </c>
      <c r="X94" s="1350">
        <v>136943.83000000002</v>
      </c>
      <c r="Y94" s="1383">
        <v>0</v>
      </c>
      <c r="Z94" s="1383"/>
      <c r="AA94" s="1352"/>
      <c r="AB94" s="1353"/>
      <c r="AC94" s="1353"/>
      <c r="AD94" s="1385"/>
      <c r="AE94" s="1385"/>
      <c r="AF94" s="1355"/>
      <c r="AG94" s="1327"/>
      <c r="AH94" s="1321"/>
      <c r="AI94" s="1321"/>
      <c r="AJ94" s="1321"/>
      <c r="AK94" s="1345"/>
      <c r="AL94" s="1360"/>
      <c r="AM94" s="1359"/>
      <c r="AN94" s="1321"/>
      <c r="AO94" s="1321"/>
      <c r="AP94" s="1321"/>
    </row>
    <row r="95" spans="1:42" s="1362" customFormat="1" ht="14.85" customHeight="1">
      <c r="A95" s="1327"/>
      <c r="B95" s="1321" t="s">
        <v>2138</v>
      </c>
      <c r="C95" s="1340" t="s">
        <v>2139</v>
      </c>
      <c r="D95" s="1341" t="s">
        <v>587</v>
      </c>
      <c r="E95" s="1340" t="s">
        <v>2140</v>
      </c>
      <c r="F95" s="1342">
        <v>43047</v>
      </c>
      <c r="G95" s="1356">
        <v>15</v>
      </c>
      <c r="H95" s="1356">
        <v>14</v>
      </c>
      <c r="I95" s="1356">
        <v>16</v>
      </c>
      <c r="J95" s="1356">
        <v>19.190000000000001</v>
      </c>
      <c r="K95" s="1325">
        <v>16743.972000000002</v>
      </c>
      <c r="L95" s="1345">
        <v>6667</v>
      </c>
      <c r="M95" s="1345">
        <v>23410.972000000002</v>
      </c>
      <c r="N95" s="1325">
        <v>251159.58000000002</v>
      </c>
      <c r="O95" s="1345">
        <v>100005</v>
      </c>
      <c r="P95" s="1325">
        <v>351164.58</v>
      </c>
      <c r="Q95" s="1325"/>
      <c r="R95" s="1325">
        <v>1</v>
      </c>
      <c r="S95" s="1343">
        <v>19.190000000000001</v>
      </c>
      <c r="T95" s="1346">
        <v>449256.55268000008</v>
      </c>
      <c r="U95" s="1347">
        <v>0.27933333333333343</v>
      </c>
      <c r="V95" s="1348" t="s">
        <v>2141</v>
      </c>
      <c r="W95" s="1349" t="s">
        <v>2142</v>
      </c>
      <c r="X95" s="1350">
        <v>351164.58</v>
      </c>
      <c r="Y95" s="1383">
        <v>0</v>
      </c>
      <c r="Z95" s="1383"/>
      <c r="AA95" s="1352"/>
      <c r="AB95" s="1353"/>
      <c r="AC95" s="1353"/>
      <c r="AD95" s="1385"/>
      <c r="AE95" s="1385"/>
      <c r="AF95" s="1355"/>
      <c r="AG95" s="1327"/>
      <c r="AH95" s="1321"/>
      <c r="AI95" s="1321"/>
      <c r="AJ95" s="1321"/>
      <c r="AK95" s="1345"/>
      <c r="AL95" s="1360"/>
      <c r="AM95" s="1359"/>
      <c r="AN95" s="1321"/>
      <c r="AO95" s="1321"/>
      <c r="AP95" s="1321"/>
    </row>
    <row r="96" spans="1:42" s="1362" customFormat="1" ht="14.85" customHeight="1">
      <c r="A96" s="1327"/>
      <c r="B96" s="1321" t="s">
        <v>2143</v>
      </c>
      <c r="C96" s="1340" t="s">
        <v>2144</v>
      </c>
      <c r="D96" s="1341" t="s">
        <v>587</v>
      </c>
      <c r="E96" s="1340" t="s">
        <v>2145</v>
      </c>
      <c r="F96" s="1342">
        <v>43047</v>
      </c>
      <c r="G96" s="1356">
        <v>14</v>
      </c>
      <c r="H96" s="1356">
        <v>13</v>
      </c>
      <c r="I96" s="1356">
        <v>15</v>
      </c>
      <c r="J96" s="1356">
        <v>14.38</v>
      </c>
      <c r="K96" s="1325">
        <v>38542.936999999998</v>
      </c>
      <c r="L96" s="1345">
        <v>10714</v>
      </c>
      <c r="M96" s="1345">
        <v>49256.936999999998</v>
      </c>
      <c r="N96" s="1325">
        <v>539601.11800000002</v>
      </c>
      <c r="O96" s="1345">
        <v>149996</v>
      </c>
      <c r="P96" s="1325">
        <v>689597.11800000002</v>
      </c>
      <c r="Q96" s="1325"/>
      <c r="R96" s="1325">
        <v>1</v>
      </c>
      <c r="S96" s="1343">
        <v>14.38</v>
      </c>
      <c r="T96" s="1346">
        <v>708314.75406000006</v>
      </c>
      <c r="U96" s="1347">
        <v>2.7142857142857135E-2</v>
      </c>
      <c r="V96" s="1348" t="s">
        <v>2146</v>
      </c>
      <c r="W96" s="1349" t="s">
        <v>2147</v>
      </c>
      <c r="X96" s="1350">
        <v>689597.11800000002</v>
      </c>
      <c r="Y96" s="1383">
        <v>0</v>
      </c>
      <c r="Z96" s="1383"/>
      <c r="AA96" s="1352"/>
      <c r="AB96" s="1353"/>
      <c r="AC96" s="1353"/>
      <c r="AD96" s="1385"/>
      <c r="AE96" s="1385"/>
      <c r="AF96" s="1355"/>
      <c r="AG96" s="1327"/>
      <c r="AH96" s="1321"/>
      <c r="AI96" s="1321"/>
      <c r="AJ96" s="1321"/>
      <c r="AK96" s="1345"/>
      <c r="AL96" s="1360"/>
      <c r="AM96" s="1359"/>
      <c r="AN96" s="1321"/>
      <c r="AO96" s="1321"/>
      <c r="AP96" s="1321"/>
    </row>
    <row r="97" spans="1:73" s="1362" customFormat="1" ht="14.85" customHeight="1">
      <c r="A97" s="1327"/>
      <c r="B97" s="1321" t="s">
        <v>2209</v>
      </c>
      <c r="C97" s="1340" t="s">
        <v>2210</v>
      </c>
      <c r="D97" s="1341" t="s">
        <v>587</v>
      </c>
      <c r="E97" s="1340" t="s">
        <v>2211</v>
      </c>
      <c r="F97" s="1342">
        <v>43040</v>
      </c>
      <c r="G97" s="1356">
        <v>14</v>
      </c>
      <c r="H97" s="1356">
        <v>14</v>
      </c>
      <c r="I97" s="1356">
        <v>16</v>
      </c>
      <c r="J97" s="1356">
        <v>14</v>
      </c>
      <c r="K97" s="1325">
        <v>15288.515000000003</v>
      </c>
      <c r="L97" s="1345">
        <v>5333.3329999999996</v>
      </c>
      <c r="M97" s="1345">
        <v>20621.848000000002</v>
      </c>
      <c r="N97" s="1325">
        <v>214039.21000000005</v>
      </c>
      <c r="O97" s="1345">
        <v>74666.661999999997</v>
      </c>
      <c r="P97" s="1325">
        <v>288705.87200000003</v>
      </c>
      <c r="Q97" s="1325"/>
      <c r="R97" s="1325">
        <v>1</v>
      </c>
      <c r="S97" s="1343">
        <v>14</v>
      </c>
      <c r="T97" s="1346">
        <v>288705.87200000003</v>
      </c>
      <c r="U97" s="1347">
        <v>0</v>
      </c>
      <c r="V97" s="1348" t="s">
        <v>2212</v>
      </c>
      <c r="W97" s="1349" t="s">
        <v>2213</v>
      </c>
      <c r="X97" s="1350">
        <v>288705.87200000003</v>
      </c>
      <c r="Y97" s="1383">
        <v>0</v>
      </c>
      <c r="Z97" s="1383"/>
      <c r="AA97" s="1352"/>
      <c r="AB97" s="1353"/>
      <c r="AC97" s="1353"/>
      <c r="AD97" s="1385"/>
      <c r="AE97" s="1385"/>
      <c r="AF97" s="1355"/>
      <c r="AG97" s="1327"/>
      <c r="AH97" s="1321"/>
      <c r="AI97" s="1321"/>
      <c r="AJ97" s="1321"/>
      <c r="AK97" s="1345"/>
      <c r="AL97" s="1360"/>
      <c r="AM97" s="1359"/>
      <c r="AN97" s="1321"/>
      <c r="AO97" s="1321"/>
      <c r="AP97" s="1321"/>
    </row>
    <row r="98" spans="1:73" s="1362" customFormat="1" ht="14.85" customHeight="1">
      <c r="A98" s="1327"/>
      <c r="B98" s="1321" t="s">
        <v>2161</v>
      </c>
      <c r="C98" s="1340" t="s">
        <v>2162</v>
      </c>
      <c r="D98" s="1341" t="s">
        <v>587</v>
      </c>
      <c r="E98" s="1340" t="s">
        <v>2163</v>
      </c>
      <c r="F98" s="1342">
        <v>43012</v>
      </c>
      <c r="G98" s="1356">
        <v>17</v>
      </c>
      <c r="H98" s="1356">
        <v>14</v>
      </c>
      <c r="I98" s="1356">
        <v>16</v>
      </c>
      <c r="J98" s="1356">
        <v>25.89</v>
      </c>
      <c r="K98" s="1325">
        <v>20081.484</v>
      </c>
      <c r="L98" s="1345">
        <v>7050</v>
      </c>
      <c r="M98" s="1345">
        <v>27131.484</v>
      </c>
      <c r="N98" s="1325">
        <v>341385.228</v>
      </c>
      <c r="O98" s="1345">
        <v>119850</v>
      </c>
      <c r="P98" s="1325">
        <v>461235.228</v>
      </c>
      <c r="Q98" s="1325"/>
      <c r="R98" s="1325">
        <v>1</v>
      </c>
      <c r="S98" s="1343">
        <v>25.89</v>
      </c>
      <c r="T98" s="1346">
        <v>702434.12076000008</v>
      </c>
      <c r="U98" s="1347">
        <v>0.52294117647058846</v>
      </c>
      <c r="V98" s="1348" t="s">
        <v>2164</v>
      </c>
      <c r="W98" s="1349" t="s">
        <v>2165</v>
      </c>
      <c r="X98" s="1350">
        <v>461235.228</v>
      </c>
      <c r="Y98" s="1383">
        <v>0</v>
      </c>
      <c r="Z98" s="1383"/>
      <c r="AA98" s="1352"/>
      <c r="AB98" s="1353"/>
      <c r="AC98" s="1353"/>
      <c r="AD98" s="1385"/>
      <c r="AE98" s="1385"/>
      <c r="AF98" s="1355"/>
      <c r="AG98" s="1327"/>
      <c r="AH98" s="1321"/>
      <c r="AI98" s="1321"/>
      <c r="AJ98" s="1321"/>
      <c r="AK98" s="1345"/>
      <c r="AL98" s="1360"/>
      <c r="AM98" s="1359"/>
      <c r="AN98" s="1321"/>
      <c r="AO98" s="1321"/>
      <c r="AP98" s="1321"/>
    </row>
    <row r="99" spans="1:73" s="1362" customFormat="1" ht="14.85" customHeight="1">
      <c r="A99" s="1327"/>
      <c r="B99" s="1321" t="s">
        <v>2214</v>
      </c>
      <c r="C99" s="1340" t="s">
        <v>2215</v>
      </c>
      <c r="D99" s="1341" t="s">
        <v>587</v>
      </c>
      <c r="E99" s="1340" t="s">
        <v>2216</v>
      </c>
      <c r="F99" s="1342">
        <v>42948</v>
      </c>
      <c r="G99" s="1356">
        <v>15</v>
      </c>
      <c r="H99" s="1356">
        <v>13</v>
      </c>
      <c r="I99" s="1356">
        <v>15</v>
      </c>
      <c r="J99" s="1356">
        <v>17</v>
      </c>
      <c r="K99" s="1325">
        <v>22526.583999999999</v>
      </c>
      <c r="L99" s="1345">
        <v>8000</v>
      </c>
      <c r="M99" s="1345">
        <v>30526.583999999999</v>
      </c>
      <c r="N99" s="1325">
        <v>337898.76</v>
      </c>
      <c r="O99" s="1345">
        <v>120000</v>
      </c>
      <c r="P99" s="1325">
        <v>457898.76</v>
      </c>
      <c r="Q99" s="1325"/>
      <c r="R99" s="1325">
        <v>1</v>
      </c>
      <c r="S99" s="1343">
        <v>17</v>
      </c>
      <c r="T99" s="1346">
        <v>518951.92799999996</v>
      </c>
      <c r="U99" s="1347">
        <v>0.1333333333333333</v>
      </c>
      <c r="V99" s="1361" t="s">
        <v>2217</v>
      </c>
      <c r="W99" s="1349" t="s">
        <v>2218</v>
      </c>
      <c r="X99" s="1350">
        <v>457898.76</v>
      </c>
      <c r="Y99" s="1383">
        <v>0</v>
      </c>
      <c r="Z99" s="1383"/>
      <c r="AA99" s="1352"/>
      <c r="AB99" s="1353"/>
      <c r="AC99" s="1353"/>
      <c r="AD99" s="1385"/>
      <c r="AE99" s="1385"/>
      <c r="AF99" s="1355"/>
      <c r="AK99" s="1363"/>
      <c r="AL99" s="1360"/>
      <c r="AM99" s="1359"/>
    </row>
    <row r="100" spans="1:73" s="1362" customFormat="1" ht="14.85" customHeight="1">
      <c r="A100" s="1327"/>
      <c r="B100" s="1321" t="s">
        <v>2148</v>
      </c>
      <c r="C100" s="1340" t="s">
        <v>2149</v>
      </c>
      <c r="D100" s="1341" t="s">
        <v>1392</v>
      </c>
      <c r="E100" s="1340" t="s">
        <v>2150</v>
      </c>
      <c r="F100" s="1342">
        <v>42942</v>
      </c>
      <c r="G100" s="1356">
        <v>15</v>
      </c>
      <c r="H100" s="1356">
        <v>14</v>
      </c>
      <c r="I100" s="1356">
        <v>16</v>
      </c>
      <c r="J100" s="1356">
        <v>24.1</v>
      </c>
      <c r="K100" s="1325">
        <v>15555</v>
      </c>
      <c r="L100" s="1345">
        <v>4333</v>
      </c>
      <c r="M100" s="1345">
        <v>19888</v>
      </c>
      <c r="N100" s="1325">
        <v>233325</v>
      </c>
      <c r="O100" s="1345">
        <v>64995</v>
      </c>
      <c r="P100" s="1325">
        <v>298320</v>
      </c>
      <c r="Q100" s="1325"/>
      <c r="R100" s="1325">
        <v>1</v>
      </c>
      <c r="S100" s="1343">
        <v>24.1</v>
      </c>
      <c r="T100" s="1346">
        <v>479300.80000000005</v>
      </c>
      <c r="U100" s="1347">
        <v>0.60666666666666691</v>
      </c>
      <c r="V100" s="1348" t="s">
        <v>2150</v>
      </c>
      <c r="W100" s="1349" t="s">
        <v>2151</v>
      </c>
      <c r="X100" s="1350">
        <v>298320</v>
      </c>
      <c r="Y100" s="1383">
        <v>0</v>
      </c>
      <c r="Z100" s="1383"/>
      <c r="AA100" s="1352"/>
      <c r="AB100" s="1353"/>
      <c r="AC100" s="1353"/>
      <c r="AD100" s="1385"/>
      <c r="AE100" s="1385"/>
      <c r="AF100" s="1355"/>
      <c r="AG100" s="1327"/>
      <c r="AH100" s="1321"/>
      <c r="AI100" s="1321"/>
      <c r="AJ100" s="1321"/>
      <c r="AK100" s="1345"/>
      <c r="AL100" s="1360"/>
      <c r="AM100" s="1359"/>
      <c r="AN100" s="1321"/>
      <c r="AO100" s="1321"/>
      <c r="AP100" s="1321"/>
    </row>
    <row r="101" spans="1:73" s="1362" customFormat="1" ht="14.85" customHeight="1">
      <c r="A101" s="1327"/>
      <c r="B101" s="1321" t="s">
        <v>2152</v>
      </c>
      <c r="C101" s="1340" t="s">
        <v>2153</v>
      </c>
      <c r="D101" s="1341" t="s">
        <v>1487</v>
      </c>
      <c r="E101" s="1340" t="s">
        <v>2154</v>
      </c>
      <c r="F101" s="1342">
        <v>42914</v>
      </c>
      <c r="G101" s="1367">
        <v>15</v>
      </c>
      <c r="H101" s="1356">
        <v>15</v>
      </c>
      <c r="I101" s="1356">
        <v>17</v>
      </c>
      <c r="J101" s="1367">
        <v>13.19</v>
      </c>
      <c r="K101" s="1325">
        <v>10960.208000000001</v>
      </c>
      <c r="L101" s="1345">
        <v>3750</v>
      </c>
      <c r="M101" s="1345">
        <v>14710.208000000001</v>
      </c>
      <c r="N101" s="1325">
        <v>164403.12</v>
      </c>
      <c r="O101" s="1345">
        <v>56250</v>
      </c>
      <c r="P101" s="1325">
        <v>220653.12</v>
      </c>
      <c r="Q101" s="1325"/>
      <c r="R101" s="1325">
        <v>1</v>
      </c>
      <c r="S101" s="1343">
        <v>13.19</v>
      </c>
      <c r="T101" s="1346">
        <v>194027.64352000001</v>
      </c>
      <c r="U101" s="1347">
        <v>-0.12066666666666659</v>
      </c>
      <c r="V101" s="1361" t="s">
        <v>2219</v>
      </c>
      <c r="W101" s="1349" t="s">
        <v>2155</v>
      </c>
      <c r="X101" s="1350">
        <v>220653.12</v>
      </c>
      <c r="Y101" s="1383">
        <v>0</v>
      </c>
      <c r="Z101" s="1383"/>
      <c r="AA101" s="1352"/>
      <c r="AB101" s="1353"/>
      <c r="AC101" s="1353"/>
      <c r="AD101" s="1385"/>
      <c r="AE101" s="1385"/>
      <c r="AF101" s="1355"/>
      <c r="AK101" s="1363"/>
      <c r="AL101" s="1360"/>
      <c r="AM101" s="1359"/>
    </row>
    <row r="102" spans="1:73" s="1362" customFormat="1" ht="14.85" customHeight="1">
      <c r="A102" s="1327"/>
      <c r="B102" s="1321" t="s">
        <v>2156</v>
      </c>
      <c r="C102" s="1340" t="s">
        <v>2157</v>
      </c>
      <c r="D102" s="1341" t="s">
        <v>587</v>
      </c>
      <c r="E102" s="1340" t="s">
        <v>2158</v>
      </c>
      <c r="F102" s="1342">
        <v>42912</v>
      </c>
      <c r="G102" s="1356">
        <v>6</v>
      </c>
      <c r="H102" s="1356">
        <v>9</v>
      </c>
      <c r="I102" s="1356">
        <v>11</v>
      </c>
      <c r="J102" s="1356">
        <v>6.98</v>
      </c>
      <c r="K102" s="1325">
        <v>3341.4680000000008</v>
      </c>
      <c r="L102" s="1344">
        <v>5500</v>
      </c>
      <c r="M102" s="1344">
        <v>8841.4680000000008</v>
      </c>
      <c r="N102" s="1325">
        <v>20048.808000000005</v>
      </c>
      <c r="O102" s="1345">
        <v>33000</v>
      </c>
      <c r="P102" s="1325">
        <v>53048.808000000005</v>
      </c>
      <c r="Q102" s="1325"/>
      <c r="R102" s="1325">
        <v>1</v>
      </c>
      <c r="S102" s="1343">
        <v>6.98</v>
      </c>
      <c r="T102" s="1346">
        <v>61713.446640000009</v>
      </c>
      <c r="U102" s="1347">
        <v>0.16333333333333333</v>
      </c>
      <c r="V102" s="1361" t="s">
        <v>2159</v>
      </c>
      <c r="W102" s="1349" t="s">
        <v>2160</v>
      </c>
      <c r="X102" s="1350">
        <v>53048.808000000005</v>
      </c>
      <c r="Y102" s="1350">
        <v>0</v>
      </c>
      <c r="Z102" s="1350"/>
      <c r="AA102" s="1352"/>
      <c r="AB102" s="1353"/>
      <c r="AC102" s="1358"/>
      <c r="AD102" s="1354"/>
      <c r="AE102" s="1354"/>
      <c r="AF102" s="1355"/>
      <c r="AK102" s="1363"/>
      <c r="AL102" s="1360"/>
      <c r="AM102" s="1359"/>
    </row>
    <row r="103" spans="1:73" s="1362" customFormat="1" ht="14.85" customHeight="1">
      <c r="A103" s="1327"/>
      <c r="B103" s="1321" t="s">
        <v>2093</v>
      </c>
      <c r="C103" s="1340" t="s">
        <v>2094</v>
      </c>
      <c r="D103" s="1341" t="s">
        <v>587</v>
      </c>
      <c r="E103" s="1340" t="s">
        <v>2095</v>
      </c>
      <c r="F103" s="1342">
        <v>42859</v>
      </c>
      <c r="G103" s="1343">
        <v>15</v>
      </c>
      <c r="H103" s="1343">
        <v>15</v>
      </c>
      <c r="I103" s="1343">
        <v>17</v>
      </c>
      <c r="J103" s="1343">
        <v>12.15</v>
      </c>
      <c r="K103" s="1325">
        <v>18851.937000000002</v>
      </c>
      <c r="L103" s="1344">
        <v>5750</v>
      </c>
      <c r="M103" s="1344">
        <v>24601.937000000002</v>
      </c>
      <c r="N103" s="1325">
        <v>282779.05500000005</v>
      </c>
      <c r="O103" s="1345">
        <v>86250</v>
      </c>
      <c r="P103" s="1325">
        <v>369029.05500000005</v>
      </c>
      <c r="Q103" s="1325"/>
      <c r="R103" s="1325">
        <v>1</v>
      </c>
      <c r="S103" s="1343">
        <v>12.15</v>
      </c>
      <c r="T103" s="1346">
        <v>298913.53455000004</v>
      </c>
      <c r="U103" s="1347">
        <v>-0.19000000000000006</v>
      </c>
      <c r="V103" s="1357" t="s">
        <v>2096</v>
      </c>
      <c r="W103" s="1349" t="s">
        <v>2097</v>
      </c>
      <c r="X103" s="1350">
        <v>369029.05500000005</v>
      </c>
      <c r="Y103" s="1350">
        <v>0</v>
      </c>
      <c r="Z103" s="1350"/>
      <c r="AA103" s="1352"/>
      <c r="AB103" s="1353"/>
      <c r="AC103" s="1358"/>
      <c r="AD103" s="1354"/>
      <c r="AE103" s="1354"/>
      <c r="AF103" s="1355"/>
      <c r="AG103" s="1359"/>
      <c r="AH103" s="1327"/>
      <c r="AI103" s="1327"/>
      <c r="AJ103" s="1327"/>
      <c r="AK103" s="1327"/>
      <c r="AL103" s="1327"/>
      <c r="AM103" s="1327"/>
      <c r="AN103" s="1327"/>
      <c r="AO103" s="1327"/>
      <c r="AP103" s="1327"/>
      <c r="AQ103" s="1327"/>
      <c r="AR103" s="1327"/>
      <c r="AS103" s="1327"/>
      <c r="AT103" s="1327"/>
      <c r="AU103" s="1327"/>
      <c r="AV103" s="1327"/>
      <c r="AW103" s="1327"/>
      <c r="AX103" s="1327"/>
      <c r="AY103" s="1327"/>
      <c r="AZ103" s="1327"/>
      <c r="BA103" s="1327"/>
      <c r="BB103" s="1327"/>
      <c r="BC103" s="1327"/>
      <c r="BD103" s="1327"/>
      <c r="BE103" s="1327"/>
      <c r="BF103" s="1327"/>
      <c r="BG103" s="1327"/>
      <c r="BH103" s="1327"/>
      <c r="BI103" s="1327"/>
      <c r="BJ103" s="1327"/>
      <c r="BK103" s="1327"/>
      <c r="BL103" s="1327"/>
      <c r="BM103" s="1327"/>
      <c r="BN103" s="1327"/>
      <c r="BO103" s="1327"/>
      <c r="BP103" s="1327"/>
      <c r="BQ103" s="1327"/>
      <c r="BR103" s="1327"/>
      <c r="BS103" s="1327"/>
      <c r="BT103" s="1327"/>
      <c r="BU103" s="1327"/>
    </row>
    <row r="104" spans="1:73" s="1327" customFormat="1" ht="14.85" customHeight="1">
      <c r="B104" s="1321" t="s">
        <v>2220</v>
      </c>
      <c r="C104" s="1340" t="s">
        <v>2221</v>
      </c>
      <c r="D104" s="1341" t="s">
        <v>1487</v>
      </c>
      <c r="E104" s="1340" t="s">
        <v>2222</v>
      </c>
      <c r="F104" s="1342">
        <v>42858</v>
      </c>
      <c r="G104" s="1343">
        <v>13</v>
      </c>
      <c r="H104" s="1343">
        <v>12</v>
      </c>
      <c r="I104" s="1343">
        <v>14</v>
      </c>
      <c r="J104" s="1343">
        <v>18.64</v>
      </c>
      <c r="K104" s="1325">
        <v>7499.17</v>
      </c>
      <c r="L104" s="1344">
        <v>4473.3729999999996</v>
      </c>
      <c r="M104" s="1344">
        <v>11972.543</v>
      </c>
      <c r="N104" s="1325">
        <v>97489.21</v>
      </c>
      <c r="O104" s="1345">
        <v>58153.848999999995</v>
      </c>
      <c r="P104" s="1325">
        <v>155643.05900000001</v>
      </c>
      <c r="Q104" s="1325"/>
      <c r="R104" s="1325">
        <v>1</v>
      </c>
      <c r="S104" s="1343">
        <v>18.64</v>
      </c>
      <c r="T104" s="1346">
        <v>223168.20152</v>
      </c>
      <c r="U104" s="1347">
        <v>0.43384615384615377</v>
      </c>
      <c r="V104" s="1357" t="s">
        <v>2223</v>
      </c>
      <c r="W104" s="1349" t="s">
        <v>2224</v>
      </c>
      <c r="X104" s="1350">
        <v>155643.05900000001</v>
      </c>
      <c r="Y104" s="1350">
        <v>0</v>
      </c>
      <c r="Z104" s="1350"/>
      <c r="AA104" s="1352"/>
      <c r="AB104" s="1353"/>
      <c r="AC104" s="1358"/>
      <c r="AD104" s="1354"/>
      <c r="AE104" s="1354"/>
      <c r="AF104" s="1355"/>
      <c r="AG104" s="1359"/>
    </row>
    <row r="105" spans="1:73" s="1327" customFormat="1" ht="14.85" customHeight="1">
      <c r="B105" s="1321" t="s">
        <v>2098</v>
      </c>
      <c r="C105" s="1340" t="s">
        <v>2099</v>
      </c>
      <c r="D105" s="1341" t="s">
        <v>1815</v>
      </c>
      <c r="E105" s="1340" t="s">
        <v>2100</v>
      </c>
      <c r="F105" s="1342">
        <v>42858</v>
      </c>
      <c r="G105" s="1356">
        <v>17</v>
      </c>
      <c r="H105" s="1356">
        <v>14</v>
      </c>
      <c r="I105" s="1356">
        <v>16</v>
      </c>
      <c r="J105" s="1356">
        <v>21.87</v>
      </c>
      <c r="K105" s="1325">
        <v>24330.582999999999</v>
      </c>
      <c r="L105" s="1344">
        <v>8333.3330000000005</v>
      </c>
      <c r="M105" s="1344">
        <v>32663.916000000001</v>
      </c>
      <c r="N105" s="1325">
        <v>413619.91099999996</v>
      </c>
      <c r="O105" s="1345">
        <v>141666.66100000002</v>
      </c>
      <c r="P105" s="1325">
        <v>555286.57199999993</v>
      </c>
      <c r="Q105" s="1325"/>
      <c r="R105" s="1325">
        <v>1</v>
      </c>
      <c r="S105" s="1343">
        <v>21.87</v>
      </c>
      <c r="T105" s="1346">
        <v>714359.84292000008</v>
      </c>
      <c r="U105" s="1347">
        <v>0.28647058823529448</v>
      </c>
      <c r="V105" s="1357" t="s">
        <v>2102</v>
      </c>
      <c r="W105" s="1349" t="s">
        <v>2101</v>
      </c>
      <c r="X105" s="1350">
        <v>555286.57199999993</v>
      </c>
      <c r="Y105" s="1350">
        <v>0</v>
      </c>
      <c r="Z105" s="1350"/>
      <c r="AA105" s="1352"/>
      <c r="AB105" s="1353"/>
      <c r="AC105" s="1358"/>
      <c r="AD105" s="1354"/>
      <c r="AE105" s="1354"/>
      <c r="AF105" s="1355"/>
      <c r="AG105" s="1359"/>
    </row>
    <row r="106" spans="1:73" s="1327" customFormat="1" ht="14.85" customHeight="1">
      <c r="B106" s="1396" t="s">
        <v>1813</v>
      </c>
      <c r="C106" s="1340" t="s">
        <v>1814</v>
      </c>
      <c r="D106" s="1341" t="s">
        <v>1815</v>
      </c>
      <c r="E106" s="1340" t="s">
        <v>1816</v>
      </c>
      <c r="F106" s="1342">
        <v>42837</v>
      </c>
      <c r="G106" s="1356">
        <v>10</v>
      </c>
      <c r="H106" s="1356">
        <v>10</v>
      </c>
      <c r="I106" s="1356">
        <v>12</v>
      </c>
      <c r="J106" s="1356">
        <v>16.690000000000001</v>
      </c>
      <c r="K106" s="1325">
        <v>9897.3070000000007</v>
      </c>
      <c r="L106" s="1344">
        <v>7250</v>
      </c>
      <c r="M106" s="1344">
        <v>17147.307000000001</v>
      </c>
      <c r="N106" s="1325">
        <v>98973.07</v>
      </c>
      <c r="O106" s="1345">
        <v>72500</v>
      </c>
      <c r="P106" s="1325">
        <v>171473.07</v>
      </c>
      <c r="Q106" s="1325"/>
      <c r="R106" s="1325">
        <v>1</v>
      </c>
      <c r="S106" s="1343">
        <v>16.690000000000001</v>
      </c>
      <c r="T106" s="1346">
        <v>286188.55383000005</v>
      </c>
      <c r="U106" s="1347">
        <v>0.66900000000000026</v>
      </c>
      <c r="V106" s="1348" t="s">
        <v>1817</v>
      </c>
      <c r="W106" s="1349" t="s">
        <v>1818</v>
      </c>
      <c r="X106" s="1350">
        <v>171473.07</v>
      </c>
      <c r="Y106" s="1350">
        <v>0</v>
      </c>
      <c r="Z106" s="1350"/>
      <c r="AA106" s="1352"/>
      <c r="AB106" s="1353"/>
      <c r="AC106" s="1358"/>
      <c r="AD106" s="1354"/>
      <c r="AE106" s="1354"/>
      <c r="AF106" s="1355"/>
      <c r="AK106" s="1345"/>
      <c r="AL106" s="1360"/>
      <c r="AM106" s="1359"/>
    </row>
    <row r="107" spans="1:73" s="1327" customFormat="1" ht="14.85" customHeight="1">
      <c r="B107" s="1321" t="s">
        <v>1819</v>
      </c>
      <c r="C107" s="1340" t="s">
        <v>1820</v>
      </c>
      <c r="D107" s="1341" t="s">
        <v>1392</v>
      </c>
      <c r="E107" s="1340" t="s">
        <v>1821</v>
      </c>
      <c r="F107" s="1342">
        <v>42760</v>
      </c>
      <c r="G107" s="1356">
        <v>15</v>
      </c>
      <c r="H107" s="1356">
        <v>14</v>
      </c>
      <c r="I107" s="1356">
        <v>16</v>
      </c>
      <c r="J107" s="1356">
        <v>13.99</v>
      </c>
      <c r="K107" s="1325">
        <v>23181.261999999999</v>
      </c>
      <c r="L107" s="1344">
        <v>6450</v>
      </c>
      <c r="M107" s="1344">
        <v>29631.261999999999</v>
      </c>
      <c r="N107" s="1325">
        <v>347718.93</v>
      </c>
      <c r="O107" s="1345">
        <v>96750</v>
      </c>
      <c r="P107" s="1325">
        <v>444468.93</v>
      </c>
      <c r="Q107" s="1325"/>
      <c r="R107" s="1325">
        <v>1</v>
      </c>
      <c r="S107" s="1343">
        <v>13.99</v>
      </c>
      <c r="T107" s="1346">
        <v>414541.35537999996</v>
      </c>
      <c r="U107" s="1347">
        <v>-6.7333333333333356E-2</v>
      </c>
      <c r="V107" s="1348" t="s">
        <v>1821</v>
      </c>
      <c r="W107" s="1349" t="s">
        <v>1822</v>
      </c>
      <c r="X107" s="1350">
        <v>444468.93</v>
      </c>
      <c r="Y107" s="1350">
        <v>0</v>
      </c>
      <c r="Z107" s="1350"/>
      <c r="AA107" s="1352"/>
      <c r="AB107" s="1353"/>
      <c r="AC107" s="1358"/>
      <c r="AD107" s="1354"/>
      <c r="AE107" s="1354"/>
      <c r="AF107" s="1355" t="s">
        <v>1823</v>
      </c>
      <c r="AG107" s="1327" t="s">
        <v>1824</v>
      </c>
      <c r="AH107" s="1321" t="s">
        <v>1825</v>
      </c>
      <c r="AI107" s="1321"/>
      <c r="AJ107" s="1321">
        <v>6450000</v>
      </c>
      <c r="AK107" s="1345">
        <v>6450000</v>
      </c>
      <c r="AL107" s="1360">
        <v>29631262</v>
      </c>
      <c r="AM107" s="1359"/>
      <c r="AN107" s="1321">
        <v>0</v>
      </c>
      <c r="AO107" s="1321">
        <v>0</v>
      </c>
      <c r="AP107" s="1321">
        <v>6450000</v>
      </c>
      <c r="AQ107" s="1321">
        <v>7417500</v>
      </c>
      <c r="AR107" s="1321">
        <v>29631262</v>
      </c>
      <c r="AS107" s="1321">
        <v>30598762</v>
      </c>
      <c r="AT107" s="1321">
        <v>967500</v>
      </c>
      <c r="AU107" s="1321">
        <v>414541327.40000004</v>
      </c>
      <c r="AV107" s="1321">
        <v>29631260</v>
      </c>
      <c r="AW107" s="1321">
        <v>414541.35537999996</v>
      </c>
      <c r="AX107" s="1321">
        <v>42761</v>
      </c>
      <c r="AY107" s="1321">
        <v>42791</v>
      </c>
      <c r="AZ107" s="1321">
        <v>42851</v>
      </c>
      <c r="BA107" s="1321">
        <v>29631260</v>
      </c>
      <c r="BB107" s="1321">
        <v>13.62</v>
      </c>
      <c r="BC107" s="1321">
        <v>403577761.19999999</v>
      </c>
      <c r="BD107" s="1321" t="s">
        <v>1826</v>
      </c>
      <c r="BE107" s="1321">
        <v>38910000</v>
      </c>
      <c r="BF107" s="1321">
        <v>0</v>
      </c>
      <c r="BG107" s="1321" t="e">
        <v>#NAME?</v>
      </c>
      <c r="BH107" s="1321">
        <v>123139750</v>
      </c>
      <c r="BI107" s="1321" t="e">
        <v>#NAME?</v>
      </c>
      <c r="BJ107" s="1321"/>
      <c r="BK107" s="1321" t="s">
        <v>1827</v>
      </c>
      <c r="BL107" s="1321"/>
      <c r="BM107" s="1321"/>
      <c r="BN107" s="1321" t="b">
        <v>0</v>
      </c>
      <c r="BO107" s="1321"/>
      <c r="BP107" s="1321"/>
      <c r="BQ107" s="1321"/>
      <c r="BR107" s="1321"/>
      <c r="BS107" s="1321"/>
      <c r="BT107" s="1321"/>
      <c r="BU107" s="1321"/>
    </row>
    <row r="108" spans="1:73" s="1321" customFormat="1" ht="14.85" customHeight="1">
      <c r="A108" s="1327"/>
      <c r="B108" s="1321" t="s">
        <v>1242</v>
      </c>
      <c r="C108" s="1340" t="s">
        <v>1243</v>
      </c>
      <c r="D108" s="1341" t="s">
        <v>587</v>
      </c>
      <c r="E108" s="1340" t="s">
        <v>1244</v>
      </c>
      <c r="F108" s="1342">
        <v>42586</v>
      </c>
      <c r="G108" s="1356">
        <v>10</v>
      </c>
      <c r="H108" s="1356">
        <v>11</v>
      </c>
      <c r="I108" s="1356">
        <v>13</v>
      </c>
      <c r="J108" s="1356">
        <v>13.23</v>
      </c>
      <c r="K108" s="1325">
        <v>5431.6149999999998</v>
      </c>
      <c r="L108" s="1344">
        <v>3000</v>
      </c>
      <c r="M108" s="1344">
        <v>8431.6149999999998</v>
      </c>
      <c r="N108" s="1325">
        <v>54316.149999999994</v>
      </c>
      <c r="O108" s="1345">
        <v>30000</v>
      </c>
      <c r="P108" s="1325">
        <v>84316.15</v>
      </c>
      <c r="Q108" s="1325"/>
      <c r="R108" s="1325">
        <v>1</v>
      </c>
      <c r="S108" s="1343">
        <v>13.23</v>
      </c>
      <c r="T108" s="1346">
        <v>111550.26645</v>
      </c>
      <c r="U108" s="1347">
        <v>0.32299999999999995</v>
      </c>
      <c r="V108" s="1348" t="s">
        <v>1245</v>
      </c>
      <c r="W108" s="1349" t="s">
        <v>1246</v>
      </c>
      <c r="X108" s="1350">
        <v>84316.15</v>
      </c>
      <c r="Y108" s="1350">
        <v>0</v>
      </c>
      <c r="Z108" s="1350"/>
      <c r="AA108" s="1352"/>
      <c r="AB108" s="1353"/>
      <c r="AC108" s="1358"/>
      <c r="AD108" s="1354"/>
      <c r="AE108" s="1354"/>
      <c r="AF108" s="1355"/>
      <c r="AG108" s="1327"/>
      <c r="AK108" s="1345"/>
      <c r="AL108" s="1360"/>
      <c r="AM108" s="1359"/>
    </row>
    <row r="109" spans="1:73" s="1321" customFormat="1" ht="14.85" customHeight="1">
      <c r="A109" s="1327"/>
      <c r="B109" s="1321" t="s">
        <v>1247</v>
      </c>
      <c r="C109" s="1340" t="s">
        <v>1248</v>
      </c>
      <c r="D109" s="1341" t="s">
        <v>587</v>
      </c>
      <c r="E109" s="1340" t="s">
        <v>1249</v>
      </c>
      <c r="F109" s="1342">
        <v>42577</v>
      </c>
      <c r="G109" s="1356">
        <v>12</v>
      </c>
      <c r="H109" s="1356">
        <v>0</v>
      </c>
      <c r="I109" s="1356">
        <v>0</v>
      </c>
      <c r="J109" s="1356">
        <v>10.06</v>
      </c>
      <c r="K109" s="1325">
        <v>38620.332000000002</v>
      </c>
      <c r="L109" s="1344">
        <v>6250</v>
      </c>
      <c r="M109" s="1344">
        <v>44870.332000000002</v>
      </c>
      <c r="N109" s="1325">
        <v>463443.98400000005</v>
      </c>
      <c r="O109" s="1345">
        <v>75000</v>
      </c>
      <c r="P109" s="1325">
        <v>538443.98400000005</v>
      </c>
      <c r="Q109" s="1325"/>
      <c r="R109" s="1325">
        <v>1</v>
      </c>
      <c r="S109" s="1343">
        <v>10.06</v>
      </c>
      <c r="T109" s="1346">
        <v>451395.53992000007</v>
      </c>
      <c r="U109" s="1347">
        <v>-0.16166666666666663</v>
      </c>
      <c r="V109" s="1348" t="s">
        <v>1250</v>
      </c>
      <c r="W109" s="1349" t="s">
        <v>1251</v>
      </c>
      <c r="X109" s="1350">
        <v>538443.98400000005</v>
      </c>
      <c r="Y109" s="1350">
        <v>0</v>
      </c>
      <c r="Z109" s="1350"/>
      <c r="AA109" s="1352"/>
      <c r="AB109" s="1353"/>
      <c r="AC109" s="1358"/>
      <c r="AD109" s="1354"/>
      <c r="AE109" s="1354"/>
      <c r="AF109" s="1355"/>
      <c r="AG109" s="1327"/>
      <c r="AK109" s="1345"/>
      <c r="AL109" s="1360"/>
      <c r="AM109" s="1359"/>
    </row>
    <row r="110" spans="1:73" s="1321" customFormat="1" ht="14.85" customHeight="1">
      <c r="A110" s="1327"/>
      <c r="B110" s="1321" t="s">
        <v>1281</v>
      </c>
      <c r="C110" s="1340" t="s">
        <v>1282</v>
      </c>
      <c r="D110" s="1341" t="s">
        <v>587</v>
      </c>
      <c r="E110" s="1340" t="s">
        <v>1283</v>
      </c>
      <c r="F110" s="1342">
        <v>42495</v>
      </c>
      <c r="G110" s="1356">
        <v>12</v>
      </c>
      <c r="H110" s="1356">
        <v>13</v>
      </c>
      <c r="I110" s="1356">
        <v>15</v>
      </c>
      <c r="J110" s="1356">
        <v>11.2</v>
      </c>
      <c r="K110" s="1325">
        <v>6171.0910000000003</v>
      </c>
      <c r="L110" s="1344">
        <v>920</v>
      </c>
      <c r="M110" s="1344">
        <v>7091.0910000000003</v>
      </c>
      <c r="N110" s="1325">
        <v>74053.092000000004</v>
      </c>
      <c r="O110" s="1345">
        <v>11040</v>
      </c>
      <c r="P110" s="1325">
        <v>85093.092000000004</v>
      </c>
      <c r="Q110" s="1325"/>
      <c r="R110" s="1325">
        <v>1</v>
      </c>
      <c r="S110" s="1343">
        <v>11.2</v>
      </c>
      <c r="T110" s="1346">
        <v>79420.219199999992</v>
      </c>
      <c r="U110" s="1347">
        <v>-6.6666666666666763E-2</v>
      </c>
      <c r="V110" s="1361" t="s">
        <v>1284</v>
      </c>
      <c r="W110" s="1349" t="s">
        <v>1828</v>
      </c>
      <c r="X110" s="1350">
        <v>85093.092000000004</v>
      </c>
      <c r="Y110" s="1350">
        <v>0</v>
      </c>
      <c r="Z110" s="1350"/>
      <c r="AA110" s="1352"/>
      <c r="AB110" s="1353"/>
      <c r="AC110" s="1358"/>
      <c r="AD110" s="1354"/>
      <c r="AE110" s="1354"/>
      <c r="AF110" s="1355"/>
      <c r="AG110" s="1364"/>
      <c r="AH110" s="1363"/>
      <c r="AI110" s="1364"/>
      <c r="AJ110" s="1364"/>
      <c r="AK110" s="1363"/>
      <c r="AL110" s="1360"/>
      <c r="AM110" s="1359"/>
      <c r="AN110" s="1361"/>
      <c r="AO110" s="1366"/>
      <c r="AP110" s="1366"/>
    </row>
    <row r="111" spans="1:73" s="1321" customFormat="1" ht="14.85" customHeight="1">
      <c r="A111" s="1327"/>
      <c r="B111" s="1321" t="s">
        <v>1330</v>
      </c>
      <c r="C111" s="1340" t="s">
        <v>1331</v>
      </c>
      <c r="D111" s="1341" t="s">
        <v>587</v>
      </c>
      <c r="E111" s="1340" t="s">
        <v>1332</v>
      </c>
      <c r="F111" s="1342">
        <v>42291</v>
      </c>
      <c r="G111" s="1356">
        <v>6.5</v>
      </c>
      <c r="H111" s="1356">
        <v>6</v>
      </c>
      <c r="I111" s="1356">
        <v>7</v>
      </c>
      <c r="J111" s="1356">
        <v>3.13</v>
      </c>
      <c r="K111" s="1325">
        <v>4630.143</v>
      </c>
      <c r="L111" s="1344">
        <v>4000</v>
      </c>
      <c r="M111" s="1344">
        <v>8630.143</v>
      </c>
      <c r="N111" s="1325">
        <v>30095.929499999998</v>
      </c>
      <c r="O111" s="1345">
        <v>26000</v>
      </c>
      <c r="P111" s="1325">
        <v>56095.929499999998</v>
      </c>
      <c r="Q111" s="1325"/>
      <c r="R111" s="1325">
        <v>1</v>
      </c>
      <c r="S111" s="1343">
        <v>3.13</v>
      </c>
      <c r="T111" s="1346">
        <v>27012.347589999998</v>
      </c>
      <c r="U111" s="1347">
        <v>-0.51846153846153853</v>
      </c>
      <c r="V111" s="1348" t="s">
        <v>1333</v>
      </c>
      <c r="W111" s="1349" t="s">
        <v>1334</v>
      </c>
      <c r="X111" s="1350">
        <v>56095.929499999998</v>
      </c>
      <c r="Y111" s="1350">
        <v>0</v>
      </c>
      <c r="Z111" s="1350"/>
      <c r="AA111" s="1352"/>
      <c r="AB111" s="1353"/>
      <c r="AC111" s="1358"/>
      <c r="AD111" s="1354"/>
      <c r="AE111" s="1354"/>
      <c r="AF111" s="1355"/>
      <c r="AG111" s="1327"/>
      <c r="AK111" s="1345"/>
      <c r="AL111" s="1360"/>
      <c r="AM111" s="1359"/>
    </row>
    <row r="112" spans="1:73" s="1321" customFormat="1" ht="14.85" customHeight="1">
      <c r="A112" s="1395"/>
      <c r="B112" s="1321" t="s">
        <v>1340</v>
      </c>
      <c r="C112" s="1340" t="s">
        <v>1341</v>
      </c>
      <c r="D112" s="1341" t="s">
        <v>587</v>
      </c>
      <c r="E112" s="1340" t="s">
        <v>1342</v>
      </c>
      <c r="F112" s="1342">
        <v>42283</v>
      </c>
      <c r="G112" s="1356">
        <v>11</v>
      </c>
      <c r="H112" s="1356">
        <v>14</v>
      </c>
      <c r="I112" s="1356">
        <v>16</v>
      </c>
      <c r="J112" s="1356">
        <v>14.67</v>
      </c>
      <c r="K112" s="1325">
        <v>14407.503000000001</v>
      </c>
      <c r="L112" s="1344">
        <v>5000</v>
      </c>
      <c r="M112" s="1344">
        <v>19407.503000000001</v>
      </c>
      <c r="N112" s="1325">
        <v>158482.533</v>
      </c>
      <c r="O112" s="1345">
        <v>55000</v>
      </c>
      <c r="P112" s="1325">
        <v>213482.533</v>
      </c>
      <c r="Q112" s="1325"/>
      <c r="R112" s="1325">
        <v>1</v>
      </c>
      <c r="S112" s="1343">
        <v>14.67</v>
      </c>
      <c r="T112" s="1346">
        <v>284708.06901000004</v>
      </c>
      <c r="U112" s="1347">
        <v>0.33363636363636373</v>
      </c>
      <c r="V112" s="1348" t="s">
        <v>1343</v>
      </c>
      <c r="W112" s="1349" t="s">
        <v>1344</v>
      </c>
      <c r="X112" s="1350">
        <v>213482.533</v>
      </c>
      <c r="Y112" s="1350">
        <v>0</v>
      </c>
      <c r="Z112" s="1350"/>
      <c r="AA112" s="1352"/>
      <c r="AB112" s="1353"/>
      <c r="AC112" s="1358"/>
      <c r="AD112" s="1354"/>
      <c r="AE112" s="1354"/>
      <c r="AF112" s="1355"/>
      <c r="AG112" s="1327"/>
      <c r="AK112" s="1345"/>
      <c r="AL112" s="1360"/>
      <c r="AM112" s="1359"/>
    </row>
    <row r="113" spans="1:73" s="1321" customFormat="1" ht="14.85" customHeight="1">
      <c r="A113" s="1327"/>
      <c r="B113" s="1321" t="s">
        <v>1349</v>
      </c>
      <c r="C113" s="1340" t="s">
        <v>1350</v>
      </c>
      <c r="D113" s="1341" t="s">
        <v>587</v>
      </c>
      <c r="E113" s="1340" t="s">
        <v>1351</v>
      </c>
      <c r="F113" s="1342">
        <v>42277</v>
      </c>
      <c r="G113" s="1356">
        <v>11</v>
      </c>
      <c r="H113" s="1356">
        <v>14</v>
      </c>
      <c r="I113" s="1356">
        <v>16</v>
      </c>
      <c r="J113" s="1356">
        <v>17.88</v>
      </c>
      <c r="K113" s="1325">
        <v>20181.25</v>
      </c>
      <c r="L113" s="1344">
        <v>7315.1509999999998</v>
      </c>
      <c r="M113" s="1344">
        <v>27496.401000000002</v>
      </c>
      <c r="N113" s="1325">
        <v>221993.75</v>
      </c>
      <c r="O113" s="1345">
        <v>80466.660999999993</v>
      </c>
      <c r="P113" s="1325">
        <v>302460.41099999996</v>
      </c>
      <c r="Q113" s="1325"/>
      <c r="R113" s="1325">
        <v>1</v>
      </c>
      <c r="S113" s="1343">
        <v>17.88</v>
      </c>
      <c r="T113" s="1346">
        <v>491635.64987999998</v>
      </c>
      <c r="U113" s="1347">
        <v>0.62545454545454549</v>
      </c>
      <c r="V113" s="1361" t="s">
        <v>1352</v>
      </c>
      <c r="W113" s="1349" t="s">
        <v>1353</v>
      </c>
      <c r="X113" s="1350">
        <v>302460.41099999996</v>
      </c>
      <c r="Y113" s="1350">
        <v>0</v>
      </c>
      <c r="Z113" s="1350"/>
      <c r="AA113" s="1352"/>
      <c r="AB113" s="1353"/>
      <c r="AC113" s="1358"/>
      <c r="AD113" s="1354"/>
      <c r="AE113" s="1354"/>
      <c r="AF113" s="1355"/>
      <c r="AG113" s="1364"/>
      <c r="AH113" s="1363"/>
      <c r="AI113" s="1364"/>
      <c r="AJ113" s="1365"/>
      <c r="AK113" s="1363"/>
      <c r="AL113" s="1360"/>
      <c r="AM113" s="1359"/>
      <c r="AN113" s="1361"/>
      <c r="AO113" s="1366"/>
      <c r="AP113" s="1366"/>
    </row>
    <row r="114" spans="1:73" s="1321" customFormat="1" ht="14.85" customHeight="1">
      <c r="A114" s="1327"/>
      <c r="B114" s="1321" t="s">
        <v>1355</v>
      </c>
      <c r="C114" s="1340" t="s">
        <v>1356</v>
      </c>
      <c r="D114" s="1341" t="s">
        <v>587</v>
      </c>
      <c r="E114" s="1340" t="s">
        <v>1357</v>
      </c>
      <c r="F114" s="1342">
        <v>42227</v>
      </c>
      <c r="G114" s="1356">
        <v>20</v>
      </c>
      <c r="H114" s="1356">
        <v>16</v>
      </c>
      <c r="I114" s="1356">
        <v>18</v>
      </c>
      <c r="J114" s="1356">
        <v>52.72</v>
      </c>
      <c r="K114" s="1325">
        <v>21808.456999999999</v>
      </c>
      <c r="L114" s="1344">
        <v>6000</v>
      </c>
      <c r="M114" s="1344">
        <v>27808.456999999999</v>
      </c>
      <c r="N114" s="1325">
        <v>436169.13999999996</v>
      </c>
      <c r="O114" s="1345">
        <v>120000</v>
      </c>
      <c r="P114" s="1325">
        <v>556169.1399999999</v>
      </c>
      <c r="Q114" s="1325"/>
      <c r="R114" s="1325">
        <v>1</v>
      </c>
      <c r="S114" s="1343">
        <v>52.72</v>
      </c>
      <c r="T114" s="1346">
        <v>1466061.85304</v>
      </c>
      <c r="U114" s="1347">
        <v>1.6360000000000006</v>
      </c>
      <c r="V114" s="1348" t="s">
        <v>1358</v>
      </c>
      <c r="W114" s="1349" t="s">
        <v>1359</v>
      </c>
      <c r="X114" s="1350">
        <v>556169.1399999999</v>
      </c>
      <c r="Y114" s="1350">
        <v>0</v>
      </c>
      <c r="Z114" s="1350"/>
      <c r="AA114" s="1352"/>
      <c r="AB114" s="1353"/>
      <c r="AC114" s="1358"/>
      <c r="AD114" s="1354"/>
      <c r="AE114" s="1354"/>
      <c r="AF114" s="1355"/>
      <c r="AG114" s="1327"/>
      <c r="AK114" s="1345"/>
      <c r="AL114" s="1360"/>
      <c r="AM114" s="1359"/>
    </row>
    <row r="115" spans="1:73" s="1321" customFormat="1" ht="14.85" customHeight="1">
      <c r="A115" s="1327"/>
      <c r="B115" s="1321" t="s">
        <v>1360</v>
      </c>
      <c r="C115" s="1340" t="s">
        <v>1361</v>
      </c>
      <c r="D115" s="1341" t="s">
        <v>587</v>
      </c>
      <c r="E115" s="1340" t="s">
        <v>1362</v>
      </c>
      <c r="F115" s="1342">
        <v>42221</v>
      </c>
      <c r="G115" s="1356">
        <v>16</v>
      </c>
      <c r="H115" s="1356">
        <v>14</v>
      </c>
      <c r="I115" s="1356">
        <v>16</v>
      </c>
      <c r="J115" s="1356">
        <v>22.59</v>
      </c>
      <c r="K115" s="1325">
        <v>30679.538</v>
      </c>
      <c r="L115" s="1344">
        <v>10000</v>
      </c>
      <c r="M115" s="1344">
        <v>40679.538</v>
      </c>
      <c r="N115" s="1325">
        <v>490872.60800000001</v>
      </c>
      <c r="O115" s="1345">
        <v>160000</v>
      </c>
      <c r="P115" s="1325">
        <v>650872.60800000001</v>
      </c>
      <c r="Q115" s="1325"/>
      <c r="R115" s="1325">
        <v>1</v>
      </c>
      <c r="S115" s="1343">
        <v>22.59</v>
      </c>
      <c r="T115" s="1346">
        <v>918950.76341999997</v>
      </c>
      <c r="U115" s="1347">
        <v>0.41187499999999999</v>
      </c>
      <c r="V115" s="1361" t="s">
        <v>1363</v>
      </c>
      <c r="W115" s="1349" t="s">
        <v>1364</v>
      </c>
      <c r="X115" s="1350">
        <v>650872.60800000001</v>
      </c>
      <c r="Y115" s="1350">
        <v>0</v>
      </c>
      <c r="Z115" s="1350"/>
      <c r="AA115" s="1352"/>
      <c r="AB115" s="1353"/>
      <c r="AC115" s="1358"/>
      <c r="AD115" s="1354"/>
      <c r="AE115" s="1354"/>
      <c r="AF115" s="1355"/>
      <c r="AG115" s="1362"/>
      <c r="AH115" s="1362"/>
      <c r="AI115" s="1362"/>
      <c r="AJ115" s="1362"/>
      <c r="AK115" s="1363"/>
      <c r="AL115" s="1360"/>
      <c r="AM115" s="1359"/>
      <c r="AN115" s="1362"/>
      <c r="AO115" s="1362"/>
      <c r="AP115" s="1362"/>
      <c r="AQ115" s="1362"/>
      <c r="AR115" s="1362"/>
      <c r="AS115" s="1362"/>
      <c r="AT115" s="1362"/>
      <c r="AU115" s="1362"/>
      <c r="AV115" s="1362"/>
      <c r="AW115" s="1362"/>
      <c r="AX115" s="1362"/>
      <c r="AY115" s="1362"/>
      <c r="AZ115" s="1362"/>
      <c r="BA115" s="1362"/>
      <c r="BB115" s="1362"/>
      <c r="BC115" s="1362"/>
      <c r="BD115" s="1362"/>
      <c r="BE115" s="1362"/>
      <c r="BF115" s="1362"/>
      <c r="BG115" s="1362"/>
      <c r="BH115" s="1362"/>
      <c r="BI115" s="1362"/>
      <c r="BJ115" s="1362"/>
      <c r="BK115" s="1362"/>
      <c r="BL115" s="1362"/>
      <c r="BM115" s="1362"/>
      <c r="BN115" s="1362"/>
      <c r="BO115" s="1362"/>
      <c r="BP115" s="1362"/>
      <c r="BQ115" s="1362"/>
      <c r="BR115" s="1362"/>
      <c r="BS115" s="1362"/>
      <c r="BT115" s="1362"/>
      <c r="BU115" s="1362"/>
    </row>
    <row r="116" spans="1:73" s="1362" customFormat="1" ht="14.85" customHeight="1">
      <c r="A116" s="1327"/>
      <c r="B116" s="1321" t="s">
        <v>923</v>
      </c>
      <c r="C116" s="1340" t="s">
        <v>921</v>
      </c>
      <c r="D116" s="1341" t="s">
        <v>587</v>
      </c>
      <c r="E116" s="1340" t="s">
        <v>1370</v>
      </c>
      <c r="F116" s="1342">
        <v>42213</v>
      </c>
      <c r="G116" s="1356">
        <v>25</v>
      </c>
      <c r="H116" s="1356">
        <v>20</v>
      </c>
      <c r="I116" s="1356">
        <v>23</v>
      </c>
      <c r="J116" s="1356">
        <v>19.510000000000002</v>
      </c>
      <c r="K116" s="1325">
        <v>70643.631999999998</v>
      </c>
      <c r="L116" s="1344">
        <v>8288</v>
      </c>
      <c r="M116" s="1344">
        <v>78931.631999999998</v>
      </c>
      <c r="N116" s="1325">
        <v>1766090.8</v>
      </c>
      <c r="O116" s="1345">
        <v>207200</v>
      </c>
      <c r="P116" s="1325">
        <v>1973290.8</v>
      </c>
      <c r="Q116" s="1325"/>
      <c r="R116" s="1325">
        <v>1</v>
      </c>
      <c r="S116" s="1343">
        <v>19.510000000000002</v>
      </c>
      <c r="T116" s="1346">
        <v>1539956.14032</v>
      </c>
      <c r="U116" s="1347">
        <v>-0.21960000000000002</v>
      </c>
      <c r="V116" s="1349" t="s">
        <v>922</v>
      </c>
      <c r="W116" s="1349" t="s">
        <v>924</v>
      </c>
      <c r="X116" s="1350">
        <v>1973290.8</v>
      </c>
      <c r="Y116" s="1350">
        <v>0</v>
      </c>
      <c r="Z116" s="1350"/>
      <c r="AA116" s="1352"/>
      <c r="AB116" s="1353"/>
      <c r="AC116" s="1358"/>
      <c r="AD116" s="1354"/>
      <c r="AE116" s="1354"/>
      <c r="AF116" s="1355"/>
      <c r="AG116" s="1321"/>
      <c r="AH116" s="1321"/>
      <c r="AI116" s="1321"/>
      <c r="AJ116" s="1345"/>
      <c r="AK116" s="1360"/>
      <c r="AL116" s="1359"/>
      <c r="AM116" s="1321"/>
      <c r="AN116" s="1321"/>
      <c r="AO116" s="1321"/>
    </row>
    <row r="117" spans="1:73" s="1362" customFormat="1" ht="14.85" customHeight="1">
      <c r="A117" s="1327"/>
      <c r="B117" s="1321" t="s">
        <v>1381</v>
      </c>
      <c r="C117" s="1340" t="s">
        <v>1382</v>
      </c>
      <c r="D117" s="1341" t="s">
        <v>587</v>
      </c>
      <c r="E117" s="1340" t="s">
        <v>1383</v>
      </c>
      <c r="F117" s="1342">
        <v>42180</v>
      </c>
      <c r="G117" s="1356">
        <v>18</v>
      </c>
      <c r="H117" s="1356">
        <v>15</v>
      </c>
      <c r="I117" s="1356">
        <v>17</v>
      </c>
      <c r="J117" s="1356">
        <v>38.200000000000003</v>
      </c>
      <c r="K117" s="1325">
        <v>30403.502</v>
      </c>
      <c r="L117" s="1344">
        <v>7430.5550000000003</v>
      </c>
      <c r="M117" s="1344">
        <v>37834.057000000001</v>
      </c>
      <c r="N117" s="1325">
        <v>547263.03599999996</v>
      </c>
      <c r="O117" s="1345">
        <v>133749.99</v>
      </c>
      <c r="P117" s="1325">
        <v>681013.02599999995</v>
      </c>
      <c r="Q117" s="1325"/>
      <c r="R117" s="1325">
        <v>1</v>
      </c>
      <c r="S117" s="1343">
        <v>38.200000000000003</v>
      </c>
      <c r="T117" s="1346">
        <v>1445260.9774000002</v>
      </c>
      <c r="U117" s="1347">
        <v>1.1222222222222227</v>
      </c>
      <c r="V117" s="1349" t="s">
        <v>1384</v>
      </c>
      <c r="W117" s="1349" t="s">
        <v>1385</v>
      </c>
      <c r="X117" s="1350">
        <v>681013.02599999995</v>
      </c>
      <c r="Y117" s="1350">
        <v>0</v>
      </c>
      <c r="Z117" s="1350"/>
      <c r="AA117" s="1352"/>
      <c r="AB117" s="1353"/>
      <c r="AC117" s="1358"/>
      <c r="AD117" s="1354"/>
      <c r="AE117" s="1354"/>
      <c r="AF117" s="1355"/>
      <c r="AG117" s="1321"/>
      <c r="AH117" s="1321"/>
      <c r="AI117" s="1321"/>
      <c r="AJ117" s="1345"/>
      <c r="AK117" s="1360"/>
      <c r="AL117" s="1359"/>
      <c r="AM117" s="1321"/>
      <c r="AN117" s="1321"/>
      <c r="AO117" s="1321"/>
    </row>
    <row r="118" spans="1:73" s="1362" customFormat="1" ht="14.85" customHeight="1">
      <c r="A118" s="1327"/>
      <c r="B118" s="1321" t="s">
        <v>1390</v>
      </c>
      <c r="C118" s="1340" t="s">
        <v>1391</v>
      </c>
      <c r="D118" s="1341" t="s">
        <v>1487</v>
      </c>
      <c r="E118" s="1340" t="s">
        <v>1393</v>
      </c>
      <c r="F118" s="1342">
        <v>42179</v>
      </c>
      <c r="G118" s="1356">
        <v>5</v>
      </c>
      <c r="H118" s="1356">
        <v>0</v>
      </c>
      <c r="I118" s="1356">
        <v>0</v>
      </c>
      <c r="J118" s="1356">
        <v>4.1599000000000004</v>
      </c>
      <c r="K118" s="1325">
        <v>3788.0600000000004</v>
      </c>
      <c r="L118" s="1344">
        <v>4000</v>
      </c>
      <c r="M118" s="1344">
        <v>7788.06</v>
      </c>
      <c r="N118" s="1325">
        <v>18940.300000000003</v>
      </c>
      <c r="O118" s="1345">
        <v>20000</v>
      </c>
      <c r="P118" s="1325">
        <v>38940.300000000003</v>
      </c>
      <c r="Q118" s="1325"/>
      <c r="R118" s="1325">
        <v>1</v>
      </c>
      <c r="S118" s="1343">
        <v>4.1599000000000004</v>
      </c>
      <c r="T118" s="1346">
        <v>32397.550794000006</v>
      </c>
      <c r="U118" s="1347">
        <v>-0.16801999999999995</v>
      </c>
      <c r="V118" s="1349" t="s">
        <v>1394</v>
      </c>
      <c r="W118" s="1349" t="s">
        <v>1395</v>
      </c>
      <c r="X118" s="1350">
        <v>38940.300000000003</v>
      </c>
      <c r="Y118" s="1350">
        <v>0</v>
      </c>
      <c r="Z118" s="1350"/>
      <c r="AA118" s="1352"/>
      <c r="AB118" s="1353"/>
      <c r="AC118" s="1358"/>
      <c r="AD118" s="1354"/>
      <c r="AE118" s="1354"/>
      <c r="AF118" s="1355"/>
      <c r="AG118" s="1321"/>
      <c r="AH118" s="1321"/>
      <c r="AI118" s="1321"/>
      <c r="AJ118" s="1345"/>
      <c r="AK118" s="1360"/>
      <c r="AL118" s="1359"/>
      <c r="AM118" s="1321"/>
      <c r="AN118" s="1321"/>
      <c r="AO118" s="1321"/>
    </row>
    <row r="119" spans="1:73" s="1362" customFormat="1" ht="14.85" customHeight="1">
      <c r="A119" s="1327"/>
      <c r="B119" s="1321" t="s">
        <v>1429</v>
      </c>
      <c r="C119" s="1340" t="s">
        <v>1430</v>
      </c>
      <c r="D119" s="1341" t="s">
        <v>587</v>
      </c>
      <c r="E119" s="1340" t="s">
        <v>1431</v>
      </c>
      <c r="F119" s="1342">
        <v>42109</v>
      </c>
      <c r="G119" s="1356">
        <v>11</v>
      </c>
      <c r="H119" s="1356">
        <v>12</v>
      </c>
      <c r="I119" s="1356">
        <v>14</v>
      </c>
      <c r="J119" s="1356">
        <v>12.5</v>
      </c>
      <c r="K119" s="1325">
        <v>8371.7650000000012</v>
      </c>
      <c r="L119" s="1344">
        <v>5090.9089999999997</v>
      </c>
      <c r="M119" s="1344">
        <v>13462.674000000001</v>
      </c>
      <c r="N119" s="1325">
        <v>92089.415000000008</v>
      </c>
      <c r="O119" s="1345">
        <v>55999.998999999996</v>
      </c>
      <c r="P119" s="1325">
        <v>148089.41399999999</v>
      </c>
      <c r="Q119" s="1325"/>
      <c r="R119" s="1325">
        <v>1</v>
      </c>
      <c r="S119" s="1343">
        <v>12.5</v>
      </c>
      <c r="T119" s="1346">
        <v>168283.42500000002</v>
      </c>
      <c r="U119" s="1347">
        <v>0.13636363636363646</v>
      </c>
      <c r="V119" s="1349" t="s">
        <v>1432</v>
      </c>
      <c r="W119" s="1349" t="s">
        <v>1433</v>
      </c>
      <c r="X119" s="1350">
        <v>148089.41399999999</v>
      </c>
      <c r="Y119" s="1350">
        <v>0</v>
      </c>
      <c r="Z119" s="1350"/>
      <c r="AA119" s="1352"/>
      <c r="AB119" s="1353"/>
      <c r="AC119" s="1358"/>
      <c r="AD119" s="1354"/>
      <c r="AE119" s="1354"/>
      <c r="AF119" s="1355"/>
      <c r="AJ119" s="1363"/>
      <c r="AK119" s="1360"/>
      <c r="AL119" s="1359"/>
    </row>
    <row r="120" spans="1:73" s="1362" customFormat="1" ht="14.85" customHeight="1">
      <c r="A120" s="1327"/>
      <c r="B120" s="1321" t="s">
        <v>1439</v>
      </c>
      <c r="C120" s="1340" t="s">
        <v>1440</v>
      </c>
      <c r="D120" s="1341" t="s">
        <v>1392</v>
      </c>
      <c r="E120" s="1340" t="s">
        <v>1441</v>
      </c>
      <c r="F120" s="1342">
        <v>42108</v>
      </c>
      <c r="G120" s="1356">
        <v>17</v>
      </c>
      <c r="H120" s="1356">
        <v>14</v>
      </c>
      <c r="I120" s="1356">
        <v>16</v>
      </c>
      <c r="J120" s="1356">
        <v>31.47</v>
      </c>
      <c r="K120" s="1325">
        <v>51950.504000000001</v>
      </c>
      <c r="L120" s="1344">
        <v>7000</v>
      </c>
      <c r="M120" s="1344">
        <v>58950.504000000001</v>
      </c>
      <c r="N120" s="1325">
        <v>883158.56799999997</v>
      </c>
      <c r="O120" s="1345">
        <v>119000</v>
      </c>
      <c r="P120" s="1325">
        <v>1002158.568</v>
      </c>
      <c r="Q120" s="1325"/>
      <c r="R120" s="1325">
        <v>1</v>
      </c>
      <c r="S120" s="1343">
        <v>31.47</v>
      </c>
      <c r="T120" s="1346">
        <v>1855172.3608800001</v>
      </c>
      <c r="U120" s="1347">
        <v>0.85117647058823542</v>
      </c>
      <c r="V120" s="1349" t="s">
        <v>1442</v>
      </c>
      <c r="W120" s="1349" t="s">
        <v>1829</v>
      </c>
      <c r="X120" s="1350">
        <v>1002158.568</v>
      </c>
      <c r="Y120" s="1350">
        <v>0</v>
      </c>
      <c r="Z120" s="1350"/>
      <c r="AA120" s="1352"/>
      <c r="AB120" s="1353"/>
      <c r="AC120" s="1358"/>
      <c r="AD120" s="1354"/>
      <c r="AE120" s="1354"/>
      <c r="AF120" s="1355"/>
      <c r="AG120" s="1321"/>
      <c r="AH120" s="1321"/>
      <c r="AI120" s="1321"/>
      <c r="AJ120" s="1345"/>
      <c r="AK120" s="1360"/>
      <c r="AL120" s="1359"/>
      <c r="AM120" s="1321"/>
      <c r="AN120" s="1321"/>
      <c r="AO120" s="1321"/>
    </row>
    <row r="121" spans="1:73" s="1362" customFormat="1" ht="14.85" customHeight="1">
      <c r="A121" s="1395"/>
      <c r="B121" s="1321" t="s">
        <v>1448</v>
      </c>
      <c r="C121" s="1340" t="s">
        <v>1449</v>
      </c>
      <c r="D121" s="1341" t="s">
        <v>587</v>
      </c>
      <c r="E121" s="1340" t="s">
        <v>1450</v>
      </c>
      <c r="F121" s="1342">
        <v>42053</v>
      </c>
      <c r="G121" s="1356">
        <v>6</v>
      </c>
      <c r="H121" s="1356">
        <v>13</v>
      </c>
      <c r="I121" s="1356">
        <v>15</v>
      </c>
      <c r="J121" s="1356">
        <v>5.75</v>
      </c>
      <c r="K121" s="1325">
        <v>9210.49</v>
      </c>
      <c r="L121" s="1344">
        <v>6667</v>
      </c>
      <c r="M121" s="1344">
        <v>15877.49</v>
      </c>
      <c r="N121" s="1325">
        <v>55262.94</v>
      </c>
      <c r="O121" s="1345">
        <v>40002</v>
      </c>
      <c r="P121" s="1325">
        <v>95264.94</v>
      </c>
      <c r="Q121" s="1325"/>
      <c r="R121" s="1325">
        <v>1</v>
      </c>
      <c r="S121" s="1343">
        <v>5.75</v>
      </c>
      <c r="T121" s="1346">
        <v>91295.567500000005</v>
      </c>
      <c r="U121" s="1347">
        <v>-4.166666666666663E-2</v>
      </c>
      <c r="V121" s="1349" t="s">
        <v>1451</v>
      </c>
      <c r="W121" s="1349" t="s">
        <v>1452</v>
      </c>
      <c r="X121" s="1350">
        <v>95264.94</v>
      </c>
      <c r="Y121" s="1350">
        <v>0</v>
      </c>
      <c r="Z121" s="1350"/>
      <c r="AA121" s="1352"/>
      <c r="AB121" s="1353"/>
      <c r="AC121" s="1358"/>
      <c r="AD121" s="1354"/>
      <c r="AE121" s="1354"/>
      <c r="AF121" s="1355"/>
      <c r="AG121" s="1321"/>
      <c r="AH121" s="1321"/>
      <c r="AI121" s="1321"/>
      <c r="AJ121" s="1345"/>
      <c r="AK121" s="1360"/>
      <c r="AL121" s="1359"/>
      <c r="AM121" s="1321"/>
      <c r="AN121" s="1321"/>
      <c r="AO121" s="1321"/>
    </row>
    <row r="122" spans="1:73" s="1362" customFormat="1" ht="14.85" customHeight="1">
      <c r="A122" s="1395"/>
      <c r="B122" s="1321" t="s">
        <v>1453</v>
      </c>
      <c r="C122" s="1340" t="s">
        <v>1454</v>
      </c>
      <c r="D122" s="1341" t="s">
        <v>587</v>
      </c>
      <c r="E122" s="1340" t="s">
        <v>1455</v>
      </c>
      <c r="F122" s="1342">
        <v>42048</v>
      </c>
      <c r="G122" s="1356">
        <v>12</v>
      </c>
      <c r="H122" s="1356">
        <v>14</v>
      </c>
      <c r="I122" s="1356">
        <v>16</v>
      </c>
      <c r="J122" s="1356">
        <v>9.75</v>
      </c>
      <c r="K122" s="1325">
        <v>7905.3259999999991</v>
      </c>
      <c r="L122" s="1344">
        <v>5000</v>
      </c>
      <c r="M122" s="1344">
        <v>12905.325999999999</v>
      </c>
      <c r="N122" s="1325">
        <v>94863.911999999982</v>
      </c>
      <c r="O122" s="1345">
        <v>60000</v>
      </c>
      <c r="P122" s="1325">
        <v>154863.91199999998</v>
      </c>
      <c r="Q122" s="1325"/>
      <c r="R122" s="1325">
        <v>1</v>
      </c>
      <c r="S122" s="1343">
        <v>9.75</v>
      </c>
      <c r="T122" s="1346">
        <v>125826.92849999999</v>
      </c>
      <c r="U122" s="1347">
        <v>-0.18749999999999989</v>
      </c>
      <c r="V122" s="1349" t="s">
        <v>1456</v>
      </c>
      <c r="W122" s="1349" t="s">
        <v>1457</v>
      </c>
      <c r="X122" s="1350">
        <v>154863.91199999998</v>
      </c>
      <c r="Y122" s="1350">
        <v>0</v>
      </c>
      <c r="Z122" s="1350"/>
      <c r="AA122" s="1352"/>
      <c r="AB122" s="1353"/>
      <c r="AC122" s="1358"/>
      <c r="AD122" s="1354"/>
      <c r="AE122" s="1354"/>
      <c r="AF122" s="1355"/>
      <c r="AG122" s="1321"/>
      <c r="AH122" s="1321"/>
      <c r="AI122" s="1321"/>
      <c r="AJ122" s="1345"/>
      <c r="AK122" s="1360"/>
      <c r="AL122" s="1359"/>
      <c r="AM122" s="1321"/>
      <c r="AN122" s="1321"/>
      <c r="AO122" s="1321"/>
    </row>
    <row r="123" spans="1:73" s="1362" customFormat="1" ht="14.85" customHeight="1">
      <c r="A123" s="1327"/>
      <c r="B123" s="1321" t="s">
        <v>985</v>
      </c>
      <c r="C123" s="1340" t="s">
        <v>1464</v>
      </c>
      <c r="D123" s="1341" t="s">
        <v>587</v>
      </c>
      <c r="E123" s="1340" t="s">
        <v>1465</v>
      </c>
      <c r="F123" s="1342">
        <v>42033</v>
      </c>
      <c r="G123" s="1356">
        <v>10</v>
      </c>
      <c r="H123" s="1356">
        <v>12</v>
      </c>
      <c r="I123" s="1356">
        <v>14</v>
      </c>
      <c r="J123" s="1356">
        <v>13.43</v>
      </c>
      <c r="K123" s="1325">
        <v>8492.8060000000005</v>
      </c>
      <c r="L123" s="1345">
        <v>3600</v>
      </c>
      <c r="M123" s="1345">
        <v>12092.806</v>
      </c>
      <c r="N123" s="1325">
        <v>84928.06</v>
      </c>
      <c r="O123" s="1345">
        <v>36000</v>
      </c>
      <c r="P123" s="1325">
        <v>120928.06</v>
      </c>
      <c r="Q123" s="1325"/>
      <c r="R123" s="1325">
        <v>1</v>
      </c>
      <c r="S123" s="1343">
        <v>13.43</v>
      </c>
      <c r="T123" s="1346">
        <v>162406.38458000001</v>
      </c>
      <c r="U123" s="1347">
        <v>0.34300000000000019</v>
      </c>
      <c r="V123" s="1348" t="s">
        <v>1466</v>
      </c>
      <c r="W123" s="1349" t="s">
        <v>1467</v>
      </c>
      <c r="X123" s="1350">
        <v>120928.06</v>
      </c>
      <c r="Y123" s="1383">
        <v>0</v>
      </c>
      <c r="Z123" s="1383"/>
      <c r="AA123" s="1352"/>
      <c r="AB123" s="1353"/>
      <c r="AC123" s="1353"/>
      <c r="AD123" s="1385"/>
      <c r="AE123" s="1385"/>
      <c r="AF123" s="1355"/>
      <c r="AG123" s="1327"/>
      <c r="AH123" s="1321"/>
      <c r="AI123" s="1321"/>
      <c r="AJ123" s="1321"/>
      <c r="AK123" s="1345"/>
      <c r="AL123" s="1360"/>
      <c r="AM123" s="1359"/>
      <c r="AN123" s="1321"/>
      <c r="AO123" s="1321"/>
      <c r="AP123" s="1321"/>
    </row>
    <row r="124" spans="1:73" s="1362" customFormat="1" ht="14.85" customHeight="1">
      <c r="A124" s="1395"/>
      <c r="B124" s="1321" t="s">
        <v>1472</v>
      </c>
      <c r="C124" s="1340" t="s">
        <v>1473</v>
      </c>
      <c r="D124" s="1341" t="s">
        <v>587</v>
      </c>
      <c r="E124" s="1340" t="s">
        <v>1474</v>
      </c>
      <c r="F124" s="1342">
        <v>42030</v>
      </c>
      <c r="G124" s="1356">
        <v>11</v>
      </c>
      <c r="H124" s="1356">
        <v>10</v>
      </c>
      <c r="I124" s="1356">
        <v>12</v>
      </c>
      <c r="J124" s="1356">
        <v>11.04</v>
      </c>
      <c r="K124" s="1325">
        <v>7316.1119999999992</v>
      </c>
      <c r="L124" s="1344">
        <v>4500</v>
      </c>
      <c r="M124" s="1344">
        <v>11816.111999999999</v>
      </c>
      <c r="N124" s="1325">
        <v>80477.231999999989</v>
      </c>
      <c r="O124" s="1345">
        <v>49500</v>
      </c>
      <c r="P124" s="1325">
        <v>129977.23199999999</v>
      </c>
      <c r="Q124" s="1325"/>
      <c r="R124" s="1325">
        <v>1</v>
      </c>
      <c r="S124" s="1343">
        <v>11.04</v>
      </c>
      <c r="T124" s="1346">
        <v>130449.87647999998</v>
      </c>
      <c r="U124" s="1347">
        <v>3.6363636363634377E-3</v>
      </c>
      <c r="V124" s="1349" t="s">
        <v>1475</v>
      </c>
      <c r="W124" s="1349" t="s">
        <v>1476</v>
      </c>
      <c r="X124" s="1350">
        <v>129977.23199999999</v>
      </c>
      <c r="Y124" s="1350">
        <v>0</v>
      </c>
      <c r="Z124" s="1350"/>
      <c r="AA124" s="1352"/>
      <c r="AB124" s="1353"/>
      <c r="AC124" s="1358"/>
      <c r="AD124" s="1354"/>
      <c r="AE124" s="1354"/>
      <c r="AF124" s="1355"/>
      <c r="AG124" s="1321"/>
      <c r="AH124" s="1321"/>
      <c r="AI124" s="1321"/>
      <c r="AJ124" s="1345"/>
      <c r="AK124" s="1360"/>
      <c r="AL124" s="1359"/>
      <c r="AM124" s="1321"/>
      <c r="AN124" s="1321"/>
      <c r="AO124" s="1321"/>
    </row>
    <row r="125" spans="1:73" s="1321" customFormat="1" ht="14.85" customHeight="1">
      <c r="A125" s="1327"/>
      <c r="C125" s="1340"/>
      <c r="D125" s="1341"/>
      <c r="E125" s="1340"/>
      <c r="F125" s="1342"/>
      <c r="G125" s="1367"/>
      <c r="H125" s="1356"/>
      <c r="I125" s="1356"/>
      <c r="J125" s="1367"/>
      <c r="K125" s="1368"/>
      <c r="L125" s="1345"/>
      <c r="M125" s="1345"/>
      <c r="N125" s="1325"/>
      <c r="O125" s="1345"/>
      <c r="P125" s="1325"/>
      <c r="Q125" s="1325"/>
      <c r="R125" s="1325"/>
      <c r="S125" s="1343"/>
      <c r="T125" s="1397"/>
      <c r="U125" s="1398"/>
      <c r="V125" s="1349"/>
      <c r="W125" s="1349"/>
      <c r="X125" s="1345"/>
      <c r="Y125" s="1350"/>
      <c r="Z125" s="1350"/>
      <c r="AA125" s="1352"/>
      <c r="AB125" s="1353"/>
      <c r="AC125" s="1358"/>
      <c r="AD125" s="1354"/>
      <c r="AE125" s="1354"/>
      <c r="AF125" s="1327"/>
      <c r="AJ125" s="1345"/>
      <c r="AK125" s="1340"/>
      <c r="AL125" s="1327"/>
    </row>
    <row r="126" spans="1:73" s="1362" customFormat="1" ht="14.85" customHeight="1">
      <c r="A126" s="1327"/>
      <c r="B126" s="1369" t="s">
        <v>111</v>
      </c>
      <c r="C126" s="1370"/>
      <c r="D126" s="1370"/>
      <c r="E126" s="1370"/>
      <c r="F126" s="1370"/>
      <c r="G126" s="1370"/>
      <c r="H126" s="1370"/>
      <c r="I126" s="1370"/>
      <c r="J126" s="1370"/>
      <c r="K126" s="1370"/>
      <c r="L126" s="1370"/>
      <c r="M126" s="1370"/>
      <c r="N126" s="1371">
        <f>MAX(N87:N124)</f>
        <v>1766090.8</v>
      </c>
      <c r="O126" s="1371"/>
      <c r="P126" s="1372">
        <f>MAX(P87:P124)</f>
        <v>1973290.8</v>
      </c>
      <c r="Q126" s="1325"/>
      <c r="R126" s="1325"/>
      <c r="S126" s="1373">
        <f>MAX(S87:S124)</f>
        <v>52.72</v>
      </c>
      <c r="T126" s="1346"/>
      <c r="U126" s="1347"/>
      <c r="V126" s="1361"/>
      <c r="W126" s="1349"/>
      <c r="X126" s="1350"/>
      <c r="Y126" s="1350"/>
      <c r="Z126" s="1350"/>
      <c r="AA126" s="1352"/>
      <c r="AB126" s="1353"/>
      <c r="AC126" s="1358"/>
      <c r="AD126" s="1354"/>
      <c r="AE126" s="1354"/>
      <c r="AF126" s="1355"/>
      <c r="AK126" s="1363"/>
      <c r="AL126" s="1360"/>
      <c r="AM126" s="1359"/>
    </row>
    <row r="127" spans="1:73" s="1362" customFormat="1" ht="14.85" customHeight="1">
      <c r="A127" s="1327"/>
      <c r="B127" s="1374" t="s">
        <v>115</v>
      </c>
      <c r="C127" s="1375"/>
      <c r="D127" s="1375"/>
      <c r="E127" s="1375"/>
      <c r="F127" s="1375"/>
      <c r="G127" s="1375"/>
      <c r="H127" s="1375"/>
      <c r="I127" s="1375"/>
      <c r="J127" s="1375"/>
      <c r="K127" s="1375"/>
      <c r="L127" s="1375"/>
      <c r="M127" s="1375"/>
      <c r="N127" s="1299">
        <f>_xlfn.QUARTILE.INC(N87:N124,3)</f>
        <v>346135.50449999998</v>
      </c>
      <c r="O127" s="1299"/>
      <c r="P127" s="1376">
        <f>_xlfn.QUARTILE.INC(P87:P124,3)</f>
        <v>460401.11100000003</v>
      </c>
      <c r="Q127" s="1325"/>
      <c r="R127" s="1325"/>
      <c r="S127" s="1377">
        <f>_xlfn.QUARTILE.INC(S87:S124,3)</f>
        <v>20.515000000000001</v>
      </c>
      <c r="T127" s="1346"/>
      <c r="U127" s="1347"/>
      <c r="V127" s="1361"/>
      <c r="W127" s="1349"/>
      <c r="X127" s="1350"/>
      <c r="Y127" s="1350"/>
      <c r="Z127" s="1350"/>
      <c r="AA127" s="1352"/>
      <c r="AB127" s="1353"/>
      <c r="AC127" s="1358"/>
      <c r="AD127" s="1354"/>
      <c r="AE127" s="1354"/>
      <c r="AF127" s="1355"/>
      <c r="AK127" s="1363"/>
      <c r="AL127" s="1360"/>
      <c r="AM127" s="1359"/>
    </row>
    <row r="128" spans="1:73" s="1362" customFormat="1" ht="14.85" customHeight="1">
      <c r="A128" s="1327"/>
      <c r="B128" s="1374" t="s">
        <v>43</v>
      </c>
      <c r="C128" s="1375"/>
      <c r="D128" s="1375"/>
      <c r="E128" s="1375"/>
      <c r="F128" s="1375"/>
      <c r="G128" s="1375"/>
      <c r="H128" s="1375"/>
      <c r="I128" s="1375"/>
      <c r="J128" s="1375"/>
      <c r="K128" s="1375"/>
      <c r="L128" s="1375"/>
      <c r="M128" s="1375"/>
      <c r="N128" s="1299">
        <f>AVERAGE(N87:N124)</f>
        <v>274960.77130263159</v>
      </c>
      <c r="O128" s="1299"/>
      <c r="P128" s="1376">
        <f>AVERAGE(P87:P124)</f>
        <v>356759.24006578961</v>
      </c>
      <c r="Q128" s="1325"/>
      <c r="R128" s="1325"/>
      <c r="S128" s="1377">
        <f>AVERAGE(S87:S124)</f>
        <v>17.20526052631579</v>
      </c>
      <c r="T128" s="1346"/>
      <c r="U128" s="1347"/>
      <c r="V128" s="1361"/>
      <c r="W128" s="1349"/>
      <c r="X128" s="1350"/>
      <c r="Y128" s="1350"/>
      <c r="Z128" s="1350"/>
      <c r="AA128" s="1352"/>
      <c r="AB128" s="1353"/>
      <c r="AC128" s="1358"/>
      <c r="AD128" s="1354"/>
      <c r="AE128" s="1354"/>
      <c r="AF128" s="1355"/>
      <c r="AK128" s="1363"/>
      <c r="AL128" s="1360"/>
      <c r="AM128" s="1359"/>
    </row>
    <row r="129" spans="1:73" s="1362" customFormat="1" ht="14.85" customHeight="1">
      <c r="A129" s="1327"/>
      <c r="B129" s="1374" t="s">
        <v>44</v>
      </c>
      <c r="C129" s="1375"/>
      <c r="D129" s="1375"/>
      <c r="E129" s="1375"/>
      <c r="F129" s="1375"/>
      <c r="G129" s="1375"/>
      <c r="H129" s="1375"/>
      <c r="I129" s="1375"/>
      <c r="J129" s="1375"/>
      <c r="K129" s="1375"/>
      <c r="L129" s="1375"/>
      <c r="M129" s="1375"/>
      <c r="N129" s="1299">
        <f>MEDIAN(N87:N124)</f>
        <v>189221.16500000004</v>
      </c>
      <c r="O129" s="1299"/>
      <c r="P129" s="1376">
        <f>MEDIAN(P87:P124)</f>
        <v>277088.05000000005</v>
      </c>
      <c r="Q129" s="1325"/>
      <c r="R129" s="1325"/>
      <c r="S129" s="1377">
        <f>MEDIAN(S87:S124)</f>
        <v>14.525</v>
      </c>
      <c r="T129" s="1346"/>
      <c r="U129" s="1347"/>
      <c r="V129" s="1361"/>
      <c r="W129" s="1349"/>
      <c r="X129" s="1350"/>
      <c r="Y129" s="1350"/>
      <c r="Z129" s="1350"/>
      <c r="AA129" s="1352"/>
      <c r="AB129" s="1353"/>
      <c r="AC129" s="1358"/>
      <c r="AD129" s="1354"/>
      <c r="AE129" s="1354"/>
      <c r="AF129" s="1355"/>
      <c r="AK129" s="1363"/>
      <c r="AL129" s="1360"/>
      <c r="AM129" s="1359"/>
    </row>
    <row r="130" spans="1:73" s="1362" customFormat="1" ht="14.85" customHeight="1">
      <c r="A130" s="1327"/>
      <c r="B130" s="1374" t="s">
        <v>114</v>
      </c>
      <c r="C130" s="1375"/>
      <c r="D130" s="1375"/>
      <c r="E130" s="1375"/>
      <c r="F130" s="1375"/>
      <c r="G130" s="1375"/>
      <c r="H130" s="1375"/>
      <c r="I130" s="1375"/>
      <c r="J130" s="1375"/>
      <c r="K130" s="1375"/>
      <c r="L130" s="1375"/>
      <c r="M130" s="1375"/>
      <c r="N130" s="1299">
        <f>_xlfn.QUARTILE.INC(N87:N124,1)</f>
        <v>86718.398749999993</v>
      </c>
      <c r="O130" s="1299"/>
      <c r="P130" s="1376">
        <f>_xlfn.QUARTILE.INC(P87:P124,1)</f>
        <v>131718.88149999999</v>
      </c>
      <c r="Q130" s="1325"/>
      <c r="R130" s="1325"/>
      <c r="S130" s="1377">
        <f>_xlfn.QUARTILE.INC(S87:S124,1)</f>
        <v>11.2</v>
      </c>
      <c r="T130" s="1346"/>
      <c r="U130" s="1347"/>
      <c r="V130" s="1361"/>
      <c r="W130" s="1349"/>
      <c r="X130" s="1350"/>
      <c r="Y130" s="1350"/>
      <c r="Z130" s="1350"/>
      <c r="AA130" s="1352"/>
      <c r="AB130" s="1353"/>
      <c r="AC130" s="1358"/>
      <c r="AD130" s="1354"/>
      <c r="AE130" s="1354"/>
      <c r="AF130" s="1355"/>
      <c r="AK130" s="1363"/>
      <c r="AL130" s="1360"/>
      <c r="AM130" s="1359"/>
    </row>
    <row r="131" spans="1:73" s="1362" customFormat="1" ht="14.85" customHeight="1">
      <c r="A131" s="1327"/>
      <c r="B131" s="1378" t="s">
        <v>112</v>
      </c>
      <c r="C131" s="1379"/>
      <c r="D131" s="1379"/>
      <c r="E131" s="1379"/>
      <c r="F131" s="1379"/>
      <c r="G131" s="1379"/>
      <c r="H131" s="1379"/>
      <c r="I131" s="1379"/>
      <c r="J131" s="1379"/>
      <c r="K131" s="1379"/>
      <c r="L131" s="1379"/>
      <c r="M131" s="1379"/>
      <c r="N131" s="1301">
        <f>MIN(N87:N124)</f>
        <v>18940.300000000003</v>
      </c>
      <c r="O131" s="1301"/>
      <c r="P131" s="1380">
        <f>MIN(P87:P124)</f>
        <v>38940.300000000003</v>
      </c>
      <c r="Q131" s="1325"/>
      <c r="R131" s="1325"/>
      <c r="S131" s="1381">
        <f>MIN(S87:S124)</f>
        <v>3.13</v>
      </c>
      <c r="T131" s="1346"/>
      <c r="U131" s="1347"/>
      <c r="V131" s="1361"/>
      <c r="W131" s="1349"/>
      <c r="X131" s="1350"/>
      <c r="Y131" s="1350"/>
      <c r="Z131" s="1350"/>
      <c r="AA131" s="1352"/>
      <c r="AB131" s="1353"/>
      <c r="AC131" s="1358"/>
      <c r="AD131" s="1354"/>
      <c r="AE131" s="1354"/>
      <c r="AF131" s="1355"/>
      <c r="AK131" s="1363"/>
      <c r="AL131" s="1360"/>
      <c r="AM131" s="1359"/>
    </row>
    <row r="132" spans="1:73" s="1362" customFormat="1" ht="14.85" customHeight="1">
      <c r="A132" s="1327"/>
      <c r="B132" s="1321"/>
      <c r="C132" s="1340"/>
      <c r="D132" s="1341"/>
      <c r="E132" s="1340"/>
      <c r="F132" s="1342"/>
      <c r="G132" s="1367"/>
      <c r="H132" s="1356"/>
      <c r="I132" s="1356"/>
      <c r="J132" s="1367"/>
      <c r="K132" s="1368"/>
      <c r="L132" s="1345"/>
      <c r="M132" s="1345"/>
      <c r="N132" s="1325"/>
      <c r="O132" s="1345"/>
      <c r="P132" s="1325"/>
      <c r="Q132" s="1325"/>
      <c r="R132" s="1325"/>
      <c r="S132" s="1343"/>
      <c r="T132" s="1346"/>
      <c r="U132" s="1347"/>
      <c r="V132" s="1361"/>
      <c r="W132" s="1349"/>
      <c r="X132" s="1350"/>
      <c r="Y132" s="1350"/>
      <c r="Z132" s="1350"/>
      <c r="AA132" s="1352"/>
      <c r="AB132" s="1353"/>
      <c r="AC132" s="1358"/>
      <c r="AD132" s="1354"/>
      <c r="AE132" s="1354"/>
      <c r="AF132" s="1355"/>
      <c r="AK132" s="1363"/>
      <c r="AL132" s="1360"/>
      <c r="AM132" s="1359"/>
    </row>
    <row r="133" spans="1:73" s="1362" customFormat="1" ht="14.85" customHeight="1">
      <c r="A133" s="1327"/>
      <c r="B133" s="1382" t="s">
        <v>2225</v>
      </c>
      <c r="C133" s="1340"/>
      <c r="D133" s="1341"/>
      <c r="E133" s="1340"/>
      <c r="F133" s="1342"/>
      <c r="G133" s="1367"/>
      <c r="H133" s="1356"/>
      <c r="I133" s="1356"/>
      <c r="J133" s="1367"/>
      <c r="K133" s="1368"/>
      <c r="L133" s="1345"/>
      <c r="M133" s="1345"/>
      <c r="N133" s="1325"/>
      <c r="O133" s="1345"/>
      <c r="P133" s="1325"/>
      <c r="Q133" s="1325"/>
      <c r="R133" s="1325"/>
      <c r="S133" s="1343"/>
      <c r="T133" s="1346"/>
      <c r="U133" s="1347"/>
      <c r="V133" s="1349"/>
      <c r="W133" s="1349"/>
      <c r="X133" s="1355"/>
      <c r="Y133" s="1350"/>
      <c r="Z133" s="1350"/>
      <c r="AA133" s="1352"/>
      <c r="AB133" s="1353"/>
      <c r="AC133" s="1358"/>
      <c r="AD133" s="1354"/>
      <c r="AE133" s="1354"/>
      <c r="AF133" s="1327"/>
      <c r="AG133" s="1321"/>
      <c r="AH133" s="1321"/>
      <c r="AI133" s="1321"/>
      <c r="AJ133" s="1345"/>
      <c r="AK133" s="1360"/>
      <c r="AL133" s="1359"/>
      <c r="AM133" s="1321"/>
      <c r="AN133" s="1321"/>
      <c r="AO133" s="1321"/>
    </row>
    <row r="134" spans="1:73" s="1362" customFormat="1" ht="13.5" customHeight="1">
      <c r="A134" s="1327"/>
      <c r="B134" s="1321" t="s">
        <v>3735</v>
      </c>
      <c r="C134" s="1340" t="s">
        <v>3736</v>
      </c>
      <c r="D134" s="1341" t="s">
        <v>611</v>
      </c>
      <c r="E134" s="1340" t="s">
        <v>3737</v>
      </c>
      <c r="F134" s="1342">
        <v>43244</v>
      </c>
      <c r="G134" s="1356">
        <v>13</v>
      </c>
      <c r="H134" s="1356">
        <v>14</v>
      </c>
      <c r="I134" s="1356">
        <v>16</v>
      </c>
      <c r="J134" s="1356">
        <v>12.17</v>
      </c>
      <c r="K134" s="1325">
        <v>7809.4230000000007</v>
      </c>
      <c r="L134" s="1345">
        <v>6150</v>
      </c>
      <c r="M134" s="1345">
        <v>13959.423000000001</v>
      </c>
      <c r="N134" s="1325">
        <v>101522.49900000001</v>
      </c>
      <c r="O134" s="1345">
        <v>79950</v>
      </c>
      <c r="P134" s="1325">
        <v>181472.49900000001</v>
      </c>
      <c r="Q134" s="1325"/>
      <c r="R134" s="1325">
        <v>1</v>
      </c>
      <c r="S134" s="1343">
        <v>12.17</v>
      </c>
      <c r="T134" s="1346">
        <v>169886.17791</v>
      </c>
      <c r="U134" s="1347">
        <v>-6.3846153846153886E-2</v>
      </c>
      <c r="V134" s="1348" t="s">
        <v>3738</v>
      </c>
      <c r="W134" s="1349" t="s">
        <v>3739</v>
      </c>
      <c r="X134" s="1350">
        <v>181472.49900000001</v>
      </c>
      <c r="Y134" s="1383" t="s">
        <v>2137</v>
      </c>
      <c r="Z134" s="1383"/>
      <c r="AA134" s="1352"/>
      <c r="AB134" s="1353"/>
      <c r="AC134" s="1353"/>
      <c r="AD134" s="1385"/>
      <c r="AE134" s="1385"/>
      <c r="AF134" s="1355"/>
      <c r="AG134" s="1327"/>
      <c r="AH134" s="1321"/>
      <c r="AI134" s="1321"/>
      <c r="AJ134" s="1321"/>
      <c r="AK134" s="1345"/>
      <c r="AL134" s="1360"/>
      <c r="AM134" s="1359"/>
      <c r="AN134" s="1321"/>
      <c r="AO134" s="1321"/>
      <c r="AP134" s="1321"/>
    </row>
    <row r="135" spans="1:73" s="1362" customFormat="1" ht="13.5" customHeight="1">
      <c r="A135" s="1327"/>
      <c r="B135" s="1321" t="s">
        <v>3740</v>
      </c>
      <c r="C135" s="1340" t="s">
        <v>3741</v>
      </c>
      <c r="D135" s="1341" t="s">
        <v>3742</v>
      </c>
      <c r="E135" s="1340" t="s">
        <v>3743</v>
      </c>
      <c r="F135" s="1342">
        <v>43161</v>
      </c>
      <c r="G135" s="1356">
        <v>4.4329499999999999</v>
      </c>
      <c r="H135" s="1356">
        <v>4.4329499999999999</v>
      </c>
      <c r="I135" s="1356">
        <v>5.6643299999999996</v>
      </c>
      <c r="J135" s="1356">
        <v>3.81304</v>
      </c>
      <c r="K135" s="1325">
        <v>41807.949999999997</v>
      </c>
      <c r="L135" s="1345">
        <v>11111.111000000001</v>
      </c>
      <c r="M135" s="1345">
        <v>52919.061000000002</v>
      </c>
      <c r="N135" s="1325">
        <v>185332.55195249998</v>
      </c>
      <c r="O135" s="1345">
        <v>49254.999507450004</v>
      </c>
      <c r="P135" s="1325">
        <v>234587.55145994999</v>
      </c>
      <c r="Q135" s="1325"/>
      <c r="R135" s="1325">
        <v>1</v>
      </c>
      <c r="S135" s="1343">
        <v>3.81304</v>
      </c>
      <c r="T135" s="1346">
        <v>201782.49635544</v>
      </c>
      <c r="U135" s="1347">
        <v>-0.13984141485917945</v>
      </c>
      <c r="V135" s="1348" t="s">
        <v>3744</v>
      </c>
      <c r="W135" s="1349" t="s">
        <v>3745</v>
      </c>
      <c r="X135" s="1350">
        <v>234587.55145994999</v>
      </c>
      <c r="Y135" s="1383" t="s">
        <v>2137</v>
      </c>
      <c r="Z135" s="1383"/>
      <c r="AA135" s="1352"/>
      <c r="AB135" s="1353"/>
      <c r="AC135" s="1353"/>
      <c r="AD135" s="1385"/>
      <c r="AE135" s="1385"/>
      <c r="AF135" s="1355"/>
      <c r="AG135" s="1327"/>
      <c r="AH135" s="1321"/>
      <c r="AI135" s="1321"/>
      <c r="AJ135" s="1321"/>
      <c r="AK135" s="1345"/>
      <c r="AL135" s="1360"/>
      <c r="AM135" s="1359"/>
      <c r="AN135" s="1321"/>
      <c r="AO135" s="1321"/>
      <c r="AP135" s="1321"/>
    </row>
    <row r="136" spans="1:73" s="1362" customFormat="1" ht="13.5" customHeight="1">
      <c r="A136" s="1327"/>
      <c r="B136" s="1321" t="s">
        <v>3746</v>
      </c>
      <c r="C136" s="1340" t="s">
        <v>3747</v>
      </c>
      <c r="D136" s="1341" t="s">
        <v>611</v>
      </c>
      <c r="E136" s="1340" t="s">
        <v>3748</v>
      </c>
      <c r="F136" s="1342">
        <v>43125</v>
      </c>
      <c r="G136" s="1356">
        <v>17</v>
      </c>
      <c r="H136" s="1356">
        <v>14</v>
      </c>
      <c r="I136" s="1356">
        <v>16</v>
      </c>
      <c r="J136" s="1356">
        <v>46.06</v>
      </c>
      <c r="K136" s="1325">
        <v>21746.286</v>
      </c>
      <c r="L136" s="1345">
        <v>7529.4120000000003</v>
      </c>
      <c r="M136" s="1345">
        <v>29275.698</v>
      </c>
      <c r="N136" s="1325">
        <v>369686.86200000002</v>
      </c>
      <c r="O136" s="1345">
        <v>128000.004</v>
      </c>
      <c r="P136" s="1325">
        <v>497686.86600000004</v>
      </c>
      <c r="Q136" s="1325"/>
      <c r="R136" s="1325">
        <v>1</v>
      </c>
      <c r="S136" s="1343">
        <v>46.06</v>
      </c>
      <c r="T136" s="1346">
        <v>1348438.6498800002</v>
      </c>
      <c r="U136" s="1347">
        <v>1.7094117647058824</v>
      </c>
      <c r="V136" s="1348" t="s">
        <v>3749</v>
      </c>
      <c r="W136" s="1349" t="s">
        <v>3750</v>
      </c>
      <c r="X136" s="1350">
        <v>497686.86600000004</v>
      </c>
      <c r="Y136" s="1383" t="s">
        <v>2137</v>
      </c>
      <c r="Z136" s="1383"/>
      <c r="AA136" s="1352"/>
      <c r="AB136" s="1353"/>
      <c r="AC136" s="1353"/>
      <c r="AD136" s="1385"/>
      <c r="AE136" s="1385"/>
      <c r="AF136" s="1355"/>
      <c r="AG136" s="1327"/>
      <c r="AH136" s="1321"/>
      <c r="AI136" s="1321"/>
      <c r="AJ136" s="1321"/>
      <c r="AK136" s="1345"/>
      <c r="AL136" s="1360"/>
      <c r="AM136" s="1359"/>
      <c r="AN136" s="1321"/>
      <c r="AO136" s="1321"/>
      <c r="AP136" s="1321"/>
    </row>
    <row r="137" spans="1:73" s="1362" customFormat="1" ht="13.5" customHeight="1">
      <c r="A137" s="1327"/>
      <c r="B137" s="1321" t="s">
        <v>2226</v>
      </c>
      <c r="C137" s="1340" t="s">
        <v>2227</v>
      </c>
      <c r="D137" s="1341" t="s">
        <v>1179</v>
      </c>
      <c r="E137" s="1340" t="s">
        <v>2228</v>
      </c>
      <c r="F137" s="1342">
        <v>43055</v>
      </c>
      <c r="G137" s="1356">
        <v>14</v>
      </c>
      <c r="H137" s="1356">
        <v>14</v>
      </c>
      <c r="I137" s="1356">
        <v>16</v>
      </c>
      <c r="J137" s="1356">
        <v>13.5</v>
      </c>
      <c r="K137" s="1325">
        <v>11210.151000000002</v>
      </c>
      <c r="L137" s="1345">
        <v>6400</v>
      </c>
      <c r="M137" s="1345">
        <v>17610.151000000002</v>
      </c>
      <c r="N137" s="1325">
        <v>156942.11400000003</v>
      </c>
      <c r="O137" s="1345">
        <v>89600</v>
      </c>
      <c r="P137" s="1325">
        <v>246542.11400000003</v>
      </c>
      <c r="Q137" s="1325"/>
      <c r="R137" s="1325">
        <v>1</v>
      </c>
      <c r="S137" s="1343">
        <v>13.5</v>
      </c>
      <c r="T137" s="1346">
        <v>237737.03850000002</v>
      </c>
      <c r="U137" s="1347">
        <v>-3.5714285714285698E-2</v>
      </c>
      <c r="V137" s="1348" t="s">
        <v>2229</v>
      </c>
      <c r="W137" s="1349" t="s">
        <v>3751</v>
      </c>
      <c r="X137" s="1350">
        <v>246542.11400000003</v>
      </c>
      <c r="Y137" s="1383" t="s">
        <v>2137</v>
      </c>
      <c r="Z137" s="1383"/>
      <c r="AA137" s="1352"/>
      <c r="AB137" s="1353"/>
      <c r="AC137" s="1353"/>
      <c r="AD137" s="1385"/>
      <c r="AE137" s="1385"/>
      <c r="AF137" s="1355"/>
      <c r="AG137" s="1327"/>
      <c r="AH137" s="1321"/>
      <c r="AI137" s="1321"/>
      <c r="AJ137" s="1321"/>
      <c r="AK137" s="1345"/>
      <c r="AL137" s="1360"/>
      <c r="AM137" s="1359"/>
      <c r="AN137" s="1321"/>
      <c r="AO137" s="1321"/>
      <c r="AP137" s="1321"/>
    </row>
    <row r="138" spans="1:73" s="1362" customFormat="1" ht="13.5" customHeight="1">
      <c r="A138" s="1327"/>
      <c r="B138" s="1321" t="s">
        <v>2230</v>
      </c>
      <c r="C138" s="1340" t="s">
        <v>2231</v>
      </c>
      <c r="D138" s="1341" t="s">
        <v>611</v>
      </c>
      <c r="E138" s="1340" t="s">
        <v>2232</v>
      </c>
      <c r="F138" s="1342">
        <v>43005</v>
      </c>
      <c r="G138" s="1356">
        <v>15</v>
      </c>
      <c r="H138" s="1356">
        <v>14</v>
      </c>
      <c r="I138" s="1356">
        <v>16</v>
      </c>
      <c r="J138" s="1356">
        <v>12.5</v>
      </c>
      <c r="K138" s="1325">
        <v>24214.641</v>
      </c>
      <c r="L138" s="1345">
        <v>6667</v>
      </c>
      <c r="M138" s="1345">
        <v>30881.641</v>
      </c>
      <c r="N138" s="1325">
        <v>363219.61499999999</v>
      </c>
      <c r="O138" s="1345">
        <v>100005</v>
      </c>
      <c r="P138" s="1325">
        <v>463224.61499999999</v>
      </c>
      <c r="Q138" s="1325"/>
      <c r="R138" s="1325">
        <v>1</v>
      </c>
      <c r="S138" s="1343">
        <v>12.5</v>
      </c>
      <c r="T138" s="1346">
        <v>386020.51250000001</v>
      </c>
      <c r="U138" s="1347">
        <v>-0.16666666666666663</v>
      </c>
      <c r="V138" s="1348" t="s">
        <v>2233</v>
      </c>
      <c r="W138" s="1349" t="s">
        <v>2234</v>
      </c>
      <c r="X138" s="1350">
        <v>463224.61499999999</v>
      </c>
      <c r="Y138" s="1383" t="s">
        <v>2137</v>
      </c>
      <c r="Z138" s="1383"/>
      <c r="AA138" s="1352"/>
      <c r="AB138" s="1353"/>
      <c r="AC138" s="1353"/>
      <c r="AD138" s="1385"/>
      <c r="AE138" s="1385"/>
      <c r="AF138" s="1355"/>
      <c r="AG138" s="1327"/>
      <c r="AH138" s="1321"/>
      <c r="AI138" s="1321"/>
      <c r="AJ138" s="1321"/>
      <c r="AK138" s="1345"/>
      <c r="AL138" s="1360"/>
      <c r="AM138" s="1359"/>
      <c r="AN138" s="1321"/>
      <c r="AO138" s="1321"/>
      <c r="AP138" s="1321"/>
    </row>
    <row r="139" spans="1:73" s="1362" customFormat="1" ht="13.5" customHeight="1">
      <c r="A139" s="1327"/>
      <c r="B139" s="1321" t="s">
        <v>2235</v>
      </c>
      <c r="C139" s="1340" t="s">
        <v>2236</v>
      </c>
      <c r="D139" s="1341" t="s">
        <v>1169</v>
      </c>
      <c r="E139" s="1340" t="s">
        <v>2237</v>
      </c>
      <c r="F139" s="1342">
        <v>42998</v>
      </c>
      <c r="G139" s="1356">
        <v>18</v>
      </c>
      <c r="H139" s="1356">
        <v>16</v>
      </c>
      <c r="I139" s="1356">
        <v>18</v>
      </c>
      <c r="J139" s="1356">
        <v>28.64</v>
      </c>
      <c r="K139" s="1325">
        <v>40972.57</v>
      </c>
      <c r="L139" s="1345">
        <v>8333.3330000000005</v>
      </c>
      <c r="M139" s="1345">
        <v>49305.902999999998</v>
      </c>
      <c r="N139" s="1325">
        <v>737506.26</v>
      </c>
      <c r="O139" s="1345">
        <v>149999.99400000001</v>
      </c>
      <c r="P139" s="1325">
        <v>887506.25399999996</v>
      </c>
      <c r="Q139" s="1325"/>
      <c r="R139" s="1325">
        <v>1</v>
      </c>
      <c r="S139" s="1343">
        <v>28.64</v>
      </c>
      <c r="T139" s="1346">
        <v>1412121.06192</v>
      </c>
      <c r="U139" s="1347">
        <v>0.59111111111111114</v>
      </c>
      <c r="V139" s="1348" t="s">
        <v>2238</v>
      </c>
      <c r="W139" s="1349" t="s">
        <v>2239</v>
      </c>
      <c r="X139" s="1350">
        <v>887506.25399999996</v>
      </c>
      <c r="Y139" s="1383" t="s">
        <v>2137</v>
      </c>
      <c r="Z139" s="1383"/>
      <c r="AA139" s="1352"/>
      <c r="AB139" s="1353"/>
      <c r="AC139" s="1353"/>
      <c r="AD139" s="1385"/>
      <c r="AE139" s="1385"/>
      <c r="AF139" s="1355"/>
      <c r="AG139" s="1327"/>
      <c r="AH139" s="1321"/>
      <c r="AI139" s="1321"/>
      <c r="AJ139" s="1321"/>
      <c r="AK139" s="1345"/>
      <c r="AL139" s="1360"/>
      <c r="AM139" s="1359"/>
      <c r="AN139" s="1321"/>
      <c r="AO139" s="1321"/>
      <c r="AP139" s="1321"/>
    </row>
    <row r="140" spans="1:73" s="1362" customFormat="1" ht="13.5" customHeight="1">
      <c r="A140" s="1327"/>
      <c r="B140" s="1321" t="s">
        <v>2166</v>
      </c>
      <c r="C140" s="1340" t="s">
        <v>2167</v>
      </c>
      <c r="D140" s="1341" t="s">
        <v>611</v>
      </c>
      <c r="E140" s="1340" t="s">
        <v>2168</v>
      </c>
      <c r="F140" s="1342">
        <v>42935</v>
      </c>
      <c r="G140" s="1356">
        <v>15</v>
      </c>
      <c r="H140" s="1356">
        <v>14</v>
      </c>
      <c r="I140" s="1356">
        <v>16</v>
      </c>
      <c r="J140" s="1356">
        <v>21.36</v>
      </c>
      <c r="K140" s="1325">
        <v>17283</v>
      </c>
      <c r="L140" s="1345">
        <v>6000</v>
      </c>
      <c r="M140" s="1345">
        <v>23283</v>
      </c>
      <c r="N140" s="1325">
        <v>259245</v>
      </c>
      <c r="O140" s="1345">
        <v>90000</v>
      </c>
      <c r="P140" s="1325">
        <v>349245</v>
      </c>
      <c r="Q140" s="1325"/>
      <c r="R140" s="1325">
        <v>1</v>
      </c>
      <c r="S140" s="1343">
        <v>21.36</v>
      </c>
      <c r="T140" s="1346">
        <v>497324.88</v>
      </c>
      <c r="U140" s="1347">
        <v>0.42399999999999993</v>
      </c>
      <c r="V140" s="1348" t="s">
        <v>3752</v>
      </c>
      <c r="W140" s="1349" t="s">
        <v>2169</v>
      </c>
      <c r="X140" s="1350">
        <v>349245</v>
      </c>
      <c r="Y140" s="1383" t="s">
        <v>2137</v>
      </c>
      <c r="Z140" s="1383"/>
      <c r="AA140" s="1352"/>
      <c r="AB140" s="1353"/>
      <c r="AC140" s="1353"/>
      <c r="AD140" s="1385"/>
      <c r="AE140" s="1385"/>
      <c r="AF140" s="1355"/>
      <c r="AG140" s="1327"/>
      <c r="AH140" s="1321"/>
      <c r="AI140" s="1321"/>
      <c r="AJ140" s="1321"/>
      <c r="AK140" s="1345"/>
      <c r="AL140" s="1360"/>
      <c r="AM140" s="1359"/>
      <c r="AN140" s="1321"/>
      <c r="AO140" s="1321"/>
      <c r="AP140" s="1321"/>
    </row>
    <row r="141" spans="1:73" s="1362" customFormat="1" ht="13.5" customHeight="1">
      <c r="A141" s="1327"/>
      <c r="B141" s="1321" t="s">
        <v>2240</v>
      </c>
      <c r="C141" s="1340" t="s">
        <v>2241</v>
      </c>
      <c r="D141" s="1341" t="s">
        <v>611</v>
      </c>
      <c r="E141" s="1340" t="s">
        <v>2242</v>
      </c>
      <c r="F141" s="1342">
        <v>42929</v>
      </c>
      <c r="G141" s="1356">
        <v>8</v>
      </c>
      <c r="H141" s="1356">
        <v>12</v>
      </c>
      <c r="I141" s="1356">
        <v>14</v>
      </c>
      <c r="J141" s="1356">
        <v>14.21</v>
      </c>
      <c r="K141" s="1325">
        <v>48572.879000000001</v>
      </c>
      <c r="L141" s="1345">
        <v>15625</v>
      </c>
      <c r="M141" s="1345">
        <v>64197.879000000001</v>
      </c>
      <c r="N141" s="1325">
        <v>388583.03200000001</v>
      </c>
      <c r="O141" s="1345">
        <v>125000</v>
      </c>
      <c r="P141" s="1325">
        <v>513583.03200000001</v>
      </c>
      <c r="Q141" s="1325"/>
      <c r="R141" s="1325">
        <v>1</v>
      </c>
      <c r="S141" s="1343">
        <v>14.21</v>
      </c>
      <c r="T141" s="1346">
        <v>912251.86059000005</v>
      </c>
      <c r="U141" s="1347">
        <v>0.77625000000000011</v>
      </c>
      <c r="V141" s="1348" t="s">
        <v>2243</v>
      </c>
      <c r="W141" s="1349" t="s">
        <v>2244</v>
      </c>
      <c r="X141" s="1350"/>
      <c r="Y141" s="1383" t="s">
        <v>2137</v>
      </c>
      <c r="Z141" s="1383"/>
      <c r="AA141" s="1352"/>
      <c r="AB141" s="1353"/>
      <c r="AC141" s="1353"/>
      <c r="AD141" s="1385"/>
      <c r="AE141" s="1385"/>
      <c r="AF141" s="1355"/>
      <c r="AG141" s="1327"/>
      <c r="AH141" s="1321"/>
      <c r="AI141" s="1321"/>
      <c r="AJ141" s="1321"/>
      <c r="AK141" s="1345"/>
      <c r="AL141" s="1360"/>
      <c r="AM141" s="1359"/>
      <c r="AN141" s="1321"/>
      <c r="AO141" s="1321"/>
      <c r="AP141" s="1321"/>
    </row>
    <row r="142" spans="1:73" s="1362" customFormat="1" ht="13.5" customHeight="1">
      <c r="A142" s="1327"/>
      <c r="B142" s="1321" t="s">
        <v>2170</v>
      </c>
      <c r="C142" s="1340" t="s">
        <v>2171</v>
      </c>
      <c r="D142" s="1341" t="s">
        <v>611</v>
      </c>
      <c r="E142" s="1340" t="s">
        <v>2172</v>
      </c>
      <c r="F142" s="1342">
        <v>42914</v>
      </c>
      <c r="G142" s="1356">
        <v>17</v>
      </c>
      <c r="H142" s="1356">
        <v>15</v>
      </c>
      <c r="I142" s="1356">
        <v>17</v>
      </c>
      <c r="J142" s="1356">
        <v>19.5</v>
      </c>
      <c r="K142" s="1325">
        <v>20575.206999999999</v>
      </c>
      <c r="L142" s="1345">
        <v>4415</v>
      </c>
      <c r="M142" s="1345">
        <v>24990.206999999999</v>
      </c>
      <c r="N142" s="1325">
        <v>349778.51899999997</v>
      </c>
      <c r="O142" s="1345">
        <v>75055</v>
      </c>
      <c r="P142" s="1325">
        <v>424833.51899999997</v>
      </c>
      <c r="Q142" s="1325"/>
      <c r="R142" s="1325">
        <v>1</v>
      </c>
      <c r="S142" s="1343">
        <v>19.5</v>
      </c>
      <c r="T142" s="1346">
        <v>487309.03649999999</v>
      </c>
      <c r="U142" s="1347">
        <v>0.14705882352941191</v>
      </c>
      <c r="V142" s="1348" t="s">
        <v>2173</v>
      </c>
      <c r="W142" s="1349" t="s">
        <v>2174</v>
      </c>
      <c r="X142" s="1350">
        <v>424833.51899999997</v>
      </c>
      <c r="Y142" s="1383">
        <v>0</v>
      </c>
      <c r="Z142" s="1383"/>
      <c r="AA142" s="1352"/>
      <c r="AB142" s="1353"/>
      <c r="AC142" s="1353"/>
      <c r="AD142" s="1385"/>
      <c r="AE142" s="1385"/>
      <c r="AF142" s="1355"/>
      <c r="AG142" s="1327"/>
      <c r="AH142" s="1321"/>
      <c r="AI142" s="1321"/>
      <c r="AJ142" s="1321"/>
      <c r="AK142" s="1345"/>
      <c r="AL142" s="1360"/>
      <c r="AM142" s="1359"/>
      <c r="AN142" s="1321"/>
      <c r="AO142" s="1321"/>
      <c r="AP142" s="1321"/>
    </row>
    <row r="143" spans="1:73" s="1327" customFormat="1" ht="13.5" customHeight="1">
      <c r="B143" s="1321" t="s">
        <v>2175</v>
      </c>
      <c r="C143" s="1340" t="s">
        <v>2176</v>
      </c>
      <c r="D143" s="1341" t="s">
        <v>611</v>
      </c>
      <c r="E143" s="1340" t="s">
        <v>2177</v>
      </c>
      <c r="F143" s="1342">
        <v>42900</v>
      </c>
      <c r="G143" s="1356">
        <v>11</v>
      </c>
      <c r="H143" s="1356">
        <v>11</v>
      </c>
      <c r="I143" s="1356">
        <v>13</v>
      </c>
      <c r="J143" s="1356">
        <v>18.82</v>
      </c>
      <c r="K143" s="1325">
        <v>49248.567999999999</v>
      </c>
      <c r="L143" s="1325">
        <v>6000</v>
      </c>
      <c r="M143" s="1325">
        <v>55248.567999999999</v>
      </c>
      <c r="N143" s="1325">
        <v>541734.24800000002</v>
      </c>
      <c r="O143" s="1345">
        <v>66000</v>
      </c>
      <c r="P143" s="1325">
        <v>607734.24800000002</v>
      </c>
      <c r="Q143" s="1325"/>
      <c r="R143" s="1325">
        <v>1</v>
      </c>
      <c r="S143" s="1343">
        <v>18.82</v>
      </c>
      <c r="T143" s="1346">
        <v>1039778.04976</v>
      </c>
      <c r="U143" s="1347">
        <v>0.71090909090909071</v>
      </c>
      <c r="V143" s="1348" t="s">
        <v>2178</v>
      </c>
      <c r="W143" s="1349" t="s">
        <v>2179</v>
      </c>
      <c r="X143" s="1350">
        <v>607734.24800000002</v>
      </c>
      <c r="Y143" s="1383">
        <v>0</v>
      </c>
      <c r="Z143" s="1383"/>
      <c r="AA143" s="1352"/>
      <c r="AB143" s="1353"/>
      <c r="AC143" s="1353"/>
      <c r="AD143" s="1385"/>
      <c r="AE143" s="1385"/>
      <c r="AF143" s="1355"/>
      <c r="AH143" s="1321"/>
      <c r="AI143" s="1321"/>
      <c r="AJ143" s="1321"/>
      <c r="AK143" s="1345"/>
      <c r="AL143" s="1360"/>
      <c r="AM143" s="1359"/>
      <c r="AN143" s="1321"/>
      <c r="AO143" s="1321"/>
      <c r="AP143" s="1321"/>
      <c r="AQ143" s="1362"/>
      <c r="AR143" s="1362"/>
      <c r="AS143" s="1362"/>
      <c r="AT143" s="1362"/>
      <c r="AU143" s="1362"/>
      <c r="AV143" s="1362"/>
      <c r="AW143" s="1362"/>
      <c r="AX143" s="1362"/>
      <c r="AY143" s="1362"/>
      <c r="AZ143" s="1362"/>
      <c r="BA143" s="1362"/>
      <c r="BB143" s="1362"/>
      <c r="BC143" s="1362"/>
      <c r="BD143" s="1362"/>
      <c r="BE143" s="1362"/>
      <c r="BF143" s="1362"/>
      <c r="BG143" s="1362"/>
      <c r="BH143" s="1362"/>
      <c r="BI143" s="1362"/>
      <c r="BJ143" s="1362"/>
      <c r="BK143" s="1362"/>
      <c r="BL143" s="1362"/>
      <c r="BM143" s="1362"/>
      <c r="BN143" s="1362"/>
      <c r="BO143" s="1362"/>
      <c r="BP143" s="1362"/>
      <c r="BQ143" s="1362"/>
      <c r="BR143" s="1362"/>
      <c r="BS143" s="1362"/>
      <c r="BT143" s="1362"/>
      <c r="BU143" s="1362"/>
    </row>
    <row r="144" spans="1:73" s="1362" customFormat="1" ht="13.5" customHeight="1">
      <c r="A144" s="1327"/>
      <c r="B144" s="1321" t="s">
        <v>1835</v>
      </c>
      <c r="C144" s="1340" t="s">
        <v>1836</v>
      </c>
      <c r="D144" s="1341" t="s">
        <v>611</v>
      </c>
      <c r="E144" s="1340" t="s">
        <v>1837</v>
      </c>
      <c r="F144" s="1342">
        <v>42802</v>
      </c>
      <c r="G144" s="1356">
        <v>20</v>
      </c>
      <c r="H144" s="1356">
        <v>20</v>
      </c>
      <c r="I144" s="1356">
        <v>22</v>
      </c>
      <c r="J144" s="1356">
        <v>20.100000000000001</v>
      </c>
      <c r="K144" s="1325">
        <v>21381.206999999999</v>
      </c>
      <c r="L144" s="1325">
        <v>174.286</v>
      </c>
      <c r="M144" s="1325">
        <v>21555.492999999999</v>
      </c>
      <c r="N144" s="1325">
        <v>427624.13999999996</v>
      </c>
      <c r="O144" s="1345">
        <v>3485.7200000000003</v>
      </c>
      <c r="P144" s="1325">
        <v>431109.85999999993</v>
      </c>
      <c r="Q144" s="1325"/>
      <c r="R144" s="1325">
        <v>1</v>
      </c>
      <c r="S144" s="1343">
        <v>20.100000000000001</v>
      </c>
      <c r="T144" s="1346">
        <v>433265.4093</v>
      </c>
      <c r="U144" s="1347">
        <v>5.0000000000001155E-3</v>
      </c>
      <c r="V144" s="1348" t="s">
        <v>1838</v>
      </c>
      <c r="W144" s="1349" t="s">
        <v>1839</v>
      </c>
      <c r="X144" s="1350">
        <v>431109.85999999993</v>
      </c>
      <c r="Y144" s="1383">
        <v>0</v>
      </c>
      <c r="Z144" s="1383"/>
      <c r="AA144" s="1352" t="s">
        <v>1840</v>
      </c>
      <c r="AB144" s="1353"/>
      <c r="AC144" s="1353"/>
      <c r="AD144" s="1385"/>
      <c r="AE144" s="1385"/>
      <c r="AF144" s="1355"/>
      <c r="AG144" s="1327"/>
      <c r="AH144" s="1321"/>
      <c r="AI144" s="1321"/>
      <c r="AJ144" s="1321"/>
      <c r="AK144" s="1345"/>
      <c r="AL144" s="1360"/>
      <c r="AM144" s="1359"/>
      <c r="AN144" s="1321"/>
      <c r="AO144" s="1321"/>
      <c r="AP144" s="1321"/>
    </row>
    <row r="145" spans="1:73" s="1362" customFormat="1" ht="13.5" customHeight="1">
      <c r="A145" s="1327"/>
      <c r="B145" s="1321" t="s">
        <v>1232</v>
      </c>
      <c r="C145" s="1340" t="s">
        <v>1233</v>
      </c>
      <c r="D145" s="1341" t="s">
        <v>611</v>
      </c>
      <c r="E145" s="1340" t="s">
        <v>1234</v>
      </c>
      <c r="F145" s="1342">
        <v>42633</v>
      </c>
      <c r="G145" s="1343">
        <v>11</v>
      </c>
      <c r="H145" s="1343">
        <v>11</v>
      </c>
      <c r="I145" s="1343">
        <v>13</v>
      </c>
      <c r="J145" s="1343">
        <v>20.59</v>
      </c>
      <c r="K145" s="1325">
        <v>11223.659</v>
      </c>
      <c r="L145" s="1344">
        <v>4100</v>
      </c>
      <c r="M145" s="1344">
        <v>15323.659</v>
      </c>
      <c r="N145" s="1325">
        <v>123460.249</v>
      </c>
      <c r="O145" s="1345">
        <v>45100</v>
      </c>
      <c r="P145" s="1325">
        <v>168560.24900000001</v>
      </c>
      <c r="Q145" s="1325"/>
      <c r="R145" s="1325">
        <v>1</v>
      </c>
      <c r="S145" s="1343">
        <v>20.59</v>
      </c>
      <c r="T145" s="1346">
        <v>315514.13880999997</v>
      </c>
      <c r="U145" s="1347">
        <v>0.8718181818181816</v>
      </c>
      <c r="V145" s="1348" t="s">
        <v>1235</v>
      </c>
      <c r="W145" s="1349" t="s">
        <v>1236</v>
      </c>
      <c r="X145" s="1350">
        <v>168560.24900000001</v>
      </c>
      <c r="Y145" s="1350">
        <v>0</v>
      </c>
      <c r="Z145" s="1350"/>
      <c r="AA145" s="1352"/>
      <c r="AB145" s="1353"/>
      <c r="AC145" s="1358"/>
      <c r="AD145" s="1354"/>
      <c r="AE145" s="1354"/>
      <c r="AF145" s="1355"/>
      <c r="AG145" s="1327"/>
      <c r="AH145" s="1399"/>
      <c r="AI145" s="1327"/>
      <c r="AJ145" s="1327"/>
      <c r="AK145" s="1327"/>
      <c r="AL145" s="1327"/>
      <c r="AM145" s="1327"/>
      <c r="AN145" s="1327"/>
      <c r="AO145" s="1327"/>
      <c r="AP145" s="1327"/>
      <c r="AQ145" s="1327"/>
      <c r="AR145" s="1327"/>
      <c r="AS145" s="1327"/>
      <c r="AT145" s="1327"/>
      <c r="AU145" s="1327"/>
      <c r="AV145" s="1327"/>
      <c r="AW145" s="1327"/>
      <c r="AX145" s="1327"/>
      <c r="AY145" s="1327"/>
      <c r="AZ145" s="1327"/>
      <c r="BA145" s="1327"/>
      <c r="BB145" s="1327"/>
      <c r="BC145" s="1327"/>
      <c r="BD145" s="1327"/>
      <c r="BE145" s="1327"/>
      <c r="BF145" s="1327"/>
      <c r="BG145" s="1327"/>
      <c r="BH145" s="1327"/>
      <c r="BI145" s="1327"/>
      <c r="BJ145" s="1327"/>
      <c r="BK145" s="1327"/>
      <c r="BL145" s="1327"/>
      <c r="BM145" s="1327"/>
      <c r="BN145" s="1327"/>
      <c r="BO145" s="1327"/>
      <c r="BP145" s="1327"/>
      <c r="BQ145" s="1327"/>
      <c r="BR145" s="1327"/>
      <c r="BS145" s="1327"/>
      <c r="BT145" s="1327"/>
      <c r="BU145" s="1327"/>
    </row>
    <row r="146" spans="1:73" s="1327" customFormat="1" ht="13.5" customHeight="1">
      <c r="B146" s="1321" t="s">
        <v>2023</v>
      </c>
      <c r="C146" s="1340" t="s">
        <v>929</v>
      </c>
      <c r="D146" s="1341" t="s">
        <v>611</v>
      </c>
      <c r="E146" s="1340" t="s">
        <v>3753</v>
      </c>
      <c r="F146" s="1342">
        <v>42563</v>
      </c>
      <c r="G146" s="1343">
        <v>8.8539700000000003</v>
      </c>
      <c r="H146" s="1343">
        <v>8.6326199999999993</v>
      </c>
      <c r="I146" s="1343">
        <v>10.18206</v>
      </c>
      <c r="J146" s="1343">
        <v>9.15442</v>
      </c>
      <c r="K146" s="1325">
        <v>13609.122000000001</v>
      </c>
      <c r="L146" s="1344">
        <v>5128.2049999999999</v>
      </c>
      <c r="M146" s="1344">
        <v>18737.327000000001</v>
      </c>
      <c r="N146" s="1325">
        <v>120494.75791434002</v>
      </c>
      <c r="O146" s="1345">
        <v>45404.97322385</v>
      </c>
      <c r="P146" s="1325">
        <v>165899.73113819002</v>
      </c>
      <c r="Q146" s="1325"/>
      <c r="R146" s="1325">
        <v>1</v>
      </c>
      <c r="S146" s="1343">
        <v>9.15442</v>
      </c>
      <c r="T146" s="1346">
        <v>171529.36103534</v>
      </c>
      <c r="U146" s="1347">
        <v>3.3933930203061236E-2</v>
      </c>
      <c r="V146" s="1348" t="s">
        <v>930</v>
      </c>
      <c r="W146" s="1349" t="s">
        <v>3754</v>
      </c>
      <c r="X146" s="1350">
        <v>165899.73113819002</v>
      </c>
      <c r="Y146" s="1350">
        <v>0</v>
      </c>
      <c r="Z146" s="1350"/>
      <c r="AA146" s="1352">
        <v>165899.73113819002</v>
      </c>
      <c r="AB146" s="1358"/>
      <c r="AC146" s="1358"/>
      <c r="AD146" s="1354" t="s">
        <v>13</v>
      </c>
      <c r="AE146" s="1354" t="s">
        <v>13</v>
      </c>
      <c r="AF146" s="1355">
        <v>0</v>
      </c>
    </row>
    <row r="147" spans="1:73" s="1327" customFormat="1" ht="13.5" customHeight="1">
      <c r="B147" s="1321" t="s">
        <v>1841</v>
      </c>
      <c r="C147" s="1340" t="s">
        <v>1842</v>
      </c>
      <c r="D147" s="1341" t="s">
        <v>611</v>
      </c>
      <c r="E147" s="1340" t="s">
        <v>1843</v>
      </c>
      <c r="F147" s="1342">
        <v>42522</v>
      </c>
      <c r="G147" s="1343">
        <v>7</v>
      </c>
      <c r="H147" s="1343">
        <v>14</v>
      </c>
      <c r="I147" s="1343">
        <v>16</v>
      </c>
      <c r="J147" s="1343">
        <v>6.78</v>
      </c>
      <c r="K147" s="1325">
        <v>12251.079</v>
      </c>
      <c r="L147" s="1344">
        <v>4000</v>
      </c>
      <c r="M147" s="1344">
        <v>16251.079</v>
      </c>
      <c r="N147" s="1325">
        <v>85757.553</v>
      </c>
      <c r="O147" s="1345">
        <v>28000</v>
      </c>
      <c r="P147" s="1325">
        <v>113757.553</v>
      </c>
      <c r="Q147" s="1325"/>
      <c r="R147" s="1325">
        <v>1</v>
      </c>
      <c r="S147" s="1343">
        <v>6.78</v>
      </c>
      <c r="T147" s="1346">
        <v>110182.31562000001</v>
      </c>
      <c r="U147" s="1398">
        <v>-3.1428571428571361E-2</v>
      </c>
      <c r="V147" s="1348" t="s">
        <v>3755</v>
      </c>
      <c r="W147" s="1349" t="s">
        <v>1844</v>
      </c>
      <c r="X147" s="1350">
        <v>113757.553</v>
      </c>
      <c r="Y147" s="1350">
        <v>0</v>
      </c>
      <c r="Z147" s="1350"/>
      <c r="AA147" s="1352"/>
      <c r="AB147" s="1358"/>
      <c r="AC147" s="1358"/>
      <c r="AD147" s="1354"/>
      <c r="AE147" s="1354"/>
      <c r="AF147" s="1345"/>
    </row>
    <row r="148" spans="1:73" s="1327" customFormat="1" ht="13.5" customHeight="1">
      <c r="B148" s="1321" t="s">
        <v>1264</v>
      </c>
      <c r="C148" s="1340" t="s">
        <v>1265</v>
      </c>
      <c r="D148" s="1341" t="s">
        <v>611</v>
      </c>
      <c r="E148" s="1340" t="s">
        <v>1266</v>
      </c>
      <c r="F148" s="1342">
        <v>42515</v>
      </c>
      <c r="G148" s="1356">
        <v>11</v>
      </c>
      <c r="H148" s="1356">
        <v>14</v>
      </c>
      <c r="I148" s="1356">
        <v>16</v>
      </c>
      <c r="J148" s="1356">
        <v>20.14</v>
      </c>
      <c r="K148" s="1325">
        <v>15998.106</v>
      </c>
      <c r="L148" s="1344">
        <v>5500</v>
      </c>
      <c r="M148" s="1344">
        <v>21498.106</v>
      </c>
      <c r="N148" s="1325">
        <v>175979.166</v>
      </c>
      <c r="O148" s="1345">
        <v>60500</v>
      </c>
      <c r="P148" s="1325">
        <v>236479.166</v>
      </c>
      <c r="Q148" s="1325"/>
      <c r="R148" s="1325">
        <v>1</v>
      </c>
      <c r="S148" s="1343">
        <v>20.14</v>
      </c>
      <c r="T148" s="1346">
        <v>432971.85483999999</v>
      </c>
      <c r="U148" s="1347">
        <v>0.83090909090909082</v>
      </c>
      <c r="V148" s="1357" t="s">
        <v>1267</v>
      </c>
      <c r="W148" s="1349" t="s">
        <v>1268</v>
      </c>
      <c r="X148" s="1350">
        <v>236479.166</v>
      </c>
      <c r="Y148" s="1350">
        <v>0</v>
      </c>
      <c r="Z148" s="1350"/>
      <c r="AA148" s="1352"/>
      <c r="AB148" s="1358"/>
      <c r="AC148" s="1358"/>
      <c r="AD148" s="1354"/>
      <c r="AE148" s="1354"/>
      <c r="AF148" s="1355"/>
      <c r="AG148" s="1359"/>
    </row>
    <row r="149" spans="1:73" s="1321" customFormat="1" ht="13.5" customHeight="1">
      <c r="A149" s="1327"/>
      <c r="B149" s="1321" t="s">
        <v>1310</v>
      </c>
      <c r="C149" s="1340" t="s">
        <v>2084</v>
      </c>
      <c r="D149" s="1341" t="s">
        <v>611</v>
      </c>
      <c r="E149" s="1340" t="s">
        <v>1312</v>
      </c>
      <c r="F149" s="1342">
        <v>42327</v>
      </c>
      <c r="G149" s="1356">
        <v>9</v>
      </c>
      <c r="H149" s="1356">
        <v>11</v>
      </c>
      <c r="I149" s="1356">
        <v>13</v>
      </c>
      <c r="J149" s="1356">
        <v>9.11</v>
      </c>
      <c r="K149" s="1325">
        <v>13470.476999999999</v>
      </c>
      <c r="L149" s="1344">
        <v>5666.6670000000004</v>
      </c>
      <c r="M149" s="1344">
        <v>19137.144</v>
      </c>
      <c r="N149" s="1325">
        <v>121234.29299999999</v>
      </c>
      <c r="O149" s="1345">
        <v>51000.003000000004</v>
      </c>
      <c r="P149" s="1325">
        <v>172234.296</v>
      </c>
      <c r="Q149" s="1325"/>
      <c r="R149" s="1325">
        <v>1</v>
      </c>
      <c r="S149" s="1343">
        <v>9.11</v>
      </c>
      <c r="T149" s="1346">
        <v>174339.38183999999</v>
      </c>
      <c r="U149" s="1347">
        <v>1.2222222222222134E-2</v>
      </c>
      <c r="V149" s="1361" t="s">
        <v>1313</v>
      </c>
      <c r="W149" s="1349" t="s">
        <v>1314</v>
      </c>
      <c r="X149" s="1350">
        <v>172234.296</v>
      </c>
      <c r="Y149" s="1350">
        <v>0</v>
      </c>
      <c r="Z149" s="1350"/>
      <c r="AA149" s="1352"/>
      <c r="AB149" s="1358"/>
      <c r="AC149" s="1358"/>
      <c r="AD149" s="1354"/>
      <c r="AE149" s="1354"/>
      <c r="AF149" s="1355"/>
      <c r="AG149" s="1362"/>
      <c r="AH149" s="1362"/>
      <c r="AI149" s="1362"/>
      <c r="AJ149" s="1362"/>
      <c r="AK149" s="1363"/>
      <c r="AL149" s="1360"/>
      <c r="AM149" s="1359"/>
      <c r="AN149" s="1362"/>
      <c r="AO149" s="1362"/>
      <c r="AP149" s="1362"/>
    </row>
    <row r="150" spans="1:73" s="1321" customFormat="1" ht="13.5" customHeight="1">
      <c r="A150" s="1327"/>
      <c r="B150" s="1321" t="s">
        <v>1371</v>
      </c>
      <c r="C150" s="1340" t="s">
        <v>1372</v>
      </c>
      <c r="D150" s="1341" t="s">
        <v>611</v>
      </c>
      <c r="E150" s="1340" t="s">
        <v>1373</v>
      </c>
      <c r="F150" s="1342">
        <v>42208</v>
      </c>
      <c r="G150" s="1356">
        <v>15</v>
      </c>
      <c r="H150" s="1356">
        <v>14</v>
      </c>
      <c r="I150" s="1356">
        <v>16</v>
      </c>
      <c r="J150" s="1356">
        <v>24.9</v>
      </c>
      <c r="K150" s="1325">
        <v>9688.7160000000003</v>
      </c>
      <c r="L150" s="1344">
        <v>4800</v>
      </c>
      <c r="M150" s="1344">
        <v>14488.716</v>
      </c>
      <c r="N150" s="1325">
        <v>145330.74</v>
      </c>
      <c r="O150" s="1345">
        <v>72000</v>
      </c>
      <c r="P150" s="1325">
        <v>217330.74</v>
      </c>
      <c r="Q150" s="1325"/>
      <c r="R150" s="1325">
        <v>1</v>
      </c>
      <c r="S150" s="1343">
        <v>24.9</v>
      </c>
      <c r="T150" s="1346">
        <v>360769.02840000001</v>
      </c>
      <c r="U150" s="1347">
        <v>0.66000000000000014</v>
      </c>
      <c r="V150" s="1348" t="s">
        <v>1374</v>
      </c>
      <c r="W150" s="1349" t="s">
        <v>1375</v>
      </c>
      <c r="X150" s="1350">
        <v>217330.74</v>
      </c>
      <c r="Y150" s="1350">
        <v>0</v>
      </c>
      <c r="Z150" s="1350"/>
      <c r="AA150" s="1352"/>
      <c r="AB150" s="1358"/>
      <c r="AC150" s="1358"/>
      <c r="AD150" s="1354"/>
      <c r="AE150" s="1354"/>
      <c r="AF150" s="1355"/>
      <c r="AG150" s="1327"/>
      <c r="AK150" s="1345"/>
      <c r="AL150" s="1360"/>
      <c r="AM150" s="1359"/>
    </row>
    <row r="151" spans="1:73" s="1362" customFormat="1" ht="13.5" customHeight="1">
      <c r="A151" s="1327"/>
      <c r="B151" s="1321" t="s">
        <v>1376</v>
      </c>
      <c r="C151" s="1340" t="s">
        <v>1377</v>
      </c>
      <c r="D151" s="1341" t="s">
        <v>1845</v>
      </c>
      <c r="E151" s="1340" t="s">
        <v>1378</v>
      </c>
      <c r="F151" s="1342">
        <v>42200</v>
      </c>
      <c r="G151" s="1356">
        <v>16</v>
      </c>
      <c r="H151" s="1356">
        <v>13</v>
      </c>
      <c r="I151" s="1356">
        <v>15</v>
      </c>
      <c r="J151" s="1356">
        <v>28.27</v>
      </c>
      <c r="K151" s="1325">
        <v>16609.642</v>
      </c>
      <c r="L151" s="1344">
        <v>6365</v>
      </c>
      <c r="M151" s="1344">
        <v>22974.642</v>
      </c>
      <c r="N151" s="1325">
        <v>265754.272</v>
      </c>
      <c r="O151" s="1345">
        <v>101840</v>
      </c>
      <c r="P151" s="1325">
        <v>367594.272</v>
      </c>
      <c r="Q151" s="1325"/>
      <c r="R151" s="1325">
        <v>1</v>
      </c>
      <c r="S151" s="1343">
        <v>28.27</v>
      </c>
      <c r="T151" s="1346">
        <v>649493.12933999998</v>
      </c>
      <c r="U151" s="1347">
        <v>0.76687499999999997</v>
      </c>
      <c r="V151" s="1361" t="s">
        <v>1379</v>
      </c>
      <c r="W151" s="1349" t="s">
        <v>1380</v>
      </c>
      <c r="X151" s="1350">
        <v>367594.272</v>
      </c>
      <c r="Y151" s="1350">
        <v>0</v>
      </c>
      <c r="Z151" s="1350"/>
      <c r="AA151" s="1352"/>
      <c r="AB151" s="1358"/>
      <c r="AC151" s="1358"/>
      <c r="AD151" s="1354"/>
      <c r="AE151" s="1354"/>
      <c r="AF151" s="1355"/>
      <c r="AG151" s="1364"/>
      <c r="AH151" s="1363"/>
      <c r="AI151" s="1364"/>
      <c r="AJ151" s="1365"/>
      <c r="AK151" s="1363"/>
      <c r="AL151" s="1360"/>
      <c r="AM151" s="1359"/>
      <c r="AN151" s="1361"/>
      <c r="AO151" s="1366"/>
      <c r="AP151" s="1366"/>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c r="BJ151" s="1321"/>
      <c r="BK151" s="1321"/>
      <c r="BL151" s="1321"/>
      <c r="BM151" s="1321"/>
      <c r="BN151" s="1321"/>
      <c r="BO151" s="1321"/>
      <c r="BP151" s="1321"/>
      <c r="BQ151" s="1321"/>
      <c r="BR151" s="1321"/>
      <c r="BS151" s="1321"/>
      <c r="BT151" s="1321"/>
      <c r="BU151" s="1321"/>
    </row>
    <row r="152" spans="1:73" s="1362" customFormat="1" ht="13.5" customHeight="1">
      <c r="A152" s="1327"/>
      <c r="B152" s="1321" t="s">
        <v>1406</v>
      </c>
      <c r="C152" s="1340" t="s">
        <v>1407</v>
      </c>
      <c r="D152" s="1341" t="s">
        <v>1845</v>
      </c>
      <c r="E152" s="1340" t="s">
        <v>1408</v>
      </c>
      <c r="F152" s="1342">
        <v>42130</v>
      </c>
      <c r="G152" s="1356">
        <v>12</v>
      </c>
      <c r="H152" s="1356">
        <v>12</v>
      </c>
      <c r="I152" s="1356">
        <v>14</v>
      </c>
      <c r="J152" s="1356">
        <v>19.079999999999998</v>
      </c>
      <c r="K152" s="1325">
        <v>13907.935000000001</v>
      </c>
      <c r="L152" s="1344">
        <v>5800</v>
      </c>
      <c r="M152" s="1344">
        <v>19707.935000000001</v>
      </c>
      <c r="N152" s="1325">
        <v>166895.22000000003</v>
      </c>
      <c r="O152" s="1345">
        <v>69600</v>
      </c>
      <c r="P152" s="1325">
        <v>236495.22000000003</v>
      </c>
      <c r="Q152" s="1325"/>
      <c r="R152" s="1325">
        <v>1</v>
      </c>
      <c r="S152" s="1343">
        <v>19.079999999999998</v>
      </c>
      <c r="T152" s="1346">
        <v>376027.39980000001</v>
      </c>
      <c r="U152" s="1347">
        <v>0.58999999999999986</v>
      </c>
      <c r="V152" s="1348" t="s">
        <v>1409</v>
      </c>
      <c r="W152" s="1349" t="s">
        <v>1410</v>
      </c>
      <c r="X152" s="1350">
        <v>236495.22000000003</v>
      </c>
      <c r="Y152" s="1350">
        <v>0</v>
      </c>
      <c r="Z152" s="1350"/>
      <c r="AA152" s="1352"/>
      <c r="AB152" s="1358"/>
      <c r="AC152" s="1358"/>
      <c r="AD152" s="1354"/>
      <c r="AE152" s="1354"/>
      <c r="AF152" s="1355"/>
      <c r="AG152" s="1327"/>
      <c r="AH152" s="1321"/>
      <c r="AI152" s="1321"/>
      <c r="AJ152" s="1321"/>
      <c r="AK152" s="1345"/>
      <c r="AL152" s="1360"/>
      <c r="AM152" s="1359"/>
      <c r="AN152" s="1321"/>
      <c r="AO152" s="1321"/>
      <c r="AP152" s="1321"/>
    </row>
    <row r="153" spans="1:73" s="1362" customFormat="1" ht="13.5" customHeight="1">
      <c r="A153" s="1327"/>
      <c r="B153" s="1321" t="s">
        <v>1411</v>
      </c>
      <c r="C153" s="1340" t="s">
        <v>1412</v>
      </c>
      <c r="D153" s="1341" t="s">
        <v>611</v>
      </c>
      <c r="E153" s="1340" t="s">
        <v>1413</v>
      </c>
      <c r="F153" s="1342">
        <v>42129</v>
      </c>
      <c r="G153" s="1356">
        <v>10</v>
      </c>
      <c r="H153" s="1356">
        <v>13</v>
      </c>
      <c r="I153" s="1356">
        <v>15</v>
      </c>
      <c r="J153" s="1356">
        <v>8.4499999999999993</v>
      </c>
      <c r="K153" s="1325">
        <v>9638.9889999999996</v>
      </c>
      <c r="L153" s="1344">
        <v>5500</v>
      </c>
      <c r="M153" s="1344">
        <v>15138.989</v>
      </c>
      <c r="N153" s="1325">
        <v>96389.89</v>
      </c>
      <c r="O153" s="1345">
        <v>55000</v>
      </c>
      <c r="P153" s="1325">
        <v>151389.89000000001</v>
      </c>
      <c r="Q153" s="1325"/>
      <c r="R153" s="1325">
        <v>1</v>
      </c>
      <c r="S153" s="1343">
        <v>8.4499999999999993</v>
      </c>
      <c r="T153" s="1346">
        <v>127924.45704999998</v>
      </c>
      <c r="U153" s="1347">
        <v>-0.15500000000000014</v>
      </c>
      <c r="V153" s="1361" t="s">
        <v>1414</v>
      </c>
      <c r="W153" s="1349" t="s">
        <v>1415</v>
      </c>
      <c r="X153" s="1350">
        <v>151389.89000000001</v>
      </c>
      <c r="Y153" s="1350">
        <v>0</v>
      </c>
      <c r="Z153" s="1350"/>
      <c r="AA153" s="1350"/>
      <c r="AB153" s="1350"/>
      <c r="AC153" s="1350"/>
      <c r="AD153" s="1354"/>
      <c r="AE153" s="1354"/>
      <c r="AF153" s="1355"/>
      <c r="AK153" s="1400"/>
      <c r="AL153" s="1360"/>
      <c r="AM153" s="1359"/>
    </row>
    <row r="154" spans="1:73" s="1362" customFormat="1" ht="13.5" customHeight="1">
      <c r="A154" s="1327"/>
      <c r="B154" s="1321" t="s">
        <v>1443</v>
      </c>
      <c r="C154" s="1340" t="s">
        <v>1444</v>
      </c>
      <c r="D154" s="1341" t="s">
        <v>611</v>
      </c>
      <c r="E154" s="1340" t="s">
        <v>1445</v>
      </c>
      <c r="F154" s="1342">
        <v>42108</v>
      </c>
      <c r="G154" s="1356">
        <v>19</v>
      </c>
      <c r="H154" s="1356">
        <v>18</v>
      </c>
      <c r="I154" s="1356">
        <v>20</v>
      </c>
      <c r="J154" s="1356">
        <v>19.93</v>
      </c>
      <c r="K154" s="1325">
        <v>27716.631000000001</v>
      </c>
      <c r="L154" s="1344">
        <v>4000</v>
      </c>
      <c r="M154" s="1344">
        <v>31716.631000000001</v>
      </c>
      <c r="N154" s="1325">
        <v>526615.98900000006</v>
      </c>
      <c r="O154" s="1345">
        <v>76000</v>
      </c>
      <c r="P154" s="1325">
        <v>602615.98900000006</v>
      </c>
      <c r="Q154" s="1325"/>
      <c r="R154" s="1325">
        <v>1</v>
      </c>
      <c r="S154" s="1343">
        <v>19.93</v>
      </c>
      <c r="T154" s="1346">
        <v>632112.45582999999</v>
      </c>
      <c r="U154" s="1347">
        <v>4.8947368421052406E-2</v>
      </c>
      <c r="V154" s="1349" t="s">
        <v>1446</v>
      </c>
      <c r="W154" s="1349" t="s">
        <v>1447</v>
      </c>
      <c r="X154" s="1350">
        <v>602615.98900000006</v>
      </c>
      <c r="Y154" s="1350">
        <v>0</v>
      </c>
      <c r="Z154" s="1350"/>
      <c r="AA154" s="1352"/>
      <c r="AB154" s="1358"/>
      <c r="AC154" s="1358"/>
      <c r="AD154" s="1354"/>
      <c r="AE154" s="1354"/>
      <c r="AF154" s="1355"/>
      <c r="AG154" s="1321"/>
      <c r="AH154" s="1321"/>
      <c r="AI154" s="1321"/>
      <c r="AJ154" s="1345"/>
      <c r="AK154" s="1360"/>
      <c r="AL154" s="1359"/>
      <c r="AM154" s="1321"/>
      <c r="AN154" s="1321"/>
      <c r="AO154" s="1321"/>
    </row>
    <row r="155" spans="1:73" s="1321" customFormat="1" ht="13.5" customHeight="1">
      <c r="A155" s="1327"/>
      <c r="B155" s="1321" t="s">
        <v>1458</v>
      </c>
      <c r="C155" s="1340" t="s">
        <v>1459</v>
      </c>
      <c r="D155" s="1341" t="s">
        <v>611</v>
      </c>
      <c r="E155" s="1340" t="s">
        <v>1460</v>
      </c>
      <c r="F155" s="1342">
        <v>42047</v>
      </c>
      <c r="G155" s="1356">
        <v>6</v>
      </c>
      <c r="H155" s="1356">
        <v>12</v>
      </c>
      <c r="I155" s="1356">
        <v>14</v>
      </c>
      <c r="J155" s="1356">
        <v>3.1</v>
      </c>
      <c r="K155" s="1325">
        <v>5645.3540000000003</v>
      </c>
      <c r="L155" s="1344">
        <v>683.25</v>
      </c>
      <c r="M155" s="1344">
        <v>6328.6040000000003</v>
      </c>
      <c r="N155" s="1325">
        <v>33872.124000000003</v>
      </c>
      <c r="O155" s="1345">
        <v>4099.5</v>
      </c>
      <c r="P155" s="1325">
        <v>37971.624000000003</v>
      </c>
      <c r="Q155" s="1325"/>
      <c r="R155" s="1325">
        <v>1</v>
      </c>
      <c r="S155" s="1343">
        <v>3.1</v>
      </c>
      <c r="T155" s="1346">
        <v>19618.672400000003</v>
      </c>
      <c r="U155" s="1347">
        <v>-0.48333333333333328</v>
      </c>
      <c r="V155" s="1349" t="s">
        <v>1461</v>
      </c>
      <c r="W155" s="1349" t="s">
        <v>1462</v>
      </c>
      <c r="X155" s="1350">
        <v>37971.624000000003</v>
      </c>
      <c r="Y155" s="1350">
        <v>0</v>
      </c>
      <c r="Z155" s="1350"/>
      <c r="AA155" s="1352"/>
      <c r="AB155" s="1358"/>
      <c r="AC155" s="1358"/>
      <c r="AD155" s="1354"/>
      <c r="AE155" s="1354"/>
      <c r="AF155" s="1355"/>
      <c r="AG155" s="1362"/>
      <c r="AH155" s="1362"/>
      <c r="AI155" s="1362"/>
      <c r="AJ155" s="1363"/>
      <c r="AK155" s="1360"/>
      <c r="AL155" s="1359"/>
      <c r="AM155" s="1362"/>
      <c r="AN155" s="1362"/>
      <c r="AO155" s="1362"/>
      <c r="AP155" s="1362"/>
      <c r="AQ155" s="1362"/>
      <c r="AR155" s="1362"/>
      <c r="AS155" s="1362"/>
      <c r="AT155" s="1362"/>
      <c r="AU155" s="1362"/>
      <c r="AV155" s="1362"/>
      <c r="AW155" s="1362"/>
      <c r="AX155" s="1362"/>
      <c r="AY155" s="1362"/>
      <c r="AZ155" s="1362"/>
      <c r="BA155" s="1362"/>
      <c r="BB155" s="1362"/>
      <c r="BC155" s="1362"/>
      <c r="BD155" s="1362"/>
      <c r="BE155" s="1362"/>
      <c r="BF155" s="1362"/>
      <c r="BG155" s="1362"/>
      <c r="BH155" s="1362"/>
      <c r="BI155" s="1362"/>
      <c r="BJ155" s="1362"/>
      <c r="BK155" s="1362"/>
      <c r="BL155" s="1362"/>
      <c r="BM155" s="1362"/>
      <c r="BN155" s="1362"/>
      <c r="BO155" s="1362"/>
      <c r="BP155" s="1362"/>
      <c r="BQ155" s="1362"/>
      <c r="BR155" s="1362"/>
      <c r="BS155" s="1362"/>
      <c r="BT155" s="1362"/>
      <c r="BU155" s="1362"/>
    </row>
    <row r="156" spans="1:73" s="1362" customFormat="1" ht="13.5" customHeight="1">
      <c r="A156" s="1327"/>
      <c r="B156" s="1321" t="s">
        <v>903</v>
      </c>
      <c r="C156" s="1340" t="s">
        <v>901</v>
      </c>
      <c r="D156" s="1341" t="s">
        <v>611</v>
      </c>
      <c r="E156" s="1340" t="s">
        <v>1463</v>
      </c>
      <c r="F156" s="1342">
        <v>42033</v>
      </c>
      <c r="G156" s="1356">
        <v>23</v>
      </c>
      <c r="H156" s="1356">
        <v>15</v>
      </c>
      <c r="I156" s="1356">
        <v>17</v>
      </c>
      <c r="J156" s="1356">
        <v>57.59</v>
      </c>
      <c r="K156" s="1325">
        <v>16490.366999999998</v>
      </c>
      <c r="L156" s="1344">
        <v>7000</v>
      </c>
      <c r="M156" s="1344">
        <v>23490.366999999998</v>
      </c>
      <c r="N156" s="1325">
        <v>379278.44099999999</v>
      </c>
      <c r="O156" s="1345">
        <v>161000</v>
      </c>
      <c r="P156" s="1325">
        <v>540278.44099999999</v>
      </c>
      <c r="Q156" s="1325"/>
      <c r="R156" s="1325">
        <v>1</v>
      </c>
      <c r="S156" s="1343">
        <v>57.59</v>
      </c>
      <c r="T156" s="1346">
        <v>1352810.2355299999</v>
      </c>
      <c r="U156" s="1347">
        <v>1.5039130434782608</v>
      </c>
      <c r="V156" s="1349" t="s">
        <v>902</v>
      </c>
      <c r="W156" s="1349" t="s">
        <v>904</v>
      </c>
      <c r="X156" s="1350">
        <v>540278.44099999999</v>
      </c>
      <c r="Y156" s="1350">
        <v>0</v>
      </c>
      <c r="Z156" s="1350"/>
      <c r="AA156" s="1352"/>
      <c r="AB156" s="1358"/>
      <c r="AC156" s="1358"/>
      <c r="AD156" s="1354"/>
      <c r="AE156" s="1354"/>
      <c r="AF156" s="1355"/>
      <c r="AG156" s="1321"/>
      <c r="AH156" s="1321"/>
      <c r="AI156" s="1321"/>
      <c r="AJ156" s="1345"/>
      <c r="AK156" s="1360"/>
      <c r="AL156" s="1359"/>
      <c r="AM156" s="1321"/>
      <c r="AN156" s="1321"/>
      <c r="AO156" s="1321"/>
    </row>
    <row r="157" spans="1:73" s="1321" customFormat="1" ht="14.85" customHeight="1">
      <c r="F157" s="1401"/>
      <c r="G157" s="1401"/>
      <c r="H157" s="1401"/>
      <c r="I157" s="1401"/>
      <c r="J157" s="1401"/>
      <c r="K157" s="1401"/>
      <c r="L157" s="1401"/>
      <c r="M157" s="1401"/>
      <c r="N157" s="1401"/>
      <c r="O157" s="1401"/>
      <c r="P157" s="1401"/>
      <c r="Q157" s="1325"/>
      <c r="R157" s="1325"/>
      <c r="S157" s="1401"/>
    </row>
    <row r="158" spans="1:73" s="1321" customFormat="1" ht="14.85" customHeight="1">
      <c r="B158" s="1369" t="s">
        <v>111</v>
      </c>
      <c r="C158" s="1370"/>
      <c r="D158" s="1370"/>
      <c r="E158" s="1370"/>
      <c r="F158" s="1370"/>
      <c r="G158" s="1370"/>
      <c r="H158" s="1370"/>
      <c r="I158" s="1370"/>
      <c r="J158" s="1370"/>
      <c r="K158" s="1370"/>
      <c r="L158" s="1370"/>
      <c r="M158" s="1370"/>
      <c r="N158" s="1371">
        <f>MAX(N134:N156)</f>
        <v>737506.26</v>
      </c>
      <c r="O158" s="1371"/>
      <c r="P158" s="1372">
        <f>MAX(P134:P156)</f>
        <v>887506.25399999996</v>
      </c>
      <c r="Q158" s="1325"/>
      <c r="R158" s="1325"/>
      <c r="S158" s="1402">
        <f>MAX(S134:S156)</f>
        <v>57.59</v>
      </c>
    </row>
    <row r="159" spans="1:73" s="1321" customFormat="1" ht="14.85" customHeight="1">
      <c r="B159" s="1374" t="s">
        <v>115</v>
      </c>
      <c r="C159" s="1375"/>
      <c r="D159" s="1375"/>
      <c r="E159" s="1375"/>
      <c r="F159" s="1375"/>
      <c r="G159" s="1375"/>
      <c r="H159" s="1375"/>
      <c r="I159" s="1375"/>
      <c r="J159" s="1375"/>
      <c r="K159" s="1375"/>
      <c r="L159" s="1375"/>
      <c r="M159" s="1375"/>
      <c r="N159" s="1299">
        <f>QUARTILE(N134:N156,3)</f>
        <v>374482.65150000004</v>
      </c>
      <c r="O159" s="1299"/>
      <c r="P159" s="1376">
        <f>QUARTILE(P134:P156,3)</f>
        <v>480455.74050000001</v>
      </c>
      <c r="Q159" s="1325"/>
      <c r="R159" s="1325"/>
      <c r="S159" s="1403">
        <f>QUARTILE(S134:S156,3)</f>
        <v>20.975000000000001</v>
      </c>
    </row>
    <row r="160" spans="1:73" s="1321" customFormat="1" ht="14.85" customHeight="1">
      <c r="B160" s="1374" t="s">
        <v>43</v>
      </c>
      <c r="C160" s="1375"/>
      <c r="D160" s="1375"/>
      <c r="E160" s="1375"/>
      <c r="F160" s="1375"/>
      <c r="G160" s="1375"/>
      <c r="H160" s="1375"/>
      <c r="I160" s="1375"/>
      <c r="J160" s="1375"/>
      <c r="K160" s="1375"/>
      <c r="L160" s="1375"/>
      <c r="M160" s="1375"/>
      <c r="N160" s="1299">
        <f>AVERAGE(N134:N156)</f>
        <v>266184.24068986258</v>
      </c>
      <c r="O160" s="1299"/>
      <c r="P160" s="1376">
        <f>AVERAGE(P134:P156)</f>
        <v>341223.16215644084</v>
      </c>
      <c r="Q160" s="1325"/>
      <c r="R160" s="1325"/>
      <c r="S160" s="1403">
        <f>AVERAGE(S134:S156)</f>
        <v>19.033367826086959</v>
      </c>
    </row>
    <row r="161" spans="2:19" s="1321" customFormat="1" ht="14.85" customHeight="1">
      <c r="B161" s="1374" t="s">
        <v>44</v>
      </c>
      <c r="C161" s="1375"/>
      <c r="D161" s="1375"/>
      <c r="E161" s="1375"/>
      <c r="F161" s="1375"/>
      <c r="G161" s="1375"/>
      <c r="H161" s="1375"/>
      <c r="I161" s="1375"/>
      <c r="J161" s="1375"/>
      <c r="K161" s="1375"/>
      <c r="L161" s="1375"/>
      <c r="M161" s="1375"/>
      <c r="N161" s="1299">
        <f>MEDIAN(N134:N156)</f>
        <v>185332.55195249998</v>
      </c>
      <c r="O161" s="1299"/>
      <c r="P161" s="1376">
        <f>MEDIAN(P134:P156)</f>
        <v>246542.11400000003</v>
      </c>
      <c r="Q161" s="1325"/>
      <c r="R161" s="1325"/>
      <c r="S161" s="1403">
        <f>MEDIAN(S134:S156)</f>
        <v>19.079999999999998</v>
      </c>
    </row>
    <row r="162" spans="2:19" s="1321" customFormat="1" ht="14.85" customHeight="1">
      <c r="B162" s="1374" t="s">
        <v>114</v>
      </c>
      <c r="C162" s="1375"/>
      <c r="D162" s="1375"/>
      <c r="E162" s="1375"/>
      <c r="F162" s="1375"/>
      <c r="G162" s="1375"/>
      <c r="H162" s="1375"/>
      <c r="I162" s="1375"/>
      <c r="J162" s="1375"/>
      <c r="K162" s="1375"/>
      <c r="L162" s="1375"/>
      <c r="M162" s="1375"/>
      <c r="N162" s="1299">
        <f>QUARTILE(N134:N156,1)</f>
        <v>122347.27099999999</v>
      </c>
      <c r="O162" s="1299"/>
      <c r="P162" s="1376">
        <f>QUARTILE(P134:P156,1)</f>
        <v>176853.39750000002</v>
      </c>
      <c r="Q162" s="1325"/>
      <c r="R162" s="1325"/>
      <c r="S162" s="1403">
        <f>QUARTILE(S134:S156,1)</f>
        <v>10.66221</v>
      </c>
    </row>
    <row r="163" spans="2:19" s="1321" customFormat="1" ht="14.85" customHeight="1">
      <c r="B163" s="1378" t="s">
        <v>112</v>
      </c>
      <c r="C163" s="1379"/>
      <c r="D163" s="1379"/>
      <c r="E163" s="1379"/>
      <c r="F163" s="1379"/>
      <c r="G163" s="1379"/>
      <c r="H163" s="1379"/>
      <c r="I163" s="1379"/>
      <c r="J163" s="1379"/>
      <c r="K163" s="1379"/>
      <c r="L163" s="1379"/>
      <c r="M163" s="1379"/>
      <c r="N163" s="1301">
        <f>MIN(N134:N156)</f>
        <v>33872.124000000003</v>
      </c>
      <c r="O163" s="1301"/>
      <c r="P163" s="1380">
        <f>MIN(P134:P156)</f>
        <v>37971.624000000003</v>
      </c>
      <c r="Q163" s="1325"/>
      <c r="R163" s="1325"/>
      <c r="S163" s="1404">
        <f>MIN(S134:S156)</f>
        <v>3.1</v>
      </c>
    </row>
    <row r="164" spans="2:19" s="1321" customFormat="1" ht="14.85" customHeight="1">
      <c r="F164" s="1401"/>
      <c r="G164" s="1401"/>
      <c r="H164" s="1401"/>
      <c r="I164" s="1401"/>
      <c r="J164" s="1401"/>
      <c r="K164" s="1401"/>
      <c r="L164" s="1401"/>
      <c r="M164" s="1401"/>
      <c r="N164" s="1401"/>
      <c r="O164" s="1401"/>
      <c r="P164" s="1401"/>
      <c r="Q164" s="1325"/>
      <c r="R164" s="1325"/>
      <c r="S164" s="1401"/>
    </row>
    <row r="165" spans="2:19" s="1321" customFormat="1" ht="14.85" customHeight="1">
      <c r="B165" s="1382" t="s">
        <v>1846</v>
      </c>
      <c r="F165" s="1401"/>
      <c r="G165" s="1401"/>
      <c r="H165" s="1401"/>
      <c r="I165" s="1401"/>
      <c r="J165" s="1401"/>
      <c r="K165" s="1401"/>
      <c r="L165" s="1401"/>
      <c r="M165" s="1401"/>
      <c r="N165" s="1401"/>
      <c r="O165" s="1401"/>
      <c r="P165" s="1401"/>
      <c r="Q165" s="1325"/>
      <c r="R165" s="1325"/>
      <c r="S165" s="1401"/>
    </row>
    <row r="166" spans="2:19" s="1321" customFormat="1" ht="14.85" customHeight="1">
      <c r="B166" s="1369" t="s">
        <v>111</v>
      </c>
      <c r="C166" s="1370"/>
      <c r="D166" s="1370"/>
      <c r="E166" s="1370"/>
      <c r="F166" s="1370"/>
      <c r="G166" s="1370"/>
      <c r="H166" s="1370"/>
      <c r="I166" s="1370"/>
      <c r="J166" s="1370"/>
      <c r="K166" s="1370"/>
      <c r="L166" s="1370"/>
      <c r="M166" s="1370"/>
      <c r="N166" s="1371">
        <f t="array" ref="N166">MAX(IF($R$12:$R$156=1,N$12:N$156,""))</f>
        <v>1766090.8</v>
      </c>
      <c r="O166" s="1371"/>
      <c r="P166" s="1372">
        <f t="array" ref="P166">MAX(IF($R$12:$R$156=1,P$12:P$156,""))</f>
        <v>1973290.8</v>
      </c>
      <c r="Q166" s="1325"/>
      <c r="R166" s="1325"/>
      <c r="S166" s="1401"/>
    </row>
    <row r="167" spans="2:19" s="1321" customFormat="1" ht="14.85" customHeight="1">
      <c r="B167" s="1374" t="s">
        <v>115</v>
      </c>
      <c r="C167" s="1375"/>
      <c r="D167" s="1375"/>
      <c r="E167" s="1375"/>
      <c r="F167" s="1375"/>
      <c r="G167" s="1375"/>
      <c r="H167" s="1375"/>
      <c r="I167" s="1375"/>
      <c r="J167" s="1375"/>
      <c r="K167" s="1375"/>
      <c r="L167" s="1375"/>
      <c r="M167" s="1375"/>
      <c r="N167" s="1299">
        <f t="array" ref="N167">QUARTILE(IF($R$12:$R$156=1,N$12:N$156,""),3)</f>
        <v>368070.05025000003</v>
      </c>
      <c r="O167" s="1299"/>
      <c r="P167" s="1376">
        <f t="array" ref="P167">QUARTILE(IF($R$12:$R$156=1,P$12:P$156,""),3)</f>
        <v>464537.68125000002</v>
      </c>
      <c r="Q167" s="1325"/>
      <c r="R167" s="1325"/>
      <c r="S167" s="1401"/>
    </row>
    <row r="168" spans="2:19" s="1321" customFormat="1" ht="14.85" customHeight="1">
      <c r="B168" s="1374" t="s">
        <v>43</v>
      </c>
      <c r="C168" s="1375"/>
      <c r="D168" s="1375"/>
      <c r="E168" s="1375"/>
      <c r="F168" s="1375"/>
      <c r="G168" s="1375"/>
      <c r="H168" s="1375"/>
      <c r="I168" s="1375"/>
      <c r="J168" s="1375"/>
      <c r="K168" s="1375"/>
      <c r="L168" s="1375"/>
      <c r="M168" s="1375"/>
      <c r="N168" s="1299">
        <f t="array" ref="N168">AVERAGE(IF($R$12:$R$156=1,N$12:N$156,""))</f>
        <v>284109.61911902041</v>
      </c>
      <c r="O168" s="1299"/>
      <c r="P168" s="1376">
        <f t="array" ref="P168">AVERAGE(IF($R$12:$R$156=1,P$12:P$156,""))</f>
        <v>365002.31171954359</v>
      </c>
      <c r="Q168" s="1325"/>
      <c r="R168" s="1325"/>
      <c r="S168" s="1401"/>
    </row>
    <row r="169" spans="2:19" s="1321" customFormat="1" ht="14.85" customHeight="1">
      <c r="B169" s="1374" t="s">
        <v>44</v>
      </c>
      <c r="C169" s="1375"/>
      <c r="D169" s="1375"/>
      <c r="E169" s="1375"/>
      <c r="F169" s="1375"/>
      <c r="G169" s="1375"/>
      <c r="H169" s="1375"/>
      <c r="I169" s="1375"/>
      <c r="J169" s="1375"/>
      <c r="K169" s="1375"/>
      <c r="L169" s="1375"/>
      <c r="M169" s="1375"/>
      <c r="N169" s="1299">
        <f t="array" ref="N169">MEDIAN(IF($R$12:$R$156=1,N$12:N$156,""))</f>
        <v>233128.87599999999</v>
      </c>
      <c r="O169" s="1299"/>
      <c r="P169" s="1376">
        <f t="array" ref="P169">MEDIAN(IF($R$12:$R$156=1,P$12:P$156,""))</f>
        <v>300390.20549999998</v>
      </c>
      <c r="Q169" s="1325"/>
      <c r="R169" s="1325"/>
      <c r="S169" s="1401"/>
    </row>
    <row r="170" spans="2:19" s="1321" customFormat="1" ht="14.85" customHeight="1">
      <c r="B170" s="1374" t="s">
        <v>114</v>
      </c>
      <c r="C170" s="1375"/>
      <c r="D170" s="1375"/>
      <c r="E170" s="1375"/>
      <c r="F170" s="1375"/>
      <c r="G170" s="1375"/>
      <c r="H170" s="1375"/>
      <c r="I170" s="1375"/>
      <c r="J170" s="1375"/>
      <c r="K170" s="1375"/>
      <c r="L170" s="1375"/>
      <c r="M170" s="1375"/>
      <c r="N170" s="1299">
        <f t="array" ref="N170">QUARTILE(IF($R$12:$R$156=1,N$12:N$156,""),1)</f>
        <v>101596.04025000001</v>
      </c>
      <c r="O170" s="1299"/>
      <c r="P170" s="1376">
        <f t="array" ref="P170">QUARTILE(IF($R$12:$R$156=1,P$12:P$156,""),1)</f>
        <v>158207.22703454751</v>
      </c>
      <c r="Q170" s="1325"/>
      <c r="R170" s="1325"/>
      <c r="S170" s="1401"/>
    </row>
    <row r="171" spans="2:19" s="1321" customFormat="1" ht="14.85" customHeight="1">
      <c r="B171" s="1378" t="s">
        <v>112</v>
      </c>
      <c r="C171" s="1379"/>
      <c r="D171" s="1379"/>
      <c r="E171" s="1379"/>
      <c r="F171" s="1379"/>
      <c r="G171" s="1379"/>
      <c r="H171" s="1379"/>
      <c r="I171" s="1379"/>
      <c r="J171" s="1379"/>
      <c r="K171" s="1379"/>
      <c r="L171" s="1379"/>
      <c r="M171" s="1379"/>
      <c r="N171" s="1301">
        <f t="array" ref="N171">MIN(IF($R$12:$R$156=1,N$12:N$156,""))</f>
        <v>18940.300000000003</v>
      </c>
      <c r="O171" s="1301"/>
      <c r="P171" s="1380">
        <f t="array" ref="P171">MIN(IF($R$12:$R$156=1,P$12:P$156,""))</f>
        <v>37971.624000000003</v>
      </c>
      <c r="Q171" s="1325"/>
      <c r="R171" s="1325"/>
      <c r="S171" s="1401"/>
    </row>
    <row r="172" spans="2:19" s="1321" customFormat="1" ht="14.85" customHeight="1">
      <c r="F172" s="1401"/>
      <c r="G172" s="1401"/>
      <c r="H172" s="1401"/>
      <c r="I172" s="1401"/>
      <c r="J172" s="1401"/>
      <c r="K172" s="1401"/>
      <c r="L172" s="1401"/>
      <c r="M172" s="1401"/>
      <c r="N172" s="1401"/>
      <c r="O172" s="1401"/>
      <c r="P172" s="1401"/>
      <c r="Q172" s="1401"/>
      <c r="R172" s="1401"/>
      <c r="S172" s="1401"/>
    </row>
    <row r="173" spans="2:19" s="1321" customFormat="1" ht="14.85" customHeight="1">
      <c r="B173" s="272" t="s">
        <v>116</v>
      </c>
      <c r="C173" s="1405"/>
      <c r="D173" s="1405"/>
      <c r="E173" s="1405"/>
      <c r="F173" s="1405"/>
      <c r="G173" s="1405"/>
      <c r="H173" s="1405"/>
      <c r="I173" s="1405"/>
      <c r="J173" s="1405"/>
      <c r="K173" s="1405"/>
      <c r="L173" s="1405"/>
      <c r="M173" s="1405"/>
      <c r="N173" s="1405"/>
      <c r="O173" s="1405"/>
      <c r="P173" s="1405"/>
      <c r="Q173" s="1401"/>
      <c r="R173" s="1401"/>
      <c r="S173" s="1401"/>
    </row>
    <row r="174" spans="2:19" ht="14.85" customHeight="1">
      <c r="C174" s="1303" t="s">
        <v>1500</v>
      </c>
      <c r="S174" s="1305"/>
    </row>
    <row r="175" spans="2:19" ht="14.85" customHeight="1">
      <c r="C175" s="1303" t="s">
        <v>1501</v>
      </c>
      <c r="S175" s="1305"/>
    </row>
    <row r="176" spans="2:19" ht="14.85" customHeight="1">
      <c r="C176" s="1303" t="s">
        <v>1502</v>
      </c>
      <c r="S176" s="1305"/>
    </row>
    <row r="177" spans="3:19" ht="14.85" customHeight="1">
      <c r="C177" s="1303" t="s">
        <v>1547</v>
      </c>
      <c r="S177" s="1305"/>
    </row>
    <row r="178" spans="3:19" ht="14.85" customHeight="1">
      <c r="C178" s="1303" t="s">
        <v>1548</v>
      </c>
      <c r="S178" s="1305"/>
    </row>
    <row r="179" spans="3:19" ht="14.85" customHeight="1">
      <c r="C179" s="1303" t="s">
        <v>1503</v>
      </c>
      <c r="S179" s="1305"/>
    </row>
    <row r="180" spans="3:19" ht="14.85" customHeight="1">
      <c r="C180" s="1303" t="s">
        <v>940</v>
      </c>
      <c r="S180" s="1305"/>
    </row>
    <row r="181" spans="3:19" ht="14.85" customHeight="1">
      <c r="C181" s="1303" t="s">
        <v>1504</v>
      </c>
      <c r="S181" s="1305"/>
    </row>
    <row r="182" spans="3:19" ht="14.85" customHeight="1">
      <c r="C182" s="1303" t="s">
        <v>1505</v>
      </c>
      <c r="S182" s="1305"/>
    </row>
    <row r="183" spans="3:19" ht="14.85" customHeight="1">
      <c r="C183" s="1303" t="s">
        <v>1507</v>
      </c>
      <c r="S183" s="1305"/>
    </row>
    <row r="184" spans="3:19" ht="14.85" customHeight="1">
      <c r="C184" s="1303" t="s">
        <v>1510</v>
      </c>
      <c r="S184" s="1305"/>
    </row>
    <row r="185" spans="3:19" ht="14.85" customHeight="1">
      <c r="C185" s="1303" t="s">
        <v>1512</v>
      </c>
      <c r="S185" s="1305"/>
    </row>
    <row r="186" spans="3:19" ht="14.85" customHeight="1">
      <c r="C186" s="1303" t="s">
        <v>1516</v>
      </c>
      <c r="S186" s="1305"/>
    </row>
    <row r="187" spans="3:19" ht="14.85" customHeight="1">
      <c r="C187" s="1303" t="s">
        <v>1520</v>
      </c>
      <c r="S187" s="1305"/>
    </row>
    <row r="188" spans="3:19" ht="14.85" customHeight="1">
      <c r="C188" s="1303" t="s">
        <v>1521</v>
      </c>
      <c r="S188" s="1305"/>
    </row>
    <row r="189" spans="3:19" ht="14.85" customHeight="1">
      <c r="C189" s="1303" t="s">
        <v>1522</v>
      </c>
      <c r="S189" s="1305"/>
    </row>
    <row r="190" spans="3:19" ht="14.85" customHeight="1">
      <c r="C190" s="1303" t="s">
        <v>1524</v>
      </c>
      <c r="S190" s="1305"/>
    </row>
    <row r="191" spans="3:19" ht="14.85" customHeight="1">
      <c r="S191" s="1305"/>
    </row>
    <row r="192" spans="3:19" ht="14.85" customHeight="1">
      <c r="S192" s="1305"/>
    </row>
    <row r="193" spans="19:19" ht="14.85" customHeight="1">
      <c r="S193" s="1305"/>
    </row>
    <row r="194" spans="19:19" ht="14.85" customHeight="1">
      <c r="S194" s="1305"/>
    </row>
    <row r="195" spans="19:19" ht="14.85" customHeight="1">
      <c r="S195" s="1305"/>
    </row>
    <row r="196" spans="19:19" ht="14.85" customHeight="1">
      <c r="S196" s="1305"/>
    </row>
    <row r="197" spans="19:19" ht="14.85" customHeight="1">
      <c r="S197" s="1305"/>
    </row>
    <row r="198" spans="19:19" ht="14.85" customHeight="1">
      <c r="S198" s="1305"/>
    </row>
    <row r="199" spans="19:19" ht="14.85" customHeight="1">
      <c r="S199" s="1305"/>
    </row>
    <row r="200" spans="19:19" ht="14.85" customHeight="1">
      <c r="S200" s="1305"/>
    </row>
    <row r="201" spans="19:19" ht="14.85" customHeight="1">
      <c r="S201" s="1305"/>
    </row>
    <row r="202" spans="19:19" ht="14.85" customHeight="1">
      <c r="S202" s="1305"/>
    </row>
    <row r="203" spans="19:19" ht="14.85" customHeight="1">
      <c r="S203" s="1305"/>
    </row>
    <row r="204" spans="19:19" ht="14.85" customHeight="1">
      <c r="S204" s="1305"/>
    </row>
    <row r="205" spans="19:19" ht="14.85" customHeight="1"/>
    <row r="206" spans="19:19" ht="14.85" customHeight="1"/>
    <row r="207" spans="19:19" ht="14.85" customHeight="1"/>
    <row r="208" spans="19:19"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row r="768" ht="14.85" customHeight="1"/>
    <row r="769" ht="14.85" customHeight="1"/>
    <row r="770" ht="14.85" customHeight="1"/>
    <row r="771" ht="14.85" customHeight="1"/>
    <row r="772" ht="14.85" customHeight="1"/>
    <row r="773" ht="14.85" customHeight="1"/>
    <row r="774" ht="14.85" customHeight="1"/>
    <row r="775" ht="14.85" customHeight="1"/>
    <row r="776" ht="14.85" customHeight="1"/>
    <row r="777" ht="14.85" customHeight="1"/>
    <row r="778" ht="14.85" customHeight="1"/>
    <row r="779" ht="14.85" customHeight="1"/>
    <row r="780" ht="14.85" customHeight="1"/>
  </sheetData>
  <mergeCells count="21">
    <mergeCell ref="U8:U9"/>
    <mergeCell ref="P8:P9"/>
    <mergeCell ref="K8:K9"/>
    <mergeCell ref="O8:O9"/>
    <mergeCell ref="L8:L9"/>
    <mergeCell ref="M8:M9"/>
    <mergeCell ref="N8:N9"/>
    <mergeCell ref="S8:S9"/>
    <mergeCell ref="T8:T9"/>
    <mergeCell ref="F8:F9"/>
    <mergeCell ref="D8:D9"/>
    <mergeCell ref="G8:G9"/>
    <mergeCell ref="H8:I8"/>
    <mergeCell ref="J8:J9"/>
    <mergeCell ref="V8:V9"/>
    <mergeCell ref="X8:X9"/>
    <mergeCell ref="AE8:AE9"/>
    <mergeCell ref="AA8:AA9"/>
    <mergeCell ref="AB8:AB9"/>
    <mergeCell ref="AC8:AC9"/>
    <mergeCell ref="AD8:AD9"/>
  </mergeCells>
  <conditionalFormatting sqref="C4:E4">
    <cfRule type="cellIs" dxfId="189" priority="8" stopIfTrue="1" operator="equal">
      <formula>"input"</formula>
    </cfRule>
  </conditionalFormatting>
  <conditionalFormatting sqref="F4:G4">
    <cfRule type="cellIs" dxfId="188" priority="7" stopIfTrue="1" operator="equal">
      <formula>"input"</formula>
    </cfRule>
  </conditionalFormatting>
  <conditionalFormatting sqref="H4:I4">
    <cfRule type="cellIs" dxfId="187" priority="6" stopIfTrue="1" operator="equal">
      <formula>"input"</formula>
    </cfRule>
  </conditionalFormatting>
  <conditionalFormatting sqref="J4:K4">
    <cfRule type="cellIs" dxfId="186" priority="5" stopIfTrue="1" operator="equal">
      <formula>"input"</formula>
    </cfRule>
  </conditionalFormatting>
  <conditionalFormatting sqref="L4:M4">
    <cfRule type="cellIs" dxfId="185" priority="4" stopIfTrue="1" operator="equal">
      <formula>"input"</formula>
    </cfRule>
  </conditionalFormatting>
  <conditionalFormatting sqref="N4:O4">
    <cfRule type="cellIs" dxfId="184" priority="3" stopIfTrue="1" operator="equal">
      <formula>"input"</formula>
    </cfRule>
  </conditionalFormatting>
  <conditionalFormatting sqref="P4">
    <cfRule type="cellIs" dxfId="183" priority="2" stopIfTrue="1" operator="equal">
      <formula>"input"</formula>
    </cfRule>
  </conditionalFormatting>
  <conditionalFormatting sqref="B4">
    <cfRule type="cellIs" dxfId="182" priority="1" stopIfTrue="1" operator="equal">
      <formula>"input"</formula>
    </cfRule>
  </conditionalFormatting>
  <pageMargins left="0.5" right="0.5" top="0.5" bottom="0.5" header="0.5" footer="0.5"/>
  <pageSetup scale="78" fitToWidth="0" fitToHeight="0" orientation="landscape" r:id="rId1"/>
  <rowBreaks count="4" manualBreakCount="4">
    <brk id="47" max="16" man="1"/>
    <brk id="85" max="16" man="1"/>
    <brk id="122" max="16" man="1"/>
    <brk id="163" max="16" man="1"/>
  </rowBreaks>
  <legacyDrawing r:id="rId2"/>
  <legacyDrawingHF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6"/>
  <dimension ref="B1:L685"/>
  <sheetViews>
    <sheetView showGridLines="0" view="pageBreakPreview" zoomScale="80" zoomScaleNormal="100" zoomScaleSheetLayoutView="80" workbookViewId="0"/>
  </sheetViews>
  <sheetFormatPr defaultRowHeight="12.75" outlineLevelRow="1" outlineLevelCol="1"/>
  <cols>
    <col min="1" max="1" width="2.83203125" style="179" customWidth="1"/>
    <col min="2" max="2" width="60.1640625" style="203" customWidth="1"/>
    <col min="3" max="4" width="37.83203125" style="203" customWidth="1"/>
    <col min="5" max="6" width="19.1640625" style="203" hidden="1" customWidth="1" outlineLevel="1"/>
    <col min="7" max="7" width="21.83203125" style="203" customWidth="1" collapsed="1"/>
    <col min="8" max="8" width="2.83203125" style="203" customWidth="1"/>
    <col min="9" max="9" width="9.33203125" style="203"/>
    <col min="10" max="11" width="9.33203125" style="179"/>
    <col min="12" max="12" width="15.33203125" style="179" bestFit="1" customWidth="1"/>
    <col min="13" max="16384" width="9.33203125" style="179"/>
  </cols>
  <sheetData>
    <row r="1" spans="2:12" ht="10.7" customHeight="1" thickBot="1">
      <c r="B1" s="179"/>
      <c r="C1" s="179"/>
      <c r="D1" s="179"/>
      <c r="E1" s="179"/>
      <c r="F1" s="179"/>
      <c r="G1" s="179"/>
    </row>
    <row r="2" spans="2:12" ht="16.5" customHeight="1" thickTop="1">
      <c r="B2" s="187" t="str">
        <f>'MASTER PubCo Inputs'!$C$5</f>
        <v>Decibel Therapeutics, Inc.</v>
      </c>
      <c r="C2" s="187"/>
      <c r="D2" s="187"/>
      <c r="E2" s="187"/>
      <c r="F2" s="187"/>
      <c r="G2" s="187"/>
    </row>
    <row r="3" spans="2:12" ht="15.75" customHeight="1">
      <c r="B3" s="188" t="str">
        <f>VLOOKUP(B4,Outline!$E$8:$G$75,COLUMNS(Outline!$E$8:$G$8),FALSE)</f>
        <v>Workpaper #16</v>
      </c>
      <c r="C3" s="188"/>
      <c r="D3" s="188"/>
      <c r="E3" s="188"/>
      <c r="F3" s="188"/>
      <c r="G3" s="188"/>
    </row>
    <row r="4" spans="2:12" ht="16.5" customHeight="1" thickBot="1">
      <c r="B4" s="726" t="s">
        <v>696</v>
      </c>
      <c r="C4" s="726"/>
      <c r="D4" s="726"/>
      <c r="E4" s="726"/>
      <c r="F4" s="726"/>
      <c r="G4" s="727" t="str">
        <f>+'MASTER PubCo Inputs'!$C$19</f>
        <v>(in thousands of USD, except price per share)</v>
      </c>
    </row>
    <row r="5" spans="2:12" ht="14.85" customHeight="1" thickTop="1">
      <c r="B5" s="361"/>
      <c r="C5" s="361"/>
      <c r="D5" s="361"/>
      <c r="E5" s="361"/>
      <c r="F5" s="361"/>
      <c r="G5" s="179"/>
    </row>
    <row r="6" spans="2:12" ht="14.85" customHeight="1">
      <c r="B6" s="179"/>
      <c r="C6" s="179"/>
      <c r="D6" s="549"/>
      <c r="E6" s="549"/>
      <c r="F6" s="179"/>
      <c r="G6" s="179"/>
    </row>
    <row r="7" spans="2:12" ht="14.85" customHeight="1">
      <c r="B7" s="179" t="s">
        <v>412</v>
      </c>
      <c r="C7" s="1583">
        <f>'MASTER PubCo Inputs'!$C$6</f>
        <v>43245</v>
      </c>
      <c r="D7" s="300">
        <v>43101</v>
      </c>
      <c r="E7" s="1584">
        <v>41639</v>
      </c>
      <c r="F7" s="203" t="s">
        <v>652</v>
      </c>
      <c r="G7" s="203" t="s">
        <v>653</v>
      </c>
    </row>
    <row r="8" spans="2:12" ht="14.85" hidden="1" customHeight="1" outlineLevel="1">
      <c r="B8" s="179" t="s">
        <v>654</v>
      </c>
      <c r="C8" s="1585" t="s">
        <v>3826</v>
      </c>
      <c r="D8" s="1585" t="s">
        <v>3825</v>
      </c>
      <c r="E8" s="1586" t="s">
        <v>655</v>
      </c>
      <c r="F8" s="265"/>
    </row>
    <row r="9" spans="2:12" ht="14.85" customHeight="1" collapsed="1">
      <c r="B9" s="179"/>
      <c r="D9" s="550"/>
      <c r="E9" s="550"/>
    </row>
    <row r="10" spans="2:12" ht="14.85" hidden="1" customHeight="1" outlineLevel="1">
      <c r="B10" s="410" t="s">
        <v>656</v>
      </c>
      <c r="D10" s="550"/>
      <c r="E10" s="550"/>
    </row>
    <row r="11" spans="2:12" ht="14.85" customHeight="1" collapsed="1">
      <c r="B11" s="182" t="s">
        <v>145</v>
      </c>
      <c r="D11" s="550"/>
      <c r="E11" s="550"/>
    </row>
    <row r="12" spans="2:12" ht="14.85" customHeight="1">
      <c r="B12" s="179" t="s">
        <v>147</v>
      </c>
      <c r="C12" s="2009">
        <f>C15-C14+C13</f>
        <v>62558</v>
      </c>
      <c r="D12" s="2024">
        <v>18867.553999999996</v>
      </c>
      <c r="E12" s="1587"/>
      <c r="F12" s="1588">
        <f>IF(ISERROR(C12-D12)=TRUE,"NA",C12-D12)</f>
        <v>43690.446000000004</v>
      </c>
      <c r="G12" s="384">
        <f>IFERROR(C12/D12-1,"n/a")</f>
        <v>2.3156391125208922</v>
      </c>
      <c r="L12" s="680"/>
    </row>
    <row r="13" spans="2:12" ht="14.85" customHeight="1">
      <c r="B13" s="179" t="s">
        <v>95</v>
      </c>
      <c r="C13" s="2034">
        <f>'Hist BS'!G71</f>
        <v>0</v>
      </c>
      <c r="D13" s="2035">
        <v>0</v>
      </c>
      <c r="E13" s="1587"/>
      <c r="F13" s="1588">
        <f>IF(ISERROR(C13-D13)=TRUE,"NA",C13-D13)</f>
        <v>0</v>
      </c>
      <c r="G13" s="384" t="str">
        <f>IFERROR(C13/D13-1,"n/a")</f>
        <v>n/a</v>
      </c>
    </row>
    <row r="14" spans="2:12" ht="14.85" customHeight="1">
      <c r="B14" s="179" t="s">
        <v>662</v>
      </c>
      <c r="C14" s="2034">
        <f>IFERROR('Hist BS'!G13,"n/a")</f>
        <v>104442</v>
      </c>
      <c r="D14" s="2035">
        <v>63432.446000000004</v>
      </c>
      <c r="E14" s="1587"/>
      <c r="F14" s="1588">
        <f>IF(ISERROR(C14-D14)=TRUE,"NA",C14-D14)</f>
        <v>41009.553999999996</v>
      </c>
      <c r="G14" s="384">
        <f>IFERROR(C14/D14-1,"n/a")</f>
        <v>0.64650753023145269</v>
      </c>
    </row>
    <row r="15" spans="2:12" ht="14.85" customHeight="1">
      <c r="B15" s="179" t="s">
        <v>149</v>
      </c>
      <c r="C15" s="2034">
        <f>'Val Summ_Hybrid'!D9</f>
        <v>167000</v>
      </c>
      <c r="D15" s="2035">
        <v>82300</v>
      </c>
      <c r="E15" s="1587"/>
      <c r="F15" s="1588">
        <f>IF(ISERROR(C15-D15)=TRUE,"NA",C15-D15)</f>
        <v>84700</v>
      </c>
      <c r="G15" s="384">
        <f>IFERROR(C15/D15-1,"n/a")</f>
        <v>1.0291616038882139</v>
      </c>
    </row>
    <row r="16" spans="2:12" ht="14.85" customHeight="1">
      <c r="B16" s="179" t="s">
        <v>663</v>
      </c>
      <c r="C16" s="2034">
        <f>IFERROR((SUM('Econ Rights'!D14:J14)),"n/a")</f>
        <v>137815.89600000001</v>
      </c>
      <c r="D16" s="2035">
        <v>82758.733999999997</v>
      </c>
      <c r="E16" s="1587"/>
      <c r="F16" s="1588"/>
      <c r="G16" s="384">
        <f>IFERROR(C16/D16-1,"n/a")</f>
        <v>0.66527312996353971</v>
      </c>
    </row>
    <row r="17" spans="2:7" ht="14.85" customHeight="1">
      <c r="B17" s="179"/>
      <c r="D17" s="550"/>
      <c r="E17" s="550"/>
      <c r="F17" s="1588"/>
    </row>
    <row r="18" spans="2:7" ht="14.85" customHeight="1">
      <c r="B18" s="182" t="s">
        <v>3832</v>
      </c>
      <c r="D18" s="550"/>
      <c r="E18" s="550"/>
      <c r="F18" s="1588"/>
    </row>
    <row r="19" spans="2:7" ht="14.85" customHeight="1">
      <c r="B19" s="179" t="s">
        <v>1555</v>
      </c>
      <c r="C19" s="2036">
        <f>IFERROR('Val Summ_Hybrid'!F11,"n/a")</f>
        <v>0.53651613020701117</v>
      </c>
      <c r="D19" s="2037">
        <v>0.28623374255395451</v>
      </c>
      <c r="E19" s="1589"/>
      <c r="F19" s="1588">
        <f>IF(ISERROR(C19-D19)=TRUE,"NA",C19-D19)</f>
        <v>0.25028238765305666</v>
      </c>
      <c r="G19" s="384">
        <f>IFERROR(C19/D19-1,"n/a")</f>
        <v>0.87439861359419879</v>
      </c>
    </row>
    <row r="20" spans="2:7" ht="14.85" customHeight="1">
      <c r="B20" s="179" t="s">
        <v>1572</v>
      </c>
      <c r="C20" s="1591">
        <f>C19/$C$81</f>
        <v>0.26825806510350558</v>
      </c>
      <c r="D20" s="1591">
        <v>0.18577457647616419</v>
      </c>
      <c r="E20" s="1591"/>
      <c r="F20" s="1588" t="s">
        <v>609</v>
      </c>
      <c r="G20" s="384">
        <f>IFERROR(C20/D20-1,"n/a")</f>
        <v>0.4439977212809012</v>
      </c>
    </row>
    <row r="21" spans="2:7" ht="14.85" customHeight="1">
      <c r="B21" s="179" t="s">
        <v>149</v>
      </c>
      <c r="C21" s="2034">
        <f>'Hybrid OPM'!C47</f>
        <v>167000</v>
      </c>
      <c r="D21" s="2035">
        <v>91000</v>
      </c>
      <c r="E21" s="1587"/>
      <c r="F21" s="1588">
        <f>IF(ISERROR(C21-D21)=TRUE,"NA",C21-D21)</f>
        <v>76000</v>
      </c>
      <c r="G21" s="384">
        <f>IFERROR(C21/D21-1,"n/a")</f>
        <v>0.83516483516483508</v>
      </c>
    </row>
    <row r="22" spans="2:7" ht="14.85" customHeight="1">
      <c r="B22" s="179"/>
      <c r="D22" s="550"/>
      <c r="E22" s="550"/>
      <c r="F22" s="1588"/>
    </row>
    <row r="23" spans="2:7" ht="14.85" customHeight="1">
      <c r="B23" s="182" t="s">
        <v>3831</v>
      </c>
      <c r="D23" s="550"/>
      <c r="E23" s="550"/>
      <c r="F23" s="1588"/>
    </row>
    <row r="24" spans="2:7" ht="14.85" customHeight="1">
      <c r="B24" s="179" t="s">
        <v>1555</v>
      </c>
      <c r="C24" s="2036">
        <f>IFERROR(Val_Summary!F19,"n/a")</f>
        <v>0.49208877805055518</v>
      </c>
      <c r="D24" s="2037">
        <v>0.28623374255395451</v>
      </c>
      <c r="E24" s="1589"/>
      <c r="F24" s="1588">
        <f>IF(ISERROR(C24-D24)=TRUE,"NA",C24-D24)</f>
        <v>0.20585503549660067</v>
      </c>
      <c r="G24" s="384">
        <f>IFERROR(C24/D24-1,"n/a")</f>
        <v>0.7191850746171109</v>
      </c>
    </row>
    <row r="25" spans="2:7" ht="14.85" customHeight="1">
      <c r="B25" s="179" t="s">
        <v>1572</v>
      </c>
      <c r="C25" s="1591">
        <f>C24/$C$81</f>
        <v>0.24604438902527759</v>
      </c>
      <c r="D25" s="1591">
        <v>1.6268326411392259E-6</v>
      </c>
      <c r="E25" s="1591"/>
      <c r="F25" s="1588" t="s">
        <v>609</v>
      </c>
      <c r="G25" s="384">
        <f>IFERROR(C25/D25-1,"n/a")</f>
        <v>151240.3648480642</v>
      </c>
    </row>
    <row r="26" spans="2:7" ht="14.85" customHeight="1">
      <c r="B26" s="179" t="s">
        <v>149</v>
      </c>
      <c r="C26" s="2034">
        <f>Val_Summary!D9</f>
        <v>161440</v>
      </c>
      <c r="D26" s="2035">
        <v>82300</v>
      </c>
      <c r="E26" s="1587"/>
      <c r="F26" s="1588">
        <f>IF(ISERROR(C26-D26)=TRUE,"NA",C26-D26)</f>
        <v>79140</v>
      </c>
      <c r="G26" s="384">
        <f>IFERROR(C26/D26-1,"n/a")</f>
        <v>0.96160388821385179</v>
      </c>
    </row>
    <row r="27" spans="2:7" ht="14.85" customHeight="1">
      <c r="B27" s="179"/>
      <c r="D27" s="550"/>
      <c r="E27" s="550"/>
      <c r="F27" s="1588"/>
    </row>
    <row r="28" spans="2:7" ht="14.85" customHeight="1">
      <c r="B28" s="182" t="s">
        <v>1556</v>
      </c>
      <c r="D28" s="550"/>
      <c r="E28" s="550"/>
      <c r="F28" s="1588"/>
    </row>
    <row r="29" spans="2:7" ht="14.85" customHeight="1">
      <c r="B29" s="179" t="s">
        <v>1557</v>
      </c>
      <c r="C29" s="1088" t="str">
        <f>IF(Val_Summary!J9="Primary",Val_Summary!$B$9,"")</f>
        <v/>
      </c>
      <c r="D29" s="2030" t="s">
        <v>3756</v>
      </c>
      <c r="E29" s="550"/>
      <c r="F29" s="1588" t="s">
        <v>609</v>
      </c>
      <c r="G29" s="384" t="str">
        <f>IFERROR(C29/D29-1,"n/a")</f>
        <v>n/a</v>
      </c>
    </row>
    <row r="30" spans="2:7" ht="14.85" customHeight="1">
      <c r="B30" s="179" t="s">
        <v>1558</v>
      </c>
      <c r="C30" s="1088" t="s">
        <v>661</v>
      </c>
      <c r="D30" s="2030" t="s">
        <v>3614</v>
      </c>
      <c r="E30" s="550"/>
      <c r="F30" s="1588" t="s">
        <v>609</v>
      </c>
      <c r="G30" s="384" t="str">
        <f>IFERROR(C30/D30-1,"n/a")</f>
        <v>n/a</v>
      </c>
    </row>
    <row r="31" spans="2:7" ht="14.85" customHeight="1">
      <c r="B31" s="179"/>
      <c r="D31" s="1908"/>
      <c r="E31" s="550"/>
      <c r="F31" s="1588"/>
    </row>
    <row r="32" spans="2:7" ht="14.85" hidden="1" customHeight="1" outlineLevel="1">
      <c r="B32" s="1592" t="s">
        <v>658</v>
      </c>
      <c r="D32" s="1908"/>
      <c r="E32" s="550"/>
      <c r="F32" s="1588"/>
    </row>
    <row r="33" spans="2:7" ht="14.85" customHeight="1" collapsed="1">
      <c r="B33" s="182" t="s">
        <v>1556</v>
      </c>
      <c r="D33" s="1908"/>
      <c r="E33" s="550"/>
      <c r="F33" s="1588"/>
    </row>
    <row r="34" spans="2:7" ht="14.85" customHeight="1">
      <c r="B34" s="182" t="s">
        <v>3834</v>
      </c>
      <c r="D34" s="550"/>
      <c r="E34" s="550"/>
      <c r="F34" s="1588"/>
    </row>
    <row r="35" spans="2:7" ht="14.85" customHeight="1">
      <c r="B35" s="179" t="s">
        <v>1573</v>
      </c>
      <c r="C35" s="1593">
        <f>'OPM 1'!D10</f>
        <v>2.5</v>
      </c>
      <c r="D35" s="2025">
        <v>2.75</v>
      </c>
      <c r="E35" s="1594"/>
      <c r="F35" s="1588">
        <f>C35-D35</f>
        <v>-0.25</v>
      </c>
      <c r="G35" s="384">
        <f>IFERROR(C35/D35-1,"n/a")</f>
        <v>-9.0909090909090939E-2</v>
      </c>
    </row>
    <row r="36" spans="2:7" ht="14.85" customHeight="1">
      <c r="B36" s="179" t="s">
        <v>1574</v>
      </c>
      <c r="C36" s="1583">
        <f>C7+C35*365.25</f>
        <v>44158.125</v>
      </c>
      <c r="D36" s="446">
        <v>44105.4375</v>
      </c>
      <c r="E36" s="1584"/>
      <c r="F36" s="1588">
        <f>IF(ISERROR(YEARFRAC(D36,C36,3))=TRUE,"NA",YEARFRAC(D36,C36,3))</f>
        <v>0.14520547945205478</v>
      </c>
      <c r="G36" s="384" t="s">
        <v>13</v>
      </c>
    </row>
    <row r="37" spans="2:7" ht="14.85" customHeight="1">
      <c r="B37" s="179" t="s">
        <v>117</v>
      </c>
      <c r="C37" s="1590">
        <f>'OPM 1'!D11</f>
        <v>0.69599999999999995</v>
      </c>
      <c r="D37" s="986">
        <v>0.78</v>
      </c>
      <c r="E37" s="1591"/>
      <c r="F37" s="1588">
        <f>IF(ISERROR(C37-D37)=TRUE,"NA",C37-D37)</f>
        <v>-8.4000000000000075E-2</v>
      </c>
      <c r="G37" s="384">
        <f>IFERROR(C37-D37,"n/a")</f>
        <v>-8.4000000000000075E-2</v>
      </c>
    </row>
    <row r="38" spans="2:7" ht="14.85" customHeight="1">
      <c r="B38" s="179" t="s">
        <v>659</v>
      </c>
      <c r="C38" s="1590">
        <f>'Asset Vol_OPM'!Y27</f>
        <v>0.69599999999999995</v>
      </c>
      <c r="D38" s="986">
        <v>0.78</v>
      </c>
      <c r="E38" s="1591"/>
      <c r="F38" s="1588">
        <f>IF(ISERROR(C38-D38)=TRUE,"NA",C38-D38)</f>
        <v>-8.4000000000000075E-2</v>
      </c>
      <c r="G38" s="384">
        <f>IFERROR(C38-D38,"n/a")</f>
        <v>-8.4000000000000075E-2</v>
      </c>
    </row>
    <row r="39" spans="2:7" ht="14.85" customHeight="1">
      <c r="B39" s="179" t="s">
        <v>660</v>
      </c>
      <c r="C39" s="203" t="s">
        <v>44</v>
      </c>
      <c r="D39" s="203" t="s">
        <v>44</v>
      </c>
      <c r="E39" s="550"/>
      <c r="F39" s="1588"/>
      <c r="G39" s="384" t="str">
        <f>IFERROR(C39/D39-1,"n/a")</f>
        <v>n/a</v>
      </c>
    </row>
    <row r="40" spans="2:7" ht="14.85" customHeight="1">
      <c r="B40" s="179"/>
      <c r="D40" s="550"/>
      <c r="E40" s="550"/>
      <c r="F40" s="1588"/>
    </row>
    <row r="41" spans="2:7" ht="14.85" customHeight="1">
      <c r="B41" s="182" t="s">
        <v>3827</v>
      </c>
      <c r="D41" s="1908"/>
      <c r="E41" s="550"/>
      <c r="F41" s="1588"/>
    </row>
    <row r="42" spans="2:7" ht="14.85" customHeight="1">
      <c r="B42" s="179" t="s">
        <v>1573</v>
      </c>
      <c r="C42" s="1593">
        <f>'OPM 1 Hybrid'!D10</f>
        <v>2.5</v>
      </c>
      <c r="D42" s="2025">
        <v>2.75</v>
      </c>
      <c r="E42" s="1594"/>
      <c r="F42" s="1588">
        <f>C42-D42</f>
        <v>-0.25</v>
      </c>
      <c r="G42" s="384">
        <f>IFERROR(C42/D42-1,"n/a")</f>
        <v>-9.0909090909090939E-2</v>
      </c>
    </row>
    <row r="43" spans="2:7" ht="14.85" customHeight="1">
      <c r="B43" s="179" t="s">
        <v>1574</v>
      </c>
      <c r="C43" s="300">
        <f>C7+C42*365.25</f>
        <v>44158.125</v>
      </c>
      <c r="D43" s="446">
        <v>44105.4375</v>
      </c>
      <c r="E43" s="1584"/>
      <c r="F43" s="1588">
        <f>IF(ISERROR(YEARFRAC(D43,C43,3))=TRUE,"NA",YEARFRAC(D43,C43,3))</f>
        <v>0.14520547945205478</v>
      </c>
      <c r="G43" s="384" t="s">
        <v>13</v>
      </c>
    </row>
    <row r="44" spans="2:7" ht="14.85" customHeight="1">
      <c r="B44" s="179" t="s">
        <v>117</v>
      </c>
      <c r="C44" s="1590">
        <f>'OPM 1 Hybrid'!D11</f>
        <v>0.69599999999999995</v>
      </c>
      <c r="D44" s="986">
        <v>0.78</v>
      </c>
      <c r="E44" s="1591"/>
      <c r="F44" s="1588">
        <f>IF(ISERROR(C44-D44)=TRUE,"NA",C44-D44)</f>
        <v>-8.4000000000000075E-2</v>
      </c>
      <c r="G44" s="384">
        <f>IFERROR(C44-D44,"n/a")</f>
        <v>-8.4000000000000075E-2</v>
      </c>
    </row>
    <row r="45" spans="2:7" ht="14.85" customHeight="1">
      <c r="B45" s="179" t="s">
        <v>659</v>
      </c>
      <c r="C45" s="1590">
        <f>'Asset Vol Hybrid'!Y27</f>
        <v>0.69599999999999995</v>
      </c>
      <c r="D45" s="986">
        <v>0.78</v>
      </c>
      <c r="E45" s="1591"/>
      <c r="F45" s="1588">
        <f>IF(ISERROR(C45-D45)=TRUE,"NA",C45-D45)</f>
        <v>-8.4000000000000075E-2</v>
      </c>
      <c r="G45" s="384">
        <f>IFERROR(C45-D45,"n/a")</f>
        <v>-8.4000000000000075E-2</v>
      </c>
    </row>
    <row r="46" spans="2:7" ht="14.85" customHeight="1">
      <c r="B46" s="179" t="s">
        <v>660</v>
      </c>
      <c r="C46" s="203" t="s">
        <v>44</v>
      </c>
      <c r="D46" s="203" t="s">
        <v>44</v>
      </c>
      <c r="E46" s="550"/>
      <c r="F46" s="1588"/>
      <c r="G46" s="384" t="str">
        <f>IFERROR(C46/D46-1,"n/a")</f>
        <v>n/a</v>
      </c>
    </row>
    <row r="47" spans="2:7" ht="14.85" customHeight="1">
      <c r="B47" s="179"/>
      <c r="D47" s="550"/>
      <c r="E47" s="550"/>
      <c r="F47" s="1588"/>
    </row>
    <row r="48" spans="2:7" ht="14.85" customHeight="1">
      <c r="B48" s="182" t="s">
        <v>3833</v>
      </c>
      <c r="D48" s="550"/>
      <c r="E48" s="550"/>
      <c r="F48" s="1588"/>
    </row>
    <row r="49" spans="2:7" ht="14.85" customHeight="1">
      <c r="B49" s="182" t="s">
        <v>1559</v>
      </c>
      <c r="D49" s="550"/>
      <c r="E49" s="550"/>
      <c r="F49" s="1588"/>
      <c r="G49" s="208" t="s">
        <v>963</v>
      </c>
    </row>
    <row r="50" spans="2:7" ht="14.85" customHeight="1">
      <c r="B50" s="179" t="s">
        <v>606</v>
      </c>
      <c r="C50" s="1583">
        <f>'IPO Waterfall'!D14</f>
        <v>43830</v>
      </c>
      <c r="D50" s="446">
        <v>43830</v>
      </c>
      <c r="E50" s="1584"/>
      <c r="F50" s="1588">
        <f>IF(ISERROR(YEARFRAC(D50,C50,3))=TRUE,"NA",YEARFRAC(D50,C50,3))</f>
        <v>0</v>
      </c>
      <c r="G50" s="1134">
        <f>IFERROR(YEARFRAC(D50,C50,3)*12,"n/a")</f>
        <v>0</v>
      </c>
    </row>
    <row r="51" spans="2:7" ht="14.85" customHeight="1">
      <c r="B51" s="179" t="s">
        <v>607</v>
      </c>
      <c r="C51" s="1583">
        <f>'IPO Waterfall'!E14</f>
        <v>44561</v>
      </c>
      <c r="D51" s="446">
        <v>44561</v>
      </c>
      <c r="E51" s="1584"/>
      <c r="F51" s="1588">
        <f t="shared" ref="F51" si="0">IF(ISERROR(YEARFRAC(D51,C51,3))=TRUE,"NA",YEARFRAC(D51,C51,3))</f>
        <v>0</v>
      </c>
      <c r="G51" s="1134">
        <f t="shared" ref="G51" si="1">IFERROR(YEARFRAC(D51,C51,3)*12,"n/a")</f>
        <v>0</v>
      </c>
    </row>
    <row r="52" spans="2:7" ht="14.85" customHeight="1">
      <c r="B52" s="179"/>
      <c r="D52" s="1908"/>
      <c r="E52" s="550"/>
      <c r="F52" s="1588"/>
    </row>
    <row r="53" spans="2:7" ht="14.85" customHeight="1">
      <c r="B53" s="182" t="s">
        <v>3828</v>
      </c>
      <c r="D53" s="1908"/>
      <c r="E53" s="550"/>
      <c r="F53" s="1588"/>
    </row>
    <row r="54" spans="2:7" ht="14.85" customHeight="1">
      <c r="B54" s="179" t="s">
        <v>606</v>
      </c>
      <c r="C54" s="2031">
        <f>'IPO Waterfall'!$D$22</f>
        <v>375000</v>
      </c>
      <c r="D54" s="2032">
        <v>325000</v>
      </c>
      <c r="E54" s="810"/>
      <c r="F54" s="1588">
        <f t="shared" ref="F54:F55" si="2">IF(ISERROR(C54-D54)=TRUE,"NA",C54-D54)</f>
        <v>50000</v>
      </c>
      <c r="G54" s="384">
        <f t="shared" ref="G54:G55" si="3">IFERROR(C54/D54-1,"n/a")</f>
        <v>0.15384615384615374</v>
      </c>
    </row>
    <row r="55" spans="2:7" ht="14.85" customHeight="1">
      <c r="B55" s="179" t="s">
        <v>607</v>
      </c>
      <c r="C55" s="2031">
        <f>'IPO Waterfall'!$E$22</f>
        <v>550000</v>
      </c>
      <c r="D55" s="2032">
        <v>500000</v>
      </c>
      <c r="E55" s="810"/>
      <c r="F55" s="1588">
        <f t="shared" si="2"/>
        <v>50000</v>
      </c>
      <c r="G55" s="384">
        <f t="shared" si="3"/>
        <v>0.10000000000000009</v>
      </c>
    </row>
    <row r="56" spans="2:7" ht="14.85" customHeight="1">
      <c r="B56" s="179"/>
      <c r="D56" s="1908"/>
      <c r="E56" s="550"/>
      <c r="F56" s="1588"/>
    </row>
    <row r="57" spans="2:7" ht="14.85" customHeight="1">
      <c r="B57" s="182" t="s">
        <v>3829</v>
      </c>
      <c r="C57" s="1061"/>
      <c r="D57" s="986"/>
      <c r="E57" s="1591"/>
      <c r="F57" s="1588"/>
      <c r="G57" s="1061"/>
    </row>
    <row r="58" spans="2:7" ht="14.85" customHeight="1">
      <c r="B58" s="179" t="s">
        <v>606</v>
      </c>
      <c r="C58" s="1590">
        <f t="array" ref="C58:C60">TRANSPOSE('Hybrid OPM'!D9:F9)</f>
        <v>0.9</v>
      </c>
      <c r="D58" s="986">
        <v>0.9</v>
      </c>
      <c r="E58" s="1591"/>
      <c r="F58" s="1588">
        <f t="shared" ref="F58:F60" si="4">IF(ISERROR(C58-D58)=TRUE,"NA",C58-D58)</f>
        <v>0</v>
      </c>
      <c r="G58" s="384">
        <f t="shared" ref="G58:G60" si="5">IFERROR(C58-D58,"n/a")</f>
        <v>0</v>
      </c>
    </row>
    <row r="59" spans="2:7" ht="14.85" customHeight="1">
      <c r="B59" s="179" t="s">
        <v>607</v>
      </c>
      <c r="C59" s="1590">
        <v>0.02</v>
      </c>
      <c r="D59" s="986">
        <v>0.02</v>
      </c>
      <c r="E59" s="1591"/>
      <c r="F59" s="1588">
        <f t="shared" si="4"/>
        <v>0</v>
      </c>
      <c r="G59" s="384">
        <f t="shared" si="5"/>
        <v>0</v>
      </c>
    </row>
    <row r="60" spans="2:7" ht="14.85" customHeight="1">
      <c r="B60" s="179" t="s">
        <v>571</v>
      </c>
      <c r="C60" s="1590">
        <v>0.08</v>
      </c>
      <c r="D60" s="986">
        <v>0.08</v>
      </c>
      <c r="E60" s="1591"/>
      <c r="F60" s="1588">
        <f t="shared" si="4"/>
        <v>0</v>
      </c>
      <c r="G60" s="384">
        <f t="shared" si="5"/>
        <v>0</v>
      </c>
    </row>
    <row r="61" spans="2:7" ht="14.85" customHeight="1">
      <c r="B61" s="179"/>
      <c r="D61" s="550"/>
      <c r="E61" s="550"/>
      <c r="F61" s="1588"/>
    </row>
    <row r="62" spans="2:7" ht="14.85" customHeight="1">
      <c r="B62" s="182" t="s">
        <v>3837</v>
      </c>
      <c r="D62" s="1908"/>
      <c r="E62" s="550"/>
      <c r="F62" s="1588"/>
    </row>
    <row r="63" spans="2:7" ht="14.85" customHeight="1">
      <c r="B63" s="179" t="s">
        <v>657</v>
      </c>
      <c r="C63" s="2026" t="s">
        <v>3830</v>
      </c>
      <c r="D63" s="2029" t="s">
        <v>3830</v>
      </c>
      <c r="E63" s="1595"/>
      <c r="F63" s="1588"/>
      <c r="G63" s="384" t="str">
        <f>IFERROR(C63/D63-1,"n/a")</f>
        <v>n/a</v>
      </c>
    </row>
    <row r="64" spans="2:7" ht="14.85" customHeight="1">
      <c r="B64" s="179" t="s">
        <v>571</v>
      </c>
      <c r="C64" s="1590">
        <f>DLOM_OPM!D67</f>
        <v>0.4</v>
      </c>
      <c r="D64" s="986">
        <v>0.45</v>
      </c>
      <c r="E64" s="1591"/>
      <c r="F64" s="1588">
        <f>IF(ISERROR(C64-D64)=TRUE,"NA",C64-D64)</f>
        <v>-4.9999999999999989E-2</v>
      </c>
      <c r="G64" s="384">
        <f>IFERROR(C64-D64,"n/a")</f>
        <v>-4.9999999999999989E-2</v>
      </c>
    </row>
    <row r="65" spans="2:7" ht="14.85" customHeight="1">
      <c r="B65" s="179"/>
      <c r="C65" s="1061"/>
      <c r="D65" s="986"/>
      <c r="E65" s="1591"/>
      <c r="F65" s="1588"/>
      <c r="G65" s="1061"/>
    </row>
    <row r="66" spans="2:7" ht="14.85" customHeight="1">
      <c r="B66" s="182" t="s">
        <v>384</v>
      </c>
      <c r="D66" s="550"/>
      <c r="E66" s="550"/>
      <c r="F66" s="1588"/>
    </row>
    <row r="67" spans="2:7" ht="14.85" customHeight="1">
      <c r="B67" s="179" t="s">
        <v>657</v>
      </c>
      <c r="C67" s="2026" t="s">
        <v>3830</v>
      </c>
      <c r="D67" s="2029" t="s">
        <v>3830</v>
      </c>
      <c r="E67" s="1595"/>
      <c r="F67" s="1588"/>
      <c r="G67" s="384" t="str">
        <f>IFERROR(C67/D67-1,"n/a")</f>
        <v>n/a</v>
      </c>
    </row>
    <row r="68" spans="2:7" ht="14.85" customHeight="1">
      <c r="B68" s="179" t="str">
        <f>B58</f>
        <v>IPO - Early</v>
      </c>
      <c r="C68" s="1590">
        <f>'DLOM Hybrid'!$E$55</f>
        <v>0.30000000000000004</v>
      </c>
      <c r="D68" s="986">
        <v>0.35000000000000003</v>
      </c>
      <c r="E68" s="1591"/>
      <c r="F68" s="1588">
        <f>IF(ISERROR(C68-D68)=TRUE,"NA",C68-D68)</f>
        <v>-4.9999999999999989E-2</v>
      </c>
      <c r="G68" s="384">
        <f>IFERROR(C68-D68,"n/a")</f>
        <v>-4.9999999999999989E-2</v>
      </c>
    </row>
    <row r="69" spans="2:7" ht="14.85" customHeight="1">
      <c r="B69" s="179" t="str">
        <f>B59</f>
        <v>IPO - Late</v>
      </c>
      <c r="C69" s="1590">
        <f>'DLOM Hybrid'!$F$55</f>
        <v>0.4</v>
      </c>
      <c r="D69" s="986">
        <v>0.4</v>
      </c>
      <c r="E69" s="1591"/>
      <c r="F69" s="1588"/>
      <c r="G69" s="384">
        <f t="shared" ref="G69:G70" si="6">IFERROR(C69-D69,"n/a")</f>
        <v>0</v>
      </c>
    </row>
    <row r="70" spans="2:7" ht="14.85" customHeight="1">
      <c r="B70" s="179" t="str">
        <f>B60</f>
        <v>OPM</v>
      </c>
      <c r="C70" s="1590">
        <f>'DLOM Hybrid'!$G$55</f>
        <v>0.4</v>
      </c>
      <c r="D70" s="986">
        <v>0.4</v>
      </c>
      <c r="E70" s="1591"/>
      <c r="F70" s="1588"/>
      <c r="G70" s="384">
        <f t="shared" si="6"/>
        <v>0</v>
      </c>
    </row>
    <row r="71" spans="2:7" ht="14.85" customHeight="1" collapsed="1">
      <c r="B71" s="179"/>
      <c r="D71" s="1908"/>
      <c r="E71" s="550"/>
      <c r="F71" s="1588"/>
    </row>
    <row r="72" spans="2:7" ht="14.85" customHeight="1">
      <c r="B72" s="182" t="s">
        <v>468</v>
      </c>
      <c r="C72" s="1061"/>
      <c r="D72" s="986"/>
      <c r="E72" s="1591"/>
      <c r="F72" s="1588"/>
      <c r="G72" s="1061"/>
    </row>
    <row r="73" spans="2:7" ht="14.85" customHeight="1">
      <c r="B73" s="179" t="s">
        <v>1560</v>
      </c>
      <c r="C73" s="1590">
        <f>WACC!D11</f>
        <v>0.125</v>
      </c>
      <c r="D73" s="986">
        <v>0.125</v>
      </c>
      <c r="E73" s="1591"/>
      <c r="F73" s="1588"/>
      <c r="G73" s="384">
        <f>IFERROR(C73-D73,"n/a")</f>
        <v>0</v>
      </c>
    </row>
    <row r="74" spans="2:7" ht="14.85" customHeight="1">
      <c r="B74" s="179" t="s">
        <v>1561</v>
      </c>
      <c r="C74" s="1590">
        <f>WACC!D13</f>
        <v>0.25</v>
      </c>
      <c r="D74" s="986">
        <v>0.25</v>
      </c>
      <c r="E74" s="1591"/>
      <c r="F74" s="1588"/>
      <c r="G74" s="384">
        <f>IFERROR(C74-D74,"n/a")</f>
        <v>0</v>
      </c>
    </row>
    <row r="75" spans="2:7" ht="14.85" customHeight="1">
      <c r="B75" s="179" t="s">
        <v>1562</v>
      </c>
      <c r="C75" s="1590">
        <f>WACC!D15</f>
        <v>0.25</v>
      </c>
      <c r="D75" s="986">
        <v>0.25</v>
      </c>
      <c r="E75" s="1591"/>
      <c r="F75" s="1588"/>
      <c r="G75" s="384">
        <f>IFERROR(C75-D75,"n/a")</f>
        <v>0</v>
      </c>
    </row>
    <row r="76" spans="2:7" ht="14.85" customHeight="1">
      <c r="B76" s="179" t="s">
        <v>1563</v>
      </c>
      <c r="C76" s="1590">
        <f>WACC!D19</f>
        <v>0.2</v>
      </c>
      <c r="D76" s="986">
        <v>0.2</v>
      </c>
      <c r="E76" s="1591"/>
      <c r="F76" s="1588"/>
      <c r="G76" s="384">
        <f>IFERROR(C76-D76,"n/a")</f>
        <v>0</v>
      </c>
    </row>
    <row r="77" spans="2:7" ht="14.85" customHeight="1">
      <c r="B77" s="179"/>
      <c r="D77" s="550"/>
      <c r="E77" s="550"/>
      <c r="F77" s="1588"/>
    </row>
    <row r="78" spans="2:7" ht="14.85" customHeight="1">
      <c r="B78" s="1592" t="s">
        <v>91</v>
      </c>
      <c r="D78" s="550"/>
      <c r="E78" s="550"/>
      <c r="F78" s="1588"/>
    </row>
    <row r="79" spans="2:7" ht="14.85" customHeight="1">
      <c r="B79" s="179" t="s">
        <v>1564</v>
      </c>
      <c r="C79" s="2027" t="str">
        <f>'Econ Rights'!J7</f>
        <v>Series C</v>
      </c>
      <c r="D79" s="1908" t="s">
        <v>501</v>
      </c>
      <c r="E79" s="550"/>
      <c r="F79" s="1588"/>
    </row>
    <row r="80" spans="2:7" ht="14.85" customHeight="1">
      <c r="B80" s="179" t="s">
        <v>1565</v>
      </c>
      <c r="C80" s="1583">
        <f>'Econ Rights'!J11</f>
        <v>43245</v>
      </c>
      <c r="D80" s="446">
        <v>43055</v>
      </c>
      <c r="E80" s="1584"/>
      <c r="F80" s="1588"/>
      <c r="G80" s="1061"/>
    </row>
    <row r="81" spans="2:7" ht="14.85" customHeight="1">
      <c r="B81" s="179" t="s">
        <v>1566</v>
      </c>
      <c r="C81" s="2023">
        <f>'Econ Rights'!J13</f>
        <v>2</v>
      </c>
      <c r="D81" s="2028">
        <v>2</v>
      </c>
      <c r="E81" s="1596"/>
      <c r="F81" s="1588">
        <f>IF(ISERROR(C81-D81)=TRUE,"NA",C81-D81)</f>
        <v>0</v>
      </c>
      <c r="G81" s="384">
        <f t="shared" ref="G81:G86" si="7">IFERROR(C81/D81-1,"n/a")</f>
        <v>0</v>
      </c>
    </row>
    <row r="82" spans="2:7" ht="14.85" customHeight="1">
      <c r="B82" s="179" t="s">
        <v>1567</v>
      </c>
      <c r="C82" s="2031">
        <f>'Econ Rights'!J14</f>
        <v>55057.161999999997</v>
      </c>
      <c r="D82" s="2032">
        <v>25000</v>
      </c>
      <c r="E82" s="810"/>
      <c r="F82" s="1588">
        <f>IF(ISERROR(D82-C82)=TRUE,"NA",D82-C82)</f>
        <v>-30057.161999999997</v>
      </c>
      <c r="G82" s="384">
        <f t="shared" si="7"/>
        <v>1.2022864799999997</v>
      </c>
    </row>
    <row r="83" spans="2:7" ht="14.85" customHeight="1">
      <c r="B83" s="179" t="s">
        <v>1568</v>
      </c>
      <c r="C83" s="2033">
        <f>C84-C82</f>
        <v>200945.41399999999</v>
      </c>
      <c r="D83" s="2032">
        <v>175945.41399999999</v>
      </c>
      <c r="E83" s="810"/>
      <c r="F83" s="1588">
        <f>IF(ISERROR(D83-C83)=TRUE,"NA",D83-C83)</f>
        <v>-25000</v>
      </c>
      <c r="G83" s="384">
        <f t="shared" si="7"/>
        <v>0.14208952328817159</v>
      </c>
    </row>
    <row r="84" spans="2:7" ht="14.85" customHeight="1">
      <c r="B84" s="179" t="s">
        <v>1569</v>
      </c>
      <c r="C84" s="2031">
        <f>'Cap Table'!Q20</f>
        <v>256002.576</v>
      </c>
      <c r="D84" s="2032">
        <v>200945.41399999999</v>
      </c>
      <c r="E84" s="810"/>
      <c r="F84" s="1588">
        <f>IF(ISERROR(D84-C84)=TRUE,"NA",D84-C84)</f>
        <v>-55057.162000000011</v>
      </c>
      <c r="G84" s="384">
        <f t="shared" si="7"/>
        <v>0.27399063707918225</v>
      </c>
    </row>
    <row r="85" spans="2:7" ht="14.85" customHeight="1">
      <c r="B85" s="179" t="s">
        <v>1570</v>
      </c>
      <c r="C85" s="2031">
        <f>'Cap Table'!M11</f>
        <v>125546.746</v>
      </c>
      <c r="D85" s="2032">
        <v>93461.674999999988</v>
      </c>
      <c r="E85" s="810"/>
      <c r="F85" s="1588">
        <f>IF(ISERROR(D85-C85)=TRUE,"NA",D85-C85)</f>
        <v>-32085.071000000011</v>
      </c>
      <c r="G85" s="384">
        <f t="shared" si="7"/>
        <v>0.34329655444330531</v>
      </c>
    </row>
    <row r="86" spans="2:7" ht="14.85" hidden="1" customHeight="1" outlineLevel="1">
      <c r="B86" s="179" t="s">
        <v>1571</v>
      </c>
      <c r="C86" s="2028" t="s">
        <v>13</v>
      </c>
      <c r="D86" s="2028" t="s">
        <v>13</v>
      </c>
      <c r="E86" s="1596"/>
      <c r="F86" s="1588" t="str">
        <f>IF(ISERROR(D86-C86)=TRUE,"NA",D86-C86)</f>
        <v>NA</v>
      </c>
      <c r="G86" s="384" t="str">
        <f t="shared" si="7"/>
        <v>n/a</v>
      </c>
    </row>
    <row r="87" spans="2:7" ht="14.85" customHeight="1" collapsed="1"/>
    <row r="88" spans="2:7" ht="14.85" customHeight="1"/>
    <row r="89" spans="2:7" ht="14.85" customHeight="1"/>
    <row r="90" spans="2:7" ht="14.85" customHeight="1"/>
    <row r="91" spans="2:7" ht="14.85" customHeight="1"/>
    <row r="92" spans="2:7" ht="14.85" customHeight="1"/>
    <row r="93" spans="2:7" ht="14.85" customHeight="1"/>
    <row r="94" spans="2:7" ht="14.85" customHeight="1"/>
    <row r="95" spans="2:7" ht="14.85" customHeight="1"/>
    <row r="96" spans="2:7"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sheetData>
  <conditionalFormatting sqref="B4:F5 F4:G4">
    <cfRule type="cellIs" dxfId="181" priority="3" stopIfTrue="1" operator="equal">
      <formula>"input"</formula>
    </cfRule>
  </conditionalFormatting>
  <pageMargins left="0.5" right="0.5" top="0.5" bottom="0.5" header="0.5" footer="0.5"/>
  <pageSetup scale="94" orientation="landscape" r:id="rId1"/>
  <rowBreaks count="2" manualBreakCount="2">
    <brk id="31" max="7" man="1"/>
    <brk id="61" max="7" man="1"/>
  </rowBreak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tabColor theme="1"/>
  </sheetPr>
  <dimension ref="A1"/>
  <sheetViews>
    <sheetView workbookViewId="0"/>
  </sheetViews>
  <sheetFormatPr defaultRowHeight="12.75"/>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tabColor rgb="FFFFC000"/>
  </sheetPr>
  <dimension ref="A1:H42"/>
  <sheetViews>
    <sheetView zoomScale="85" zoomScaleNormal="85" workbookViewId="0">
      <selection activeCell="D14" sqref="D14"/>
    </sheetView>
  </sheetViews>
  <sheetFormatPr defaultRowHeight="15"/>
  <cols>
    <col min="1" max="1" width="3.1640625" style="1655" customWidth="1"/>
    <col min="2" max="2" width="67.1640625" style="1655" customWidth="1"/>
    <col min="3" max="3" width="8.5" style="1655" customWidth="1"/>
    <col min="4" max="5" width="21.83203125" style="1655" customWidth="1"/>
    <col min="6" max="6" width="9.33203125" style="1655"/>
    <col min="7" max="8" width="17.1640625" style="1655" customWidth="1"/>
    <col min="9" max="16384" width="9.33203125" style="1655"/>
  </cols>
  <sheetData>
    <row r="1" spans="1:8" ht="20.25">
      <c r="A1" s="1654" t="s">
        <v>3237</v>
      </c>
      <c r="G1" s="1655" t="s">
        <v>3238</v>
      </c>
    </row>
    <row r="2" spans="1:8" ht="18.75">
      <c r="A2" s="1656" t="s">
        <v>3239</v>
      </c>
    </row>
    <row r="3" spans="1:8">
      <c r="A3" s="1657"/>
    </row>
    <row r="4" spans="1:8">
      <c r="A4" s="1658"/>
      <c r="D4" s="1659" t="s">
        <v>3240</v>
      </c>
      <c r="E4" s="1660"/>
      <c r="G4" s="1659" t="s">
        <v>3240</v>
      </c>
      <c r="H4" s="1660"/>
    </row>
    <row r="5" spans="1:8">
      <c r="A5" s="1661"/>
      <c r="D5" s="1662" t="s">
        <v>3241</v>
      </c>
      <c r="E5" s="1663" t="s">
        <v>3242</v>
      </c>
      <c r="G5" s="1662" t="s">
        <v>3241</v>
      </c>
      <c r="H5" s="1663" t="s">
        <v>3242</v>
      </c>
    </row>
    <row r="6" spans="1:8">
      <c r="A6" s="1664" t="s">
        <v>220</v>
      </c>
    </row>
    <row r="7" spans="1:8">
      <c r="A7" s="1665" t="s">
        <v>3243</v>
      </c>
    </row>
    <row r="8" spans="1:8">
      <c r="A8" s="1661"/>
      <c r="B8" s="1655" t="s">
        <v>3244</v>
      </c>
      <c r="D8" s="1666">
        <v>878890</v>
      </c>
      <c r="E8" s="1666">
        <v>63432446</v>
      </c>
      <c r="F8" s="1666"/>
      <c r="G8" s="1666">
        <f>D8</f>
        <v>878890</v>
      </c>
      <c r="H8" s="1666">
        <f>E8</f>
        <v>63432446</v>
      </c>
    </row>
    <row r="9" spans="1:8">
      <c r="A9" s="1661"/>
      <c r="B9" s="1655" t="s">
        <v>3245</v>
      </c>
      <c r="D9" s="1666">
        <v>1819517</v>
      </c>
      <c r="E9" s="1666">
        <v>555563</v>
      </c>
      <c r="F9" s="1666"/>
      <c r="G9" s="1666">
        <f>D9</f>
        <v>1819517</v>
      </c>
      <c r="H9" s="1666">
        <f>E9</f>
        <v>555563</v>
      </c>
    </row>
    <row r="10" spans="1:8">
      <c r="A10" s="1667" t="s">
        <v>3246</v>
      </c>
      <c r="B10" s="1668"/>
      <c r="C10" s="1668"/>
      <c r="D10" s="1669">
        <v>2698407</v>
      </c>
      <c r="E10" s="1669">
        <v>63988009</v>
      </c>
      <c r="F10" s="1666"/>
      <c r="G10" s="1670">
        <f>SUM(G8:G9)</f>
        <v>2698407</v>
      </c>
      <c r="H10" s="1670">
        <f>SUM(H8:H9)</f>
        <v>63988009</v>
      </c>
    </row>
    <row r="11" spans="1:8">
      <c r="A11" s="1661"/>
      <c r="D11" s="1666"/>
      <c r="E11" s="1666"/>
      <c r="F11" s="1666"/>
      <c r="G11" s="1666"/>
      <c r="H11" s="1666"/>
    </row>
    <row r="12" spans="1:8">
      <c r="A12" s="1661"/>
      <c r="B12" s="1655" t="s">
        <v>3247</v>
      </c>
      <c r="D12" s="1666">
        <v>2712488</v>
      </c>
      <c r="E12" s="1666">
        <v>9062894</v>
      </c>
      <c r="F12" s="1666"/>
      <c r="G12" s="1666">
        <f>D12</f>
        <v>2712488</v>
      </c>
      <c r="H12" s="1666">
        <f>E12</f>
        <v>9062894</v>
      </c>
    </row>
    <row r="13" spans="1:8">
      <c r="A13" s="1661"/>
      <c r="B13" s="1655" t="s">
        <v>3248</v>
      </c>
      <c r="D13" s="1666">
        <v>1094485</v>
      </c>
      <c r="E13" s="1666">
        <v>1094485</v>
      </c>
      <c r="F13" s="1666"/>
      <c r="G13" s="1666">
        <f>D13</f>
        <v>1094485</v>
      </c>
      <c r="H13" s="1666">
        <f>E13</f>
        <v>1094485</v>
      </c>
    </row>
    <row r="14" spans="1:8">
      <c r="A14" s="1671" t="s">
        <v>3249</v>
      </c>
      <c r="B14" s="1672"/>
      <c r="C14" s="1672"/>
      <c r="D14" s="1673">
        <v>6505380</v>
      </c>
      <c r="E14" s="1673">
        <v>74145388</v>
      </c>
      <c r="F14" s="1666"/>
      <c r="G14" s="1670">
        <f>SUM(G12:G13,G10)</f>
        <v>6505380</v>
      </c>
      <c r="H14" s="1670">
        <f>SUM(H12:H13,H10)</f>
        <v>74145388</v>
      </c>
    </row>
    <row r="15" spans="1:8">
      <c r="A15" s="1661"/>
      <c r="D15" s="1666"/>
      <c r="E15" s="1666"/>
      <c r="F15" s="1666"/>
      <c r="G15" s="1666"/>
      <c r="H15" s="1666"/>
    </row>
    <row r="16" spans="1:8">
      <c r="A16" s="1664" t="s">
        <v>3250</v>
      </c>
      <c r="D16" s="1666"/>
      <c r="E16" s="1666"/>
      <c r="F16" s="1666"/>
      <c r="G16" s="1666"/>
      <c r="H16" s="1666"/>
    </row>
    <row r="17" spans="1:8">
      <c r="A17" s="1665" t="s">
        <v>3251</v>
      </c>
      <c r="D17" s="1666"/>
      <c r="E17" s="1666"/>
      <c r="F17" s="1666"/>
      <c r="G17" s="1666"/>
      <c r="H17" s="1666"/>
    </row>
    <row r="18" spans="1:8">
      <c r="A18" s="1661"/>
      <c r="B18" s="1655" t="s">
        <v>3252</v>
      </c>
      <c r="D18" s="1666">
        <v>1673225</v>
      </c>
      <c r="E18" s="1666">
        <v>458737</v>
      </c>
      <c r="F18" s="1666"/>
      <c r="G18" s="1666">
        <f t="shared" ref="G18:H21" si="0">D18</f>
        <v>1673225</v>
      </c>
      <c r="H18" s="1666">
        <f t="shared" si="0"/>
        <v>458737</v>
      </c>
    </row>
    <row r="19" spans="1:8">
      <c r="A19" s="1661"/>
      <c r="B19" s="1655" t="s">
        <v>3253</v>
      </c>
      <c r="D19" s="1666">
        <v>1263857</v>
      </c>
      <c r="E19" s="1666">
        <v>4149878</v>
      </c>
      <c r="F19" s="1666"/>
      <c r="G19" s="1666">
        <f t="shared" si="0"/>
        <v>1263857</v>
      </c>
      <c r="H19" s="1666">
        <f t="shared" si="0"/>
        <v>4149878</v>
      </c>
    </row>
    <row r="20" spans="1:8">
      <c r="A20" s="1661"/>
      <c r="B20" s="1655" t="s">
        <v>3254</v>
      </c>
      <c r="D20" s="1666">
        <v>0</v>
      </c>
      <c r="E20" s="1666">
        <v>5000000</v>
      </c>
      <c r="F20" s="1666"/>
      <c r="G20" s="1666">
        <f t="shared" si="0"/>
        <v>0</v>
      </c>
      <c r="H20" s="1666">
        <f t="shared" si="0"/>
        <v>5000000</v>
      </c>
    </row>
    <row r="21" spans="1:8">
      <c r="A21" s="1661"/>
      <c r="B21" s="1655" t="s">
        <v>3255</v>
      </c>
      <c r="D21" s="1666">
        <v>0</v>
      </c>
      <c r="E21" s="1666">
        <v>404456</v>
      </c>
      <c r="F21" s="1666"/>
      <c r="G21" s="1666">
        <f t="shared" si="0"/>
        <v>0</v>
      </c>
      <c r="H21" s="1666">
        <f t="shared" si="0"/>
        <v>404456</v>
      </c>
    </row>
    <row r="22" spans="1:8">
      <c r="A22" s="1667" t="s">
        <v>3256</v>
      </c>
      <c r="B22" s="1668"/>
      <c r="C22" s="1668"/>
      <c r="D22" s="1669">
        <v>2937082</v>
      </c>
      <c r="E22" s="1669">
        <v>10013071</v>
      </c>
      <c r="F22" s="1666"/>
      <c r="G22" s="1670">
        <f>SUM(G18:G21)</f>
        <v>2937082</v>
      </c>
      <c r="H22" s="1670">
        <f>SUM(H18:H21)</f>
        <v>10013071</v>
      </c>
    </row>
    <row r="23" spans="1:8">
      <c r="A23" s="1665"/>
      <c r="D23" s="1670"/>
      <c r="E23" s="1670"/>
      <c r="F23" s="1666"/>
      <c r="G23" s="1670"/>
      <c r="H23" s="1670"/>
    </row>
    <row r="24" spans="1:8">
      <c r="B24" s="1655" t="s">
        <v>3257</v>
      </c>
      <c r="D24" s="1666">
        <v>0</v>
      </c>
      <c r="E24" s="1666">
        <v>19375000</v>
      </c>
      <c r="F24" s="1666"/>
      <c r="G24" s="1666">
        <f>D24</f>
        <v>0</v>
      </c>
      <c r="H24" s="1666">
        <f>E24</f>
        <v>19375000</v>
      </c>
    </row>
    <row r="25" spans="1:8">
      <c r="B25" s="1655" t="s">
        <v>3258</v>
      </c>
      <c r="D25" s="1666">
        <v>2126112</v>
      </c>
      <c r="E25" s="1666">
        <v>6199165</v>
      </c>
      <c r="F25" s="1666"/>
      <c r="G25" s="1666">
        <f>D25</f>
        <v>2126112</v>
      </c>
      <c r="H25" s="1666">
        <f>E25</f>
        <v>6199165</v>
      </c>
    </row>
    <row r="26" spans="1:8">
      <c r="A26" s="1667" t="s">
        <v>241</v>
      </c>
      <c r="B26" s="1668"/>
      <c r="C26" s="1668"/>
      <c r="D26" s="1669">
        <v>5063194</v>
      </c>
      <c r="E26" s="1669">
        <v>35587236</v>
      </c>
      <c r="F26" s="1666"/>
      <c r="G26" s="1670">
        <f>SUM(G22,G24:G25)</f>
        <v>5063194</v>
      </c>
      <c r="H26" s="1670">
        <f>SUM(H22,H24:H25)</f>
        <v>35587236</v>
      </c>
    </row>
    <row r="27" spans="1:8">
      <c r="A27" s="1661"/>
      <c r="D27" s="1666"/>
      <c r="E27" s="1666"/>
      <c r="F27" s="1666"/>
      <c r="G27" s="1666"/>
      <c r="H27" s="1666"/>
    </row>
    <row r="28" spans="1:8">
      <c r="A28" s="1661" t="s">
        <v>3259</v>
      </c>
      <c r="D28" s="1666">
        <v>0</v>
      </c>
      <c r="E28" s="1666">
        <v>0</v>
      </c>
      <c r="F28" s="1666"/>
      <c r="G28" s="1666">
        <f>D28</f>
        <v>0</v>
      </c>
      <c r="H28" s="1666">
        <f>E28</f>
        <v>0</v>
      </c>
    </row>
    <row r="29" spans="1:8">
      <c r="A29" s="1661"/>
      <c r="D29" s="1666"/>
      <c r="E29" s="1666"/>
      <c r="F29" s="1666"/>
      <c r="G29" s="1666"/>
      <c r="H29" s="1666"/>
    </row>
    <row r="30" spans="1:8">
      <c r="A30" s="1665" t="s">
        <v>3260</v>
      </c>
      <c r="D30" s="1666"/>
      <c r="E30" s="1666"/>
      <c r="F30" s="1666"/>
      <c r="G30" s="1666"/>
      <c r="H30" s="1666"/>
    </row>
    <row r="31" spans="1:8" ht="60" customHeight="1">
      <c r="A31" s="1661"/>
      <c r="B31" s="1674" t="s">
        <v>3261</v>
      </c>
      <c r="D31" s="1666">
        <v>22231986</v>
      </c>
      <c r="E31" s="1666">
        <v>57682156</v>
      </c>
      <c r="F31" s="1666"/>
      <c r="G31" s="1666">
        <f t="shared" ref="G31:H35" si="1">D31</f>
        <v>22231986</v>
      </c>
      <c r="H31" s="1666">
        <f t="shared" si="1"/>
        <v>57682156</v>
      </c>
    </row>
    <row r="32" spans="1:8" ht="60" customHeight="1">
      <c r="A32" s="1661"/>
      <c r="B32" s="1674" t="s">
        <v>3262</v>
      </c>
      <c r="D32" s="1666">
        <v>0</v>
      </c>
      <c r="E32" s="1666">
        <v>24956828</v>
      </c>
      <c r="F32" s="1666"/>
      <c r="G32" s="1666">
        <f t="shared" si="1"/>
        <v>0</v>
      </c>
      <c r="H32" s="1666">
        <f t="shared" si="1"/>
        <v>24956828</v>
      </c>
    </row>
    <row r="33" spans="1:8" ht="45" customHeight="1">
      <c r="A33" s="1661"/>
      <c r="B33" s="1674" t="s">
        <v>3263</v>
      </c>
      <c r="D33" s="1666">
        <v>4681</v>
      </c>
      <c r="E33" s="1666">
        <v>9872</v>
      </c>
      <c r="F33" s="1666"/>
      <c r="G33" s="1666">
        <f t="shared" si="1"/>
        <v>4681</v>
      </c>
      <c r="H33" s="1666">
        <f t="shared" si="1"/>
        <v>9872</v>
      </c>
    </row>
    <row r="34" spans="1:8">
      <c r="A34" s="1661"/>
      <c r="B34" s="1655" t="s">
        <v>3264</v>
      </c>
      <c r="D34" s="1666">
        <v>6094</v>
      </c>
      <c r="E34" s="1666">
        <v>20845</v>
      </c>
      <c r="F34" s="1666"/>
      <c r="G34" s="1666">
        <f t="shared" si="1"/>
        <v>6094</v>
      </c>
      <c r="H34" s="1666">
        <f t="shared" si="1"/>
        <v>20845</v>
      </c>
    </row>
    <row r="35" spans="1:8">
      <c r="A35" s="1661"/>
      <c r="B35" s="1655" t="s">
        <v>3265</v>
      </c>
      <c r="D35" s="1666">
        <v>-20800575</v>
      </c>
      <c r="E35" s="1666">
        <v>-44111549</v>
      </c>
      <c r="F35" s="1666"/>
      <c r="G35" s="1666">
        <f t="shared" si="1"/>
        <v>-20800575</v>
      </c>
      <c r="H35" s="1666">
        <f t="shared" si="1"/>
        <v>-44111549</v>
      </c>
    </row>
    <row r="36" spans="1:8">
      <c r="A36" s="1667" t="s">
        <v>3266</v>
      </c>
      <c r="B36" s="1668"/>
      <c r="C36" s="1668"/>
      <c r="D36" s="1669">
        <v>1442186</v>
      </c>
      <c r="E36" s="1669">
        <v>38558152</v>
      </c>
      <c r="F36" s="1666"/>
      <c r="G36" s="1670">
        <f>SUM(G31:G35)</f>
        <v>1442186</v>
      </c>
      <c r="H36" s="1670">
        <f>SUM(H31:H35)</f>
        <v>38558152</v>
      </c>
    </row>
    <row r="37" spans="1:8">
      <c r="A37" s="1661"/>
      <c r="D37" s="1666"/>
      <c r="E37" s="1666"/>
      <c r="F37" s="1666"/>
      <c r="G37" s="1666"/>
      <c r="H37" s="1666"/>
    </row>
    <row r="38" spans="1:8">
      <c r="A38" s="1671" t="s">
        <v>3267</v>
      </c>
      <c r="B38" s="1672"/>
      <c r="C38" s="1672"/>
      <c r="D38" s="1673">
        <v>6505380</v>
      </c>
      <c r="E38" s="1673">
        <v>74145388</v>
      </c>
      <c r="F38" s="1666"/>
      <c r="G38" s="1670">
        <f>SUM(G36,G28,G26)</f>
        <v>6505380</v>
      </c>
      <c r="H38" s="1670">
        <f>SUM(H36,H28,H26)</f>
        <v>74145388</v>
      </c>
    </row>
    <row r="39" spans="1:8">
      <c r="A39" s="1661"/>
    </row>
    <row r="40" spans="1:8">
      <c r="A40" s="1661"/>
    </row>
    <row r="42" spans="1:8">
      <c r="G42" s="1655" t="b">
        <f>G38=G14</f>
        <v>1</v>
      </c>
      <c r="H42" s="1655" t="b">
        <f>H38=H14</f>
        <v>1</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tabColor rgb="FFFFC000"/>
  </sheetPr>
  <dimension ref="A1:E14"/>
  <sheetViews>
    <sheetView workbookViewId="0"/>
  </sheetViews>
  <sheetFormatPr defaultRowHeight="15"/>
  <cols>
    <col min="1" max="1" width="3.1640625" style="1655" customWidth="1"/>
    <col min="2" max="2" width="35.83203125" style="1655" customWidth="1"/>
    <col min="3" max="3" width="9.33203125" style="1655"/>
    <col min="4" max="5" width="21.83203125" style="1655" customWidth="1"/>
    <col min="6" max="16384" width="9.33203125" style="1655"/>
  </cols>
  <sheetData>
    <row r="1" spans="1:5" ht="20.25">
      <c r="A1" s="1654" t="s">
        <v>3237</v>
      </c>
    </row>
    <row r="2" spans="1:5" ht="18.75">
      <c r="A2" s="1656" t="s">
        <v>3268</v>
      </c>
    </row>
    <row r="3" spans="1:5">
      <c r="A3" s="1657"/>
    </row>
    <row r="4" spans="1:5">
      <c r="D4" s="1659" t="s">
        <v>3269</v>
      </c>
      <c r="E4" s="1660"/>
    </row>
    <row r="5" spans="1:5">
      <c r="D5" s="1662" t="s">
        <v>3241</v>
      </c>
      <c r="E5" s="1663" t="s">
        <v>3242</v>
      </c>
    </row>
    <row r="6" spans="1:5">
      <c r="A6" s="1665" t="s">
        <v>3270</v>
      </c>
    </row>
    <row r="7" spans="1:5">
      <c r="A7" s="1665"/>
      <c r="B7" s="1655" t="s">
        <v>3271</v>
      </c>
      <c r="D7" s="1666">
        <v>8571213</v>
      </c>
      <c r="E7" s="1666">
        <v>15275135</v>
      </c>
    </row>
    <row r="8" spans="1:5">
      <c r="A8" s="1665"/>
      <c r="B8" s="1655" t="s">
        <v>3272</v>
      </c>
      <c r="D8" s="1666">
        <v>4772132</v>
      </c>
      <c r="E8" s="1666">
        <v>8213732</v>
      </c>
    </row>
    <row r="9" spans="1:5">
      <c r="A9" s="1671" t="s">
        <v>3273</v>
      </c>
      <c r="B9" s="1672"/>
      <c r="C9" s="1672"/>
      <c r="D9" s="1673">
        <v>13343345</v>
      </c>
      <c r="E9" s="1673">
        <v>23488867</v>
      </c>
    </row>
    <row r="10" spans="1:5">
      <c r="A10" s="1665"/>
      <c r="B10" s="1655" t="s">
        <v>3274</v>
      </c>
      <c r="D10" s="1666">
        <v>-13343345</v>
      </c>
      <c r="E10" s="1666">
        <v>-23488867</v>
      </c>
    </row>
    <row r="11" spans="1:5">
      <c r="A11" s="1665"/>
      <c r="B11" s="1655" t="s">
        <v>3275</v>
      </c>
      <c r="D11" s="1666">
        <v>11547</v>
      </c>
      <c r="E11" s="1666">
        <v>177893</v>
      </c>
    </row>
    <row r="12" spans="1:5">
      <c r="A12" s="1671" t="s">
        <v>3276</v>
      </c>
      <c r="B12" s="1672"/>
      <c r="C12" s="1672"/>
      <c r="D12" s="1673">
        <v>-13331798</v>
      </c>
      <c r="E12" s="1673">
        <v>-23310974</v>
      </c>
    </row>
    <row r="13" spans="1:5">
      <c r="A13" s="1671" t="s">
        <v>3277</v>
      </c>
      <c r="B13" s="1672"/>
      <c r="C13" s="1672"/>
      <c r="D13" s="1673">
        <v>-13331798</v>
      </c>
      <c r="E13" s="1673">
        <v>-23310974</v>
      </c>
    </row>
    <row r="14" spans="1:5">
      <c r="A14" s="1671" t="s">
        <v>3278</v>
      </c>
      <c r="B14" s="1672"/>
      <c r="C14" s="1672"/>
      <c r="D14" s="1673">
        <v>-13331798</v>
      </c>
      <c r="E14" s="1673">
        <v>-23310974</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tabColor rgb="FFFFC000"/>
  </sheetPr>
  <dimension ref="A1:E36"/>
  <sheetViews>
    <sheetView workbookViewId="0"/>
  </sheetViews>
  <sheetFormatPr defaultRowHeight="15"/>
  <cols>
    <col min="1" max="1" width="3.1640625" style="1655" customWidth="1"/>
    <col min="2" max="2" width="59.1640625" style="1655" customWidth="1"/>
    <col min="3" max="3" width="3.1640625" style="1658" customWidth="1"/>
    <col min="4" max="5" width="21.83203125" style="1655" customWidth="1"/>
    <col min="6" max="16384" width="9.33203125" style="1655"/>
  </cols>
  <sheetData>
    <row r="1" spans="1:5" ht="20.25">
      <c r="A1" s="1654" t="s">
        <v>3237</v>
      </c>
    </row>
    <row r="2" spans="1:5" ht="18.75">
      <c r="A2" s="1656" t="s">
        <v>3279</v>
      </c>
    </row>
    <row r="3" spans="1:5">
      <c r="A3" s="1657"/>
    </row>
    <row r="4" spans="1:5">
      <c r="D4" s="1659" t="s">
        <v>3269</v>
      </c>
      <c r="E4" s="1660"/>
    </row>
    <row r="5" spans="1:5">
      <c r="D5" s="1662" t="s">
        <v>3241</v>
      </c>
      <c r="E5" s="1663" t="s">
        <v>3242</v>
      </c>
    </row>
    <row r="6" spans="1:5">
      <c r="A6" s="1675" t="s">
        <v>3280</v>
      </c>
    </row>
    <row r="7" spans="1:5">
      <c r="A7" s="1655" t="s">
        <v>3277</v>
      </c>
      <c r="D7" s="1670">
        <v>-13331798</v>
      </c>
      <c r="E7" s="1670">
        <v>-23310974</v>
      </c>
    </row>
    <row r="8" spans="1:5" ht="30">
      <c r="B8" s="1676" t="s">
        <v>3281</v>
      </c>
      <c r="C8" s="1676"/>
      <c r="D8" s="1666"/>
      <c r="E8" s="1666"/>
    </row>
    <row r="9" spans="1:5">
      <c r="B9" s="1677" t="s">
        <v>3282</v>
      </c>
      <c r="C9" s="1676"/>
      <c r="D9" s="1666">
        <v>224830</v>
      </c>
      <c r="E9" s="1666">
        <v>967223</v>
      </c>
    </row>
    <row r="10" spans="1:5">
      <c r="B10" s="1677" t="s">
        <v>3283</v>
      </c>
      <c r="C10" s="1676"/>
      <c r="D10" s="1666"/>
      <c r="E10" s="1666"/>
    </row>
    <row r="11" spans="1:5">
      <c r="B11" s="1678" t="s">
        <v>3245</v>
      </c>
      <c r="C11" s="1676"/>
      <c r="D11" s="1666">
        <v>-328841</v>
      </c>
      <c r="E11" s="1666">
        <v>1263954</v>
      </c>
    </row>
    <row r="12" spans="1:5">
      <c r="B12" s="1678" t="s">
        <v>3252</v>
      </c>
      <c r="C12" s="1676"/>
      <c r="D12" s="1666">
        <v>588753</v>
      </c>
      <c r="E12" s="1666">
        <v>-1214488</v>
      </c>
    </row>
    <row r="13" spans="1:5">
      <c r="B13" s="1678" t="s">
        <v>3253</v>
      </c>
      <c r="C13" s="1676"/>
      <c r="D13" s="1666">
        <v>1166888</v>
      </c>
      <c r="E13" s="1666">
        <v>2535237</v>
      </c>
    </row>
    <row r="14" spans="1:5">
      <c r="B14" s="1678" t="s">
        <v>3284</v>
      </c>
      <c r="C14" s="1676"/>
      <c r="D14" s="1666">
        <v>717112</v>
      </c>
      <c r="E14" s="1666">
        <v>4477509</v>
      </c>
    </row>
    <row r="15" spans="1:5">
      <c r="B15" s="1678" t="s">
        <v>3285</v>
      </c>
      <c r="C15" s="1676"/>
      <c r="D15" s="1666">
        <v>0</v>
      </c>
      <c r="E15" s="1666">
        <v>24375000</v>
      </c>
    </row>
    <row r="16" spans="1:5">
      <c r="B16" s="1678" t="s">
        <v>3248</v>
      </c>
      <c r="C16" s="1676"/>
      <c r="D16" s="1666">
        <v>-1044485</v>
      </c>
      <c r="E16" s="1666">
        <v>0</v>
      </c>
    </row>
    <row r="17" spans="1:5">
      <c r="A17" s="1675" t="s">
        <v>3286</v>
      </c>
      <c r="B17" s="1679"/>
      <c r="C17" s="1676"/>
      <c r="D17" s="1670">
        <v>-12007541</v>
      </c>
      <c r="E17" s="1670">
        <v>9093461</v>
      </c>
    </row>
    <row r="18" spans="1:5">
      <c r="B18" s="1679"/>
      <c r="C18" s="1676"/>
      <c r="D18" s="1666"/>
      <c r="E18" s="1666"/>
    </row>
    <row r="19" spans="1:5">
      <c r="A19" s="1675" t="s">
        <v>3287</v>
      </c>
      <c r="B19" s="1679"/>
      <c r="C19" s="1676"/>
      <c r="D19" s="1666"/>
      <c r="E19" s="1666"/>
    </row>
    <row r="20" spans="1:5" ht="30" customHeight="1">
      <c r="B20" s="1679" t="s">
        <v>3288</v>
      </c>
      <c r="C20" s="1676"/>
      <c r="D20" s="1666">
        <v>-2580564</v>
      </c>
      <c r="E20" s="1666">
        <v>-6981557</v>
      </c>
    </row>
    <row r="21" spans="1:5">
      <c r="A21" s="1655" t="s">
        <v>3289</v>
      </c>
      <c r="C21" s="1676"/>
      <c r="D21" s="1666">
        <v>-2580564</v>
      </c>
      <c r="E21" s="1666">
        <v>-6981557</v>
      </c>
    </row>
    <row r="22" spans="1:5">
      <c r="B22" s="1679"/>
      <c r="C22" s="1676"/>
      <c r="D22" s="1666"/>
      <c r="E22" s="1666"/>
    </row>
    <row r="23" spans="1:5">
      <c r="A23" s="1675" t="s">
        <v>3290</v>
      </c>
      <c r="B23" s="1679"/>
      <c r="C23" s="1676"/>
      <c r="D23" s="1666"/>
      <c r="E23" s="1666"/>
    </row>
    <row r="24" spans="1:5" ht="30">
      <c r="B24" s="1680" t="s">
        <v>3291</v>
      </c>
      <c r="C24" s="1676"/>
      <c r="D24" s="1666">
        <v>104869</v>
      </c>
      <c r="E24" s="1666">
        <v>34654</v>
      </c>
    </row>
    <row r="25" spans="1:5" ht="30">
      <c r="B25" s="1679" t="s">
        <v>3292</v>
      </c>
      <c r="C25" s="1676"/>
      <c r="D25" s="1666">
        <v>0</v>
      </c>
      <c r="E25" s="1666">
        <v>24956828</v>
      </c>
    </row>
    <row r="26" spans="1:5" ht="30">
      <c r="B26" s="1679" t="s">
        <v>3293</v>
      </c>
      <c r="C26" s="1676"/>
      <c r="D26" s="1666">
        <v>9983463</v>
      </c>
      <c r="E26" s="1666">
        <v>35450170</v>
      </c>
    </row>
    <row r="27" spans="1:5">
      <c r="A27" s="1655" t="s">
        <v>3294</v>
      </c>
      <c r="B27" s="1679"/>
      <c r="C27" s="1676"/>
      <c r="D27" s="1670">
        <v>10088332</v>
      </c>
      <c r="E27" s="1670">
        <v>60441652</v>
      </c>
    </row>
    <row r="28" spans="1:5">
      <c r="B28" s="1679"/>
      <c r="C28" s="1676"/>
      <c r="D28" s="1666"/>
      <c r="E28" s="1666"/>
    </row>
    <row r="29" spans="1:5">
      <c r="A29" s="1675" t="s">
        <v>3295</v>
      </c>
      <c r="B29" s="1679"/>
      <c r="C29" s="1676"/>
      <c r="D29" s="1666">
        <v>-4499773</v>
      </c>
      <c r="E29" s="1666">
        <v>62553556</v>
      </c>
    </row>
    <row r="30" spans="1:5">
      <c r="A30" s="1675" t="s">
        <v>3296</v>
      </c>
      <c r="B30" s="1679"/>
      <c r="C30" s="1676"/>
      <c r="D30" s="1666">
        <v>5378663</v>
      </c>
      <c r="E30" s="1666">
        <v>878890</v>
      </c>
    </row>
    <row r="31" spans="1:5">
      <c r="A31" s="1675" t="s">
        <v>3297</v>
      </c>
      <c r="B31" s="1679"/>
      <c r="C31" s="1676"/>
      <c r="D31" s="1666">
        <v>878890</v>
      </c>
      <c r="E31" s="1666">
        <v>63432446</v>
      </c>
    </row>
    <row r="32" spans="1:5">
      <c r="B32" s="1679"/>
      <c r="C32" s="1676"/>
      <c r="D32" s="1666"/>
      <c r="E32" s="1666"/>
    </row>
    <row r="33" spans="1:5">
      <c r="A33" s="1675" t="s">
        <v>3298</v>
      </c>
      <c r="B33" s="1679"/>
      <c r="C33" s="1676"/>
      <c r="D33" s="1666"/>
      <c r="E33" s="1666"/>
    </row>
    <row r="34" spans="1:5" ht="30">
      <c r="B34" s="1679" t="s">
        <v>3299</v>
      </c>
      <c r="C34" s="1676"/>
      <c r="D34" s="1666">
        <v>-4499773</v>
      </c>
      <c r="E34" s="1666">
        <v>336072</v>
      </c>
    </row>
    <row r="35" spans="1:5" ht="45" customHeight="1">
      <c r="B35" s="1679" t="s">
        <v>3300</v>
      </c>
      <c r="C35" s="1676"/>
      <c r="D35" s="1666">
        <v>5378663</v>
      </c>
      <c r="E35" s="1666">
        <v>0</v>
      </c>
    </row>
    <row r="36" spans="1:5" ht="30" customHeight="1">
      <c r="B36" s="1679" t="s">
        <v>3301</v>
      </c>
      <c r="C36" s="1676"/>
      <c r="D36" s="1666">
        <v>878890</v>
      </c>
      <c r="E36" s="1666">
        <v>19942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tabColor theme="9" tint="0.39997558519241921"/>
    <pageSetUpPr fitToPage="1"/>
  </sheetPr>
  <dimension ref="A1:AR75"/>
  <sheetViews>
    <sheetView topLeftCell="A18" zoomScale="70" zoomScaleNormal="70" workbookViewId="0">
      <selection activeCell="H44" sqref="H44"/>
    </sheetView>
  </sheetViews>
  <sheetFormatPr defaultColWidth="10.1640625" defaultRowHeight="15"/>
  <cols>
    <col min="1" max="1" width="1.83203125" style="1682" customWidth="1"/>
    <col min="2" max="2" width="65.6640625" style="1682" customWidth="1"/>
    <col min="3" max="3" width="1.1640625" style="1682" customWidth="1"/>
    <col min="4" max="4" width="17.5" style="1682" bestFit="1" customWidth="1"/>
    <col min="5" max="5" width="1.1640625" style="1682" customWidth="1"/>
    <col min="6" max="6" width="17.83203125" style="1682" bestFit="1" customWidth="1"/>
    <col min="7" max="7" width="1.1640625" style="1682" customWidth="1"/>
    <col min="8" max="8" width="17.33203125" style="1682" bestFit="1" customWidth="1"/>
    <col min="9" max="9" width="1.1640625" style="1682" customWidth="1"/>
    <col min="10" max="10" width="16.6640625" style="1682" customWidth="1"/>
    <col min="11" max="11" width="1.1640625" style="1682" customWidth="1"/>
    <col min="12" max="12" width="14.83203125" style="1682" customWidth="1"/>
    <col min="13" max="13" width="2.1640625" style="1682" customWidth="1"/>
    <col min="14" max="14" width="17" style="1682" customWidth="1"/>
    <col min="15" max="15" width="2.6640625" style="1682" customWidth="1"/>
    <col min="16" max="16" width="20.6640625" style="1682" bestFit="1" customWidth="1"/>
    <col min="17" max="17" width="2.1640625" style="1682" customWidth="1"/>
    <col min="18" max="18" width="18.5" style="1682" bestFit="1" customWidth="1"/>
    <col min="19" max="19" width="2.1640625" style="1682" customWidth="1"/>
    <col min="20" max="20" width="14.83203125" style="1682" customWidth="1"/>
    <col min="21" max="21" width="2.5" style="1682" customWidth="1"/>
    <col min="22" max="22" width="16.1640625" style="1682" bestFit="1" customWidth="1"/>
    <col min="23" max="23" width="1.1640625" style="1682" customWidth="1"/>
    <col min="24" max="24" width="19" style="1682" bestFit="1" customWidth="1"/>
    <col min="25" max="25" width="1.1640625" style="1682" customWidth="1"/>
    <col min="26" max="26" width="13.33203125" style="1682" customWidth="1"/>
    <col min="27" max="27" width="1.1640625" style="1682" customWidth="1"/>
    <col min="28" max="28" width="3.33203125" style="1682" customWidth="1"/>
    <col min="29" max="29" width="2.6640625" style="1682" customWidth="1"/>
    <col min="30" max="30" width="57.5" style="1682" bestFit="1" customWidth="1"/>
    <col min="31" max="31" width="32" style="1682" customWidth="1"/>
    <col min="32" max="32" width="18.1640625" style="1682" customWidth="1"/>
    <col min="33" max="33" width="2.6640625" style="1682" customWidth="1"/>
    <col min="34" max="34" width="14.83203125" style="1682" customWidth="1"/>
    <col min="35" max="35" width="16.5" style="1682" customWidth="1"/>
    <col min="36" max="36" width="17.5" style="1682" customWidth="1"/>
    <col min="37" max="37" width="19" style="1682" customWidth="1"/>
    <col min="38" max="39" width="2.33203125" style="1682" customWidth="1"/>
    <col min="40" max="40" width="14.83203125" style="1682" customWidth="1"/>
    <col min="41" max="41" width="2.1640625" style="1682" customWidth="1"/>
    <col min="42" max="42" width="15.1640625" style="1682" customWidth="1"/>
    <col min="43" max="43" width="2.1640625" style="1682" customWidth="1"/>
    <col min="44" max="44" width="10.1640625" style="1682"/>
    <col min="45" max="45" width="14.83203125" style="1682" customWidth="1"/>
    <col min="46" max="16384" width="10.1640625" style="1682"/>
  </cols>
  <sheetData>
    <row r="1" spans="1:42">
      <c r="A1" s="1681" t="s">
        <v>3302</v>
      </c>
      <c r="B1" s="1681"/>
    </row>
    <row r="2" spans="1:42">
      <c r="A2" s="1681" t="s">
        <v>2280</v>
      </c>
    </row>
    <row r="3" spans="1:42">
      <c r="A3" s="1681" t="s">
        <v>255</v>
      </c>
    </row>
    <row r="4" spans="1:42">
      <c r="AD4" s="1683"/>
      <c r="AE4" s="1683"/>
      <c r="AF4" s="1684"/>
      <c r="AG4" s="1684"/>
      <c r="AH4" s="1684"/>
      <c r="AI4" s="1684"/>
      <c r="AJ4" s="1684"/>
      <c r="AK4" s="1684"/>
    </row>
    <row r="5" spans="1:42">
      <c r="B5" s="1685"/>
      <c r="AD5" s="1684"/>
      <c r="AE5" s="1684"/>
      <c r="AF5" s="1684"/>
      <c r="AG5" s="1684"/>
      <c r="AH5" s="1684"/>
      <c r="AI5" s="1684"/>
      <c r="AJ5" s="1684"/>
      <c r="AK5" s="1684"/>
    </row>
    <row r="6" spans="1:42">
      <c r="A6" s="1686"/>
      <c r="B6" s="1687"/>
      <c r="C6" s="1688"/>
      <c r="D6" s="2073"/>
      <c r="E6" s="2073"/>
      <c r="F6" s="2073"/>
      <c r="G6" s="2073"/>
      <c r="H6" s="2073"/>
      <c r="I6" s="2073"/>
      <c r="J6" s="2073"/>
      <c r="K6" s="2073"/>
      <c r="L6" s="2073"/>
      <c r="M6" s="2073"/>
      <c r="N6" s="2073"/>
      <c r="O6" s="2073"/>
      <c r="P6" s="2073"/>
      <c r="Q6" s="2073"/>
      <c r="R6" s="2073"/>
      <c r="S6" s="2073"/>
      <c r="T6" s="2073"/>
      <c r="U6" s="2073"/>
      <c r="V6" s="2073"/>
      <c r="W6" s="2073"/>
      <c r="X6" s="2073"/>
      <c r="Y6" s="2073"/>
      <c r="Z6" s="2073"/>
      <c r="AA6" s="1689"/>
      <c r="AD6" s="1684"/>
      <c r="AE6" s="1684" t="s">
        <v>3303</v>
      </c>
      <c r="AF6" s="1690">
        <v>55000000</v>
      </c>
      <c r="AG6" s="1684"/>
      <c r="AH6" s="1684" t="s">
        <v>3304</v>
      </c>
      <c r="AI6" s="1684"/>
      <c r="AJ6" s="1684"/>
      <c r="AK6" s="1684"/>
    </row>
    <row r="7" spans="1:42">
      <c r="A7" s="1691"/>
      <c r="B7" s="1687"/>
      <c r="D7" s="1692"/>
      <c r="E7" s="1692"/>
      <c r="F7" s="1692"/>
      <c r="G7" s="1692"/>
      <c r="H7" s="1692"/>
      <c r="I7" s="1692"/>
      <c r="J7" s="1692"/>
      <c r="K7" s="1692"/>
      <c r="L7" s="1692"/>
      <c r="M7" s="1692"/>
      <c r="N7" s="1692"/>
      <c r="O7" s="1692"/>
      <c r="P7" s="1692"/>
      <c r="Q7" s="1692"/>
      <c r="R7" s="1692"/>
      <c r="S7" s="1692"/>
      <c r="T7" s="1692"/>
      <c r="U7" s="1692"/>
      <c r="V7" s="1692"/>
      <c r="W7" s="1692"/>
      <c r="X7" s="1692"/>
      <c r="Y7" s="1692"/>
      <c r="Z7" s="1692"/>
      <c r="AA7" s="1693"/>
      <c r="AD7" s="1684"/>
      <c r="AE7" s="1684" t="s">
        <v>3305</v>
      </c>
      <c r="AF7" s="1694">
        <f>+AF6/2</f>
        <v>27500000</v>
      </c>
      <c r="AG7" s="1684"/>
      <c r="AH7" s="1684"/>
      <c r="AI7" s="1684"/>
      <c r="AJ7" s="1684"/>
      <c r="AK7" s="1684"/>
    </row>
    <row r="8" spans="1:42">
      <c r="A8" s="1691"/>
      <c r="B8" s="1687"/>
      <c r="D8" s="2074" t="s">
        <v>3306</v>
      </c>
      <c r="E8" s="2074"/>
      <c r="F8" s="2074"/>
      <c r="G8" s="2074"/>
      <c r="H8" s="2074"/>
      <c r="I8" s="2074"/>
      <c r="J8" s="2074"/>
      <c r="K8" s="2074"/>
      <c r="L8" s="2074"/>
      <c r="M8" s="2074"/>
      <c r="N8" s="2074"/>
      <c r="O8" s="2074"/>
      <c r="P8" s="2074"/>
      <c r="Q8" s="2074"/>
      <c r="R8" s="2074"/>
      <c r="S8" s="2074"/>
      <c r="T8" s="2074"/>
      <c r="U8" s="1681"/>
      <c r="V8" s="2075" t="s">
        <v>3307</v>
      </c>
      <c r="W8" s="2075"/>
      <c r="X8" s="2075"/>
      <c r="Y8" s="2075"/>
      <c r="Z8" s="2075"/>
      <c r="AA8" s="1693"/>
      <c r="AD8" s="1684"/>
      <c r="AE8" s="1684"/>
      <c r="AF8" s="1695"/>
      <c r="AG8" s="1684"/>
      <c r="AH8" s="1684"/>
      <c r="AI8" s="1684"/>
      <c r="AJ8" s="1684"/>
      <c r="AK8" s="1684"/>
    </row>
    <row r="9" spans="1:42" ht="15.75" thickBot="1">
      <c r="A9" s="1691"/>
      <c r="AA9" s="1693"/>
      <c r="AD9" s="1684"/>
      <c r="AE9" s="1684" t="s">
        <v>3308</v>
      </c>
      <c r="AF9" s="1690">
        <v>2</v>
      </c>
      <c r="AG9" s="1684"/>
      <c r="AH9" s="1684"/>
      <c r="AI9" s="1684"/>
      <c r="AJ9" s="1684"/>
      <c r="AK9" s="1684"/>
    </row>
    <row r="10" spans="1:42" ht="45.6" customHeight="1" thickBot="1">
      <c r="A10" s="1691"/>
      <c r="B10" s="1696" t="s">
        <v>3309</v>
      </c>
      <c r="D10" s="1697" t="s">
        <v>246</v>
      </c>
      <c r="F10" s="1698" t="s">
        <v>3310</v>
      </c>
      <c r="G10" s="1681"/>
      <c r="H10" s="1698" t="s">
        <v>3311</v>
      </c>
      <c r="I10" s="1681"/>
      <c r="J10" s="1698" t="s">
        <v>3312</v>
      </c>
      <c r="K10" s="1681"/>
      <c r="L10" s="1698" t="s">
        <v>3313</v>
      </c>
      <c r="M10" s="1681"/>
      <c r="N10" s="1699" t="s">
        <v>3314</v>
      </c>
      <c r="O10" s="1700"/>
      <c r="P10" s="1701" t="s">
        <v>3315</v>
      </c>
      <c r="Q10" s="1702"/>
      <c r="R10" s="1703" t="s">
        <v>3312</v>
      </c>
      <c r="S10" s="1681"/>
      <c r="T10" s="1703" t="s">
        <v>3313</v>
      </c>
      <c r="V10" s="1704" t="s">
        <v>3316</v>
      </c>
      <c r="X10" s="1704" t="s">
        <v>3317</v>
      </c>
      <c r="Z10" s="1704" t="s">
        <v>3318</v>
      </c>
      <c r="AA10" s="1693"/>
      <c r="AD10" s="1684"/>
      <c r="AE10" s="1684" t="s">
        <v>3319</v>
      </c>
      <c r="AF10" s="1694">
        <f>+AF7*0.25</f>
        <v>6875000</v>
      </c>
      <c r="AG10" s="1684"/>
      <c r="AH10" s="1684"/>
      <c r="AI10" s="1684"/>
      <c r="AJ10" s="1684"/>
      <c r="AK10" s="1684"/>
    </row>
    <row r="11" spans="1:42">
      <c r="A11" s="1691"/>
      <c r="N11" s="1705"/>
      <c r="O11" s="1706"/>
      <c r="P11" s="1707"/>
      <c r="AA11" s="1693"/>
      <c r="AD11" s="1684"/>
      <c r="AE11" s="1684"/>
      <c r="AF11" s="1684"/>
      <c r="AG11" s="1684"/>
      <c r="AH11" s="1684"/>
      <c r="AI11" s="1684"/>
      <c r="AJ11" s="1684"/>
      <c r="AK11" s="1684"/>
    </row>
    <row r="12" spans="1:42">
      <c r="A12" s="1691"/>
      <c r="B12" s="1708"/>
      <c r="N12" s="1705"/>
      <c r="O12" s="1706"/>
      <c r="P12" s="1707"/>
      <c r="AA12" s="1693"/>
      <c r="AD12" s="1684"/>
      <c r="AE12" s="1684"/>
      <c r="AF12" s="1684"/>
      <c r="AG12" s="1684"/>
      <c r="AH12" s="1684"/>
      <c r="AI12" s="1684"/>
      <c r="AJ12" s="1684"/>
      <c r="AK12" s="1684"/>
    </row>
    <row r="13" spans="1:42">
      <c r="A13" s="1691"/>
      <c r="B13" s="1682" t="s">
        <v>3320</v>
      </c>
      <c r="D13" s="1709">
        <v>2500000</v>
      </c>
      <c r="E13" s="1709"/>
      <c r="F13" s="1709">
        <v>45638882</v>
      </c>
      <c r="G13" s="1709"/>
      <c r="H13" s="1709"/>
      <c r="I13" s="1709"/>
      <c r="J13" s="1709">
        <f>+SUM(D13:H13)</f>
        <v>48138882</v>
      </c>
      <c r="K13" s="1709"/>
      <c r="L13" s="1710">
        <f>J13/J$44</f>
        <v>0.49112204865292058</v>
      </c>
      <c r="M13" s="1709"/>
      <c r="N13" s="1711">
        <v>1250000</v>
      </c>
      <c r="O13" s="1712"/>
      <c r="P13" s="1713">
        <f>+N13*$AF$9</f>
        <v>2500000</v>
      </c>
      <c r="Q13" s="1709"/>
      <c r="R13" s="1709">
        <f t="shared" ref="R13:R32" si="0">+N13+J13</f>
        <v>49388882</v>
      </c>
      <c r="S13" s="1709"/>
      <c r="T13" s="1710">
        <f t="shared" ref="T13:T32" si="1">R13/R$44</f>
        <v>0.39339037907043806</v>
      </c>
      <c r="U13" s="1709"/>
      <c r="V13" s="1709"/>
      <c r="W13" s="1709"/>
      <c r="X13" s="1709">
        <f t="shared" ref="X13:X32" si="2">+V13+R13</f>
        <v>49388882</v>
      </c>
      <c r="Y13" s="1709"/>
      <c r="Z13" s="1710">
        <f t="shared" ref="Z13:Z32" si="3">X13/X$44</f>
        <v>0.3858467580419972</v>
      </c>
      <c r="AA13" s="1693"/>
      <c r="AB13" s="1714"/>
      <c r="AD13" s="1715"/>
      <c r="AE13" s="1715"/>
      <c r="AF13" s="1684"/>
      <c r="AG13" s="1684"/>
      <c r="AH13" s="1715"/>
      <c r="AI13" s="1716"/>
      <c r="AJ13" s="1684"/>
      <c r="AK13" s="1684"/>
      <c r="AN13" s="1717"/>
    </row>
    <row r="14" spans="1:42">
      <c r="A14" s="1691"/>
      <c r="B14" s="1682" t="s">
        <v>3321</v>
      </c>
      <c r="D14" s="1709"/>
      <c r="E14" s="1709"/>
      <c r="F14" s="1709">
        <v>7119852</v>
      </c>
      <c r="G14" s="1709"/>
      <c r="H14" s="1709"/>
      <c r="I14" s="1709"/>
      <c r="J14" s="1709">
        <f>+SUM(D14:H14)</f>
        <v>7119852</v>
      </c>
      <c r="K14" s="1709"/>
      <c r="L14" s="1710">
        <f>J14/J$44</f>
        <v>7.2638087032133272E-2</v>
      </c>
      <c r="M14" s="1709"/>
      <c r="N14" s="1711">
        <f>6250000/2</f>
        <v>3125000</v>
      </c>
      <c r="O14" s="1712"/>
      <c r="P14" s="1713">
        <f>+N14*$AF$9</f>
        <v>6250000</v>
      </c>
      <c r="Q14" s="1709"/>
      <c r="R14" s="1709">
        <f t="shared" si="0"/>
        <v>10244852</v>
      </c>
      <c r="S14" s="1709"/>
      <c r="T14" s="1710">
        <f t="shared" si="1"/>
        <v>8.1601891935932772E-2</v>
      </c>
      <c r="U14" s="1709"/>
      <c r="V14" s="1709"/>
      <c r="W14" s="1709"/>
      <c r="X14" s="1709">
        <f t="shared" si="2"/>
        <v>10244852</v>
      </c>
      <c r="Y14" s="1709"/>
      <c r="Z14" s="1710">
        <f t="shared" si="3"/>
        <v>8.0037100876672429E-2</v>
      </c>
      <c r="AA14" s="1693"/>
      <c r="AB14" s="1714"/>
      <c r="AD14" s="1715"/>
      <c r="AE14" s="1715"/>
      <c r="AF14" s="1684"/>
      <c r="AG14" s="1684"/>
      <c r="AH14" s="1715"/>
      <c r="AI14" s="1716"/>
      <c r="AJ14" s="1684"/>
      <c r="AK14" s="1684"/>
      <c r="AN14" s="1717"/>
      <c r="AP14" s="1717"/>
    </row>
    <row r="15" spans="1:42">
      <c r="A15" s="1691"/>
      <c r="B15" s="1682" t="s">
        <v>3322</v>
      </c>
      <c r="D15" s="1709"/>
      <c r="E15" s="1709"/>
      <c r="F15" s="1709">
        <v>5000000</v>
      </c>
      <c r="G15" s="1709"/>
      <c r="H15" s="1709"/>
      <c r="I15" s="1709"/>
      <c r="J15" s="1709">
        <f>+SUM(D15:H15)</f>
        <v>5000000</v>
      </c>
      <c r="K15" s="1709"/>
      <c r="L15" s="1710">
        <f>J15/J$44</f>
        <v>5.1010952918777865E-2</v>
      </c>
      <c r="M15" s="1709"/>
      <c r="N15" s="1711"/>
      <c r="O15" s="1712"/>
      <c r="P15" s="1713"/>
      <c r="Q15" s="1709"/>
      <c r="R15" s="1709">
        <f t="shared" si="0"/>
        <v>5000000</v>
      </c>
      <c r="S15" s="1709"/>
      <c r="T15" s="1710">
        <f t="shared" si="1"/>
        <v>3.9825803211180004E-2</v>
      </c>
      <c r="U15" s="1709"/>
      <c r="V15" s="1709"/>
      <c r="W15" s="1709"/>
      <c r="X15" s="1709">
        <f t="shared" si="2"/>
        <v>5000000</v>
      </c>
      <c r="Y15" s="1709"/>
      <c r="Z15" s="1710">
        <f t="shared" si="3"/>
        <v>3.906210693754894E-2</v>
      </c>
      <c r="AA15" s="1693"/>
      <c r="AB15" s="1714"/>
      <c r="AD15" s="1715"/>
      <c r="AE15" s="1715"/>
      <c r="AF15" s="1684"/>
      <c r="AG15" s="1684"/>
      <c r="AH15" s="1715"/>
      <c r="AI15" s="1716"/>
      <c r="AJ15" s="1684"/>
      <c r="AK15" s="1684"/>
      <c r="AN15" s="1717"/>
      <c r="AP15" s="1717"/>
    </row>
    <row r="16" spans="1:42">
      <c r="A16" s="1691"/>
      <c r="B16" s="1682" t="s">
        <v>3323</v>
      </c>
      <c r="D16" s="1709"/>
      <c r="E16" s="1709"/>
      <c r="F16" s="1709"/>
      <c r="G16" s="1709"/>
      <c r="H16" s="1709"/>
      <c r="I16" s="1709"/>
      <c r="J16" s="1709"/>
      <c r="K16" s="1709"/>
      <c r="L16" s="1710"/>
      <c r="M16" s="1709"/>
      <c r="N16" s="1711">
        <v>6250000</v>
      </c>
      <c r="O16" s="1712"/>
      <c r="P16" s="1713">
        <f>+N16*$AF$9</f>
        <v>12500000</v>
      </c>
      <c r="Q16" s="1709"/>
      <c r="R16" s="1709">
        <f t="shared" si="0"/>
        <v>6250000</v>
      </c>
      <c r="S16" s="1709"/>
      <c r="T16" s="1710">
        <f t="shared" si="1"/>
        <v>4.9782254013975E-2</v>
      </c>
      <c r="U16" s="1709"/>
      <c r="V16" s="1709"/>
      <c r="W16" s="1709"/>
      <c r="X16" s="1709">
        <f t="shared" si="2"/>
        <v>6250000</v>
      </c>
      <c r="Y16" s="1709"/>
      <c r="Z16" s="1710">
        <f t="shared" si="3"/>
        <v>4.8827633671936176E-2</v>
      </c>
      <c r="AA16" s="1693"/>
      <c r="AB16" s="1714"/>
      <c r="AD16" s="1715"/>
      <c r="AE16" s="1715"/>
      <c r="AF16" s="1684"/>
      <c r="AG16" s="1684"/>
      <c r="AH16" s="1715"/>
      <c r="AI16" s="1716"/>
      <c r="AJ16" s="1684"/>
      <c r="AK16" s="1684"/>
      <c r="AN16" s="1717"/>
      <c r="AP16" s="1717"/>
    </row>
    <row r="17" spans="1:42">
      <c r="A17" s="1691"/>
      <c r="B17" s="1682" t="s">
        <v>1037</v>
      </c>
      <c r="D17" s="1709"/>
      <c r="E17" s="1709"/>
      <c r="F17" s="1709"/>
      <c r="G17" s="1709"/>
      <c r="H17" s="1709">
        <v>12500000</v>
      </c>
      <c r="I17" s="1709"/>
      <c r="J17" s="1709">
        <f>+SUM(D17:H17)</f>
        <v>12500000</v>
      </c>
      <c r="K17" s="1709"/>
      <c r="L17" s="1710">
        <f>J17/J$44</f>
        <v>0.12752738229694466</v>
      </c>
      <c r="M17" s="1709"/>
      <c r="N17" s="1711">
        <v>4000000</v>
      </c>
      <c r="O17" s="1712"/>
      <c r="P17" s="1713">
        <f>+N17*$AF$9</f>
        <v>8000000</v>
      </c>
      <c r="Q17" s="1709"/>
      <c r="R17" s="1709">
        <f t="shared" si="0"/>
        <v>16500000</v>
      </c>
      <c r="S17" s="1709"/>
      <c r="T17" s="1710">
        <f t="shared" si="1"/>
        <v>0.131425150596894</v>
      </c>
      <c r="U17" s="1709"/>
      <c r="V17" s="1709"/>
      <c r="W17" s="1709"/>
      <c r="X17" s="1709">
        <f t="shared" si="2"/>
        <v>16500000</v>
      </c>
      <c r="Y17" s="1709"/>
      <c r="Z17" s="1710">
        <f t="shared" si="3"/>
        <v>0.12890495289391152</v>
      </c>
      <c r="AA17" s="1693"/>
      <c r="AB17" s="1714"/>
      <c r="AD17" s="1715"/>
      <c r="AE17" s="1715">
        <f>+N17*2</f>
        <v>8000000</v>
      </c>
      <c r="AF17" s="1684" t="s">
        <v>3324</v>
      </c>
      <c r="AG17" s="1684"/>
      <c r="AH17" s="1715"/>
      <c r="AI17" s="1716"/>
      <c r="AJ17" s="1684"/>
      <c r="AK17" s="1684"/>
      <c r="AN17" s="1717"/>
      <c r="AP17" s="1717"/>
    </row>
    <row r="18" spans="1:42">
      <c r="A18" s="1691"/>
      <c r="B18" s="1682" t="s">
        <v>3325</v>
      </c>
      <c r="D18" s="1709"/>
      <c r="E18" s="1709"/>
      <c r="F18" s="1709"/>
      <c r="G18" s="1709"/>
      <c r="H18" s="1709"/>
      <c r="I18" s="1709"/>
      <c r="J18" s="1709">
        <f>+SUM(D18:H18)</f>
        <v>0</v>
      </c>
      <c r="K18" s="1709"/>
      <c r="L18" s="1710">
        <f>J18/J$44</f>
        <v>0</v>
      </c>
      <c r="M18" s="1709"/>
      <c r="N18" s="1711">
        <v>1000000</v>
      </c>
      <c r="O18" s="1712"/>
      <c r="P18" s="1713">
        <f>+N18*$AF$9</f>
        <v>2000000</v>
      </c>
      <c r="Q18" s="1709"/>
      <c r="R18" s="1709">
        <f t="shared" si="0"/>
        <v>1000000</v>
      </c>
      <c r="S18" s="1709"/>
      <c r="T18" s="1710">
        <f t="shared" si="1"/>
        <v>7.9651606422360011E-3</v>
      </c>
      <c r="U18" s="1709"/>
      <c r="V18" s="1709"/>
      <c r="W18" s="1709"/>
      <c r="X18" s="1709">
        <f t="shared" si="2"/>
        <v>1000000</v>
      </c>
      <c r="Y18" s="1709"/>
      <c r="Z18" s="1710">
        <f t="shared" si="3"/>
        <v>7.8124213875097881E-3</v>
      </c>
      <c r="AA18" s="1693"/>
      <c r="AB18" s="1714"/>
      <c r="AD18" s="1718"/>
      <c r="AE18" s="1718"/>
      <c r="AF18" s="1684"/>
      <c r="AG18" s="1684"/>
      <c r="AH18" s="1715"/>
      <c r="AI18" s="1716"/>
      <c r="AJ18" s="1684"/>
      <c r="AK18" s="1684"/>
      <c r="AN18" s="1717"/>
      <c r="AP18" s="1717"/>
    </row>
    <row r="19" spans="1:42">
      <c r="A19" s="1691"/>
      <c r="B19" s="1682" t="s">
        <v>3326</v>
      </c>
      <c r="D19" s="1709"/>
      <c r="E19" s="1709"/>
      <c r="F19" s="1709"/>
      <c r="G19" s="1709"/>
      <c r="H19" s="1709"/>
      <c r="I19" s="1709"/>
      <c r="J19" s="1709">
        <f>+SUM(D19:H19)</f>
        <v>0</v>
      </c>
      <c r="K19" s="1709"/>
      <c r="L19" s="1710">
        <f>J19/J$44</f>
        <v>0</v>
      </c>
      <c r="M19" s="1709"/>
      <c r="N19" s="1711">
        <v>1000000</v>
      </c>
      <c r="O19" s="1712"/>
      <c r="P19" s="1713">
        <f>+N19*$AF$9</f>
        <v>2000000</v>
      </c>
      <c r="Q19" s="1709"/>
      <c r="R19" s="1709">
        <f t="shared" si="0"/>
        <v>1000000</v>
      </c>
      <c r="S19" s="1709"/>
      <c r="T19" s="1710">
        <f t="shared" si="1"/>
        <v>7.9651606422360011E-3</v>
      </c>
      <c r="U19" s="1709"/>
      <c r="V19" s="1709"/>
      <c r="W19" s="1709"/>
      <c r="X19" s="1709">
        <f t="shared" si="2"/>
        <v>1000000</v>
      </c>
      <c r="Y19" s="1709"/>
      <c r="Z19" s="1710">
        <f t="shared" si="3"/>
        <v>7.8124213875097881E-3</v>
      </c>
      <c r="AA19" s="1693"/>
      <c r="AB19" s="1714"/>
      <c r="AD19" s="1718"/>
      <c r="AE19" s="1718"/>
      <c r="AF19" s="1715" t="s">
        <v>3327</v>
      </c>
      <c r="AG19" s="1684"/>
      <c r="AH19" s="1715" t="s">
        <v>3328</v>
      </c>
      <c r="AI19" s="1716" t="s">
        <v>3329</v>
      </c>
      <c r="AJ19" s="1684"/>
      <c r="AK19" s="1684"/>
      <c r="AN19" s="1717"/>
      <c r="AP19" s="1717"/>
    </row>
    <row r="20" spans="1:42">
      <c r="A20" s="1691"/>
      <c r="B20" s="1708" t="s">
        <v>3330</v>
      </c>
      <c r="D20" s="1709"/>
      <c r="E20" s="1709"/>
      <c r="F20" s="1709"/>
      <c r="G20" s="1709"/>
      <c r="H20" s="1709"/>
      <c r="I20" s="1709"/>
      <c r="J20" s="1709"/>
      <c r="K20" s="1709"/>
      <c r="L20" s="1710"/>
      <c r="M20" s="1709"/>
      <c r="N20" s="1711"/>
      <c r="O20" s="1712"/>
      <c r="P20" s="1713"/>
      <c r="Q20" s="1709"/>
      <c r="R20" s="1709">
        <f t="shared" si="0"/>
        <v>0</v>
      </c>
      <c r="S20" s="1709"/>
      <c r="T20" s="1710">
        <f t="shared" si="1"/>
        <v>0</v>
      </c>
      <c r="U20" s="1709"/>
      <c r="V20" s="1709"/>
      <c r="W20" s="1709"/>
      <c r="X20" s="1709">
        <f t="shared" si="2"/>
        <v>0</v>
      </c>
      <c r="Y20" s="1709"/>
      <c r="Z20" s="1710">
        <f t="shared" si="3"/>
        <v>0</v>
      </c>
      <c r="AA20" s="1693"/>
      <c r="AB20" s="1714"/>
      <c r="AD20" s="1718" t="s">
        <v>3330</v>
      </c>
      <c r="AE20" s="1718"/>
      <c r="AF20" s="1684"/>
      <c r="AG20" s="1684"/>
      <c r="AH20" s="1715"/>
      <c r="AI20" s="1716"/>
      <c r="AJ20" s="1684"/>
      <c r="AK20" s="1684"/>
      <c r="AN20" s="1717"/>
      <c r="AP20" s="1717"/>
    </row>
    <row r="21" spans="1:42">
      <c r="A21" s="1691"/>
      <c r="B21" s="1719" t="s">
        <v>3331</v>
      </c>
      <c r="D21" s="1709"/>
      <c r="E21" s="1709"/>
      <c r="F21" s="1709"/>
      <c r="G21" s="1709"/>
      <c r="H21" s="1709"/>
      <c r="I21" s="1709"/>
      <c r="J21" s="1709">
        <f t="shared" ref="J21:J32" si="4">+SUM(D21:H21)</f>
        <v>0</v>
      </c>
      <c r="K21" s="1709"/>
      <c r="L21" s="1710">
        <f t="shared" ref="L21:L32" si="5">J21/J$44</f>
        <v>0</v>
      </c>
      <c r="M21" s="1709"/>
      <c r="N21" s="1711">
        <v>1571419</v>
      </c>
      <c r="O21" s="1712"/>
      <c r="P21" s="1713">
        <f t="shared" ref="P21:P32" si="6">+N21*$AF$9</f>
        <v>3142838</v>
      </c>
      <c r="Q21" s="1709"/>
      <c r="R21" s="1709">
        <f t="shared" si="0"/>
        <v>1571419</v>
      </c>
      <c r="S21" s="1709"/>
      <c r="T21" s="1710">
        <f t="shared" si="1"/>
        <v>1.2516604771261854E-2</v>
      </c>
      <c r="U21" s="1709"/>
      <c r="V21" s="1709"/>
      <c r="W21" s="1709"/>
      <c r="X21" s="1709">
        <f t="shared" si="2"/>
        <v>1571419</v>
      </c>
      <c r="Y21" s="1709"/>
      <c r="Z21" s="1710">
        <f t="shared" si="3"/>
        <v>1.2276587404339245E-2</v>
      </c>
      <c r="AA21" s="1693"/>
      <c r="AB21" s="1714"/>
      <c r="AD21" s="1720" t="s">
        <v>3332</v>
      </c>
      <c r="AE21" s="1720">
        <v>0.22857</v>
      </c>
      <c r="AF21" s="1694">
        <f t="shared" ref="AF21:AF27" si="7">+$AF$10*AE21</f>
        <v>1571418.75</v>
      </c>
      <c r="AG21" s="1684"/>
      <c r="AH21" s="1694">
        <f t="shared" ref="AH21:AH27" si="8">+AF21</f>
        <v>1571418.75</v>
      </c>
      <c r="AI21" s="1721">
        <f>+AH21-AF21</f>
        <v>0</v>
      </c>
      <c r="AJ21" s="1684"/>
      <c r="AK21" s="1684"/>
      <c r="AN21" s="1717"/>
      <c r="AP21" s="1717"/>
    </row>
    <row r="22" spans="1:42">
      <c r="A22" s="1691"/>
      <c r="B22" s="1719" t="s">
        <v>3333</v>
      </c>
      <c r="D22" s="1709"/>
      <c r="E22" s="1709"/>
      <c r="F22" s="1709"/>
      <c r="G22" s="1709"/>
      <c r="H22" s="1709"/>
      <c r="I22" s="1709"/>
      <c r="J22" s="1709">
        <f t="shared" si="4"/>
        <v>0</v>
      </c>
      <c r="K22" s="1709"/>
      <c r="L22" s="1710">
        <f t="shared" si="5"/>
        <v>0</v>
      </c>
      <c r="M22" s="1709"/>
      <c r="N22" s="1711">
        <v>1571419</v>
      </c>
      <c r="O22" s="1712"/>
      <c r="P22" s="1713">
        <f t="shared" si="6"/>
        <v>3142838</v>
      </c>
      <c r="Q22" s="1709"/>
      <c r="R22" s="1709">
        <f t="shared" si="0"/>
        <v>1571419</v>
      </c>
      <c r="S22" s="1709"/>
      <c r="T22" s="1710">
        <f t="shared" si="1"/>
        <v>1.2516604771261854E-2</v>
      </c>
      <c r="U22" s="1709"/>
      <c r="V22" s="1709"/>
      <c r="W22" s="1709"/>
      <c r="X22" s="1709">
        <f t="shared" si="2"/>
        <v>1571419</v>
      </c>
      <c r="Y22" s="1709"/>
      <c r="Z22" s="1710">
        <f t="shared" si="3"/>
        <v>1.2276587404339245E-2</v>
      </c>
      <c r="AA22" s="1693"/>
      <c r="AB22" s="1714"/>
      <c r="AD22" s="1720" t="s">
        <v>3334</v>
      </c>
      <c r="AE22" s="1720">
        <v>0.22857</v>
      </c>
      <c r="AF22" s="1694">
        <f t="shared" si="7"/>
        <v>1571418.75</v>
      </c>
      <c r="AG22" s="1684"/>
      <c r="AH22" s="1694">
        <f t="shared" si="8"/>
        <v>1571418.75</v>
      </c>
      <c r="AI22" s="1721">
        <f>+AH22-AF22</f>
        <v>0</v>
      </c>
      <c r="AJ22" s="1684"/>
      <c r="AK22" s="1684"/>
      <c r="AN22" s="1717"/>
      <c r="AP22" s="1717"/>
    </row>
    <row r="23" spans="1:42">
      <c r="A23" s="1691"/>
      <c r="B23" s="1719" t="s">
        <v>3335</v>
      </c>
      <c r="D23" s="1709"/>
      <c r="E23" s="1709"/>
      <c r="F23" s="1709"/>
      <c r="G23" s="1709"/>
      <c r="H23" s="1709"/>
      <c r="I23" s="1709"/>
      <c r="J23" s="1709">
        <f t="shared" si="4"/>
        <v>0</v>
      </c>
      <c r="K23" s="1709"/>
      <c r="L23" s="1710">
        <f t="shared" si="5"/>
        <v>0</v>
      </c>
      <c r="M23" s="1709"/>
      <c r="N23" s="1711">
        <v>1178572</v>
      </c>
      <c r="O23" s="1712"/>
      <c r="P23" s="1713">
        <f t="shared" si="6"/>
        <v>2357144</v>
      </c>
      <c r="Q23" s="1709"/>
      <c r="R23" s="1709">
        <f t="shared" si="0"/>
        <v>1178572</v>
      </c>
      <c r="S23" s="1709"/>
      <c r="T23" s="1710">
        <f t="shared" si="1"/>
        <v>9.387515308441367E-3</v>
      </c>
      <c r="U23" s="1709"/>
      <c r="V23" s="1709"/>
      <c r="W23" s="1709"/>
      <c r="X23" s="1709">
        <f t="shared" si="2"/>
        <v>1178572</v>
      </c>
      <c r="Y23" s="1709"/>
      <c r="Z23" s="1710">
        <f t="shared" si="3"/>
        <v>9.2075010995201854E-3</v>
      </c>
      <c r="AA23" s="1693"/>
      <c r="AB23" s="1714"/>
      <c r="AD23" s="1720" t="s">
        <v>3336</v>
      </c>
      <c r="AE23" s="1720">
        <v>0.17142859999999999</v>
      </c>
      <c r="AF23" s="1694">
        <f t="shared" si="7"/>
        <v>1178571.625</v>
      </c>
      <c r="AG23" s="1684"/>
      <c r="AH23" s="1722">
        <f t="shared" si="8"/>
        <v>1178571.625</v>
      </c>
      <c r="AI23" s="1721">
        <f>+AH23-AF23</f>
        <v>0</v>
      </c>
      <c r="AJ23" s="1684"/>
      <c r="AK23" s="1684"/>
      <c r="AN23" s="1717"/>
      <c r="AP23" s="1717"/>
    </row>
    <row r="24" spans="1:42">
      <c r="A24" s="1691"/>
      <c r="B24" s="1719" t="s">
        <v>3337</v>
      </c>
      <c r="D24" s="1709"/>
      <c r="E24" s="1709"/>
      <c r="F24" s="1709"/>
      <c r="G24" s="1709"/>
      <c r="H24" s="1709"/>
      <c r="I24" s="1709"/>
      <c r="J24" s="1709">
        <f t="shared" si="4"/>
        <v>0</v>
      </c>
      <c r="K24" s="1709"/>
      <c r="L24" s="1710">
        <f t="shared" si="5"/>
        <v>0</v>
      </c>
      <c r="M24" s="1709"/>
      <c r="N24" s="1711">
        <v>982162</v>
      </c>
      <c r="O24" s="1712"/>
      <c r="P24" s="1713">
        <f t="shared" si="6"/>
        <v>1964324</v>
      </c>
      <c r="Q24" s="1709"/>
      <c r="R24" s="1709">
        <f t="shared" si="0"/>
        <v>982162</v>
      </c>
      <c r="S24" s="1709"/>
      <c r="T24" s="1710">
        <f t="shared" si="1"/>
        <v>7.8230781066997938E-3</v>
      </c>
      <c r="U24" s="1709"/>
      <c r="V24" s="1709"/>
      <c r="W24" s="1709"/>
      <c r="X24" s="1709">
        <f t="shared" si="2"/>
        <v>982162</v>
      </c>
      <c r="Y24" s="1709"/>
      <c r="Z24" s="1710">
        <f t="shared" si="3"/>
        <v>7.6730634147993883E-3</v>
      </c>
      <c r="AA24" s="1693"/>
      <c r="AB24" s="1714"/>
      <c r="AD24" s="1720" t="s">
        <v>3338</v>
      </c>
      <c r="AE24" s="1720">
        <f>14.2857%+0.0003%</f>
        <v>0.14286000000000001</v>
      </c>
      <c r="AF24" s="1694">
        <f t="shared" si="7"/>
        <v>982162.50000000012</v>
      </c>
      <c r="AG24" s="1684"/>
      <c r="AH24" s="1722">
        <f t="shared" si="8"/>
        <v>982162.50000000012</v>
      </c>
      <c r="AI24" s="1721">
        <f>+AH24-AF24</f>
        <v>0</v>
      </c>
      <c r="AJ24" s="1684"/>
      <c r="AK24" s="1684"/>
      <c r="AN24" s="1717"/>
      <c r="AP24" s="1717"/>
    </row>
    <row r="25" spans="1:42">
      <c r="A25" s="1691"/>
      <c r="B25" s="1719" t="s">
        <v>3339</v>
      </c>
      <c r="D25" s="1709"/>
      <c r="E25" s="1709"/>
      <c r="F25" s="1709"/>
      <c r="G25" s="1709"/>
      <c r="H25" s="1709"/>
      <c r="I25" s="1709"/>
      <c r="J25" s="1709">
        <f t="shared" si="4"/>
        <v>0</v>
      </c>
      <c r="K25" s="1709"/>
      <c r="L25" s="1710">
        <f t="shared" si="5"/>
        <v>0</v>
      </c>
      <c r="M25" s="1709"/>
      <c r="N25" s="1711">
        <v>785714</v>
      </c>
      <c r="O25" s="1712"/>
      <c r="P25" s="1713">
        <f t="shared" si="6"/>
        <v>1571428</v>
      </c>
      <c r="Q25" s="1709"/>
      <c r="R25" s="1709">
        <f t="shared" si="0"/>
        <v>785714</v>
      </c>
      <c r="S25" s="1709"/>
      <c r="T25" s="1710">
        <f t="shared" si="1"/>
        <v>6.2583382288538165E-3</v>
      </c>
      <c r="U25" s="1709"/>
      <c r="V25" s="1709"/>
      <c r="W25" s="1709"/>
      <c r="X25" s="1709">
        <f t="shared" si="2"/>
        <v>785714</v>
      </c>
      <c r="Y25" s="1709"/>
      <c r="Z25" s="1710">
        <f t="shared" si="3"/>
        <v>6.1383288580658659E-3</v>
      </c>
      <c r="AA25" s="1693"/>
      <c r="AB25" s="1714"/>
      <c r="AD25" s="1720" t="s">
        <v>3340</v>
      </c>
      <c r="AE25" s="1720">
        <v>0.1142857</v>
      </c>
      <c r="AF25" s="1694">
        <f t="shared" si="7"/>
        <v>785714.1875</v>
      </c>
      <c r="AG25" s="1684"/>
      <c r="AH25" s="1722">
        <f t="shared" si="8"/>
        <v>785714.1875</v>
      </c>
      <c r="AI25" s="1716"/>
      <c r="AJ25" s="1684"/>
      <c r="AK25" s="1684"/>
      <c r="AN25" s="1717"/>
      <c r="AP25" s="1717"/>
    </row>
    <row r="26" spans="1:42">
      <c r="A26" s="1691"/>
      <c r="B26" s="1719" t="s">
        <v>3341</v>
      </c>
      <c r="D26" s="1709"/>
      <c r="E26" s="1709"/>
      <c r="F26" s="1709"/>
      <c r="G26" s="1709"/>
      <c r="H26" s="1709"/>
      <c r="I26" s="1709"/>
      <c r="J26" s="1709">
        <f t="shared" si="4"/>
        <v>0</v>
      </c>
      <c r="K26" s="1709"/>
      <c r="L26" s="1710">
        <f t="shared" si="5"/>
        <v>0</v>
      </c>
      <c r="M26" s="1709"/>
      <c r="N26" s="1711">
        <v>392857</v>
      </c>
      <c r="O26" s="1712"/>
      <c r="P26" s="1713">
        <f t="shared" si="6"/>
        <v>785714</v>
      </c>
      <c r="Q26" s="1709"/>
      <c r="R26" s="1709">
        <f t="shared" si="0"/>
        <v>392857</v>
      </c>
      <c r="S26" s="1709"/>
      <c r="T26" s="1710">
        <f t="shared" si="1"/>
        <v>3.1291691144269083E-3</v>
      </c>
      <c r="U26" s="1709"/>
      <c r="V26" s="1709"/>
      <c r="W26" s="1709"/>
      <c r="X26" s="1709">
        <f t="shared" si="2"/>
        <v>392857</v>
      </c>
      <c r="Y26" s="1709"/>
      <c r="Z26" s="1710">
        <f t="shared" si="3"/>
        <v>3.069164429032933E-3</v>
      </c>
      <c r="AA26" s="1693"/>
      <c r="AB26" s="1714"/>
      <c r="AD26" s="1723" t="s">
        <v>3342</v>
      </c>
      <c r="AE26" s="1723">
        <v>0.1142857</v>
      </c>
      <c r="AF26" s="1694">
        <f t="shared" si="7"/>
        <v>785714.1875</v>
      </c>
      <c r="AG26" s="1684"/>
      <c r="AH26" s="1722">
        <f t="shared" si="8"/>
        <v>785714.1875</v>
      </c>
      <c r="AI26" s="1716"/>
      <c r="AJ26" s="1684"/>
      <c r="AK26" s="1684"/>
      <c r="AN26" s="1717"/>
      <c r="AP26" s="1717"/>
    </row>
    <row r="27" spans="1:42">
      <c r="A27" s="1691"/>
      <c r="B27" s="1719" t="s">
        <v>3343</v>
      </c>
      <c r="D27" s="1709"/>
      <c r="E27" s="1709"/>
      <c r="F27" s="1709"/>
      <c r="G27" s="1709"/>
      <c r="H27" s="1709"/>
      <c r="I27" s="1709"/>
      <c r="J27" s="1709">
        <f t="shared" si="4"/>
        <v>0</v>
      </c>
      <c r="K27" s="1709"/>
      <c r="L27" s="1710">
        <f t="shared" si="5"/>
        <v>0</v>
      </c>
      <c r="M27" s="1709"/>
      <c r="N27" s="1711">
        <v>392857</v>
      </c>
      <c r="O27" s="1712"/>
      <c r="P27" s="1713">
        <f t="shared" si="6"/>
        <v>785714</v>
      </c>
      <c r="Q27" s="1709"/>
      <c r="R27" s="1709">
        <f t="shared" si="0"/>
        <v>392857</v>
      </c>
      <c r="S27" s="1709"/>
      <c r="T27" s="1710">
        <f t="shared" si="1"/>
        <v>3.1291691144269083E-3</v>
      </c>
      <c r="U27" s="1709"/>
      <c r="V27" s="1709"/>
      <c r="W27" s="1709"/>
      <c r="X27" s="1709">
        <f t="shared" si="2"/>
        <v>392857</v>
      </c>
      <c r="Y27" s="1709"/>
      <c r="Z27" s="1710">
        <f t="shared" si="3"/>
        <v>3.069164429032933E-3</v>
      </c>
      <c r="AA27" s="1693"/>
      <c r="AB27" s="1714"/>
      <c r="AD27" s="1723" t="s">
        <v>3342</v>
      </c>
      <c r="AE27" s="1723">
        <v>0.1142857</v>
      </c>
      <c r="AF27" s="1694">
        <f t="shared" si="7"/>
        <v>785714.1875</v>
      </c>
      <c r="AG27" s="1684"/>
      <c r="AH27" s="1722">
        <f t="shared" si="8"/>
        <v>785714.1875</v>
      </c>
      <c r="AI27" s="1716"/>
      <c r="AJ27" s="1684"/>
      <c r="AK27" s="1684"/>
      <c r="AN27" s="1717"/>
      <c r="AP27" s="1717"/>
    </row>
    <row r="28" spans="1:42">
      <c r="A28" s="1691"/>
      <c r="B28" s="1724" t="s">
        <v>3344</v>
      </c>
      <c r="D28" s="1709"/>
      <c r="E28" s="1709"/>
      <c r="F28" s="1709"/>
      <c r="G28" s="1709"/>
      <c r="H28" s="1709"/>
      <c r="I28" s="1709"/>
      <c r="J28" s="1709">
        <f t="shared" si="4"/>
        <v>0</v>
      </c>
      <c r="K28" s="1709"/>
      <c r="L28" s="1710">
        <f t="shared" si="5"/>
        <v>0</v>
      </c>
      <c r="M28" s="1709"/>
      <c r="N28" s="1711">
        <v>428581</v>
      </c>
      <c r="O28" s="1712"/>
      <c r="P28" s="1713">
        <f t="shared" si="6"/>
        <v>857162</v>
      </c>
      <c r="Q28" s="1709"/>
      <c r="R28" s="1709">
        <f t="shared" si="0"/>
        <v>428581</v>
      </c>
      <c r="S28" s="1709"/>
      <c r="T28" s="1710">
        <f t="shared" si="1"/>
        <v>3.4137165132101474E-3</v>
      </c>
      <c r="U28" s="1709"/>
      <c r="V28" s="1709"/>
      <c r="W28" s="1709"/>
      <c r="X28" s="1709">
        <f t="shared" si="2"/>
        <v>428581</v>
      </c>
      <c r="Y28" s="1709"/>
      <c r="Z28" s="1710">
        <f t="shared" si="3"/>
        <v>3.3482553706803324E-3</v>
      </c>
      <c r="AA28" s="1693"/>
      <c r="AB28" s="1714"/>
      <c r="AD28" s="1720"/>
      <c r="AE28" s="1720">
        <f>+SUM(AE21:AE26)</f>
        <v>1</v>
      </c>
      <c r="AF28" s="1694"/>
      <c r="AG28" s="1684"/>
      <c r="AH28" s="1722"/>
      <c r="AI28" s="1716"/>
      <c r="AJ28" s="1684"/>
      <c r="AK28" s="1684"/>
      <c r="AN28" s="1717"/>
      <c r="AP28" s="1717"/>
    </row>
    <row r="29" spans="1:42">
      <c r="A29" s="1691"/>
      <c r="B29" s="1682" t="s">
        <v>3345</v>
      </c>
      <c r="D29" s="1709"/>
      <c r="E29" s="1709"/>
      <c r="F29" s="1709"/>
      <c r="G29" s="1709"/>
      <c r="H29" s="1709"/>
      <c r="I29" s="1709"/>
      <c r="J29" s="1709">
        <f t="shared" si="4"/>
        <v>0</v>
      </c>
      <c r="K29" s="1709"/>
      <c r="L29" s="1710">
        <f t="shared" si="5"/>
        <v>0</v>
      </c>
      <c r="M29" s="1709"/>
      <c r="N29" s="1711">
        <v>1000000</v>
      </c>
      <c r="O29" s="1712"/>
      <c r="P29" s="1713">
        <f t="shared" si="6"/>
        <v>2000000</v>
      </c>
      <c r="Q29" s="1709"/>
      <c r="R29" s="1709">
        <f t="shared" si="0"/>
        <v>1000000</v>
      </c>
      <c r="S29" s="1709"/>
      <c r="T29" s="1710">
        <f t="shared" si="1"/>
        <v>7.9651606422360011E-3</v>
      </c>
      <c r="U29" s="1709"/>
      <c r="V29" s="1709"/>
      <c r="W29" s="1709"/>
      <c r="X29" s="1709">
        <f t="shared" si="2"/>
        <v>1000000</v>
      </c>
      <c r="Y29" s="1709"/>
      <c r="Z29" s="1710">
        <f t="shared" si="3"/>
        <v>7.8124213875097881E-3</v>
      </c>
      <c r="AA29" s="1693"/>
      <c r="AB29" s="1714"/>
      <c r="AD29" s="1725"/>
      <c r="AE29" s="1725"/>
      <c r="AF29" s="1694"/>
      <c r="AG29" s="1684"/>
      <c r="AH29" s="1722"/>
      <c r="AI29" s="1716"/>
      <c r="AJ29" s="1684"/>
      <c r="AK29" s="1684"/>
      <c r="AN29" s="1717"/>
      <c r="AP29" s="1717"/>
    </row>
    <row r="30" spans="1:42">
      <c r="A30" s="1691"/>
      <c r="B30" s="1682" t="s">
        <v>3346</v>
      </c>
      <c r="D30" s="1709"/>
      <c r="E30" s="1709"/>
      <c r="F30" s="1709"/>
      <c r="G30" s="1709"/>
      <c r="H30" s="1709"/>
      <c r="I30" s="1709"/>
      <c r="J30" s="1709">
        <f t="shared" si="4"/>
        <v>0</v>
      </c>
      <c r="K30" s="1709"/>
      <c r="L30" s="1710">
        <f t="shared" si="5"/>
        <v>0</v>
      </c>
      <c r="M30" s="1709"/>
      <c r="N30" s="1711">
        <v>1250000</v>
      </c>
      <c r="O30" s="1712"/>
      <c r="P30" s="1713">
        <f t="shared" si="6"/>
        <v>2500000</v>
      </c>
      <c r="Q30" s="1709"/>
      <c r="R30" s="1709">
        <f t="shared" si="0"/>
        <v>1250000</v>
      </c>
      <c r="S30" s="1709"/>
      <c r="T30" s="1710">
        <f t="shared" si="1"/>
        <v>9.956450802795001E-3</v>
      </c>
      <c r="U30" s="1709"/>
      <c r="V30" s="1709"/>
      <c r="W30" s="1709"/>
      <c r="X30" s="1709">
        <f t="shared" si="2"/>
        <v>1250000</v>
      </c>
      <c r="Y30" s="1709"/>
      <c r="Z30" s="1710">
        <f t="shared" si="3"/>
        <v>9.7655267343872351E-3</v>
      </c>
      <c r="AA30" s="1693"/>
      <c r="AB30" s="1714"/>
      <c r="AD30" s="1725"/>
      <c r="AE30" s="1725"/>
      <c r="AF30" s="1684"/>
      <c r="AG30" s="1684"/>
      <c r="AH30" s="1715"/>
      <c r="AI30" s="1716"/>
      <c r="AJ30" s="1684"/>
      <c r="AK30" s="1684"/>
      <c r="AN30" s="1717"/>
      <c r="AP30" s="1717"/>
    </row>
    <row r="31" spans="1:42">
      <c r="A31" s="1691"/>
      <c r="B31" s="1682" t="s">
        <v>3347</v>
      </c>
      <c r="D31" s="1709"/>
      <c r="E31" s="1709"/>
      <c r="F31" s="1709"/>
      <c r="G31" s="1709"/>
      <c r="H31" s="1709"/>
      <c r="I31" s="1709"/>
      <c r="J31" s="1709">
        <f t="shared" si="4"/>
        <v>0</v>
      </c>
      <c r="K31" s="1709"/>
      <c r="L31" s="1710">
        <f t="shared" si="5"/>
        <v>0</v>
      </c>
      <c r="M31" s="1709"/>
      <c r="N31" s="1711">
        <v>1250000</v>
      </c>
      <c r="O31" s="1712"/>
      <c r="P31" s="1713">
        <f t="shared" si="6"/>
        <v>2500000</v>
      </c>
      <c r="Q31" s="1709"/>
      <c r="R31" s="1709">
        <f t="shared" si="0"/>
        <v>1250000</v>
      </c>
      <c r="S31" s="1709"/>
      <c r="T31" s="1710">
        <f t="shared" si="1"/>
        <v>9.956450802795001E-3</v>
      </c>
      <c r="U31" s="1709"/>
      <c r="V31" s="1709"/>
      <c r="W31" s="1709"/>
      <c r="X31" s="1709">
        <f t="shared" si="2"/>
        <v>1250000</v>
      </c>
      <c r="Y31" s="1709"/>
      <c r="Z31" s="1710">
        <f t="shared" si="3"/>
        <v>9.7655267343872351E-3</v>
      </c>
      <c r="AA31" s="1693"/>
      <c r="AB31" s="1714"/>
      <c r="AD31" s="1725"/>
      <c r="AE31" s="1725"/>
      <c r="AF31" s="1684"/>
      <c r="AG31" s="1684"/>
      <c r="AH31" s="1715"/>
      <c r="AI31" s="1716"/>
      <c r="AJ31" s="1684"/>
      <c r="AK31" s="1684"/>
      <c r="AN31" s="1717"/>
      <c r="AP31" s="1717"/>
    </row>
    <row r="32" spans="1:42">
      <c r="A32" s="1691"/>
      <c r="B32" s="1682" t="s">
        <v>3348</v>
      </c>
      <c r="D32" s="1709"/>
      <c r="E32" s="1709"/>
      <c r="F32" s="1709"/>
      <c r="G32" s="1709"/>
      <c r="H32" s="1709"/>
      <c r="I32" s="1709"/>
      <c r="J32" s="1709">
        <f t="shared" si="4"/>
        <v>0</v>
      </c>
      <c r="K32" s="1709"/>
      <c r="L32" s="1710">
        <f t="shared" si="5"/>
        <v>0</v>
      </c>
      <c r="M32" s="1709"/>
      <c r="N32" s="1711">
        <v>100000</v>
      </c>
      <c r="O32" s="1712"/>
      <c r="P32" s="1713">
        <f t="shared" si="6"/>
        <v>200000</v>
      </c>
      <c r="Q32" s="1709"/>
      <c r="R32" s="1709">
        <f t="shared" si="0"/>
        <v>100000</v>
      </c>
      <c r="S32" s="1709"/>
      <c r="T32" s="1710">
        <f t="shared" si="1"/>
        <v>7.9651606422360001E-4</v>
      </c>
      <c r="U32" s="1709"/>
      <c r="V32" s="1709"/>
      <c r="W32" s="1709"/>
      <c r="X32" s="1709">
        <f t="shared" si="2"/>
        <v>100000</v>
      </c>
      <c r="Y32" s="1709"/>
      <c r="Z32" s="1710">
        <f t="shared" si="3"/>
        <v>7.8124213875097883E-4</v>
      </c>
      <c r="AA32" s="1693"/>
      <c r="AB32" s="1714"/>
      <c r="AD32" s="1718"/>
      <c r="AE32" s="1718" t="s">
        <v>3349</v>
      </c>
      <c r="AF32" s="1684"/>
      <c r="AG32" s="1684"/>
      <c r="AH32" s="1715"/>
      <c r="AI32" s="1716"/>
      <c r="AJ32" s="1684"/>
      <c r="AK32" s="1684"/>
      <c r="AN32" s="1717"/>
      <c r="AP32" s="1717"/>
    </row>
    <row r="33" spans="1:42">
      <c r="A33" s="1691"/>
      <c r="D33" s="1709"/>
      <c r="E33" s="1709"/>
      <c r="F33" s="1709"/>
      <c r="G33" s="1709"/>
      <c r="H33" s="1709"/>
      <c r="I33" s="1709"/>
      <c r="J33" s="1709"/>
      <c r="K33" s="1709"/>
      <c r="L33" s="1710"/>
      <c r="M33" s="1709"/>
      <c r="N33" s="1711"/>
      <c r="O33" s="1712"/>
      <c r="P33" s="1713"/>
      <c r="Q33" s="1709"/>
      <c r="R33" s="1709"/>
      <c r="S33" s="1709"/>
      <c r="T33" s="1710"/>
      <c r="U33" s="1709"/>
      <c r="V33" s="1709"/>
      <c r="W33" s="1709"/>
      <c r="X33" s="1709"/>
      <c r="Y33" s="1709"/>
      <c r="Z33" s="1710"/>
      <c r="AA33" s="1693"/>
      <c r="AB33" s="1714"/>
      <c r="AD33" s="1718"/>
      <c r="AE33" s="1718"/>
      <c r="AF33" s="1684"/>
      <c r="AG33" s="1684"/>
      <c r="AH33" s="1715"/>
      <c r="AI33" s="1716"/>
      <c r="AJ33" s="1684"/>
      <c r="AK33" s="1684"/>
      <c r="AN33" s="1717"/>
      <c r="AP33" s="1717"/>
    </row>
    <row r="34" spans="1:42">
      <c r="A34" s="1691"/>
      <c r="B34" s="1682" t="s">
        <v>3350</v>
      </c>
      <c r="D34" s="1709"/>
      <c r="E34" s="1709"/>
      <c r="F34" s="1709"/>
      <c r="G34" s="1709"/>
      <c r="H34" s="1709"/>
      <c r="I34" s="1709"/>
      <c r="J34" s="1709"/>
      <c r="K34" s="1709"/>
      <c r="L34" s="1710"/>
      <c r="M34" s="1709"/>
      <c r="N34" s="1711"/>
      <c r="O34" s="1712"/>
      <c r="P34" s="1713"/>
      <c r="Q34" s="1709"/>
      <c r="R34" s="1709"/>
      <c r="S34" s="1709"/>
      <c r="T34" s="1710"/>
      <c r="U34" s="1709"/>
      <c r="V34" s="1709"/>
      <c r="W34" s="1709"/>
      <c r="X34" s="1709"/>
      <c r="Y34" s="1709"/>
      <c r="Z34" s="1710"/>
      <c r="AA34" s="1693"/>
      <c r="AB34" s="1714"/>
      <c r="AD34" s="1718"/>
      <c r="AE34" s="1718"/>
      <c r="AF34" s="1684"/>
      <c r="AG34" s="1684"/>
      <c r="AH34" s="1715"/>
      <c r="AI34" s="1716"/>
      <c r="AJ34" s="1684"/>
      <c r="AK34" s="1684"/>
      <c r="AN34" s="1717"/>
      <c r="AP34" s="1717"/>
    </row>
    <row r="35" spans="1:42">
      <c r="A35" s="1691"/>
      <c r="D35" s="1709"/>
      <c r="E35" s="1709"/>
      <c r="F35" s="1709"/>
      <c r="G35" s="1709"/>
      <c r="H35" s="1709"/>
      <c r="I35" s="1709"/>
      <c r="J35" s="1709"/>
      <c r="K35" s="1709"/>
      <c r="L35" s="1710"/>
      <c r="M35" s="1709"/>
      <c r="N35" s="1726"/>
      <c r="O35" s="1727"/>
      <c r="P35" s="1713"/>
      <c r="Q35" s="1709"/>
      <c r="R35" s="1709"/>
      <c r="S35" s="1709"/>
      <c r="T35" s="1710"/>
      <c r="U35" s="1709"/>
      <c r="V35" s="1709"/>
      <c r="W35" s="1709"/>
      <c r="X35" s="1709"/>
      <c r="Y35" s="1709"/>
      <c r="Z35" s="1710"/>
      <c r="AA35" s="1693"/>
      <c r="AB35" s="1714"/>
      <c r="AD35" s="1715"/>
      <c r="AE35" s="1715"/>
      <c r="AF35" s="1684"/>
      <c r="AG35" s="1684"/>
      <c r="AH35" s="1715"/>
      <c r="AI35" s="1716"/>
      <c r="AJ35" s="1684"/>
      <c r="AK35" s="1684"/>
      <c r="AN35" s="1717"/>
      <c r="AP35" s="1717"/>
    </row>
    <row r="36" spans="1:42">
      <c r="A36" s="1691"/>
      <c r="B36" s="1708" t="s">
        <v>3351</v>
      </c>
      <c r="D36" s="1709"/>
      <c r="E36" s="1709"/>
      <c r="F36" s="1709"/>
      <c r="G36" s="1709"/>
      <c r="H36" s="1709"/>
      <c r="I36" s="1709"/>
      <c r="J36" s="1709"/>
      <c r="K36" s="1709"/>
      <c r="L36" s="1710"/>
      <c r="M36" s="1709"/>
      <c r="N36" s="1728"/>
      <c r="O36" s="1727"/>
      <c r="P36" s="1713"/>
      <c r="Q36" s="1709"/>
      <c r="R36" s="1709"/>
      <c r="S36" s="1709"/>
      <c r="T36" s="1710"/>
      <c r="U36" s="1709"/>
      <c r="V36" s="1709"/>
      <c r="W36" s="1709"/>
      <c r="X36" s="1709"/>
      <c r="Y36" s="1709"/>
      <c r="Z36" s="1710"/>
      <c r="AA36" s="1693"/>
      <c r="AD36" s="1684"/>
      <c r="AE36" s="1684"/>
      <c r="AF36" s="1684"/>
      <c r="AG36" s="1684"/>
      <c r="AH36" s="1684"/>
      <c r="AI36" s="1684"/>
      <c r="AJ36" s="1684"/>
      <c r="AK36" s="1684"/>
      <c r="AN36" s="1717"/>
      <c r="AP36" s="1717"/>
    </row>
    <row r="37" spans="1:42">
      <c r="A37" s="1691"/>
      <c r="B37" s="1682" t="s">
        <v>3352</v>
      </c>
      <c r="D37" s="1709">
        <v>3850000</v>
      </c>
      <c r="E37" s="1709"/>
      <c r="F37" s="1709"/>
      <c r="G37" s="1709"/>
      <c r="H37" s="1709"/>
      <c r="I37" s="1709"/>
      <c r="J37" s="1709">
        <f>+SUM(D37:H37)</f>
        <v>3850000</v>
      </c>
      <c r="K37" s="1709"/>
      <c r="L37" s="1710">
        <f>J37/J$44</f>
        <v>3.927843374745895E-2</v>
      </c>
      <c r="M37" s="1709"/>
      <c r="N37" s="1728"/>
      <c r="O37" s="1727"/>
      <c r="P37" s="1713"/>
      <c r="Q37" s="1709"/>
      <c r="R37" s="1709">
        <f>+N37+J37</f>
        <v>3850000</v>
      </c>
      <c r="S37" s="1709"/>
      <c r="T37" s="1710">
        <f>R37/R$44</f>
        <v>3.06658684726086E-2</v>
      </c>
      <c r="U37" s="1709"/>
      <c r="V37" s="1709"/>
      <c r="W37" s="1709"/>
      <c r="X37" s="1709">
        <f>+V37+R37</f>
        <v>3850000</v>
      </c>
      <c r="Y37" s="1709"/>
      <c r="Z37" s="1710">
        <f>X37/X$44</f>
        <v>3.0077822341912683E-2</v>
      </c>
      <c r="AA37" s="1693"/>
      <c r="AD37" s="1684"/>
      <c r="AE37" s="1684"/>
      <c r="AF37" s="1684"/>
      <c r="AG37" s="1684"/>
      <c r="AH37" s="1684"/>
      <c r="AI37" s="1684"/>
      <c r="AJ37" s="1684"/>
      <c r="AK37" s="1684"/>
      <c r="AN37" s="1717"/>
      <c r="AP37" s="1717"/>
    </row>
    <row r="38" spans="1:42">
      <c r="A38" s="1691"/>
      <c r="B38" s="1682" t="s">
        <v>3353</v>
      </c>
      <c r="D38" s="1709">
        <v>330000</v>
      </c>
      <c r="E38" s="1709"/>
      <c r="F38" s="1709"/>
      <c r="G38" s="1709"/>
      <c r="H38" s="1709"/>
      <c r="I38" s="1709"/>
      <c r="J38" s="1709">
        <f>+SUM(D38:H38)</f>
        <v>330000</v>
      </c>
      <c r="K38" s="1709"/>
      <c r="L38" s="1710">
        <f>J38/J$44</f>
        <v>3.3667228926393387E-3</v>
      </c>
      <c r="M38" s="1709"/>
      <c r="N38" s="1728"/>
      <c r="O38" s="1727"/>
      <c r="P38" s="1713"/>
      <c r="Q38" s="1709"/>
      <c r="R38" s="1709">
        <f>+N38+J38</f>
        <v>330000</v>
      </c>
      <c r="S38" s="1709"/>
      <c r="T38" s="1710">
        <f>R38/R$44</f>
        <v>2.6285030119378803E-3</v>
      </c>
      <c r="U38" s="1709"/>
      <c r="V38" s="1709"/>
      <c r="W38" s="1709"/>
      <c r="X38" s="1709">
        <f>+V38+R38</f>
        <v>330000</v>
      </c>
      <c r="Y38" s="1709"/>
      <c r="Z38" s="1710">
        <f>X38/X$44</f>
        <v>2.5780990578782299E-3</v>
      </c>
      <c r="AA38" s="1693"/>
      <c r="AD38" s="1684"/>
      <c r="AE38" s="1684"/>
      <c r="AF38" s="1684"/>
      <c r="AG38" s="1684"/>
      <c r="AH38" s="1684"/>
      <c r="AI38" s="1684"/>
      <c r="AJ38" s="1684"/>
      <c r="AK38" s="1684"/>
      <c r="AN38" s="1717"/>
      <c r="AP38" s="1717"/>
    </row>
    <row r="39" spans="1:42">
      <c r="A39" s="1691"/>
      <c r="B39" s="1682" t="s">
        <v>3354</v>
      </c>
      <c r="D39" s="1709">
        <v>600000</v>
      </c>
      <c r="E39" s="1709"/>
      <c r="F39" s="1709"/>
      <c r="G39" s="1709"/>
      <c r="H39" s="1709"/>
      <c r="I39" s="1709"/>
      <c r="J39" s="1709">
        <f>+SUM(D39:H39)</f>
        <v>600000</v>
      </c>
      <c r="K39" s="1709"/>
      <c r="L39" s="1710">
        <f>J39/J$44</f>
        <v>6.1213143502533429E-3</v>
      </c>
      <c r="M39" s="1709"/>
      <c r="N39" s="1728"/>
      <c r="O39" s="1727"/>
      <c r="P39" s="1713"/>
      <c r="Q39" s="1709"/>
      <c r="R39" s="1709">
        <f>+N39+J39</f>
        <v>600000</v>
      </c>
      <c r="S39" s="1709"/>
      <c r="T39" s="1710">
        <f>R39/R$44</f>
        <v>4.7790963853415998E-3</v>
      </c>
      <c r="U39" s="1709"/>
      <c r="V39" s="1709"/>
      <c r="W39" s="1709"/>
      <c r="X39" s="1709">
        <f>+V39+R39</f>
        <v>600000</v>
      </c>
      <c r="Y39" s="1709"/>
      <c r="Z39" s="1710">
        <f>X39/X$44</f>
        <v>4.6874528325058732E-3</v>
      </c>
      <c r="AA39" s="1693"/>
      <c r="AD39" s="1684"/>
      <c r="AE39" s="1684"/>
      <c r="AF39" s="1684"/>
      <c r="AG39" s="1684"/>
      <c r="AH39" s="1684"/>
      <c r="AI39" s="1684"/>
      <c r="AJ39" s="1684"/>
      <c r="AK39" s="1684"/>
      <c r="AN39" s="1717"/>
      <c r="AP39" s="1717"/>
    </row>
    <row r="40" spans="1:42">
      <c r="A40" s="1691"/>
      <c r="B40" s="1682" t="s">
        <v>3355</v>
      </c>
      <c r="D40" s="1709">
        <v>20479431</v>
      </c>
      <c r="E40" s="1709"/>
      <c r="F40" s="1709"/>
      <c r="G40" s="1709"/>
      <c r="H40" s="1709"/>
      <c r="I40" s="1709"/>
      <c r="J40" s="1709">
        <f>+SUM(D40:H40)</f>
        <v>20479431</v>
      </c>
      <c r="K40" s="1709"/>
      <c r="L40" s="1710">
        <f>J40/J$44</f>
        <v>0.20893505810887197</v>
      </c>
      <c r="M40" s="1709"/>
      <c r="N40" s="1728"/>
      <c r="O40" s="1727"/>
      <c r="P40" s="1713"/>
      <c r="Q40" s="1709"/>
      <c r="R40" s="1709">
        <f>+N40+J40</f>
        <v>20479431</v>
      </c>
      <c r="S40" s="1709"/>
      <c r="T40" s="1710">
        <f>R40/R$44</f>
        <v>0.16312195777658786</v>
      </c>
      <c r="U40" s="1709"/>
      <c r="V40" s="1709"/>
      <c r="W40" s="1709"/>
      <c r="X40" s="1709">
        <f>+V40+R40</f>
        <v>20479431</v>
      </c>
      <c r="Y40" s="1709"/>
      <c r="Z40" s="1710">
        <f>X40/X$44</f>
        <v>0.15999394474843096</v>
      </c>
      <c r="AA40" s="1693"/>
      <c r="AD40" s="1684"/>
      <c r="AE40" s="1684"/>
      <c r="AF40" s="1684"/>
      <c r="AG40" s="1684"/>
      <c r="AH40" s="1684"/>
      <c r="AI40" s="1684"/>
      <c r="AJ40" s="1684"/>
      <c r="AK40" s="1684"/>
      <c r="AN40" s="1717"/>
      <c r="AP40" s="1717"/>
    </row>
    <row r="41" spans="1:42">
      <c r="A41" s="1691"/>
      <c r="D41" s="1709"/>
      <c r="E41" s="1709"/>
      <c r="F41" s="1709"/>
      <c r="G41" s="1709"/>
      <c r="H41" s="1709"/>
      <c r="I41" s="1709"/>
      <c r="J41" s="1709"/>
      <c r="K41" s="1709"/>
      <c r="L41" s="1710"/>
      <c r="M41" s="1709"/>
      <c r="N41" s="1728"/>
      <c r="O41" s="1727"/>
      <c r="P41" s="1713"/>
      <c r="Q41" s="1709"/>
      <c r="R41" s="1709"/>
      <c r="S41" s="1709"/>
      <c r="T41" s="1710"/>
      <c r="U41" s="1709"/>
      <c r="V41" s="1709"/>
      <c r="W41" s="1709"/>
      <c r="X41" s="1709"/>
      <c r="Y41" s="1709"/>
      <c r="Z41" s="1710"/>
      <c r="AA41" s="1693"/>
      <c r="AD41" s="1684"/>
      <c r="AE41" s="1684"/>
      <c r="AF41" s="1684"/>
      <c r="AG41" s="1684"/>
      <c r="AH41" s="1684"/>
      <c r="AI41" s="1684"/>
      <c r="AJ41" s="1684"/>
      <c r="AK41" s="1684"/>
      <c r="AN41" s="1717"/>
      <c r="AP41" s="1717"/>
    </row>
    <row r="42" spans="1:42">
      <c r="A42" s="1691"/>
      <c r="B42" s="1682" t="s">
        <v>3356</v>
      </c>
      <c r="D42" s="1685"/>
      <c r="E42" s="1709"/>
      <c r="F42" s="1729"/>
      <c r="G42" s="1709"/>
      <c r="H42" s="1729"/>
      <c r="I42" s="1709"/>
      <c r="J42" s="1729">
        <f>+SUM(D42:H42)</f>
        <v>0</v>
      </c>
      <c r="K42" s="1709"/>
      <c r="L42" s="1730">
        <f>J42/J$44</f>
        <v>0</v>
      </c>
      <c r="M42" s="1709"/>
      <c r="N42" s="1731"/>
      <c r="O42" s="1727"/>
      <c r="P42" s="1732"/>
      <c r="Q42" s="1709"/>
      <c r="R42" s="1729">
        <f>+N42+J42</f>
        <v>0</v>
      </c>
      <c r="S42" s="1709"/>
      <c r="T42" s="1730">
        <f>R42/R$44</f>
        <v>0</v>
      </c>
      <c r="U42" s="1709"/>
      <c r="V42" s="1729">
        <v>2454542</v>
      </c>
      <c r="W42" s="1709"/>
      <c r="X42" s="1729">
        <f>+V42+R42</f>
        <v>2454542</v>
      </c>
      <c r="Y42" s="1709"/>
      <c r="Z42" s="1730">
        <f>X42/X$44</f>
        <v>1.9175916417341052E-2</v>
      </c>
      <c r="AA42" s="1693"/>
      <c r="AD42" s="1684"/>
      <c r="AE42" s="1684"/>
      <c r="AF42" s="1684"/>
      <c r="AG42" s="1684"/>
      <c r="AH42" s="1684"/>
      <c r="AI42" s="1684"/>
      <c r="AJ42" s="1684"/>
      <c r="AK42" s="1684"/>
    </row>
    <row r="43" spans="1:42">
      <c r="A43" s="1691"/>
      <c r="B43" s="1681"/>
      <c r="D43" s="1709"/>
      <c r="E43" s="1709"/>
      <c r="F43" s="1709"/>
      <c r="G43" s="1709"/>
      <c r="H43" s="1709"/>
      <c r="I43" s="1709"/>
      <c r="J43" s="1709"/>
      <c r="K43" s="1709"/>
      <c r="L43" s="1710"/>
      <c r="M43" s="1709"/>
      <c r="N43" s="1728"/>
      <c r="O43" s="1727"/>
      <c r="P43" s="1713"/>
      <c r="Q43" s="1709"/>
      <c r="R43" s="1709"/>
      <c r="S43" s="1709"/>
      <c r="T43" s="1709"/>
      <c r="U43" s="1709"/>
      <c r="V43" s="1709"/>
      <c r="W43" s="1709"/>
      <c r="X43" s="1709"/>
      <c r="Y43" s="1709"/>
      <c r="Z43" s="1710"/>
      <c r="AA43" s="1693"/>
      <c r="AD43" s="1684"/>
      <c r="AE43" s="1684"/>
      <c r="AF43" s="1684"/>
      <c r="AG43" s="1684"/>
      <c r="AH43" s="1684"/>
      <c r="AI43" s="1684"/>
      <c r="AJ43" s="1684"/>
      <c r="AK43" s="1684"/>
    </row>
    <row r="44" spans="1:42">
      <c r="A44" s="1691"/>
      <c r="B44" s="1681" t="s">
        <v>3357</v>
      </c>
      <c r="D44" s="1733">
        <f>SUM(D13:D43)</f>
        <v>27759431</v>
      </c>
      <c r="E44" s="1733"/>
      <c r="F44" s="1733">
        <f>SUM(F13:F43)</f>
        <v>57758734</v>
      </c>
      <c r="G44" s="1733"/>
      <c r="H44" s="1733">
        <f>SUM(H13:H43)</f>
        <v>12500000</v>
      </c>
      <c r="I44" s="1733"/>
      <c r="J44" s="1733">
        <f>SUM(J13:J43)</f>
        <v>98018165</v>
      </c>
      <c r="K44" s="1733"/>
      <c r="L44" s="1734">
        <f>J44/J$44</f>
        <v>1</v>
      </c>
      <c r="M44" s="1733"/>
      <c r="N44" s="1735">
        <f>SUM(N13:N43)</f>
        <v>27528581</v>
      </c>
      <c r="O44" s="1736"/>
      <c r="P44" s="1737">
        <f>SUM(P13:P43)</f>
        <v>55057162</v>
      </c>
      <c r="Q44" s="1733"/>
      <c r="R44" s="1733">
        <f>SUM(R13:R43)</f>
        <v>125546746</v>
      </c>
      <c r="S44" s="1733"/>
      <c r="T44" s="1734">
        <f>R44/R$44</f>
        <v>1</v>
      </c>
      <c r="U44" s="1733"/>
      <c r="V44" s="1733">
        <f>SUM(V13:V43)</f>
        <v>2454542</v>
      </c>
      <c r="W44" s="1733"/>
      <c r="X44" s="1733">
        <f>+V44+R44</f>
        <v>128001288</v>
      </c>
      <c r="Y44" s="1709"/>
      <c r="Z44" s="1734">
        <f>X44/X$44</f>
        <v>1</v>
      </c>
      <c r="AA44" s="1693"/>
      <c r="AD44" s="1684"/>
      <c r="AE44" s="1684"/>
      <c r="AF44" s="1684"/>
      <c r="AG44" s="1684"/>
      <c r="AH44" s="1684"/>
      <c r="AI44" s="1684"/>
      <c r="AJ44" s="1684"/>
      <c r="AK44" s="1684"/>
    </row>
    <row r="45" spans="1:42" ht="15.75" thickBot="1">
      <c r="A45" s="1738"/>
      <c r="B45" s="1739"/>
      <c r="C45" s="1685"/>
      <c r="D45" s="1729"/>
      <c r="E45" s="1729"/>
      <c r="F45" s="1729"/>
      <c r="G45" s="1729"/>
      <c r="H45" s="1729"/>
      <c r="I45" s="1729"/>
      <c r="J45" s="1729"/>
      <c r="K45" s="1729"/>
      <c r="L45" s="1729"/>
      <c r="M45" s="1729"/>
      <c r="N45" s="1740"/>
      <c r="O45" s="1741"/>
      <c r="P45" s="1742"/>
      <c r="Q45" s="1729"/>
      <c r="R45" s="1729"/>
      <c r="S45" s="1729"/>
      <c r="T45" s="1729"/>
      <c r="U45" s="1729"/>
      <c r="V45" s="1729"/>
      <c r="W45" s="1729"/>
      <c r="X45" s="1729"/>
      <c r="Y45" s="1729"/>
      <c r="Z45" s="1729"/>
      <c r="AA45" s="1743"/>
      <c r="AD45" s="1684"/>
      <c r="AE45" s="1684"/>
      <c r="AF45" s="1684"/>
      <c r="AG45" s="1684"/>
      <c r="AH45" s="1684"/>
      <c r="AI45" s="1684"/>
      <c r="AJ45" s="1684"/>
      <c r="AK45" s="1684"/>
    </row>
    <row r="46" spans="1:42">
      <c r="B46" s="1681"/>
    </row>
    <row r="47" spans="1:42">
      <c r="B47" s="1744"/>
    </row>
    <row r="48" spans="1:42">
      <c r="A48" s="1681" t="s">
        <v>3358</v>
      </c>
      <c r="B48" s="1745"/>
      <c r="C48" s="1684"/>
      <c r="D48" s="1684"/>
      <c r="E48" s="1684"/>
      <c r="F48" s="1684"/>
      <c r="G48" s="1684"/>
      <c r="H48" s="1684"/>
      <c r="I48" s="1684"/>
      <c r="J48" s="1684"/>
      <c r="K48" s="1684"/>
      <c r="L48" s="1684"/>
      <c r="M48" s="1684"/>
      <c r="N48" s="1684"/>
      <c r="O48" s="1684"/>
      <c r="P48" s="1684"/>
    </row>
    <row r="49" spans="2:39">
      <c r="B49" s="1746" t="s">
        <v>3332</v>
      </c>
      <c r="C49" s="1684"/>
      <c r="D49" s="1684"/>
      <c r="E49" s="1684"/>
      <c r="F49" s="1684"/>
      <c r="G49" s="1684"/>
      <c r="H49" s="1684"/>
      <c r="I49" s="1684"/>
      <c r="J49" s="1684"/>
      <c r="K49" s="1684"/>
      <c r="L49" s="1684"/>
      <c r="M49" s="1684"/>
      <c r="N49" s="1722">
        <f t="shared" ref="N49:N54" si="9">+AF21</f>
        <v>1571418.75</v>
      </c>
      <c r="O49" s="1684"/>
      <c r="P49" s="1690">
        <f t="shared" ref="P49:P55" si="10">+N49*$AF$9</f>
        <v>3142837.5</v>
      </c>
      <c r="X49" s="1709"/>
    </row>
    <row r="50" spans="2:39">
      <c r="B50" s="1746" t="s">
        <v>3334</v>
      </c>
      <c r="C50" s="1684"/>
      <c r="D50" s="1684"/>
      <c r="E50" s="1684"/>
      <c r="F50" s="1684"/>
      <c r="G50" s="1684"/>
      <c r="H50" s="1684"/>
      <c r="I50" s="1684"/>
      <c r="J50" s="1684"/>
      <c r="K50" s="1684"/>
      <c r="L50" s="1684"/>
      <c r="M50" s="1684"/>
      <c r="N50" s="1722">
        <f t="shared" si="9"/>
        <v>1571418.75</v>
      </c>
      <c r="O50" s="1684"/>
      <c r="P50" s="1690">
        <f t="shared" si="10"/>
        <v>3142837.5</v>
      </c>
      <c r="X50" s="1747"/>
      <c r="AE50" s="1748"/>
    </row>
    <row r="51" spans="2:39">
      <c r="B51" s="1746" t="s">
        <v>3336</v>
      </c>
      <c r="C51" s="1684"/>
      <c r="D51" s="1684"/>
      <c r="E51" s="1684"/>
      <c r="F51" s="1749"/>
      <c r="G51" s="1749"/>
      <c r="H51" s="1749"/>
      <c r="I51" s="1749"/>
      <c r="J51" s="1749"/>
      <c r="K51" s="1749"/>
      <c r="L51" s="1749"/>
      <c r="M51" s="1749"/>
      <c r="N51" s="1722">
        <f t="shared" si="9"/>
        <v>1178571.625</v>
      </c>
      <c r="O51" s="1749"/>
      <c r="P51" s="1690">
        <f t="shared" si="10"/>
        <v>2357143.25</v>
      </c>
      <c r="Q51" s="1714"/>
      <c r="R51" s="1714"/>
      <c r="S51" s="1714"/>
      <c r="T51" s="1714"/>
      <c r="X51" s="1750"/>
      <c r="AE51" s="1748"/>
    </row>
    <row r="52" spans="2:39">
      <c r="B52" s="1746" t="s">
        <v>3338</v>
      </c>
      <c r="C52" s="1684"/>
      <c r="D52" s="1715"/>
      <c r="E52" s="1694"/>
      <c r="F52" s="1749"/>
      <c r="G52" s="1749"/>
      <c r="H52" s="1749"/>
      <c r="I52" s="1749"/>
      <c r="J52" s="1749"/>
      <c r="K52" s="1749"/>
      <c r="L52" s="1749"/>
      <c r="M52" s="1749"/>
      <c r="N52" s="1722">
        <f t="shared" si="9"/>
        <v>982162.50000000012</v>
      </c>
      <c r="O52" s="1749"/>
      <c r="P52" s="1690">
        <f t="shared" si="10"/>
        <v>1964325.0000000002</v>
      </c>
      <c r="Q52" s="1714"/>
      <c r="R52" s="1714"/>
      <c r="S52" s="1714"/>
      <c r="T52" s="1714"/>
      <c r="V52" s="1748"/>
      <c r="X52" s="1748"/>
      <c r="AE52" s="1748"/>
    </row>
    <row r="53" spans="2:39">
      <c r="B53" s="1746" t="s">
        <v>3340</v>
      </c>
      <c r="C53" s="1684"/>
      <c r="D53" s="1715"/>
      <c r="E53" s="1694"/>
      <c r="F53" s="1715"/>
      <c r="G53" s="1715"/>
      <c r="H53" s="1715"/>
      <c r="I53" s="1715"/>
      <c r="J53" s="1715"/>
      <c r="K53" s="1715"/>
      <c r="L53" s="1715"/>
      <c r="M53" s="1715"/>
      <c r="N53" s="1722">
        <f t="shared" si="9"/>
        <v>785714.1875</v>
      </c>
      <c r="O53" s="1715"/>
      <c r="P53" s="1690">
        <f t="shared" si="10"/>
        <v>1571428.375</v>
      </c>
      <c r="Q53" s="1748"/>
      <c r="R53" s="1748"/>
      <c r="S53" s="1748"/>
      <c r="T53" s="1748"/>
      <c r="V53" s="1748"/>
      <c r="X53" s="1748"/>
      <c r="AE53" s="1748"/>
    </row>
    <row r="54" spans="2:39">
      <c r="B54" s="1746" t="s">
        <v>3342</v>
      </c>
      <c r="C54" s="1684"/>
      <c r="D54" s="1684"/>
      <c r="E54" s="1684"/>
      <c r="F54" s="1684"/>
      <c r="G54" s="1684"/>
      <c r="H54" s="1684"/>
      <c r="I54" s="1684"/>
      <c r="J54" s="1684"/>
      <c r="K54" s="1684"/>
      <c r="L54" s="1684"/>
      <c r="M54" s="1684"/>
      <c r="N54" s="1751">
        <f t="shared" si="9"/>
        <v>785714.1875</v>
      </c>
      <c r="O54" s="1684"/>
      <c r="P54" s="1752">
        <f t="shared" si="10"/>
        <v>1571428.375</v>
      </c>
      <c r="V54" s="1748"/>
      <c r="X54" s="1709"/>
      <c r="AB54" s="1681"/>
      <c r="AC54" s="1681"/>
      <c r="AD54" s="1681"/>
      <c r="AE54" s="1753"/>
    </row>
    <row r="55" spans="2:39">
      <c r="B55" s="1684"/>
      <c r="C55" s="1684"/>
      <c r="D55" s="1684"/>
      <c r="E55" s="1684"/>
      <c r="F55" s="1684"/>
      <c r="G55" s="1684"/>
      <c r="H55" s="1684"/>
      <c r="I55" s="1684"/>
      <c r="J55" s="1684"/>
      <c r="K55" s="1684"/>
      <c r="L55" s="1684"/>
      <c r="M55" s="1684"/>
      <c r="N55" s="1722">
        <f>+SUM(N49:N54)</f>
        <v>6875000</v>
      </c>
      <c r="O55" s="1684"/>
      <c r="P55" s="1690">
        <f t="shared" si="10"/>
        <v>13750000</v>
      </c>
      <c r="V55" s="1748"/>
    </row>
    <row r="56" spans="2:39">
      <c r="B56" s="1684"/>
      <c r="C56" s="1684"/>
      <c r="D56" s="1716"/>
      <c r="E56" s="1684"/>
      <c r="F56" s="1684"/>
      <c r="G56" s="1684"/>
      <c r="H56" s="1684"/>
      <c r="I56" s="1684"/>
      <c r="J56" s="1684"/>
      <c r="K56" s="1684"/>
      <c r="L56" s="1684"/>
      <c r="M56" s="1684"/>
      <c r="N56" s="1684"/>
      <c r="O56" s="1684"/>
      <c r="P56" s="1684"/>
      <c r="AI56" s="2076"/>
      <c r="AJ56" s="2076"/>
      <c r="AL56" s="2076"/>
      <c r="AM56" s="2076"/>
    </row>
    <row r="57" spans="2:39">
      <c r="B57" s="1684"/>
      <c r="C57" s="1684"/>
      <c r="D57" s="1716"/>
      <c r="E57" s="1684"/>
      <c r="F57" s="1684"/>
      <c r="G57" s="1684"/>
      <c r="H57" s="1684"/>
      <c r="I57" s="1684"/>
      <c r="J57" s="1684"/>
      <c r="K57" s="1684"/>
      <c r="L57" s="1684"/>
      <c r="M57" s="1684"/>
      <c r="N57" s="1754"/>
      <c r="O57" s="1684"/>
      <c r="P57" s="1684"/>
      <c r="X57" s="1748"/>
    </row>
    <row r="58" spans="2:39">
      <c r="B58" s="1684"/>
      <c r="C58" s="1684"/>
      <c r="D58" s="1716"/>
      <c r="E58" s="1684"/>
      <c r="F58" s="1684"/>
      <c r="G58" s="1684"/>
      <c r="H58" s="1684"/>
      <c r="I58" s="1684"/>
      <c r="J58" s="1684" t="s">
        <v>3359</v>
      </c>
      <c r="K58" s="1684"/>
      <c r="L58" s="1684"/>
      <c r="M58" s="1684"/>
      <c r="N58" s="1754">
        <f>+SUM(N20:N26)/N44</f>
        <v>0.23546956524929491</v>
      </c>
      <c r="O58" s="1755"/>
      <c r="P58" s="1754">
        <f>+SUM(P20:P26)/P44</f>
        <v>0.23546956524929491</v>
      </c>
      <c r="X58" s="1710"/>
    </row>
    <row r="59" spans="2:39">
      <c r="B59" s="1684"/>
      <c r="C59" s="1684"/>
      <c r="D59" s="1684"/>
      <c r="E59" s="1684"/>
      <c r="F59" s="1684"/>
      <c r="G59" s="1684"/>
      <c r="H59" s="1684"/>
      <c r="I59" s="1684"/>
      <c r="J59" s="1684" t="s">
        <v>3360</v>
      </c>
      <c r="K59" s="1684"/>
      <c r="L59" s="1684"/>
      <c r="M59" s="1684"/>
      <c r="N59" s="1722">
        <f>+N21+N28+N29</f>
        <v>3000000</v>
      </c>
      <c r="O59" s="1684"/>
      <c r="P59" s="1756">
        <f>+P21+P28+P29</f>
        <v>6000000</v>
      </c>
      <c r="AH59" s="1748"/>
      <c r="AI59" s="1748"/>
      <c r="AJ59" s="1748"/>
      <c r="AK59" s="1757"/>
    </row>
    <row r="60" spans="2:39">
      <c r="L60" s="1681"/>
      <c r="AH60" s="1748"/>
      <c r="AI60" s="1748"/>
      <c r="AJ60" s="1748"/>
      <c r="AK60" s="1757"/>
    </row>
    <row r="61" spans="2:39">
      <c r="L61" s="1758"/>
      <c r="N61" s="1692"/>
      <c r="AF61" s="1759"/>
      <c r="AG61" s="1759"/>
      <c r="AH61" s="1759"/>
      <c r="AJ61" s="1748"/>
      <c r="AK61" s="1757"/>
    </row>
    <row r="62" spans="2:39">
      <c r="L62" s="1758"/>
      <c r="N62" s="1692"/>
      <c r="AF62" s="1759"/>
      <c r="AG62" s="1759"/>
      <c r="AH62" s="1759"/>
    </row>
    <row r="63" spans="2:39">
      <c r="L63" s="1758"/>
      <c r="N63" s="1760"/>
      <c r="P63" s="1761"/>
      <c r="AH63" s="1762"/>
    </row>
    <row r="75" spans="44:44">
      <c r="AR75" s="1757"/>
    </row>
  </sheetData>
  <mergeCells count="5">
    <mergeCell ref="D6:Z6"/>
    <mergeCell ref="D8:T8"/>
    <mergeCell ref="V8:Z8"/>
    <mergeCell ref="AI56:AJ56"/>
    <mergeCell ref="AL56:AM56"/>
  </mergeCells>
  <pageMargins left="0.7" right="0.7" top="0.75" bottom="0.75" header="0.3" footer="0.3"/>
  <pageSetup scale="30" orientation="landscape"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tabColor theme="9" tint="0.39997558519241921"/>
  </sheetPr>
  <dimension ref="A1:L35"/>
  <sheetViews>
    <sheetView topLeftCell="A10" workbookViewId="0">
      <selection activeCell="I21" sqref="I21"/>
    </sheetView>
  </sheetViews>
  <sheetFormatPr defaultRowHeight="12.75"/>
  <cols>
    <col min="1" max="1" width="30.83203125" customWidth="1"/>
    <col min="2" max="2" width="2.83203125" customWidth="1"/>
    <col min="3" max="3" width="14.83203125" customWidth="1"/>
    <col min="4" max="4" width="2.83203125" customWidth="1"/>
    <col min="5" max="12" width="14.83203125" customWidth="1"/>
  </cols>
  <sheetData>
    <row r="1" spans="1:12" ht="15">
      <c r="A1" s="1763" t="s">
        <v>3237</v>
      </c>
      <c r="B1" s="1763"/>
      <c r="C1" s="1763"/>
      <c r="D1" s="1763"/>
      <c r="E1" s="1764"/>
      <c r="F1" s="1764"/>
      <c r="G1" s="1763"/>
      <c r="H1" s="1763"/>
      <c r="I1" s="1763"/>
      <c r="J1" s="1763"/>
      <c r="K1" s="1763"/>
      <c r="L1" s="1763"/>
    </row>
    <row r="2" spans="1:12" ht="15">
      <c r="A2" s="1763" t="s">
        <v>427</v>
      </c>
      <c r="B2" s="1763"/>
      <c r="C2" s="1763"/>
      <c r="D2" s="1763"/>
      <c r="E2" s="1764"/>
      <c r="F2" s="1764"/>
      <c r="G2" s="1763"/>
      <c r="H2" s="1763"/>
      <c r="I2" s="1763"/>
      <c r="J2" s="1763"/>
      <c r="K2" s="1763"/>
      <c r="L2" s="1763"/>
    </row>
    <row r="3" spans="1:12" ht="15">
      <c r="A3" s="1765">
        <v>43100</v>
      </c>
      <c r="B3" s="1763"/>
      <c r="C3" s="1763"/>
      <c r="D3" s="1763"/>
      <c r="E3" s="1764"/>
      <c r="F3" s="1764"/>
      <c r="G3" s="1763"/>
      <c r="H3" s="1763"/>
      <c r="I3" s="1763"/>
      <c r="J3" s="1763"/>
      <c r="K3" s="1763"/>
      <c r="L3" s="1763"/>
    </row>
    <row r="4" spans="1:12" ht="15">
      <c r="A4" s="1763"/>
      <c r="B4" s="1763"/>
      <c r="C4" s="1763"/>
      <c r="D4" s="1763"/>
      <c r="E4" s="1764"/>
      <c r="F4" s="1764"/>
      <c r="G4" s="1766">
        <v>0.08</v>
      </c>
      <c r="H4" s="1763"/>
      <c r="I4" s="1763"/>
      <c r="J4" s="1763"/>
      <c r="K4" s="1763"/>
      <c r="L4" s="1763"/>
    </row>
    <row r="5" spans="1:12" ht="30">
      <c r="A5" s="1767" t="s">
        <v>3361</v>
      </c>
      <c r="B5" s="1767"/>
      <c r="C5" s="1767" t="s">
        <v>3362</v>
      </c>
      <c r="D5" s="1767"/>
      <c r="E5" s="1768" t="s">
        <v>678</v>
      </c>
      <c r="F5" s="1768" t="s">
        <v>3363</v>
      </c>
      <c r="G5" s="1767" t="s">
        <v>3364</v>
      </c>
      <c r="H5" s="1767"/>
      <c r="I5" s="1767"/>
      <c r="J5" s="1767"/>
      <c r="K5" s="1767"/>
      <c r="L5" s="1767"/>
    </row>
    <row r="6" spans="1:12" ht="15">
      <c r="A6" s="1767"/>
      <c r="B6" s="1767"/>
      <c r="C6" s="1767"/>
      <c r="D6" s="1767"/>
      <c r="E6" s="1768"/>
      <c r="F6" s="1768"/>
      <c r="G6" s="1767"/>
      <c r="H6" s="1767"/>
      <c r="I6" s="1767"/>
      <c r="J6" s="1767"/>
      <c r="K6" s="1767"/>
      <c r="L6" s="1767"/>
    </row>
    <row r="7" spans="1:12" ht="15">
      <c r="A7" s="1767"/>
      <c r="B7" s="1767"/>
      <c r="C7" s="1767"/>
      <c r="D7" s="1767"/>
      <c r="E7" s="1768"/>
      <c r="F7" s="1768"/>
      <c r="G7" s="1767"/>
      <c r="H7" s="1767"/>
      <c r="I7" s="1767"/>
      <c r="J7" s="1767"/>
      <c r="K7" s="1767"/>
      <c r="L7" s="1767"/>
    </row>
    <row r="8" spans="1:12" ht="15">
      <c r="A8" s="1769" t="s">
        <v>3365</v>
      </c>
      <c r="B8" s="1767"/>
      <c r="C8" s="1770">
        <v>42290</v>
      </c>
      <c r="D8" s="1771"/>
      <c r="E8" s="1772">
        <v>10638882</v>
      </c>
      <c r="F8" s="1772">
        <v>810</v>
      </c>
      <c r="G8" s="1773">
        <v>1888765.9002739727</v>
      </c>
      <c r="H8" s="1767"/>
      <c r="I8" s="1767"/>
      <c r="J8" s="1767"/>
      <c r="K8" s="1767"/>
      <c r="L8" s="1767"/>
    </row>
    <row r="9" spans="1:12" ht="15">
      <c r="A9" s="1769" t="s">
        <v>3366</v>
      </c>
      <c r="B9" s="1767"/>
      <c r="C9" s="1770">
        <v>42290</v>
      </c>
      <c r="D9" s="1771"/>
      <c r="E9" s="1772">
        <v>1647145</v>
      </c>
      <c r="F9" s="1772">
        <v>810</v>
      </c>
      <c r="G9" s="1773">
        <v>292424.64657534246</v>
      </c>
      <c r="H9" s="1767"/>
      <c r="I9" s="1767"/>
      <c r="J9" s="1767"/>
      <c r="K9" s="1767"/>
      <c r="L9" s="1767"/>
    </row>
    <row r="10" spans="1:12" ht="15">
      <c r="A10" s="1769" t="s">
        <v>3366</v>
      </c>
      <c r="B10" s="1769"/>
      <c r="C10" s="1774">
        <v>42493</v>
      </c>
      <c r="D10" s="1769"/>
      <c r="E10" s="1775">
        <v>1000000</v>
      </c>
      <c r="F10" s="1772">
        <v>607</v>
      </c>
      <c r="G10" s="1773">
        <v>133041.09589041094</v>
      </c>
      <c r="H10" s="1769"/>
      <c r="I10" s="1769"/>
      <c r="J10" s="1769"/>
      <c r="K10" s="1769"/>
      <c r="L10" s="1769"/>
    </row>
    <row r="11" spans="1:12" ht="15">
      <c r="A11" s="1769" t="s">
        <v>3365</v>
      </c>
      <c r="B11" s="1769"/>
      <c r="C11" s="1774">
        <v>42493</v>
      </c>
      <c r="D11" s="1769"/>
      <c r="E11" s="1775">
        <v>7000000</v>
      </c>
      <c r="F11" s="1772">
        <v>607</v>
      </c>
      <c r="G11" s="1773">
        <v>931287.67123287672</v>
      </c>
      <c r="H11" s="1776"/>
      <c r="I11" s="1769"/>
      <c r="J11" s="1769"/>
      <c r="K11" s="1769"/>
      <c r="L11" s="1769"/>
    </row>
    <row r="12" spans="1:12" ht="15">
      <c r="A12" s="1769" t="s">
        <v>3366</v>
      </c>
      <c r="B12" s="1769"/>
      <c r="C12" s="1774">
        <v>42709</v>
      </c>
      <c r="D12" s="1769"/>
      <c r="E12" s="1775">
        <v>250000</v>
      </c>
      <c r="F12" s="1772">
        <v>391</v>
      </c>
      <c r="G12" s="1773">
        <v>21424.657534246573</v>
      </c>
      <c r="H12" s="1769"/>
      <c r="I12" s="1769"/>
      <c r="J12" s="1769"/>
      <c r="K12" s="1769"/>
      <c r="L12" s="1769"/>
    </row>
    <row r="13" spans="1:12" ht="15">
      <c r="A13" s="1769" t="s">
        <v>3365</v>
      </c>
      <c r="B13" s="1769"/>
      <c r="C13" s="1774">
        <v>42709</v>
      </c>
      <c r="D13" s="1769"/>
      <c r="E13" s="1775">
        <v>1750000</v>
      </c>
      <c r="F13" s="1772">
        <v>391</v>
      </c>
      <c r="G13" s="1773">
        <v>149972.60273972602</v>
      </c>
      <c r="H13" s="1769"/>
      <c r="I13" s="1769"/>
      <c r="J13" s="1769"/>
      <c r="K13" s="1769"/>
      <c r="L13" s="1769"/>
    </row>
    <row r="14" spans="1:12" ht="15.75" thickBot="1">
      <c r="A14" s="1769" t="s">
        <v>3365</v>
      </c>
      <c r="B14" s="1769"/>
      <c r="C14" s="1774">
        <v>42741</v>
      </c>
      <c r="D14" s="1769"/>
      <c r="E14" s="1775">
        <v>6125000</v>
      </c>
      <c r="F14" s="1772">
        <v>359</v>
      </c>
      <c r="G14" s="1773">
        <v>481945.20547945204</v>
      </c>
      <c r="H14" s="1769"/>
      <c r="I14" s="1769"/>
      <c r="J14" s="1769" t="s">
        <v>3364</v>
      </c>
      <c r="K14" s="1769" t="s">
        <v>3367</v>
      </c>
      <c r="L14" s="1769" t="s">
        <v>163</v>
      </c>
    </row>
    <row r="15" spans="1:12" ht="15">
      <c r="A15" s="1769" t="s">
        <v>3366</v>
      </c>
      <c r="B15" s="1769"/>
      <c r="C15" s="1774">
        <v>42741</v>
      </c>
      <c r="D15" s="1769"/>
      <c r="E15" s="1775">
        <v>1133095</v>
      </c>
      <c r="F15" s="1772">
        <v>359</v>
      </c>
      <c r="G15" s="1773">
        <v>89157.502465753423</v>
      </c>
      <c r="H15" s="1769"/>
      <c r="I15" s="1769" t="s">
        <v>495</v>
      </c>
      <c r="J15" s="1776">
        <v>5489185.8264109585</v>
      </c>
      <c r="K15" s="1776">
        <v>57758734</v>
      </c>
      <c r="L15" s="1777">
        <v>63247919.826410957</v>
      </c>
    </row>
    <row r="16" spans="1:12" ht="15.75" thickBot="1">
      <c r="A16" s="1769" t="s">
        <v>3368</v>
      </c>
      <c r="B16" s="1769"/>
      <c r="C16" s="1774">
        <v>42741</v>
      </c>
      <c r="D16" s="1769"/>
      <c r="E16" s="1775">
        <v>2788462</v>
      </c>
      <c r="F16" s="1772">
        <v>359</v>
      </c>
      <c r="G16" s="1773">
        <v>219409.94147945204</v>
      </c>
      <c r="H16" s="1769"/>
      <c r="I16" s="1769" t="s">
        <v>501</v>
      </c>
      <c r="J16" s="1776">
        <v>246575.34246575341</v>
      </c>
      <c r="K16" s="1776">
        <v>25000000</v>
      </c>
      <c r="L16" s="1778">
        <v>25246575.342465755</v>
      </c>
    </row>
    <row r="17" spans="1:8" ht="15">
      <c r="A17" s="1769" t="s">
        <v>3365</v>
      </c>
      <c r="B17" s="1769"/>
      <c r="C17" s="1774">
        <v>42870</v>
      </c>
      <c r="D17" s="1769"/>
      <c r="E17" s="1775">
        <v>20125000</v>
      </c>
      <c r="F17" s="1772">
        <v>230</v>
      </c>
      <c r="G17" s="1773">
        <v>1014520.5479452055</v>
      </c>
      <c r="H17" s="1769"/>
    </row>
    <row r="18" spans="1:8" ht="15">
      <c r="A18" s="1769" t="s">
        <v>3366</v>
      </c>
      <c r="B18" s="1769"/>
      <c r="C18" s="1774">
        <v>42870</v>
      </c>
      <c r="D18" s="1769"/>
      <c r="E18" s="1775">
        <v>3089612</v>
      </c>
      <c r="F18" s="1772">
        <v>230</v>
      </c>
      <c r="G18" s="1773">
        <v>155750.30356164381</v>
      </c>
      <c r="H18" s="1769"/>
    </row>
    <row r="19" spans="1:8" ht="15">
      <c r="A19" s="1769" t="s">
        <v>3368</v>
      </c>
      <c r="B19" s="1769"/>
      <c r="C19" s="1774">
        <v>42870</v>
      </c>
      <c r="D19" s="1769"/>
      <c r="E19" s="1775">
        <v>2211538</v>
      </c>
      <c r="F19" s="1772">
        <v>230</v>
      </c>
      <c r="G19" s="1773">
        <v>111485.7512328767</v>
      </c>
      <c r="H19" s="1769"/>
    </row>
    <row r="20" spans="1:8" ht="15">
      <c r="A20" s="1769" t="s">
        <v>3369</v>
      </c>
      <c r="B20" s="1769"/>
      <c r="C20" s="1774">
        <v>43055</v>
      </c>
      <c r="D20" s="1769"/>
      <c r="E20" s="1775">
        <v>25000000</v>
      </c>
      <c r="F20" s="1772">
        <v>45</v>
      </c>
      <c r="G20" s="1773">
        <v>246575.34246575341</v>
      </c>
      <c r="H20" s="1769"/>
    </row>
    <row r="21" spans="1:8" ht="15">
      <c r="A21" s="1769"/>
      <c r="B21" s="1769"/>
      <c r="C21" s="1774"/>
      <c r="D21" s="1769"/>
      <c r="E21" s="1769"/>
      <c r="F21" s="1772"/>
      <c r="G21" s="1773"/>
      <c r="H21" s="1769"/>
    </row>
    <row r="22" spans="1:8" ht="15">
      <c r="A22" s="1769"/>
      <c r="B22" s="1769"/>
      <c r="C22" s="1774"/>
      <c r="D22" s="1769"/>
      <c r="E22" s="1779"/>
      <c r="F22" s="1772"/>
      <c r="G22" s="1780"/>
      <c r="H22" s="1776"/>
    </row>
    <row r="23" spans="1:8" ht="15">
      <c r="A23" s="1769"/>
      <c r="B23" s="1769"/>
      <c r="C23" s="1774"/>
      <c r="D23" s="1769"/>
      <c r="E23" s="1775">
        <v>82758734</v>
      </c>
      <c r="F23" s="1769"/>
      <c r="G23" s="1776">
        <v>5735761.1688767122</v>
      </c>
      <c r="H23" s="1776"/>
    </row>
    <row r="24" spans="1:8" ht="15">
      <c r="A24" s="1769"/>
      <c r="B24" s="1769"/>
      <c r="C24" s="1774"/>
      <c r="D24" s="1769"/>
      <c r="E24" s="1769"/>
      <c r="F24" s="1769"/>
      <c r="G24" s="1769"/>
      <c r="H24" s="1769"/>
    </row>
    <row r="25" spans="1:8" ht="15">
      <c r="A25" s="1769" t="s">
        <v>3370</v>
      </c>
      <c r="B25" s="1769"/>
      <c r="C25" s="1774"/>
      <c r="D25" s="1769"/>
      <c r="E25" s="1764">
        <v>88494495.168876708</v>
      </c>
      <c r="F25" s="1764"/>
      <c r="G25" s="1769"/>
      <c r="H25" s="1769"/>
    </row>
    <row r="30" spans="1:8" ht="15">
      <c r="A30" s="1769" t="s">
        <v>495</v>
      </c>
      <c r="C30" s="1770">
        <v>42290</v>
      </c>
      <c r="E30" s="1775">
        <f t="shared" ref="E30:E35" si="0">SUMIF($C$8:$C$20,C30,$E$8:$E$20)</f>
        <v>12286027</v>
      </c>
      <c r="F30" t="s">
        <v>3371</v>
      </c>
    </row>
    <row r="31" spans="1:8" ht="15">
      <c r="A31" s="1769" t="s">
        <v>495</v>
      </c>
      <c r="C31" s="1774">
        <v>42493</v>
      </c>
      <c r="E31" s="1775">
        <f t="shared" si="0"/>
        <v>8000000</v>
      </c>
      <c r="F31" t="s">
        <v>3372</v>
      </c>
    </row>
    <row r="32" spans="1:8" ht="15">
      <c r="A32" s="1769" t="s">
        <v>495</v>
      </c>
      <c r="C32" s="1774">
        <v>42709</v>
      </c>
      <c r="E32" s="1775">
        <f t="shared" si="0"/>
        <v>2000000</v>
      </c>
      <c r="F32" t="s">
        <v>3373</v>
      </c>
    </row>
    <row r="33" spans="1:9" ht="15">
      <c r="A33" s="1769" t="s">
        <v>495</v>
      </c>
      <c r="C33" s="1774">
        <v>42741</v>
      </c>
      <c r="E33" s="1775">
        <f t="shared" si="0"/>
        <v>10046557</v>
      </c>
      <c r="F33" t="s">
        <v>3374</v>
      </c>
    </row>
    <row r="34" spans="1:9" ht="15">
      <c r="A34" s="1769" t="s">
        <v>495</v>
      </c>
      <c r="C34" s="1774">
        <v>42870</v>
      </c>
      <c r="E34" s="1775">
        <f t="shared" si="0"/>
        <v>25426150</v>
      </c>
      <c r="F34" t="s">
        <v>3375</v>
      </c>
      <c r="H34">
        <f>7875000+1208892+865384</f>
        <v>9949276</v>
      </c>
      <c r="I34">
        <f>12250000+1880720+1346154</f>
        <v>15476874</v>
      </c>
    </row>
    <row r="35" spans="1:9" ht="15">
      <c r="A35" s="1769" t="s">
        <v>501</v>
      </c>
      <c r="C35" s="1774">
        <v>43055</v>
      </c>
      <c r="E35" s="1775">
        <f t="shared" si="0"/>
        <v>25000000</v>
      </c>
      <c r="F35" t="s">
        <v>3376</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tabColor theme="9" tint="0.39997558519241921"/>
  </sheetPr>
  <dimension ref="B2:AN271"/>
  <sheetViews>
    <sheetView topLeftCell="A124" zoomScale="80" zoomScaleNormal="80" workbookViewId="0"/>
  </sheetViews>
  <sheetFormatPr defaultRowHeight="15"/>
  <cols>
    <col min="1" max="1" width="2.1640625" style="1781" customWidth="1"/>
    <col min="2" max="2" width="27.83203125" style="1781" customWidth="1"/>
    <col min="3" max="3" width="2.6640625" style="1781" customWidth="1"/>
    <col min="4" max="4" width="19.1640625" style="1781" customWidth="1"/>
    <col min="5" max="5" width="2.6640625" style="1781" customWidth="1"/>
    <col min="6" max="6" width="13.5" style="1781" bestFit="1" customWidth="1"/>
    <col min="7" max="7" width="2.6640625" style="1781" customWidth="1"/>
    <col min="8" max="8" width="15" style="1781" bestFit="1" customWidth="1"/>
    <col min="9" max="9" width="2.1640625" style="1781" customWidth="1"/>
    <col min="10" max="10" width="14.33203125" style="1781" bestFit="1" customWidth="1"/>
    <col min="11" max="11" width="2.1640625" style="1781" customWidth="1"/>
    <col min="12" max="12" width="10.33203125" style="1781" customWidth="1"/>
    <col min="13" max="13" width="2.1640625" style="1781" customWidth="1"/>
    <col min="14" max="14" width="11.1640625" style="1781" customWidth="1"/>
    <col min="15" max="15" width="2.1640625" style="1781" customWidth="1"/>
    <col min="16" max="16" width="13.5" style="1781" customWidth="1"/>
    <col min="17" max="17" width="2.1640625" style="1781" customWidth="1"/>
    <col min="18" max="18" width="14" style="1781" bestFit="1" customWidth="1"/>
    <col min="19" max="19" width="2.1640625" style="1781" customWidth="1"/>
    <col min="20" max="20" width="11" style="1781" bestFit="1" customWidth="1"/>
    <col min="21" max="21" width="2.1640625" style="1781" customWidth="1"/>
    <col min="22" max="22" width="9.6640625" style="1781" bestFit="1" customWidth="1"/>
    <col min="23" max="23" width="2.1640625" style="1781" customWidth="1"/>
    <col min="24" max="24" width="15" style="1781" bestFit="1" customWidth="1"/>
    <col min="25" max="25" width="2.1640625" style="1781" customWidth="1"/>
    <col min="26" max="26" width="13" style="1781" bestFit="1" customWidth="1"/>
    <col min="27" max="27" width="2.1640625" style="1781" customWidth="1"/>
    <col min="28" max="28" width="13.5" style="1781" bestFit="1" customWidth="1"/>
    <col min="29" max="29" width="2.1640625" style="1781" customWidth="1"/>
    <col min="30" max="30" width="52.5" style="1781" bestFit="1" customWidth="1"/>
    <col min="31" max="31" width="2.1640625" style="1781" customWidth="1"/>
    <col min="32" max="32" width="17.83203125" style="1781" bestFit="1" customWidth="1"/>
    <col min="33" max="33" width="2.1640625" style="1781" customWidth="1"/>
    <col min="34" max="34" width="30.1640625" style="1781" customWidth="1"/>
    <col min="35" max="35" width="2.1640625" style="1781" customWidth="1"/>
    <col min="36" max="36" width="17.5" style="1781" bestFit="1" customWidth="1"/>
    <col min="37" max="37" width="2.1640625" style="1781" customWidth="1"/>
    <col min="38" max="38" width="14.5" style="1781" customWidth="1"/>
    <col min="39" max="16384" width="9.33203125" style="1781"/>
  </cols>
  <sheetData>
    <row r="2" spans="2:40">
      <c r="L2" s="1782" t="s">
        <v>3377</v>
      </c>
      <c r="R2" s="1782" t="s">
        <v>3378</v>
      </c>
      <c r="V2" s="1782" t="s">
        <v>3378</v>
      </c>
      <c r="X2" s="1782" t="s">
        <v>3379</v>
      </c>
      <c r="AD2" s="1782" t="s">
        <v>3380</v>
      </c>
      <c r="AF2" s="1782" t="s">
        <v>678</v>
      </c>
      <c r="AH2" s="1782" t="s">
        <v>3381</v>
      </c>
      <c r="AJ2" s="1782" t="s">
        <v>3381</v>
      </c>
    </row>
    <row r="3" spans="2:40" ht="15.75" thickBot="1">
      <c r="B3" s="1783" t="s">
        <v>3382</v>
      </c>
      <c r="D3" s="1783" t="s">
        <v>3383</v>
      </c>
      <c r="F3" s="1783" t="s">
        <v>3384</v>
      </c>
      <c r="H3" s="1783" t="s">
        <v>3385</v>
      </c>
      <c r="J3" s="1783" t="s">
        <v>3386</v>
      </c>
      <c r="L3" s="1783" t="s">
        <v>316</v>
      </c>
      <c r="N3" s="1783" t="s">
        <v>529</v>
      </c>
      <c r="P3" s="1783" t="s">
        <v>3387</v>
      </c>
      <c r="R3" s="1783" t="s">
        <v>3388</v>
      </c>
      <c r="T3" s="1783" t="s">
        <v>3389</v>
      </c>
      <c r="V3" s="1783" t="s">
        <v>3390</v>
      </c>
      <c r="X3" s="1783" t="s">
        <v>3391</v>
      </c>
      <c r="Z3" s="1783" t="s">
        <v>3392</v>
      </c>
      <c r="AB3" s="1783" t="s">
        <v>3393</v>
      </c>
      <c r="AD3" s="1783" t="s">
        <v>102</v>
      </c>
      <c r="AF3" s="1783" t="s">
        <v>3394</v>
      </c>
      <c r="AH3" s="1783" t="s">
        <v>3395</v>
      </c>
      <c r="AJ3" s="1783" t="s">
        <v>495</v>
      </c>
    </row>
    <row r="5" spans="2:40">
      <c r="B5" s="1781" t="s">
        <v>3396</v>
      </c>
      <c r="D5" s="1784" t="s">
        <v>464</v>
      </c>
      <c r="F5" s="1785">
        <v>650000</v>
      </c>
      <c r="H5" s="1786">
        <v>42271</v>
      </c>
      <c r="L5" s="1781">
        <v>1E-3</v>
      </c>
      <c r="N5" s="1784" t="s">
        <v>3397</v>
      </c>
      <c r="P5" s="1785"/>
      <c r="AB5" s="1785">
        <f>F5-P5</f>
        <v>650000</v>
      </c>
      <c r="AD5" s="1781" t="s">
        <v>3398</v>
      </c>
      <c r="AF5" s="1787">
        <f>F5*L5</f>
        <v>650</v>
      </c>
      <c r="AH5" s="1788">
        <f>AB5/AH$190</f>
        <v>1.2871287128712871E-2</v>
      </c>
      <c r="AJ5" s="1788">
        <f>AB5/AJ$190</f>
        <v>7.3886552109849249E-3</v>
      </c>
    </row>
    <row r="6" spans="2:40">
      <c r="B6" s="1781" t="s">
        <v>3399</v>
      </c>
      <c r="D6" s="1784" t="s">
        <v>464</v>
      </c>
      <c r="F6" s="1785">
        <v>1000000</v>
      </c>
      <c r="H6" s="1786">
        <v>42271</v>
      </c>
      <c r="L6" s="1781">
        <v>1E-3</v>
      </c>
      <c r="N6" s="1784" t="s">
        <v>3397</v>
      </c>
      <c r="P6" s="1785"/>
      <c r="AB6" s="1785">
        <f>F6-P6</f>
        <v>1000000</v>
      </c>
      <c r="AD6" s="1781" t="s">
        <v>3398</v>
      </c>
      <c r="AF6" s="1787">
        <f>F6*L6</f>
        <v>1000</v>
      </c>
      <c r="AH6" s="1788">
        <f>AB6/AH$190</f>
        <v>1.9801980198019802E-2</v>
      </c>
      <c r="AJ6" s="1788">
        <f>AB6/AJ$190</f>
        <v>1.1367161863053732E-2</v>
      </c>
    </row>
    <row r="7" spans="2:40">
      <c r="B7" s="1781" t="s">
        <v>3400</v>
      </c>
      <c r="D7" s="1784" t="s">
        <v>464</v>
      </c>
      <c r="F7" s="1785">
        <v>1200000</v>
      </c>
      <c r="H7" s="1786">
        <v>42271</v>
      </c>
      <c r="L7" s="1781">
        <v>1E-3</v>
      </c>
      <c r="N7" s="1784" t="s">
        <v>3397</v>
      </c>
      <c r="P7" s="1785"/>
      <c r="AB7" s="1785">
        <f>F7-P7</f>
        <v>1200000</v>
      </c>
      <c r="AD7" s="1781" t="s">
        <v>3398</v>
      </c>
      <c r="AF7" s="1787">
        <f>F7*L7</f>
        <v>1200</v>
      </c>
      <c r="AH7" s="1788">
        <f>AB7/AH$190</f>
        <v>2.3762376237623763E-2</v>
      </c>
      <c r="AJ7" s="1788">
        <f>AB7/AJ$190</f>
        <v>1.3640594235664476E-2</v>
      </c>
    </row>
    <row r="8" spans="2:40">
      <c r="B8" s="1781" t="s">
        <v>3401</v>
      </c>
      <c r="D8" s="1784" t="s">
        <v>464</v>
      </c>
      <c r="F8" s="1785">
        <v>1000000</v>
      </c>
      <c r="H8" s="1786">
        <v>42271</v>
      </c>
      <c r="L8" s="1781">
        <v>1E-3</v>
      </c>
      <c r="N8" s="1784" t="s">
        <v>3397</v>
      </c>
      <c r="P8" s="1785"/>
      <c r="AB8" s="1785">
        <f>F8-P8</f>
        <v>1000000</v>
      </c>
      <c r="AD8" s="1781" t="s">
        <v>3398</v>
      </c>
      <c r="AF8" s="1787">
        <f>F8*L8</f>
        <v>1000</v>
      </c>
      <c r="AH8" s="1788">
        <f>AB8/AH$190</f>
        <v>1.9801980198019802E-2</v>
      </c>
      <c r="AJ8" s="1788">
        <f>AB8/AJ$190</f>
        <v>1.1367161863053732E-2</v>
      </c>
    </row>
    <row r="9" spans="2:40">
      <c r="F9" s="1785"/>
      <c r="N9" s="1784"/>
      <c r="P9" s="1785"/>
      <c r="AB9" s="1785"/>
      <c r="AF9" s="1787"/>
      <c r="AH9" s="1788"/>
      <c r="AJ9" s="1788"/>
    </row>
    <row r="10" spans="2:40">
      <c r="B10" s="1781" t="s">
        <v>3402</v>
      </c>
      <c r="D10" s="1784" t="s">
        <v>3403</v>
      </c>
      <c r="F10" s="1785">
        <v>1340000</v>
      </c>
      <c r="H10" s="1786">
        <v>42285</v>
      </c>
      <c r="J10" s="1786">
        <v>42278</v>
      </c>
      <c r="L10" s="1781">
        <v>1E-3</v>
      </c>
      <c r="N10" s="1784" t="s">
        <v>3397</v>
      </c>
      <c r="P10" s="1785">
        <v>804000</v>
      </c>
      <c r="R10" s="1786">
        <v>42582</v>
      </c>
      <c r="AB10" s="1785">
        <f>F10-P10</f>
        <v>536000</v>
      </c>
      <c r="AD10" s="1781" t="s">
        <v>3404</v>
      </c>
      <c r="AF10" s="1787">
        <f>F10*L10</f>
        <v>1340</v>
      </c>
      <c r="AH10" s="1788">
        <f>AB10/AH$190</f>
        <v>1.0613861386138615E-2</v>
      </c>
      <c r="AJ10" s="1788">
        <f>AB10/AJ$190</f>
        <v>6.0927987585967999E-3</v>
      </c>
      <c r="AM10" s="1785">
        <f>ROUND(0.6*F10,0)</f>
        <v>804000</v>
      </c>
    </row>
    <row r="11" spans="2:40">
      <c r="B11" s="1781" t="s">
        <v>3405</v>
      </c>
      <c r="D11" s="1784" t="s">
        <v>3406</v>
      </c>
      <c r="F11" s="1785">
        <v>837500</v>
      </c>
      <c r="H11" s="1786">
        <v>42285</v>
      </c>
      <c r="J11" s="1786">
        <v>42278</v>
      </c>
      <c r="L11" s="1781">
        <v>1E-3</v>
      </c>
      <c r="N11" s="1784" t="s">
        <v>3397</v>
      </c>
      <c r="P11" s="1785">
        <v>383855</v>
      </c>
      <c r="AB11" s="1785">
        <f>F11-P11</f>
        <v>453645</v>
      </c>
      <c r="AD11" s="1781" t="s">
        <v>3404</v>
      </c>
      <c r="AF11" s="1787">
        <f>F11*L11</f>
        <v>837.5</v>
      </c>
      <c r="AH11" s="1788">
        <f>AB11/AH$190</f>
        <v>8.9830693069306924E-3</v>
      </c>
      <c r="AJ11" s="1788">
        <f>AB11/AJ$190</f>
        <v>5.1566561433650099E-3</v>
      </c>
    </row>
    <row r="12" spans="2:40">
      <c r="D12" s="1784"/>
      <c r="F12" s="1785"/>
      <c r="J12" s="1786"/>
      <c r="N12" s="1784"/>
      <c r="P12" s="1785"/>
      <c r="AB12" s="1785"/>
      <c r="AF12" s="1787"/>
      <c r="AH12" s="1788"/>
      <c r="AJ12" s="1788"/>
    </row>
    <row r="13" spans="2:40">
      <c r="B13" s="1781" t="s">
        <v>3407</v>
      </c>
      <c r="D13" s="1784" t="s">
        <v>3406</v>
      </c>
      <c r="F13" s="1785">
        <v>300000</v>
      </c>
      <c r="H13" s="1786">
        <v>42352</v>
      </c>
      <c r="J13" s="1789">
        <v>42278</v>
      </c>
      <c r="L13" s="1781">
        <v>0.01</v>
      </c>
      <c r="N13" s="1784" t="s">
        <v>3397</v>
      </c>
      <c r="P13" s="1785"/>
      <c r="AB13" s="1785">
        <f t="shared" ref="AB13:AB19" si="0">F13-P13</f>
        <v>300000</v>
      </c>
      <c r="AD13" s="1781" t="s">
        <v>3404</v>
      </c>
      <c r="AF13" s="1787">
        <f t="shared" ref="AF13:AF19" si="1">F13*L13</f>
        <v>3000</v>
      </c>
      <c r="AH13" s="1788">
        <f t="shared" ref="AH13:AH19" si="2">AB13/AH$190</f>
        <v>5.9405940594059407E-3</v>
      </c>
      <c r="AJ13" s="1788">
        <f t="shared" ref="AJ13:AJ19" si="3">AB13/AJ$190</f>
        <v>3.4101485589161191E-3</v>
      </c>
    </row>
    <row r="14" spans="2:40">
      <c r="B14" s="1781" t="s">
        <v>3408</v>
      </c>
      <c r="D14" s="1784" t="s">
        <v>3406</v>
      </c>
      <c r="F14" s="1785">
        <v>50000</v>
      </c>
      <c r="H14" s="1786">
        <v>42352</v>
      </c>
      <c r="J14" s="1789">
        <v>42278</v>
      </c>
      <c r="L14" s="1781">
        <v>0.01</v>
      </c>
      <c r="N14" s="1784" t="s">
        <v>3397</v>
      </c>
      <c r="P14" s="1785"/>
      <c r="AB14" s="1785">
        <f t="shared" si="0"/>
        <v>50000</v>
      </c>
      <c r="AD14" s="1781" t="s">
        <v>3404</v>
      </c>
      <c r="AF14" s="1787">
        <f t="shared" si="1"/>
        <v>500</v>
      </c>
      <c r="AH14" s="1788">
        <f t="shared" si="2"/>
        <v>9.9009900990099011E-4</v>
      </c>
      <c r="AJ14" s="1788">
        <f t="shared" si="3"/>
        <v>5.6835809315268656E-4</v>
      </c>
    </row>
    <row r="15" spans="2:40">
      <c r="B15" s="1781" t="s">
        <v>3409</v>
      </c>
      <c r="D15" s="1784" t="s">
        <v>3403</v>
      </c>
      <c r="F15" s="1785">
        <v>35000</v>
      </c>
      <c r="H15" s="1786">
        <v>42352</v>
      </c>
      <c r="J15" s="1790">
        <v>42282</v>
      </c>
      <c r="L15" s="1781">
        <v>0.01</v>
      </c>
      <c r="N15" s="1784" t="s">
        <v>3397</v>
      </c>
      <c r="P15" s="1785">
        <f>ROUNDDOWN(2.5/4*F15,0)</f>
        <v>21875</v>
      </c>
      <c r="R15" s="1786">
        <v>42613</v>
      </c>
      <c r="AB15" s="1785">
        <f t="shared" si="0"/>
        <v>13125</v>
      </c>
      <c r="AD15" s="1781" t="s">
        <v>3404</v>
      </c>
      <c r="AF15" s="1787">
        <f t="shared" si="1"/>
        <v>350</v>
      </c>
      <c r="AH15" s="1788">
        <f t="shared" si="2"/>
        <v>2.5990099009900991E-4</v>
      </c>
      <c r="AJ15" s="1788">
        <f t="shared" si="3"/>
        <v>1.4919399945258021E-4</v>
      </c>
      <c r="AM15" s="1785">
        <f>18/48*F15</f>
        <v>13125</v>
      </c>
      <c r="AN15" s="1781">
        <f>0.01*P15</f>
        <v>218.75</v>
      </c>
    </row>
    <row r="16" spans="2:40">
      <c r="B16" s="1781" t="s">
        <v>3410</v>
      </c>
      <c r="D16" s="1784" t="s">
        <v>3406</v>
      </c>
      <c r="F16" s="1785">
        <v>110000</v>
      </c>
      <c r="H16" s="1786">
        <v>42352</v>
      </c>
      <c r="J16" s="1786">
        <v>42310</v>
      </c>
      <c r="L16" s="1781">
        <v>0.01</v>
      </c>
      <c r="N16" s="1784" t="s">
        <v>3397</v>
      </c>
      <c r="P16" s="1785"/>
      <c r="AB16" s="1785">
        <f t="shared" si="0"/>
        <v>110000</v>
      </c>
      <c r="AD16" s="1781" t="s">
        <v>3404</v>
      </c>
      <c r="AF16" s="1787">
        <f t="shared" si="1"/>
        <v>1100</v>
      </c>
      <c r="AH16" s="1788">
        <f t="shared" si="2"/>
        <v>2.1782178217821784E-3</v>
      </c>
      <c r="AJ16" s="1788">
        <f t="shared" si="3"/>
        <v>1.2503878049359104E-3</v>
      </c>
    </row>
    <row r="17" spans="2:36">
      <c r="B17" s="1781" t="s">
        <v>3411</v>
      </c>
      <c r="D17" s="1784" t="s">
        <v>3406</v>
      </c>
      <c r="F17" s="1785">
        <v>20000</v>
      </c>
      <c r="H17" s="1786">
        <v>42352</v>
      </c>
      <c r="J17" s="1786">
        <v>42320</v>
      </c>
      <c r="L17" s="1781">
        <v>0.01</v>
      </c>
      <c r="N17" s="1784" t="s">
        <v>3397</v>
      </c>
      <c r="P17" s="1785">
        <v>15000</v>
      </c>
      <c r="R17" s="1786">
        <v>42713</v>
      </c>
      <c r="AB17" s="1785">
        <f t="shared" si="0"/>
        <v>5000</v>
      </c>
      <c r="AD17" s="1781" t="s">
        <v>3404</v>
      </c>
      <c r="AF17" s="1787">
        <f t="shared" si="1"/>
        <v>200</v>
      </c>
      <c r="AH17" s="1788">
        <f t="shared" si="2"/>
        <v>9.9009900990099017E-5</v>
      </c>
      <c r="AJ17" s="1788">
        <f t="shared" si="3"/>
        <v>5.6835809315268658E-5</v>
      </c>
    </row>
    <row r="18" spans="2:36">
      <c r="B18" s="1791" t="s">
        <v>3412</v>
      </c>
      <c r="D18" s="1784" t="s">
        <v>3413</v>
      </c>
      <c r="F18" s="1785">
        <v>50000</v>
      </c>
      <c r="H18" s="1786">
        <v>42352</v>
      </c>
      <c r="J18" s="1786">
        <v>42278</v>
      </c>
      <c r="L18" s="1781">
        <v>0.01</v>
      </c>
      <c r="N18" s="1784" t="s">
        <v>3397</v>
      </c>
      <c r="P18" s="1785"/>
      <c r="AB18" s="1785">
        <f t="shared" si="0"/>
        <v>50000</v>
      </c>
      <c r="AD18" s="1781" t="s">
        <v>3414</v>
      </c>
      <c r="AF18" s="1787">
        <f t="shared" si="1"/>
        <v>500</v>
      </c>
      <c r="AH18" s="1788">
        <f t="shared" si="2"/>
        <v>9.9009900990099011E-4</v>
      </c>
      <c r="AJ18" s="1788">
        <f t="shared" si="3"/>
        <v>5.6835809315268656E-4</v>
      </c>
    </row>
    <row r="19" spans="2:36">
      <c r="B19" s="1781" t="s">
        <v>3415</v>
      </c>
      <c r="D19" s="1784" t="s">
        <v>3413</v>
      </c>
      <c r="F19" s="1785">
        <v>75000</v>
      </c>
      <c r="H19" s="1786">
        <v>42352</v>
      </c>
      <c r="J19" s="1786">
        <v>42248</v>
      </c>
      <c r="L19" s="1781">
        <v>0.01</v>
      </c>
      <c r="N19" s="1784" t="s">
        <v>3397</v>
      </c>
      <c r="P19" s="1785">
        <v>45313</v>
      </c>
      <c r="Q19" s="1781" t="s">
        <v>3416</v>
      </c>
      <c r="R19" s="1786">
        <v>42826</v>
      </c>
      <c r="AB19" s="1785">
        <f t="shared" si="0"/>
        <v>29687</v>
      </c>
      <c r="AD19" s="1781" t="s">
        <v>3417</v>
      </c>
      <c r="AF19" s="1787">
        <f t="shared" si="1"/>
        <v>750</v>
      </c>
      <c r="AH19" s="1788">
        <f t="shared" si="2"/>
        <v>5.8786138613861388E-4</v>
      </c>
      <c r="AJ19" s="1788">
        <f t="shared" si="3"/>
        <v>3.3745693422847613E-4</v>
      </c>
    </row>
    <row r="20" spans="2:36">
      <c r="D20" s="1784"/>
      <c r="F20" s="1785"/>
      <c r="H20" s="1786"/>
      <c r="J20" s="1786"/>
      <c r="N20" s="1784"/>
      <c r="P20" s="1785"/>
      <c r="AB20" s="1785"/>
      <c r="AF20" s="1787"/>
      <c r="AH20" s="1788"/>
      <c r="AJ20" s="1788"/>
    </row>
    <row r="21" spans="2:36">
      <c r="B21" s="1781" t="s">
        <v>3418</v>
      </c>
      <c r="D21" s="1784" t="s">
        <v>3406</v>
      </c>
      <c r="F21" s="1785">
        <v>55000</v>
      </c>
      <c r="H21" s="1786">
        <v>42404</v>
      </c>
      <c r="J21" s="1786">
        <v>42373</v>
      </c>
      <c r="L21" s="1781">
        <v>0.01</v>
      </c>
      <c r="N21" s="1784" t="s">
        <v>3397</v>
      </c>
      <c r="P21" s="1785"/>
      <c r="AB21" s="1785">
        <f>F21-P21</f>
        <v>55000</v>
      </c>
      <c r="AD21" s="1781" t="s">
        <v>3404</v>
      </c>
      <c r="AF21" s="1787">
        <f>F21*L21</f>
        <v>550</v>
      </c>
      <c r="AH21" s="1788">
        <f>AB21/AH$190</f>
        <v>1.0891089108910892E-3</v>
      </c>
      <c r="AJ21" s="1788">
        <f>AB21/AJ$190</f>
        <v>6.251939024679552E-4</v>
      </c>
    </row>
    <row r="22" spans="2:36">
      <c r="B22" s="1781" t="s">
        <v>3419</v>
      </c>
      <c r="D22" s="1784" t="s">
        <v>3406</v>
      </c>
      <c r="F22" s="1785">
        <v>100000</v>
      </c>
      <c r="H22" s="1786">
        <v>42404</v>
      </c>
      <c r="J22" s="1786">
        <v>42373</v>
      </c>
      <c r="L22" s="1781">
        <v>0.01</v>
      </c>
      <c r="N22" s="1784" t="s">
        <v>3397</v>
      </c>
      <c r="P22" s="1785"/>
      <c r="AB22" s="1785">
        <f>F22-P22</f>
        <v>100000</v>
      </c>
      <c r="AD22" s="1781" t="s">
        <v>3404</v>
      </c>
      <c r="AF22" s="1787">
        <f>F22*L22</f>
        <v>1000</v>
      </c>
      <c r="AH22" s="1788">
        <f>AB22/AH$190</f>
        <v>1.9801980198019802E-3</v>
      </c>
      <c r="AJ22" s="1788">
        <f>AB22/AJ$190</f>
        <v>1.1367161863053731E-3</v>
      </c>
    </row>
    <row r="23" spans="2:36">
      <c r="B23" s="1781" t="s">
        <v>3420</v>
      </c>
      <c r="D23" s="1784" t="s">
        <v>3406</v>
      </c>
      <c r="F23" s="1785">
        <v>150000</v>
      </c>
      <c r="H23" s="1786">
        <v>42404</v>
      </c>
      <c r="J23" s="1786">
        <v>42388</v>
      </c>
      <c r="L23" s="1781">
        <v>0.01</v>
      </c>
      <c r="N23" s="1784" t="s">
        <v>3397</v>
      </c>
      <c r="P23" s="1785"/>
      <c r="AB23" s="1785">
        <f>F23-P23</f>
        <v>150000</v>
      </c>
      <c r="AD23" s="1781" t="s">
        <v>3404</v>
      </c>
      <c r="AF23" s="1787">
        <f>F23*L23</f>
        <v>1500</v>
      </c>
      <c r="AH23" s="1788">
        <f>AB23/AH$190</f>
        <v>2.9702970297029703E-3</v>
      </c>
      <c r="AJ23" s="1788">
        <f>AB23/AJ$190</f>
        <v>1.7050742794580596E-3</v>
      </c>
    </row>
    <row r="24" spans="2:36">
      <c r="B24" s="1781" t="s">
        <v>3421</v>
      </c>
      <c r="D24" s="1784" t="s">
        <v>3413</v>
      </c>
      <c r="F24" s="1785">
        <v>150000</v>
      </c>
      <c r="H24" s="1786">
        <v>42404</v>
      </c>
      <c r="J24" s="1786">
        <v>42303</v>
      </c>
      <c r="L24" s="1781">
        <v>0.01</v>
      </c>
      <c r="N24" s="1784" t="s">
        <v>3397</v>
      </c>
      <c r="P24" s="1785"/>
      <c r="AB24" s="1785">
        <f>F24-P24</f>
        <v>150000</v>
      </c>
      <c r="AD24" s="1781" t="s">
        <v>3422</v>
      </c>
      <c r="AF24" s="1787">
        <f>F24*L24</f>
        <v>1500</v>
      </c>
      <c r="AH24" s="1788">
        <f>AB24/AH$190</f>
        <v>2.9702970297029703E-3</v>
      </c>
      <c r="AJ24" s="1788">
        <f>AB24/AJ$190</f>
        <v>1.7050742794580596E-3</v>
      </c>
    </row>
    <row r="25" spans="2:36">
      <c r="B25" s="1781" t="s">
        <v>3423</v>
      </c>
      <c r="D25" s="1784" t="s">
        <v>3413</v>
      </c>
      <c r="F25" s="1785">
        <v>75000</v>
      </c>
      <c r="H25" s="1786">
        <v>42404</v>
      </c>
      <c r="J25" s="1786">
        <v>42239</v>
      </c>
      <c r="L25" s="1781">
        <v>0.01</v>
      </c>
      <c r="N25" s="1784" t="s">
        <v>3397</v>
      </c>
      <c r="P25" s="1785"/>
      <c r="AB25" s="1785">
        <f>F25-P25</f>
        <v>75000</v>
      </c>
      <c r="AD25" s="1781" t="s">
        <v>3424</v>
      </c>
      <c r="AF25" s="1787">
        <f>F25*L25</f>
        <v>750</v>
      </c>
      <c r="AH25" s="1788">
        <f>AB25/AH$190</f>
        <v>1.4851485148514852E-3</v>
      </c>
      <c r="AJ25" s="1788">
        <f>AB25/AJ$190</f>
        <v>8.5253713972902978E-4</v>
      </c>
    </row>
    <row r="26" spans="2:36">
      <c r="D26" s="1784" t="s">
        <v>3376</v>
      </c>
      <c r="F26" s="1785"/>
      <c r="J26" s="1786"/>
      <c r="K26" s="1786"/>
      <c r="L26" s="1786"/>
      <c r="M26" s="1786"/>
      <c r="N26" s="1786"/>
      <c r="O26" s="1786"/>
      <c r="P26" s="1785"/>
      <c r="Q26" s="1786"/>
      <c r="R26" s="1786"/>
      <c r="S26" s="1786"/>
      <c r="T26" s="1786"/>
      <c r="U26" s="1786"/>
      <c r="V26" s="1786"/>
      <c r="W26" s="1786"/>
      <c r="X26" s="1786"/>
      <c r="Y26" s="1786"/>
      <c r="Z26" s="1786"/>
      <c r="AA26" s="1786"/>
      <c r="AB26" s="1786"/>
      <c r="AC26" s="1786"/>
      <c r="AJ26" s="1788"/>
    </row>
    <row r="27" spans="2:36">
      <c r="B27" s="1781" t="s">
        <v>3425</v>
      </c>
      <c r="D27" s="1784" t="s">
        <v>3413</v>
      </c>
      <c r="F27" s="1785">
        <v>50000</v>
      </c>
      <c r="H27" s="1786">
        <v>42509</v>
      </c>
      <c r="J27" s="1789">
        <v>42278</v>
      </c>
      <c r="L27" s="1781">
        <v>0.01</v>
      </c>
      <c r="N27" s="1784" t="s">
        <v>3397</v>
      </c>
      <c r="P27" s="1785">
        <v>37500</v>
      </c>
      <c r="R27" s="1786">
        <v>42644</v>
      </c>
      <c r="AB27" s="1785">
        <f t="shared" ref="AB27:AB36" si="4">F27-P27</f>
        <v>12500</v>
      </c>
      <c r="AD27" s="1781" t="s">
        <v>3417</v>
      </c>
      <c r="AJ27" s="1788">
        <f t="shared" ref="AJ27:AJ36" si="5">AB27/AJ$190</f>
        <v>1.4208952328817164E-4</v>
      </c>
    </row>
    <row r="28" spans="2:36">
      <c r="B28" s="1781" t="s">
        <v>3408</v>
      </c>
      <c r="D28" s="1784" t="s">
        <v>3406</v>
      </c>
      <c r="F28" s="1785">
        <v>27000</v>
      </c>
      <c r="H28" s="1786">
        <v>42509</v>
      </c>
      <c r="J28" s="1789">
        <v>42278</v>
      </c>
      <c r="L28" s="1781">
        <v>0.01</v>
      </c>
      <c r="N28" s="1784" t="s">
        <v>3397</v>
      </c>
      <c r="P28" s="1785"/>
      <c r="AB28" s="1785">
        <f t="shared" si="4"/>
        <v>27000</v>
      </c>
      <c r="AD28" s="1781" t="s">
        <v>3404</v>
      </c>
      <c r="AJ28" s="1788">
        <f t="shared" si="5"/>
        <v>3.0691337030245072E-4</v>
      </c>
    </row>
    <row r="29" spans="2:36">
      <c r="B29" s="1781" t="s">
        <v>3418</v>
      </c>
      <c r="D29" s="1784" t="s">
        <v>3406</v>
      </c>
      <c r="F29" s="1785">
        <v>22000</v>
      </c>
      <c r="H29" s="1786">
        <v>42509</v>
      </c>
      <c r="J29" s="1789">
        <v>42373</v>
      </c>
      <c r="L29" s="1781">
        <v>0.01</v>
      </c>
      <c r="N29" s="1784" t="s">
        <v>3397</v>
      </c>
      <c r="P29" s="1785"/>
      <c r="AB29" s="1785">
        <f t="shared" si="4"/>
        <v>22000</v>
      </c>
      <c r="AD29" s="1781" t="s">
        <v>3404</v>
      </c>
      <c r="AJ29" s="1788">
        <f t="shared" si="5"/>
        <v>2.5007756098718208E-4</v>
      </c>
    </row>
    <row r="30" spans="2:36">
      <c r="B30" s="1781" t="s">
        <v>3426</v>
      </c>
      <c r="D30" s="1784" t="s">
        <v>3406</v>
      </c>
      <c r="F30" s="1785">
        <v>165000</v>
      </c>
      <c r="H30" s="1786">
        <v>42509</v>
      </c>
      <c r="J30" s="1786">
        <v>42436</v>
      </c>
      <c r="L30" s="1781">
        <v>0.01</v>
      </c>
      <c r="N30" s="1784" t="s">
        <v>3397</v>
      </c>
      <c r="P30" s="1785"/>
      <c r="AB30" s="1785">
        <f t="shared" si="4"/>
        <v>165000</v>
      </c>
      <c r="AD30" s="1781" t="s">
        <v>3404</v>
      </c>
      <c r="AJ30" s="1788">
        <f t="shared" si="5"/>
        <v>1.8755817074038656E-3</v>
      </c>
    </row>
    <row r="31" spans="2:36">
      <c r="B31" s="1781" t="s">
        <v>3427</v>
      </c>
      <c r="D31" s="1784" t="s">
        <v>3406</v>
      </c>
      <c r="F31" s="1785">
        <v>20000</v>
      </c>
      <c r="H31" s="1786">
        <v>42509</v>
      </c>
      <c r="J31" s="1786">
        <v>42478</v>
      </c>
      <c r="L31" s="1781">
        <v>0.01</v>
      </c>
      <c r="N31" s="1784" t="s">
        <v>3397</v>
      </c>
      <c r="P31" s="1785"/>
      <c r="AB31" s="1785">
        <f t="shared" si="4"/>
        <v>20000</v>
      </c>
      <c r="AD31" s="1781" t="s">
        <v>3404</v>
      </c>
      <c r="AJ31" s="1788">
        <f t="shared" si="5"/>
        <v>2.2734323726107463E-4</v>
      </c>
    </row>
    <row r="32" spans="2:36">
      <c r="B32" s="1781" t="s">
        <v>3428</v>
      </c>
      <c r="D32" s="1784" t="s">
        <v>3406</v>
      </c>
      <c r="F32" s="1785">
        <v>170000</v>
      </c>
      <c r="H32" s="1786">
        <v>42509</v>
      </c>
      <c r="J32" s="1786">
        <v>42479</v>
      </c>
      <c r="L32" s="1781">
        <v>0.01</v>
      </c>
      <c r="N32" s="1784" t="s">
        <v>3397</v>
      </c>
      <c r="P32" s="1785"/>
      <c r="AB32" s="1785">
        <f t="shared" si="4"/>
        <v>170000</v>
      </c>
      <c r="AD32" s="1781" t="s">
        <v>3404</v>
      </c>
      <c r="AJ32" s="1788">
        <f t="shared" si="5"/>
        <v>1.9324175167191344E-3</v>
      </c>
    </row>
    <row r="33" spans="2:36">
      <c r="B33" s="1781" t="s">
        <v>3429</v>
      </c>
      <c r="D33" s="1784" t="s">
        <v>3406</v>
      </c>
      <c r="F33" s="1785">
        <v>170000</v>
      </c>
      <c r="H33" s="1786">
        <v>42509</v>
      </c>
      <c r="J33" s="1786">
        <v>42486</v>
      </c>
      <c r="L33" s="1781">
        <v>0.01</v>
      </c>
      <c r="N33" s="1784" t="s">
        <v>3397</v>
      </c>
      <c r="P33" s="1785"/>
      <c r="AB33" s="1785">
        <f t="shared" si="4"/>
        <v>170000</v>
      </c>
      <c r="AD33" s="1781" t="s">
        <v>3404</v>
      </c>
      <c r="AJ33" s="1788">
        <f t="shared" si="5"/>
        <v>1.9324175167191344E-3</v>
      </c>
    </row>
    <row r="34" spans="2:36">
      <c r="B34" s="1781" t="s">
        <v>3430</v>
      </c>
      <c r="D34" s="1784" t="s">
        <v>3406</v>
      </c>
      <c r="F34" s="1785">
        <v>95000</v>
      </c>
      <c r="H34" s="1786">
        <v>42509</v>
      </c>
      <c r="J34" s="1786">
        <v>42492</v>
      </c>
      <c r="L34" s="1781">
        <v>0.01</v>
      </c>
      <c r="N34" s="1784" t="s">
        <v>3397</v>
      </c>
      <c r="P34" s="1785"/>
      <c r="AB34" s="1785">
        <f t="shared" si="4"/>
        <v>95000</v>
      </c>
      <c r="AD34" s="1781" t="s">
        <v>3404</v>
      </c>
      <c r="AJ34" s="1788">
        <f t="shared" si="5"/>
        <v>1.0798803769901044E-3</v>
      </c>
    </row>
    <row r="35" spans="2:36">
      <c r="B35" s="1781" t="s">
        <v>3431</v>
      </c>
      <c r="D35" s="1784" t="s">
        <v>3406</v>
      </c>
      <c r="F35" s="1785">
        <v>85000</v>
      </c>
      <c r="H35" s="1786">
        <v>42509</v>
      </c>
      <c r="J35" s="1786">
        <v>42494</v>
      </c>
      <c r="L35" s="1781">
        <v>0.01</v>
      </c>
      <c r="N35" s="1784" t="s">
        <v>3397</v>
      </c>
      <c r="P35" s="1785"/>
      <c r="AB35" s="1785">
        <f t="shared" si="4"/>
        <v>85000</v>
      </c>
      <c r="AD35" s="1781" t="s">
        <v>3404</v>
      </c>
      <c r="AJ35" s="1788">
        <f t="shared" si="5"/>
        <v>9.6620875835956718E-4</v>
      </c>
    </row>
    <row r="36" spans="2:36">
      <c r="B36" s="1781" t="s">
        <v>3432</v>
      </c>
      <c r="D36" s="1784" t="s">
        <v>3413</v>
      </c>
      <c r="F36" s="1785">
        <v>10000</v>
      </c>
      <c r="H36" s="1786">
        <v>42509</v>
      </c>
      <c r="J36" s="1792" t="s">
        <v>3433</v>
      </c>
      <c r="L36" s="1781">
        <v>0.01</v>
      </c>
      <c r="N36" s="1784" t="s">
        <v>3397</v>
      </c>
      <c r="P36" s="1785"/>
      <c r="AB36" s="1785">
        <f t="shared" si="4"/>
        <v>10000</v>
      </c>
      <c r="AD36" s="1781" t="s">
        <v>3434</v>
      </c>
      <c r="AJ36" s="1788">
        <f t="shared" si="5"/>
        <v>1.1367161863053732E-4</v>
      </c>
    </row>
    <row r="37" spans="2:36">
      <c r="D37" s="1784"/>
      <c r="F37" s="1785"/>
      <c r="H37" s="1786"/>
      <c r="J37" s="1792"/>
      <c r="N37" s="1784"/>
      <c r="P37" s="1785"/>
      <c r="AB37" s="1785"/>
      <c r="AJ37" s="1788"/>
    </row>
    <row r="38" spans="2:36">
      <c r="B38" s="1789" t="s">
        <v>3435</v>
      </c>
      <c r="D38" s="1784" t="s">
        <v>3406</v>
      </c>
      <c r="F38" s="1793">
        <v>125000</v>
      </c>
      <c r="H38" s="1786">
        <v>42593</v>
      </c>
      <c r="J38" s="1790">
        <v>42527</v>
      </c>
      <c r="L38" s="1781">
        <v>0.01</v>
      </c>
      <c r="N38" s="1784" t="s">
        <v>3397</v>
      </c>
      <c r="P38" s="1793">
        <v>125000</v>
      </c>
      <c r="R38" s="1786">
        <v>42692</v>
      </c>
      <c r="AB38" s="1785">
        <f t="shared" ref="AB38:AB43" si="6">F38-P38</f>
        <v>0</v>
      </c>
      <c r="AD38" s="1781" t="s">
        <v>3404</v>
      </c>
      <c r="AJ38" s="1788">
        <f t="shared" ref="AJ38:AJ43" si="7">AB38/AJ$190</f>
        <v>0</v>
      </c>
    </row>
    <row r="39" spans="2:36">
      <c r="B39" s="1789" t="s">
        <v>3436</v>
      </c>
      <c r="D39" s="1784" t="s">
        <v>3406</v>
      </c>
      <c r="F39" s="1793">
        <v>22000</v>
      </c>
      <c r="H39" s="1786">
        <v>42593</v>
      </c>
      <c r="J39" s="1790">
        <v>42548</v>
      </c>
      <c r="L39" s="1781">
        <v>0.01</v>
      </c>
      <c r="N39" s="1784" t="s">
        <v>3397</v>
      </c>
      <c r="P39" s="1793"/>
      <c r="AB39" s="1785">
        <f t="shared" si="6"/>
        <v>22000</v>
      </c>
      <c r="AD39" s="1781" t="s">
        <v>3404</v>
      </c>
      <c r="AJ39" s="1788">
        <f t="shared" si="7"/>
        <v>2.5007756098718208E-4</v>
      </c>
    </row>
    <row r="40" spans="2:36">
      <c r="B40" s="1789" t="s">
        <v>3437</v>
      </c>
      <c r="D40" s="1784" t="s">
        <v>3406</v>
      </c>
      <c r="F40" s="1793">
        <v>3556801</v>
      </c>
      <c r="H40" s="1786">
        <v>42593</v>
      </c>
      <c r="J40" s="1790">
        <v>42556</v>
      </c>
      <c r="L40" s="1781">
        <v>0.01</v>
      </c>
      <c r="N40" s="1784" t="s">
        <v>3397</v>
      </c>
      <c r="P40" s="1793"/>
      <c r="AB40" s="1785">
        <f t="shared" si="6"/>
        <v>3556801</v>
      </c>
      <c r="AD40" s="1781" t="s">
        <v>3404</v>
      </c>
      <c r="AJ40" s="1794">
        <f t="shared" si="7"/>
        <v>4.0430732681671376E-2</v>
      </c>
    </row>
    <row r="41" spans="2:36">
      <c r="B41" s="1789" t="s">
        <v>3412</v>
      </c>
      <c r="D41" s="1784" t="s">
        <v>3413</v>
      </c>
      <c r="F41" s="1793">
        <v>50000</v>
      </c>
      <c r="H41" s="1786">
        <v>42593</v>
      </c>
      <c r="J41" s="1790">
        <v>42593</v>
      </c>
      <c r="L41" s="1781">
        <v>0.01</v>
      </c>
      <c r="N41" s="1784" t="s">
        <v>3397</v>
      </c>
      <c r="P41" s="1793"/>
      <c r="AB41" s="1785">
        <f t="shared" si="6"/>
        <v>50000</v>
      </c>
      <c r="AD41" s="1781" t="s">
        <v>3424</v>
      </c>
      <c r="AJ41" s="1788">
        <f t="shared" si="7"/>
        <v>5.6835809315268656E-4</v>
      </c>
    </row>
    <row r="42" spans="2:36">
      <c r="B42" s="1789" t="s">
        <v>3438</v>
      </c>
      <c r="D42" s="1784" t="s">
        <v>3413</v>
      </c>
      <c r="F42" s="1793">
        <f>ROUND(0.25*81250,0)</f>
        <v>20313</v>
      </c>
      <c r="H42" s="1786">
        <v>42593</v>
      </c>
      <c r="J42" s="1790">
        <v>42430</v>
      </c>
      <c r="L42" s="1781">
        <v>0.01</v>
      </c>
      <c r="N42" s="1784" t="s">
        <v>3397</v>
      </c>
      <c r="P42" s="1793"/>
      <c r="AB42" s="1785">
        <f t="shared" si="6"/>
        <v>20313</v>
      </c>
      <c r="AD42" s="1781" t="s">
        <v>3434</v>
      </c>
      <c r="AJ42" s="1788">
        <f t="shared" si="7"/>
        <v>2.3090115892421042E-4</v>
      </c>
    </row>
    <row r="43" spans="2:36">
      <c r="B43" s="1789" t="s">
        <v>3439</v>
      </c>
      <c r="D43" s="1784" t="s">
        <v>3406</v>
      </c>
      <c r="F43" s="1793">
        <v>1340000</v>
      </c>
      <c r="H43" s="1786">
        <v>42593</v>
      </c>
      <c r="J43" s="1790">
        <v>42590</v>
      </c>
      <c r="L43" s="1781">
        <v>0.01</v>
      </c>
      <c r="N43" s="1784" t="s">
        <v>3397</v>
      </c>
      <c r="P43" s="1793"/>
      <c r="AB43" s="1785">
        <f t="shared" si="6"/>
        <v>1340000</v>
      </c>
      <c r="AD43" s="1781" t="s">
        <v>3404</v>
      </c>
      <c r="AJ43" s="1794">
        <f t="shared" si="7"/>
        <v>1.5231996896492E-2</v>
      </c>
    </row>
    <row r="44" spans="2:36">
      <c r="B44" s="1789"/>
      <c r="D44" s="1784"/>
      <c r="F44" s="1793"/>
      <c r="H44" s="1786"/>
      <c r="J44" s="1790"/>
      <c r="N44" s="1784"/>
      <c r="P44" s="1793"/>
      <c r="AB44" s="1785"/>
      <c r="AJ44" s="1794"/>
    </row>
    <row r="45" spans="2:36">
      <c r="B45" s="1789" t="s">
        <v>3440</v>
      </c>
      <c r="D45" s="1784" t="s">
        <v>3406</v>
      </c>
      <c r="F45" s="1793">
        <v>300000</v>
      </c>
      <c r="H45" s="1786">
        <v>42689</v>
      </c>
      <c r="J45" s="1790">
        <v>42614</v>
      </c>
      <c r="L45" s="1781">
        <v>0.01</v>
      </c>
      <c r="N45" s="1784" t="s">
        <v>3397</v>
      </c>
      <c r="P45" s="1793">
        <v>187500</v>
      </c>
      <c r="AB45" s="1785">
        <f t="shared" ref="AB45:AB61" si="8">F45-P45</f>
        <v>112500</v>
      </c>
      <c r="AD45" s="1781" t="s">
        <v>3404</v>
      </c>
      <c r="AJ45" s="1794">
        <f>AB45/AJ$190</f>
        <v>1.2788057095935448E-3</v>
      </c>
    </row>
    <row r="46" spans="2:36">
      <c r="B46" s="1789" t="s">
        <v>3441</v>
      </c>
      <c r="D46" s="1784" t="s">
        <v>3406</v>
      </c>
      <c r="F46" s="1793">
        <v>125000</v>
      </c>
      <c r="H46" s="1786">
        <v>42689</v>
      </c>
      <c r="J46" s="1790">
        <v>42614</v>
      </c>
      <c r="L46" s="1781">
        <v>0.01</v>
      </c>
      <c r="N46" s="1784" t="s">
        <v>3397</v>
      </c>
      <c r="P46" s="1793"/>
      <c r="AB46" s="1785">
        <f t="shared" si="8"/>
        <v>125000</v>
      </c>
      <c r="AD46" s="1781" t="s">
        <v>3404</v>
      </c>
      <c r="AJ46" s="1794">
        <f>AB46/AJ$190</f>
        <v>1.4208952328817164E-3</v>
      </c>
    </row>
    <row r="47" spans="2:36">
      <c r="B47" s="1789" t="s">
        <v>3442</v>
      </c>
      <c r="D47" s="1784" t="s">
        <v>3406</v>
      </c>
      <c r="F47" s="1793">
        <v>937000</v>
      </c>
      <c r="H47" s="1786">
        <v>42689</v>
      </c>
      <c r="J47" s="1790">
        <v>42619</v>
      </c>
      <c r="L47" s="1781">
        <v>0.01</v>
      </c>
      <c r="N47" s="1784" t="s">
        <v>3397</v>
      </c>
      <c r="P47" s="1793"/>
      <c r="AB47" s="1785">
        <f t="shared" si="8"/>
        <v>937000</v>
      </c>
      <c r="AD47" s="1781" t="s">
        <v>3404</v>
      </c>
      <c r="AJ47" s="1794">
        <f>AB47/AJ$190</f>
        <v>1.0651030665681346E-2</v>
      </c>
    </row>
    <row r="48" spans="2:36">
      <c r="B48" s="1789" t="s">
        <v>3443</v>
      </c>
      <c r="D48" s="1784" t="s">
        <v>3406</v>
      </c>
      <c r="F48" s="1793">
        <v>1250000</v>
      </c>
      <c r="H48" s="1786">
        <v>42689</v>
      </c>
      <c r="J48" s="1790">
        <v>42619</v>
      </c>
      <c r="L48" s="1781">
        <v>0.01</v>
      </c>
      <c r="N48" s="1784" t="s">
        <v>3397</v>
      </c>
      <c r="P48" s="1793"/>
      <c r="AB48" s="1785">
        <f t="shared" si="8"/>
        <v>1250000</v>
      </c>
      <c r="AD48" s="1781" t="s">
        <v>3404</v>
      </c>
      <c r="AJ48" s="1794">
        <f>AB48/AJ$190</f>
        <v>1.4208952328817163E-2</v>
      </c>
    </row>
    <row r="49" spans="2:36">
      <c r="B49" s="1789" t="s">
        <v>3444</v>
      </c>
      <c r="D49" s="1784" t="s">
        <v>3406</v>
      </c>
      <c r="F49" s="1793">
        <v>87500</v>
      </c>
      <c r="H49" s="1786">
        <v>42689</v>
      </c>
      <c r="J49" s="1790">
        <v>42632</v>
      </c>
      <c r="L49" s="1781">
        <v>0.01</v>
      </c>
      <c r="N49" s="1784" t="s">
        <v>3397</v>
      </c>
      <c r="P49" s="1793"/>
      <c r="AB49" s="1785">
        <f t="shared" si="8"/>
        <v>87500</v>
      </c>
      <c r="AD49" s="1781" t="s">
        <v>3404</v>
      </c>
      <c r="AJ49" s="1794"/>
    </row>
    <row r="50" spans="2:36">
      <c r="B50" s="1789" t="s">
        <v>3445</v>
      </c>
      <c r="D50" s="1784" t="s">
        <v>3406</v>
      </c>
      <c r="F50" s="1793">
        <v>100000</v>
      </c>
      <c r="H50" s="1786">
        <v>42689</v>
      </c>
      <c r="J50" s="1790">
        <v>42632</v>
      </c>
      <c r="L50" s="1781">
        <v>0.01</v>
      </c>
      <c r="N50" s="1784" t="s">
        <v>3397</v>
      </c>
      <c r="P50" s="1793"/>
      <c r="AB50" s="1785">
        <f t="shared" si="8"/>
        <v>100000</v>
      </c>
      <c r="AD50" s="1781" t="s">
        <v>3404</v>
      </c>
      <c r="AJ50" s="1794"/>
    </row>
    <row r="51" spans="2:36">
      <c r="B51" s="1789" t="s">
        <v>3446</v>
      </c>
      <c r="D51" s="1784" t="s">
        <v>3406</v>
      </c>
      <c r="F51" s="1793">
        <v>150000</v>
      </c>
      <c r="H51" s="1786">
        <v>42689</v>
      </c>
      <c r="J51" s="1790">
        <v>42639</v>
      </c>
      <c r="L51" s="1781">
        <v>0.01</v>
      </c>
      <c r="N51" s="1784" t="s">
        <v>3397</v>
      </c>
      <c r="P51" s="1793">
        <v>150000</v>
      </c>
      <c r="AB51" s="1785">
        <f t="shared" si="8"/>
        <v>0</v>
      </c>
      <c r="AD51" s="1781" t="s">
        <v>3404</v>
      </c>
      <c r="AJ51" s="1794"/>
    </row>
    <row r="52" spans="2:36">
      <c r="B52" s="1789" t="s">
        <v>3447</v>
      </c>
      <c r="D52" s="1784" t="s">
        <v>3406</v>
      </c>
      <c r="F52" s="1793">
        <v>200000</v>
      </c>
      <c r="H52" s="1786">
        <v>42689</v>
      </c>
      <c r="J52" s="1790">
        <v>42646</v>
      </c>
      <c r="L52" s="1781">
        <v>0.01</v>
      </c>
      <c r="N52" s="1784" t="s">
        <v>3397</v>
      </c>
      <c r="P52" s="1793"/>
      <c r="AB52" s="1785">
        <f t="shared" si="8"/>
        <v>200000</v>
      </c>
      <c r="AD52" s="1781" t="s">
        <v>3404</v>
      </c>
      <c r="AJ52" s="1794"/>
    </row>
    <row r="53" spans="2:36">
      <c r="B53" s="1789" t="s">
        <v>3448</v>
      </c>
      <c r="D53" s="1784" t="s">
        <v>3406</v>
      </c>
      <c r="F53" s="1793">
        <v>26000</v>
      </c>
      <c r="H53" s="1786">
        <v>42689</v>
      </c>
      <c r="J53" s="1790">
        <v>42646</v>
      </c>
      <c r="L53" s="1781">
        <v>0.01</v>
      </c>
      <c r="N53" s="1784" t="s">
        <v>3397</v>
      </c>
      <c r="P53" s="1793"/>
      <c r="AB53" s="1785">
        <f t="shared" si="8"/>
        <v>26000</v>
      </c>
      <c r="AD53" s="1781" t="s">
        <v>3404</v>
      </c>
      <c r="AJ53" s="1794"/>
    </row>
    <row r="54" spans="2:36">
      <c r="B54" s="1789" t="s">
        <v>3449</v>
      </c>
      <c r="D54" s="1784" t="s">
        <v>3406</v>
      </c>
      <c r="F54" s="1793">
        <v>300000</v>
      </c>
      <c r="H54" s="1786">
        <v>42689</v>
      </c>
      <c r="J54" s="1790">
        <v>42674</v>
      </c>
      <c r="L54" s="1781">
        <v>0.01</v>
      </c>
      <c r="N54" s="1784" t="s">
        <v>3397</v>
      </c>
      <c r="P54" s="1793"/>
      <c r="AB54" s="1785">
        <f t="shared" si="8"/>
        <v>300000</v>
      </c>
      <c r="AD54" s="1781" t="s">
        <v>3404</v>
      </c>
      <c r="AJ54" s="1794"/>
    </row>
    <row r="55" spans="2:36">
      <c r="B55" s="1789" t="s">
        <v>3450</v>
      </c>
      <c r="D55" s="1784" t="s">
        <v>3413</v>
      </c>
      <c r="F55" s="1793">
        <v>15000</v>
      </c>
      <c r="H55" s="1786">
        <v>42689</v>
      </c>
      <c r="J55" s="1790">
        <v>42675</v>
      </c>
      <c r="L55" s="1781">
        <v>0.01</v>
      </c>
      <c r="N55" s="1784" t="s">
        <v>3397</v>
      </c>
      <c r="P55" s="1793"/>
      <c r="AB55" s="1785">
        <f t="shared" si="8"/>
        <v>15000</v>
      </c>
      <c r="AD55" s="1781" t="s">
        <v>3451</v>
      </c>
      <c r="AJ55" s="1794"/>
    </row>
    <row r="56" spans="2:36">
      <c r="B56" s="1789" t="s">
        <v>3452</v>
      </c>
      <c r="D56" s="1784" t="s">
        <v>3413</v>
      </c>
      <c r="F56" s="1793">
        <v>0</v>
      </c>
      <c r="H56" s="1786">
        <v>42689</v>
      </c>
      <c r="J56" s="1790">
        <v>42675</v>
      </c>
      <c r="L56" s="1781">
        <v>0.01</v>
      </c>
      <c r="N56" s="1784" t="s">
        <v>3397</v>
      </c>
      <c r="P56" s="1793"/>
      <c r="AB56" s="1785">
        <f t="shared" si="8"/>
        <v>0</v>
      </c>
      <c r="AD56" s="1781" t="s">
        <v>3451</v>
      </c>
      <c r="AJ56" s="1794"/>
    </row>
    <row r="57" spans="2:36">
      <c r="B57" s="1789" t="s">
        <v>3453</v>
      </c>
      <c r="D57" s="1784" t="s">
        <v>3413</v>
      </c>
      <c r="F57" s="1793">
        <v>15000</v>
      </c>
      <c r="H57" s="1786">
        <v>42689</v>
      </c>
      <c r="J57" s="1790">
        <v>42675</v>
      </c>
      <c r="L57" s="1781">
        <v>0.01</v>
      </c>
      <c r="N57" s="1784" t="s">
        <v>3397</v>
      </c>
      <c r="P57" s="1793"/>
      <c r="AB57" s="1785">
        <f t="shared" si="8"/>
        <v>15000</v>
      </c>
      <c r="AD57" s="1781" t="s">
        <v>3451</v>
      </c>
      <c r="AJ57" s="1794"/>
    </row>
    <row r="58" spans="2:36">
      <c r="B58" s="1789" t="s">
        <v>3454</v>
      </c>
      <c r="D58" s="1784" t="s">
        <v>3413</v>
      </c>
      <c r="F58" s="1793">
        <v>15000</v>
      </c>
      <c r="H58" s="1786">
        <v>42689</v>
      </c>
      <c r="J58" s="1790">
        <v>42675</v>
      </c>
      <c r="L58" s="1781">
        <v>0.01</v>
      </c>
      <c r="N58" s="1784" t="s">
        <v>3397</v>
      </c>
      <c r="P58" s="1793"/>
      <c r="AB58" s="1785">
        <f t="shared" si="8"/>
        <v>15000</v>
      </c>
      <c r="AD58" s="1781" t="s">
        <v>3451</v>
      </c>
      <c r="AJ58" s="1794"/>
    </row>
    <row r="59" spans="2:36">
      <c r="B59" s="1789" t="s">
        <v>3455</v>
      </c>
      <c r="D59" s="1784" t="s">
        <v>3413</v>
      </c>
      <c r="F59" s="1793">
        <v>150000</v>
      </c>
      <c r="H59" s="1786">
        <v>42689</v>
      </c>
      <c r="J59" s="1790">
        <v>42689</v>
      </c>
      <c r="L59" s="1781">
        <v>0.01</v>
      </c>
      <c r="N59" s="1784" t="s">
        <v>3397</v>
      </c>
      <c r="P59" s="1793"/>
      <c r="AB59" s="1785">
        <f t="shared" si="8"/>
        <v>150000</v>
      </c>
      <c r="AD59" s="1781" t="s">
        <v>3422</v>
      </c>
      <c r="AJ59" s="1794"/>
    </row>
    <row r="60" spans="2:36">
      <c r="B60" s="1789" t="s">
        <v>3456</v>
      </c>
      <c r="D60" s="1784" t="s">
        <v>3413</v>
      </c>
      <c r="F60" s="1793">
        <v>150000</v>
      </c>
      <c r="H60" s="1786">
        <v>42689</v>
      </c>
      <c r="J60" s="1790">
        <v>42689</v>
      </c>
      <c r="L60" s="1781">
        <v>0.01</v>
      </c>
      <c r="N60" s="1784" t="s">
        <v>3397</v>
      </c>
      <c r="P60" s="1793"/>
      <c r="AB60" s="1785">
        <f t="shared" si="8"/>
        <v>150000</v>
      </c>
      <c r="AD60" s="1781" t="s">
        <v>3422</v>
      </c>
      <c r="AJ60" s="1794"/>
    </row>
    <row r="61" spans="2:36">
      <c r="B61" s="1789" t="s">
        <v>3457</v>
      </c>
      <c r="D61" s="1784" t="s">
        <v>3413</v>
      </c>
      <c r="F61" s="1793">
        <v>150000</v>
      </c>
      <c r="H61" s="1786">
        <v>42689</v>
      </c>
      <c r="J61" s="1790">
        <v>42689</v>
      </c>
      <c r="L61" s="1781">
        <v>0.01</v>
      </c>
      <c r="N61" s="1784" t="s">
        <v>3397</v>
      </c>
      <c r="P61" s="1793"/>
      <c r="AB61" s="1785">
        <f t="shared" si="8"/>
        <v>150000</v>
      </c>
      <c r="AD61" s="1781" t="s">
        <v>3422</v>
      </c>
      <c r="AJ61" s="1794"/>
    </row>
    <row r="62" spans="2:36">
      <c r="B62" s="1789"/>
      <c r="D62" s="1784"/>
      <c r="F62" s="1793"/>
      <c r="H62" s="1786"/>
      <c r="J62" s="1790"/>
      <c r="N62" s="1784"/>
      <c r="P62" s="1793"/>
      <c r="AB62" s="1785"/>
      <c r="AJ62" s="1794"/>
    </row>
    <row r="63" spans="2:36">
      <c r="B63" s="1789" t="s">
        <v>3405</v>
      </c>
      <c r="D63" s="1784" t="s">
        <v>3406</v>
      </c>
      <c r="F63" s="1793">
        <v>99500</v>
      </c>
      <c r="H63" s="1786">
        <v>42689</v>
      </c>
      <c r="J63" s="1790">
        <f>J11</f>
        <v>42278</v>
      </c>
      <c r="L63" s="1781">
        <v>0.01</v>
      </c>
      <c r="N63" s="1784" t="s">
        <v>3397</v>
      </c>
      <c r="P63" s="1793">
        <v>45605</v>
      </c>
      <c r="AB63" s="1785">
        <f t="shared" ref="AB63:AB68" si="9">F63-P63</f>
        <v>53895</v>
      </c>
      <c r="AD63" s="1781" t="s">
        <v>3404</v>
      </c>
      <c r="AJ63" s="1794"/>
    </row>
    <row r="64" spans="2:36">
      <c r="B64" s="1789" t="s">
        <v>3426</v>
      </c>
      <c r="D64" s="1784" t="s">
        <v>3406</v>
      </c>
      <c r="F64" s="1793">
        <v>35000</v>
      </c>
      <c r="H64" s="1786">
        <v>42689</v>
      </c>
      <c r="J64" s="1790">
        <f>J30</f>
        <v>42436</v>
      </c>
      <c r="L64" s="1781">
        <v>0.01</v>
      </c>
      <c r="N64" s="1784" t="s">
        <v>3397</v>
      </c>
      <c r="P64" s="1793"/>
      <c r="AB64" s="1785">
        <f t="shared" si="9"/>
        <v>35000</v>
      </c>
      <c r="AD64" s="1781" t="s">
        <v>3404</v>
      </c>
      <c r="AJ64" s="1794"/>
    </row>
    <row r="65" spans="2:36">
      <c r="B65" s="1789" t="s">
        <v>3458</v>
      </c>
      <c r="D65" s="1784" t="s">
        <v>3406</v>
      </c>
      <c r="F65" s="1793">
        <v>20000</v>
      </c>
      <c r="H65" s="1786">
        <v>42689</v>
      </c>
      <c r="J65" s="1790">
        <f>J23</f>
        <v>42388</v>
      </c>
      <c r="L65" s="1781">
        <v>0.01</v>
      </c>
      <c r="N65" s="1784" t="s">
        <v>3397</v>
      </c>
      <c r="P65" s="1793"/>
      <c r="AB65" s="1785">
        <f t="shared" si="9"/>
        <v>20000</v>
      </c>
      <c r="AD65" s="1781" t="s">
        <v>3404</v>
      </c>
      <c r="AJ65" s="1794"/>
    </row>
    <row r="66" spans="2:36">
      <c r="B66" s="1789" t="s">
        <v>3459</v>
      </c>
      <c r="D66" s="1784" t="s">
        <v>3406</v>
      </c>
      <c r="F66" s="1793">
        <v>6000</v>
      </c>
      <c r="H66" s="1786">
        <v>42689</v>
      </c>
      <c r="J66" s="1790">
        <f>J22</f>
        <v>42373</v>
      </c>
      <c r="L66" s="1781">
        <v>0.01</v>
      </c>
      <c r="N66" s="1784" t="s">
        <v>3397</v>
      </c>
      <c r="P66" s="1793"/>
      <c r="AB66" s="1785">
        <f t="shared" si="9"/>
        <v>6000</v>
      </c>
      <c r="AD66" s="1781" t="s">
        <v>3404</v>
      </c>
      <c r="AJ66" s="1794"/>
    </row>
    <row r="67" spans="2:36">
      <c r="B67" s="1789" t="s">
        <v>3408</v>
      </c>
      <c r="D67" s="1784" t="s">
        <v>3406</v>
      </c>
      <c r="F67" s="1793">
        <v>9000</v>
      </c>
      <c r="H67" s="1786">
        <v>42689</v>
      </c>
      <c r="J67" s="1790">
        <f>J14</f>
        <v>42278</v>
      </c>
      <c r="L67" s="1781">
        <v>0.01</v>
      </c>
      <c r="N67" s="1784" t="s">
        <v>3397</v>
      </c>
      <c r="P67" s="1793"/>
      <c r="AB67" s="1785">
        <f t="shared" si="9"/>
        <v>9000</v>
      </c>
      <c r="AD67" s="1781" t="s">
        <v>3404</v>
      </c>
      <c r="AJ67" s="1794"/>
    </row>
    <row r="68" spans="2:36">
      <c r="B68" s="1789" t="s">
        <v>3418</v>
      </c>
      <c r="D68" s="1784" t="s">
        <v>3406</v>
      </c>
      <c r="F68" s="1793">
        <v>9000</v>
      </c>
      <c r="H68" s="1786">
        <v>42689</v>
      </c>
      <c r="J68" s="1790">
        <f>J21</f>
        <v>42373</v>
      </c>
      <c r="L68" s="1781">
        <v>0.01</v>
      </c>
      <c r="N68" s="1784" t="s">
        <v>3397</v>
      </c>
      <c r="P68" s="1793"/>
      <c r="AB68" s="1785">
        <f t="shared" si="9"/>
        <v>9000</v>
      </c>
      <c r="AD68" s="1781" t="s">
        <v>3404</v>
      </c>
      <c r="AJ68" s="1794"/>
    </row>
    <row r="69" spans="2:36">
      <c r="B69" s="1789"/>
      <c r="D69" s="1784"/>
      <c r="F69" s="1793"/>
      <c r="H69" s="1786"/>
      <c r="J69" s="1790"/>
      <c r="N69" s="1784"/>
      <c r="P69" s="1793"/>
      <c r="AB69" s="1785"/>
      <c r="AJ69" s="1794"/>
    </row>
    <row r="70" spans="2:36" ht="15.75">
      <c r="B70" s="1795" t="s">
        <v>3460</v>
      </c>
      <c r="D70" s="1784" t="s">
        <v>3406</v>
      </c>
      <c r="F70" s="1793">
        <v>200000</v>
      </c>
      <c r="H70" s="1786">
        <v>42788</v>
      </c>
      <c r="J70" s="1796">
        <v>42702</v>
      </c>
      <c r="L70" s="1781">
        <v>0.01</v>
      </c>
      <c r="N70" s="1784" t="s">
        <v>3397</v>
      </c>
      <c r="P70" s="1793"/>
      <c r="AB70" s="1785">
        <f t="shared" ref="AB70:AB75" si="10">F70-P70</f>
        <v>200000</v>
      </c>
      <c r="AD70" s="1781" t="s">
        <v>3404</v>
      </c>
      <c r="AF70" s="1781">
        <f t="shared" ref="AF70:AF75" si="11">+AB70/100</f>
        <v>2000</v>
      </c>
      <c r="AJ70" s="1794"/>
    </row>
    <row r="71" spans="2:36" ht="15.75">
      <c r="B71" s="1795" t="s">
        <v>3461</v>
      </c>
      <c r="D71" s="1784" t="s">
        <v>3406</v>
      </c>
      <c r="F71" s="1793">
        <v>65000</v>
      </c>
      <c r="H71" s="1786">
        <v>42788</v>
      </c>
      <c r="J71" s="1796">
        <v>42709</v>
      </c>
      <c r="L71" s="1781">
        <v>0.01</v>
      </c>
      <c r="N71" s="1784" t="s">
        <v>3397</v>
      </c>
      <c r="P71" s="1793"/>
      <c r="AB71" s="1785">
        <f t="shared" si="10"/>
        <v>65000</v>
      </c>
      <c r="AD71" s="1781" t="s">
        <v>3404</v>
      </c>
      <c r="AF71" s="1781">
        <f t="shared" si="11"/>
        <v>650</v>
      </c>
      <c r="AJ71" s="1794"/>
    </row>
    <row r="72" spans="2:36" ht="15.75">
      <c r="B72" s="1795" t="s">
        <v>3462</v>
      </c>
      <c r="D72" s="1784" t="s">
        <v>3406</v>
      </c>
      <c r="F72" s="1793">
        <v>937000</v>
      </c>
      <c r="H72" s="1786">
        <v>42788</v>
      </c>
      <c r="J72" s="1796">
        <v>42737</v>
      </c>
      <c r="L72" s="1781">
        <v>0.01</v>
      </c>
      <c r="N72" s="1784" t="s">
        <v>3397</v>
      </c>
      <c r="P72" s="1793"/>
      <c r="AB72" s="1785">
        <f t="shared" si="10"/>
        <v>937000</v>
      </c>
      <c r="AD72" s="1781" t="s">
        <v>3404</v>
      </c>
      <c r="AF72" s="1781">
        <f t="shared" si="11"/>
        <v>9370</v>
      </c>
      <c r="AJ72" s="1794"/>
    </row>
    <row r="73" spans="2:36" ht="15.75">
      <c r="B73" s="1795" t="s">
        <v>3463</v>
      </c>
      <c r="D73" s="1784" t="s">
        <v>3406</v>
      </c>
      <c r="F73" s="1793">
        <v>35000</v>
      </c>
      <c r="H73" s="1786">
        <v>42788</v>
      </c>
      <c r="J73" s="1796">
        <v>42744</v>
      </c>
      <c r="L73" s="1781">
        <v>0.01</v>
      </c>
      <c r="N73" s="1784" t="s">
        <v>3397</v>
      </c>
      <c r="P73" s="1793"/>
      <c r="AB73" s="1785">
        <f t="shared" si="10"/>
        <v>35000</v>
      </c>
      <c r="AD73" s="1781" t="s">
        <v>3404</v>
      </c>
      <c r="AF73" s="1781">
        <f t="shared" si="11"/>
        <v>350</v>
      </c>
      <c r="AJ73" s="1794"/>
    </row>
    <row r="74" spans="2:36" ht="15.75">
      <c r="B74" s="1795" t="s">
        <v>3464</v>
      </c>
      <c r="D74" s="1784" t="s">
        <v>3406</v>
      </c>
      <c r="F74" s="1793">
        <v>110000</v>
      </c>
      <c r="H74" s="1786">
        <v>42788</v>
      </c>
      <c r="J74" s="1786">
        <v>42774</v>
      </c>
      <c r="L74" s="1781">
        <v>0.01</v>
      </c>
      <c r="N74" s="1784" t="s">
        <v>3397</v>
      </c>
      <c r="P74" s="1793"/>
      <c r="AB74" s="1785">
        <f t="shared" si="10"/>
        <v>110000</v>
      </c>
      <c r="AD74" s="1781" t="s">
        <v>3404</v>
      </c>
      <c r="AF74" s="1781">
        <f t="shared" si="11"/>
        <v>1100</v>
      </c>
      <c r="AJ74" s="1794"/>
    </row>
    <row r="75" spans="2:36">
      <c r="B75" s="1789" t="s">
        <v>3444</v>
      </c>
      <c r="D75" s="1784" t="s">
        <v>3406</v>
      </c>
      <c r="F75" s="1793">
        <v>12500</v>
      </c>
      <c r="H75" s="1786">
        <v>42788</v>
      </c>
      <c r="J75" s="1790">
        <v>42632</v>
      </c>
      <c r="L75" s="1781">
        <v>0.01</v>
      </c>
      <c r="N75" s="1784" t="s">
        <v>3397</v>
      </c>
      <c r="P75" s="1793"/>
      <c r="AB75" s="1785">
        <f t="shared" si="10"/>
        <v>12500</v>
      </c>
      <c r="AD75" s="1781" t="s">
        <v>3404</v>
      </c>
      <c r="AF75" s="1781">
        <f t="shared" si="11"/>
        <v>125</v>
      </c>
      <c r="AJ75" s="1794"/>
    </row>
    <row r="76" spans="2:36">
      <c r="B76" s="1789"/>
      <c r="D76" s="1784"/>
      <c r="F76" s="1793"/>
      <c r="H76" s="1786"/>
      <c r="J76" s="1790"/>
      <c r="N76" s="1784"/>
      <c r="P76" s="1793"/>
      <c r="AB76" s="1785"/>
      <c r="AJ76" s="1794"/>
    </row>
    <row r="77" spans="2:36">
      <c r="B77" s="1789" t="s">
        <v>3465</v>
      </c>
      <c r="D77" s="1784" t="s">
        <v>3406</v>
      </c>
      <c r="F77" s="1793">
        <v>10500</v>
      </c>
      <c r="H77" s="1786">
        <v>42859</v>
      </c>
      <c r="J77" s="1790">
        <v>42736</v>
      </c>
      <c r="L77" s="1781">
        <v>0.01</v>
      </c>
      <c r="N77" s="1784" t="s">
        <v>3397</v>
      </c>
      <c r="P77" s="1793"/>
      <c r="AB77" s="1785">
        <f t="shared" ref="AB77:AB83" si="12">F77-P77</f>
        <v>10500</v>
      </c>
      <c r="AD77" s="1781" t="s">
        <v>3404</v>
      </c>
      <c r="AF77" s="1781">
        <v>105</v>
      </c>
      <c r="AJ77" s="1794"/>
    </row>
    <row r="78" spans="2:36">
      <c r="B78" s="1789" t="s">
        <v>3466</v>
      </c>
      <c r="D78" s="1784" t="s">
        <v>3406</v>
      </c>
      <c r="F78" s="1793">
        <v>106000</v>
      </c>
      <c r="H78" s="1786">
        <v>42859</v>
      </c>
      <c r="J78" s="1786">
        <v>42807</v>
      </c>
      <c r="L78" s="1781">
        <v>0.01</v>
      </c>
      <c r="N78" s="1784" t="s">
        <v>3397</v>
      </c>
      <c r="P78" s="1793"/>
      <c r="AB78" s="1785">
        <f t="shared" si="12"/>
        <v>106000</v>
      </c>
      <c r="AD78" s="1781" t="s">
        <v>3404</v>
      </c>
      <c r="AF78" s="1781">
        <v>1060</v>
      </c>
      <c r="AJ78" s="1794"/>
    </row>
    <row r="79" spans="2:36">
      <c r="B79" s="1789" t="s">
        <v>3467</v>
      </c>
      <c r="D79" s="1784" t="s">
        <v>3406</v>
      </c>
      <c r="F79" s="1793">
        <v>200000</v>
      </c>
      <c r="H79" s="1786">
        <v>42859</v>
      </c>
      <c r="J79" s="1786">
        <v>42807</v>
      </c>
      <c r="L79" s="1781">
        <v>0.01</v>
      </c>
      <c r="N79" s="1784" t="s">
        <v>3397</v>
      </c>
      <c r="P79" s="1793"/>
      <c r="AB79" s="1785">
        <f t="shared" si="12"/>
        <v>200000</v>
      </c>
      <c r="AD79" s="1781" t="s">
        <v>3404</v>
      </c>
      <c r="AF79" s="1781">
        <v>2000</v>
      </c>
      <c r="AJ79" s="1794"/>
    </row>
    <row r="80" spans="2:36">
      <c r="B80" s="1789" t="s">
        <v>3468</v>
      </c>
      <c r="D80" s="1784" t="s">
        <v>3406</v>
      </c>
      <c r="F80" s="1793">
        <v>65000</v>
      </c>
      <c r="H80" s="1786">
        <v>42859</v>
      </c>
      <c r="J80" s="1786">
        <v>42821</v>
      </c>
      <c r="L80" s="1781">
        <v>0.01</v>
      </c>
      <c r="N80" s="1784" t="s">
        <v>3397</v>
      </c>
      <c r="P80" s="1793"/>
      <c r="AB80" s="1785">
        <f t="shared" si="12"/>
        <v>65000</v>
      </c>
      <c r="AD80" s="1781" t="s">
        <v>3404</v>
      </c>
      <c r="AF80" s="1781">
        <v>650</v>
      </c>
      <c r="AJ80" s="1794"/>
    </row>
    <row r="81" spans="2:36">
      <c r="B81" s="1789" t="s">
        <v>3469</v>
      </c>
      <c r="D81" s="1784" t="s">
        <v>3406</v>
      </c>
      <c r="F81" s="1793">
        <v>26000</v>
      </c>
      <c r="H81" s="1786">
        <v>42859</v>
      </c>
      <c r="J81" s="1786">
        <v>42828</v>
      </c>
      <c r="L81" s="1781">
        <v>0.01</v>
      </c>
      <c r="N81" s="1784" t="s">
        <v>3397</v>
      </c>
      <c r="P81" s="1793"/>
      <c r="AB81" s="1785">
        <f t="shared" si="12"/>
        <v>26000</v>
      </c>
      <c r="AD81" s="1781" t="s">
        <v>3404</v>
      </c>
      <c r="AF81" s="1781">
        <v>260</v>
      </c>
      <c r="AJ81" s="1794"/>
    </row>
    <row r="82" spans="2:36">
      <c r="B82" s="1789" t="s">
        <v>3470</v>
      </c>
      <c r="D82" s="1784" t="s">
        <v>3406</v>
      </c>
      <c r="F82" s="1793">
        <v>170000</v>
      </c>
      <c r="H82" s="1786">
        <v>42859</v>
      </c>
      <c r="J82" s="1786">
        <v>42835</v>
      </c>
      <c r="L82" s="1781">
        <v>0.01</v>
      </c>
      <c r="N82" s="1784" t="s">
        <v>3397</v>
      </c>
      <c r="P82" s="1793"/>
      <c r="AB82" s="1785">
        <f t="shared" si="12"/>
        <v>170000</v>
      </c>
      <c r="AD82" s="1781" t="s">
        <v>3404</v>
      </c>
      <c r="AF82" s="1781">
        <v>1700</v>
      </c>
      <c r="AJ82" s="1794"/>
    </row>
    <row r="83" spans="2:36">
      <c r="B83" s="1789" t="s">
        <v>3459</v>
      </c>
      <c r="D83" s="1784" t="s">
        <v>3406</v>
      </c>
      <c r="F83" s="1793">
        <v>19000</v>
      </c>
      <c r="H83" s="1786">
        <v>42859</v>
      </c>
      <c r="J83" s="1786">
        <v>42856</v>
      </c>
      <c r="L83" s="1781">
        <v>0.01</v>
      </c>
      <c r="N83" s="1784" t="s">
        <v>3397</v>
      </c>
      <c r="P83" s="1793"/>
      <c r="AB83" s="1785">
        <f t="shared" si="12"/>
        <v>19000</v>
      </c>
      <c r="AD83" s="1781" t="s">
        <v>3471</v>
      </c>
      <c r="AF83" s="1781">
        <v>190</v>
      </c>
      <c r="AJ83" s="1794"/>
    </row>
    <row r="84" spans="2:36">
      <c r="B84" s="1789"/>
      <c r="D84" s="1784"/>
      <c r="F84" s="1793"/>
      <c r="H84" s="1786"/>
      <c r="J84" s="1786"/>
      <c r="N84" s="1784"/>
      <c r="P84" s="1793"/>
      <c r="AB84" s="1785"/>
      <c r="AJ84" s="1794"/>
    </row>
    <row r="85" spans="2:36">
      <c r="B85" s="1789" t="s">
        <v>3437</v>
      </c>
      <c r="D85" s="1784" t="s">
        <v>3406</v>
      </c>
      <c r="F85" s="1793">
        <v>1421561</v>
      </c>
      <c r="H85" s="1786">
        <v>42926</v>
      </c>
      <c r="J85" s="1786">
        <v>42926</v>
      </c>
      <c r="L85" s="1781">
        <v>0.01</v>
      </c>
      <c r="N85" s="1784" t="s">
        <v>3397</v>
      </c>
      <c r="P85" s="1793"/>
      <c r="AB85" s="1785">
        <f t="shared" ref="AB85:AB93" si="13">F85-P85</f>
        <v>1421561</v>
      </c>
      <c r="AD85" s="1781" t="s">
        <v>3471</v>
      </c>
      <c r="AF85" s="1781" t="s">
        <v>3472</v>
      </c>
      <c r="AJ85" s="1794"/>
    </row>
    <row r="86" spans="2:36">
      <c r="B86" s="1789" t="s">
        <v>3439</v>
      </c>
      <c r="D86" s="1784" t="s">
        <v>3406</v>
      </c>
      <c r="F86" s="1793">
        <v>319454</v>
      </c>
      <c r="H86" s="1786">
        <v>42926</v>
      </c>
      <c r="J86" s="1786">
        <v>42926</v>
      </c>
      <c r="L86" s="1781">
        <v>0.01</v>
      </c>
      <c r="N86" s="1784" t="s">
        <v>3397</v>
      </c>
      <c r="P86" s="1793"/>
      <c r="AB86" s="1785">
        <f t="shared" si="13"/>
        <v>319454</v>
      </c>
      <c r="AD86" s="1781" t="s">
        <v>3471</v>
      </c>
      <c r="AF86" s="1781" t="s">
        <v>3472</v>
      </c>
      <c r="AJ86" s="1794"/>
    </row>
    <row r="87" spans="2:36">
      <c r="B87" s="1789" t="s">
        <v>3473</v>
      </c>
      <c r="D87" s="1784" t="s">
        <v>3413</v>
      </c>
      <c r="F87" s="1793">
        <v>60000</v>
      </c>
      <c r="H87" s="1786">
        <v>42926</v>
      </c>
      <c r="J87" s="1786">
        <v>42473</v>
      </c>
      <c r="L87" s="1781">
        <v>0.01</v>
      </c>
      <c r="N87" s="1784" t="s">
        <v>3397</v>
      </c>
      <c r="P87" s="1793"/>
      <c r="AB87" s="1785">
        <f t="shared" si="13"/>
        <v>60000</v>
      </c>
      <c r="AD87" s="1781" t="s">
        <v>3474</v>
      </c>
      <c r="AJ87" s="1794"/>
    </row>
    <row r="88" spans="2:36">
      <c r="B88" s="1789" t="s">
        <v>3475</v>
      </c>
      <c r="D88" s="1784" t="s">
        <v>3413</v>
      </c>
      <c r="F88" s="1793">
        <v>60000</v>
      </c>
      <c r="H88" s="1786">
        <v>42926</v>
      </c>
      <c r="J88" s="1786">
        <v>42361</v>
      </c>
      <c r="L88" s="1781">
        <v>0.01</v>
      </c>
      <c r="N88" s="1784" t="s">
        <v>3397</v>
      </c>
      <c r="P88" s="1793"/>
      <c r="AB88" s="1785">
        <f t="shared" si="13"/>
        <v>60000</v>
      </c>
      <c r="AD88" s="1781" t="s">
        <v>3474</v>
      </c>
      <c r="AF88" s="1781" t="s">
        <v>3472</v>
      </c>
      <c r="AJ88" s="1794"/>
    </row>
    <row r="89" spans="2:36">
      <c r="B89" s="1789" t="s">
        <v>3476</v>
      </c>
      <c r="D89" s="1784" t="s">
        <v>3413</v>
      </c>
      <c r="F89" s="1793">
        <v>60000</v>
      </c>
      <c r="H89" s="1786">
        <v>42926</v>
      </c>
      <c r="J89" s="1786">
        <v>42404</v>
      </c>
      <c r="L89" s="1781">
        <v>0.01</v>
      </c>
      <c r="N89" s="1784" t="s">
        <v>3397</v>
      </c>
      <c r="P89" s="1793"/>
      <c r="AB89" s="1785">
        <f t="shared" si="13"/>
        <v>60000</v>
      </c>
      <c r="AD89" s="1781" t="s">
        <v>3474</v>
      </c>
      <c r="AF89" s="1781" t="s">
        <v>3472</v>
      </c>
      <c r="AJ89" s="1794"/>
    </row>
    <row r="90" spans="2:36">
      <c r="B90" s="1789" t="s">
        <v>3477</v>
      </c>
      <c r="D90" s="1784" t="s">
        <v>3413</v>
      </c>
      <c r="F90" s="1793">
        <v>60000</v>
      </c>
      <c r="H90" s="1786">
        <v>42926</v>
      </c>
      <c r="J90" s="1786">
        <v>42393</v>
      </c>
      <c r="L90" s="1781">
        <v>0.01</v>
      </c>
      <c r="N90" s="1784" t="s">
        <v>3397</v>
      </c>
      <c r="P90" s="1793"/>
      <c r="AB90" s="1785">
        <f t="shared" si="13"/>
        <v>60000</v>
      </c>
      <c r="AD90" s="1781" t="s">
        <v>3474</v>
      </c>
      <c r="AF90" s="1781" t="s">
        <v>3472</v>
      </c>
      <c r="AJ90" s="1794"/>
    </row>
    <row r="91" spans="2:36">
      <c r="B91" s="1789" t="s">
        <v>3478</v>
      </c>
      <c r="D91" s="1784" t="s">
        <v>3413</v>
      </c>
      <c r="F91" s="1793">
        <v>15000</v>
      </c>
      <c r="H91" s="1786">
        <v>42926</v>
      </c>
      <c r="J91" s="1786">
        <v>42926</v>
      </c>
      <c r="L91" s="1781">
        <v>0.01</v>
      </c>
      <c r="N91" s="1784" t="s">
        <v>3397</v>
      </c>
      <c r="P91" s="1793"/>
      <c r="AB91" s="1785">
        <f t="shared" si="13"/>
        <v>15000</v>
      </c>
      <c r="AD91" s="1781" t="s">
        <v>3479</v>
      </c>
      <c r="AF91" s="1781" t="s">
        <v>3472</v>
      </c>
      <c r="AJ91" s="1794"/>
    </row>
    <row r="92" spans="2:36">
      <c r="B92" s="1789" t="s">
        <v>3480</v>
      </c>
      <c r="D92" s="1784" t="s">
        <v>3413</v>
      </c>
      <c r="F92" s="1793">
        <v>15000</v>
      </c>
      <c r="H92" s="1786">
        <v>42926</v>
      </c>
      <c r="J92" s="1786">
        <v>42926</v>
      </c>
      <c r="L92" s="1781">
        <v>0.01</v>
      </c>
      <c r="N92" s="1784" t="s">
        <v>3397</v>
      </c>
      <c r="P92" s="1793"/>
      <c r="AB92" s="1785">
        <f t="shared" si="13"/>
        <v>15000</v>
      </c>
      <c r="AD92" s="1781" t="s">
        <v>3479</v>
      </c>
      <c r="AJ92" s="1794"/>
    </row>
    <row r="93" spans="2:36">
      <c r="B93" s="1789" t="s">
        <v>3481</v>
      </c>
      <c r="D93" s="1784" t="s">
        <v>3413</v>
      </c>
      <c r="F93" s="1793">
        <v>15000</v>
      </c>
      <c r="H93" s="1786">
        <v>42926</v>
      </c>
      <c r="J93" s="1786">
        <v>42926</v>
      </c>
      <c r="L93" s="1781">
        <v>0.01</v>
      </c>
      <c r="N93" s="1784" t="s">
        <v>3397</v>
      </c>
      <c r="P93" s="1793"/>
      <c r="AB93" s="1785">
        <f t="shared" si="13"/>
        <v>15000</v>
      </c>
      <c r="AD93" s="1781" t="s">
        <v>3479</v>
      </c>
      <c r="AF93" s="1781" t="s">
        <v>3472</v>
      </c>
      <c r="AJ93" s="1794"/>
    </row>
    <row r="94" spans="2:36">
      <c r="B94" s="1789"/>
      <c r="D94" s="1784"/>
      <c r="F94" s="1793"/>
      <c r="H94" s="1786"/>
      <c r="J94" s="1786"/>
      <c r="N94" s="1784"/>
      <c r="P94" s="1793"/>
      <c r="AB94" s="1785"/>
      <c r="AJ94" s="1794"/>
    </row>
    <row r="95" spans="2:36">
      <c r="B95" s="1789" t="s">
        <v>3482</v>
      </c>
      <c r="D95" s="1784" t="s">
        <v>3406</v>
      </c>
      <c r="F95" s="1793">
        <v>35000</v>
      </c>
      <c r="H95" s="1786">
        <v>42943</v>
      </c>
      <c r="J95" s="1786">
        <v>42926</v>
      </c>
      <c r="L95" s="1781">
        <v>0.01</v>
      </c>
      <c r="N95" s="1784" t="s">
        <v>3397</v>
      </c>
      <c r="P95" s="1793"/>
      <c r="AB95" s="1785">
        <f>F95-P95</f>
        <v>35000</v>
      </c>
      <c r="AD95" s="1781" t="s">
        <v>3404</v>
      </c>
      <c r="AF95" s="1781" t="s">
        <v>3472</v>
      </c>
      <c r="AJ95" s="1794"/>
    </row>
    <row r="96" spans="2:36">
      <c r="B96" s="1789" t="s">
        <v>3483</v>
      </c>
      <c r="D96" s="1784" t="s">
        <v>3406</v>
      </c>
      <c r="F96" s="1793">
        <v>65000</v>
      </c>
      <c r="H96" s="1786">
        <v>42943</v>
      </c>
      <c r="J96" s="1786">
        <v>42926</v>
      </c>
      <c r="L96" s="1781">
        <v>0.01</v>
      </c>
      <c r="N96" s="1784" t="s">
        <v>3397</v>
      </c>
      <c r="P96" s="1793"/>
      <c r="AB96" s="1785">
        <f>F96-P96</f>
        <v>65000</v>
      </c>
      <c r="AD96" s="1781" t="s">
        <v>3404</v>
      </c>
      <c r="AF96" s="1781" t="s">
        <v>3472</v>
      </c>
      <c r="AJ96" s="1794"/>
    </row>
    <row r="97" spans="2:36">
      <c r="B97" s="1789" t="s">
        <v>3484</v>
      </c>
      <c r="D97" s="1784" t="s">
        <v>3406</v>
      </c>
      <c r="F97" s="1793">
        <v>26000</v>
      </c>
      <c r="H97" s="1786">
        <v>42943</v>
      </c>
      <c r="J97" s="1786">
        <v>42940</v>
      </c>
      <c r="L97" s="1781">
        <v>0.01</v>
      </c>
      <c r="N97" s="1784" t="s">
        <v>3397</v>
      </c>
      <c r="P97" s="1793"/>
      <c r="AB97" s="1785">
        <f>F97-P97</f>
        <v>26000</v>
      </c>
      <c r="AD97" s="1781" t="s">
        <v>3404</v>
      </c>
      <c r="AF97" s="1781" t="s">
        <v>3472</v>
      </c>
      <c r="AJ97" s="1794"/>
    </row>
    <row r="98" spans="2:36">
      <c r="B98" s="1789" t="s">
        <v>3485</v>
      </c>
      <c r="D98" s="1784" t="s">
        <v>3406</v>
      </c>
      <c r="F98" s="1793">
        <v>13500</v>
      </c>
      <c r="H98" s="1786">
        <v>42943</v>
      </c>
      <c r="J98" s="1786">
        <v>42940</v>
      </c>
      <c r="L98" s="1781">
        <v>0.01</v>
      </c>
      <c r="N98" s="1784" t="s">
        <v>3397</v>
      </c>
      <c r="P98" s="1793"/>
      <c r="AB98" s="1785">
        <f>F98-P98</f>
        <v>13500</v>
      </c>
      <c r="AD98" s="1781" t="s">
        <v>3404</v>
      </c>
      <c r="AJ98" s="1794"/>
    </row>
    <row r="99" spans="2:36">
      <c r="B99" s="1789"/>
      <c r="D99" s="1784"/>
      <c r="F99" s="1793"/>
      <c r="H99" s="1786"/>
      <c r="J99" s="1786"/>
      <c r="N99" s="1784"/>
      <c r="P99" s="1793"/>
      <c r="AB99" s="1785"/>
      <c r="AJ99" s="1794"/>
    </row>
    <row r="100" spans="2:36">
      <c r="B100" s="1789" t="s">
        <v>3486</v>
      </c>
      <c r="D100" s="1784" t="s">
        <v>3406</v>
      </c>
      <c r="F100" s="1793">
        <v>86000</v>
      </c>
      <c r="H100" s="1786">
        <v>43053</v>
      </c>
      <c r="J100" s="1786">
        <v>42975</v>
      </c>
      <c r="L100" s="1781">
        <v>0.01</v>
      </c>
      <c r="N100" s="1784" t="s">
        <v>3397</v>
      </c>
      <c r="AB100" s="1785">
        <f t="shared" ref="AB100:AB107" si="14">F100-P100</f>
        <v>86000</v>
      </c>
      <c r="AD100" s="1781" t="s">
        <v>3404</v>
      </c>
      <c r="AF100" s="1781" t="s">
        <v>3472</v>
      </c>
      <c r="AJ100" s="1794"/>
    </row>
    <row r="101" spans="2:36">
      <c r="B101" s="1789" t="s">
        <v>3487</v>
      </c>
      <c r="D101" s="1784" t="s">
        <v>3406</v>
      </c>
      <c r="F101" s="1793">
        <v>200000</v>
      </c>
      <c r="H101" s="1786">
        <v>43053</v>
      </c>
      <c r="J101" s="1786">
        <v>42989</v>
      </c>
      <c r="L101" s="1781">
        <v>0.01</v>
      </c>
      <c r="N101" s="1784" t="s">
        <v>3397</v>
      </c>
      <c r="AB101" s="1785">
        <f t="shared" si="14"/>
        <v>200000</v>
      </c>
      <c r="AD101" s="1781" t="s">
        <v>3404</v>
      </c>
      <c r="AF101" s="1781" t="s">
        <v>3472</v>
      </c>
      <c r="AJ101" s="1794"/>
    </row>
    <row r="102" spans="2:36">
      <c r="B102" s="1789" t="s">
        <v>3488</v>
      </c>
      <c r="D102" s="1784" t="s">
        <v>3406</v>
      </c>
      <c r="F102" s="1793">
        <v>35000</v>
      </c>
      <c r="H102" s="1786">
        <v>43053</v>
      </c>
      <c r="J102" s="1786">
        <v>42996</v>
      </c>
      <c r="L102" s="1781">
        <v>0.01</v>
      </c>
      <c r="N102" s="1784" t="s">
        <v>3397</v>
      </c>
      <c r="AB102" s="1785">
        <f t="shared" si="14"/>
        <v>35000</v>
      </c>
      <c r="AD102" s="1781" t="s">
        <v>3404</v>
      </c>
      <c r="AF102" s="1781" t="s">
        <v>3472</v>
      </c>
      <c r="AJ102" s="1794"/>
    </row>
    <row r="103" spans="2:36">
      <c r="B103" s="1789" t="s">
        <v>3489</v>
      </c>
      <c r="D103" s="1784" t="s">
        <v>3406</v>
      </c>
      <c r="F103" s="1793">
        <v>10500</v>
      </c>
      <c r="H103" s="1786">
        <v>43053</v>
      </c>
      <c r="J103" s="1786">
        <v>43045</v>
      </c>
      <c r="L103" s="1781">
        <v>0.01</v>
      </c>
      <c r="N103" s="1784" t="s">
        <v>3397</v>
      </c>
      <c r="AB103" s="1785">
        <f t="shared" si="14"/>
        <v>10500</v>
      </c>
      <c r="AD103" s="1781" t="s">
        <v>3404</v>
      </c>
      <c r="AF103" s="1781" t="s">
        <v>3472</v>
      </c>
      <c r="AJ103" s="1794"/>
    </row>
    <row r="104" spans="2:36">
      <c r="B104" s="1789" t="s">
        <v>3447</v>
      </c>
      <c r="D104" s="1784" t="s">
        <v>3406</v>
      </c>
      <c r="F104" s="1793">
        <v>100000</v>
      </c>
      <c r="H104" s="1786">
        <v>43053</v>
      </c>
      <c r="J104" s="1786">
        <v>43038</v>
      </c>
      <c r="L104" s="1781">
        <v>0.01</v>
      </c>
      <c r="N104" s="1784" t="s">
        <v>3397</v>
      </c>
      <c r="AB104" s="1785">
        <f t="shared" si="14"/>
        <v>100000</v>
      </c>
      <c r="AD104" s="1781" t="s">
        <v>3471</v>
      </c>
      <c r="AF104" s="1781" t="s">
        <v>3472</v>
      </c>
      <c r="AJ104" s="1794"/>
    </row>
    <row r="105" spans="2:36">
      <c r="B105" s="1789" t="s">
        <v>3466</v>
      </c>
      <c r="D105" s="1784" t="s">
        <v>3406</v>
      </c>
      <c r="F105" s="1793">
        <v>24000</v>
      </c>
      <c r="H105" s="1786">
        <v>43053</v>
      </c>
      <c r="J105" s="1786">
        <v>43038</v>
      </c>
      <c r="L105" s="1781">
        <v>0.01</v>
      </c>
      <c r="N105" s="1784" t="s">
        <v>3397</v>
      </c>
      <c r="AB105" s="1785">
        <f t="shared" si="14"/>
        <v>24000</v>
      </c>
      <c r="AD105" s="1781" t="s">
        <v>3471</v>
      </c>
      <c r="AF105" s="1781" t="s">
        <v>3472</v>
      </c>
      <c r="AJ105" s="1794"/>
    </row>
    <row r="106" spans="2:36">
      <c r="B106" s="1789" t="s">
        <v>3441</v>
      </c>
      <c r="D106" s="1784" t="s">
        <v>3406</v>
      </c>
      <c r="F106" s="1793">
        <v>25000</v>
      </c>
      <c r="H106" s="1786">
        <v>43053</v>
      </c>
      <c r="J106" s="1786">
        <v>43045</v>
      </c>
      <c r="L106" s="1781">
        <v>0.01</v>
      </c>
      <c r="N106" s="1784" t="s">
        <v>3397</v>
      </c>
      <c r="AB106" s="1785">
        <f t="shared" si="14"/>
        <v>25000</v>
      </c>
      <c r="AD106" s="1781" t="s">
        <v>3471</v>
      </c>
      <c r="AF106" s="1781" t="s">
        <v>3472</v>
      </c>
      <c r="AJ106" s="1794"/>
    </row>
    <row r="107" spans="2:36">
      <c r="B107" s="1789" t="s">
        <v>3459</v>
      </c>
      <c r="D107" s="1784" t="s">
        <v>3406</v>
      </c>
      <c r="F107" s="1793">
        <v>25000</v>
      </c>
      <c r="H107" s="1786">
        <v>43053</v>
      </c>
      <c r="J107" s="1786">
        <v>43045</v>
      </c>
      <c r="L107" s="1781">
        <v>0.01</v>
      </c>
      <c r="N107" s="1784" t="s">
        <v>3397</v>
      </c>
      <c r="AB107" s="1785">
        <f t="shared" si="14"/>
        <v>25000</v>
      </c>
      <c r="AD107" s="1781" t="s">
        <v>3471</v>
      </c>
      <c r="AF107" s="1781" t="s">
        <v>3472</v>
      </c>
      <c r="AJ107" s="1794"/>
    </row>
    <row r="108" spans="2:36">
      <c r="B108" s="1789"/>
      <c r="D108" s="1784"/>
      <c r="F108" s="1793"/>
      <c r="H108" s="1786"/>
      <c r="J108" s="1786"/>
      <c r="N108" s="1784"/>
      <c r="P108" s="1793"/>
      <c r="AB108" s="1785"/>
      <c r="AJ108" s="1794"/>
    </row>
    <row r="109" spans="2:36">
      <c r="B109" s="1789" t="s">
        <v>3490</v>
      </c>
      <c r="D109" s="1784" t="s">
        <v>3406</v>
      </c>
      <c r="F109" s="1793">
        <f>86000+2500</f>
        <v>88500</v>
      </c>
      <c r="H109" s="1786">
        <v>43158</v>
      </c>
      <c r="J109" s="1786">
        <v>43059</v>
      </c>
      <c r="L109" s="1781">
        <v>0.05</v>
      </c>
      <c r="N109" s="1784" t="s">
        <v>3397</v>
      </c>
      <c r="AB109" s="1785">
        <f t="shared" ref="AB109:AB118" si="15">F109-P109</f>
        <v>88500</v>
      </c>
      <c r="AD109" s="1781" t="s">
        <v>3404</v>
      </c>
      <c r="AH109" s="1781" t="s">
        <v>3491</v>
      </c>
      <c r="AJ109" s="1794"/>
    </row>
    <row r="110" spans="2:36">
      <c r="B110" s="1789" t="s">
        <v>3492</v>
      </c>
      <c r="D110" s="1784" t="s">
        <v>3406</v>
      </c>
      <c r="F110" s="1793">
        <f>200000+4700</f>
        <v>204700</v>
      </c>
      <c r="H110" s="1786">
        <v>43158</v>
      </c>
      <c r="J110" s="1786">
        <v>43066</v>
      </c>
      <c r="L110" s="1781">
        <v>0.05</v>
      </c>
      <c r="N110" s="1784" t="s">
        <v>3397</v>
      </c>
      <c r="AB110" s="1785">
        <f t="shared" si="15"/>
        <v>204700</v>
      </c>
      <c r="AD110" s="1781" t="s">
        <v>3404</v>
      </c>
      <c r="AH110" s="1781" t="s">
        <v>3491</v>
      </c>
      <c r="AJ110" s="1794"/>
    </row>
    <row r="111" spans="2:36">
      <c r="B111" s="1789" t="s">
        <v>3493</v>
      </c>
      <c r="D111" s="1784" t="s">
        <v>3406</v>
      </c>
      <c r="F111" s="1793">
        <f>225000+3200</f>
        <v>228200</v>
      </c>
      <c r="H111" s="1786">
        <v>43158</v>
      </c>
      <c r="J111" s="1786">
        <v>43080</v>
      </c>
      <c r="L111" s="1781">
        <v>0.05</v>
      </c>
      <c r="N111" s="1784" t="s">
        <v>3397</v>
      </c>
      <c r="P111" s="1793"/>
      <c r="AB111" s="1785">
        <f t="shared" si="15"/>
        <v>228200</v>
      </c>
      <c r="AD111" s="1781" t="s">
        <v>3404</v>
      </c>
      <c r="AH111" s="1781" t="s">
        <v>3491</v>
      </c>
      <c r="AJ111" s="1794"/>
    </row>
    <row r="112" spans="2:36">
      <c r="B112" s="1789" t="s">
        <v>3494</v>
      </c>
      <c r="D112" s="1784" t="s">
        <v>3406</v>
      </c>
      <c r="F112" s="1793">
        <v>35000</v>
      </c>
      <c r="H112" s="1786">
        <v>43158</v>
      </c>
      <c r="J112" s="1786">
        <v>43102</v>
      </c>
      <c r="L112" s="1781">
        <v>0.05</v>
      </c>
      <c r="N112" s="1784" t="s">
        <v>3397</v>
      </c>
      <c r="P112" s="1793"/>
      <c r="AB112" s="1785">
        <f t="shared" si="15"/>
        <v>35000</v>
      </c>
      <c r="AD112" s="1781" t="s">
        <v>3404</v>
      </c>
      <c r="AJ112" s="1794"/>
    </row>
    <row r="113" spans="2:36">
      <c r="B113" s="1789" t="s">
        <v>3495</v>
      </c>
      <c r="D113" s="1784" t="s">
        <v>3406</v>
      </c>
      <c r="F113" s="1793">
        <v>300000</v>
      </c>
      <c r="H113" s="1786">
        <v>43158</v>
      </c>
      <c r="J113" s="1786">
        <v>43102</v>
      </c>
      <c r="L113" s="1781">
        <v>0.05</v>
      </c>
      <c r="N113" s="1784" t="s">
        <v>3397</v>
      </c>
      <c r="P113" s="1793"/>
      <c r="AB113" s="1785">
        <f t="shared" si="15"/>
        <v>300000</v>
      </c>
      <c r="AD113" s="1781" t="s">
        <v>3404</v>
      </c>
      <c r="AJ113" s="1794"/>
    </row>
    <row r="114" spans="2:36">
      <c r="B114" s="1789" t="s">
        <v>3496</v>
      </c>
      <c r="D114" s="1784" t="s">
        <v>3406</v>
      </c>
      <c r="F114" s="1793">
        <v>65000</v>
      </c>
      <c r="H114" s="1786">
        <v>43158</v>
      </c>
      <c r="J114" s="1786">
        <v>43136</v>
      </c>
      <c r="L114" s="1781">
        <v>0.05</v>
      </c>
      <c r="N114" s="1784" t="s">
        <v>3397</v>
      </c>
      <c r="P114" s="1793"/>
      <c r="AB114" s="1785">
        <f t="shared" si="15"/>
        <v>65000</v>
      </c>
      <c r="AD114" s="1781" t="s">
        <v>3404</v>
      </c>
      <c r="AJ114" s="1794"/>
    </row>
    <row r="115" spans="2:36">
      <c r="B115" s="1789" t="s">
        <v>3497</v>
      </c>
      <c r="D115" s="1784" t="s">
        <v>3406</v>
      </c>
      <c r="F115" s="1793">
        <v>13000</v>
      </c>
      <c r="H115" s="1786">
        <v>43158</v>
      </c>
      <c r="J115" s="1786">
        <v>43151</v>
      </c>
      <c r="L115" s="1781">
        <v>0.05</v>
      </c>
      <c r="N115" s="1784" t="s">
        <v>3397</v>
      </c>
      <c r="P115" s="1793"/>
      <c r="AB115" s="1785">
        <f t="shared" si="15"/>
        <v>13000</v>
      </c>
      <c r="AD115" s="1781" t="s">
        <v>3404</v>
      </c>
      <c r="AJ115" s="1794"/>
    </row>
    <row r="116" spans="2:36">
      <c r="B116" s="1789" t="s">
        <v>3498</v>
      </c>
      <c r="D116" s="1784" t="s">
        <v>3406</v>
      </c>
      <c r="F116" s="1793">
        <v>86000</v>
      </c>
      <c r="H116" s="1786">
        <v>43158</v>
      </c>
      <c r="J116" s="1786">
        <v>43151</v>
      </c>
      <c r="L116" s="1781">
        <v>0.05</v>
      </c>
      <c r="N116" s="1784" t="s">
        <v>3397</v>
      </c>
      <c r="P116" s="1793"/>
      <c r="AB116" s="1785">
        <f t="shared" si="15"/>
        <v>86000</v>
      </c>
      <c r="AD116" s="1781" t="s">
        <v>3404</v>
      </c>
      <c r="AJ116" s="1794"/>
    </row>
    <row r="117" spans="2:36">
      <c r="B117" s="1789" t="s">
        <v>3499</v>
      </c>
      <c r="D117" s="1784" t="s">
        <v>3406</v>
      </c>
      <c r="F117" s="1793">
        <v>65000</v>
      </c>
      <c r="H117" s="1786">
        <v>43158</v>
      </c>
      <c r="J117" s="1786">
        <v>43157</v>
      </c>
      <c r="L117" s="1781">
        <v>0.05</v>
      </c>
      <c r="N117" s="1784" t="s">
        <v>3397</v>
      </c>
      <c r="P117" s="1793"/>
      <c r="AB117" s="1785">
        <f t="shared" si="15"/>
        <v>65000</v>
      </c>
      <c r="AD117" s="1781" t="s">
        <v>3404</v>
      </c>
      <c r="AJ117" s="1794"/>
    </row>
    <row r="118" spans="2:36">
      <c r="B118" s="1789" t="s">
        <v>3500</v>
      </c>
      <c r="D118" s="1784" t="s">
        <v>3406</v>
      </c>
      <c r="F118" s="1793">
        <v>193000</v>
      </c>
      <c r="H118" s="1786">
        <v>43158</v>
      </c>
      <c r="J118" s="1786">
        <v>43157</v>
      </c>
      <c r="L118" s="1781">
        <v>0.05</v>
      </c>
      <c r="N118" s="1784" t="s">
        <v>3397</v>
      </c>
      <c r="P118" s="1793"/>
      <c r="AB118" s="1785">
        <f t="shared" si="15"/>
        <v>193000</v>
      </c>
      <c r="AD118" s="1781" t="s">
        <v>3404</v>
      </c>
      <c r="AJ118" s="1794"/>
    </row>
    <row r="119" spans="2:36">
      <c r="B119" s="1789"/>
      <c r="D119" s="1784"/>
      <c r="F119" s="1793"/>
      <c r="H119" s="1786"/>
      <c r="J119" s="1786"/>
      <c r="N119" s="1784"/>
      <c r="P119" s="1793"/>
      <c r="AB119" s="1785"/>
      <c r="AJ119" s="1794"/>
    </row>
    <row r="120" spans="2:36">
      <c r="B120" s="1789" t="s">
        <v>3437</v>
      </c>
      <c r="D120" s="1784" t="s">
        <v>3406</v>
      </c>
      <c r="F120" s="1793">
        <v>1259400</v>
      </c>
      <c r="H120" s="1786">
        <v>43158</v>
      </c>
      <c r="J120" s="1786">
        <v>43101</v>
      </c>
      <c r="L120" s="1781">
        <v>0.05</v>
      </c>
      <c r="N120" s="1784" t="s">
        <v>3397</v>
      </c>
      <c r="P120" s="1793"/>
      <c r="AB120" s="1785">
        <f t="shared" ref="AB120:AB161" si="16">F120-P120</f>
        <v>1259400</v>
      </c>
      <c r="AD120" s="1781" t="s">
        <v>3471</v>
      </c>
      <c r="AJ120" s="1794"/>
    </row>
    <row r="121" spans="2:36">
      <c r="B121" s="1789" t="s">
        <v>3501</v>
      </c>
      <c r="D121" s="1784" t="s">
        <v>3406</v>
      </c>
      <c r="F121" s="1793">
        <v>428100</v>
      </c>
      <c r="H121" s="1786">
        <v>43158</v>
      </c>
      <c r="J121" s="1786">
        <v>43101</v>
      </c>
      <c r="L121" s="1781">
        <v>0.05</v>
      </c>
      <c r="N121" s="1784" t="s">
        <v>3397</v>
      </c>
      <c r="P121" s="1793"/>
      <c r="AB121" s="1785">
        <f t="shared" si="16"/>
        <v>428100</v>
      </c>
      <c r="AD121" s="1781" t="s">
        <v>3471</v>
      </c>
      <c r="AJ121" s="1794"/>
    </row>
    <row r="122" spans="2:36">
      <c r="B122" s="1789" t="s">
        <v>3443</v>
      </c>
      <c r="D122" s="1784" t="s">
        <v>3406</v>
      </c>
      <c r="F122" s="1793">
        <v>313200</v>
      </c>
      <c r="H122" s="1786">
        <v>43158</v>
      </c>
      <c r="J122" s="1786">
        <v>43101</v>
      </c>
      <c r="L122" s="1781">
        <v>0.05</v>
      </c>
      <c r="N122" s="1784" t="s">
        <v>3397</v>
      </c>
      <c r="P122" s="1793"/>
      <c r="AB122" s="1785">
        <f t="shared" si="16"/>
        <v>313200</v>
      </c>
      <c r="AD122" s="1781" t="s">
        <v>3471</v>
      </c>
      <c r="AJ122" s="1794"/>
    </row>
    <row r="123" spans="2:36">
      <c r="B123" s="1789" t="s">
        <v>3462</v>
      </c>
      <c r="D123" s="1784" t="s">
        <v>3406</v>
      </c>
      <c r="F123" s="1793">
        <v>251700</v>
      </c>
      <c r="H123" s="1786">
        <v>43158</v>
      </c>
      <c r="J123" s="1786">
        <v>43101</v>
      </c>
      <c r="L123" s="1781">
        <v>0.05</v>
      </c>
      <c r="N123" s="1784" t="s">
        <v>3397</v>
      </c>
      <c r="P123" s="1793"/>
      <c r="AB123" s="1785">
        <f t="shared" si="16"/>
        <v>251700</v>
      </c>
      <c r="AD123" s="1781" t="s">
        <v>3471</v>
      </c>
      <c r="AJ123" s="1794"/>
    </row>
    <row r="124" spans="2:36">
      <c r="B124" s="1789" t="s">
        <v>3442</v>
      </c>
      <c r="D124" s="1784" t="s">
        <v>3406</v>
      </c>
      <c r="F124" s="1793">
        <v>251700</v>
      </c>
      <c r="H124" s="1786">
        <v>43158</v>
      </c>
      <c r="J124" s="1786">
        <v>43101</v>
      </c>
      <c r="L124" s="1781">
        <v>0.05</v>
      </c>
      <c r="N124" s="1784" t="s">
        <v>3397</v>
      </c>
      <c r="P124" s="1793"/>
      <c r="AB124" s="1785">
        <f t="shared" si="16"/>
        <v>251700</v>
      </c>
      <c r="AD124" s="1781" t="s">
        <v>3471</v>
      </c>
      <c r="AJ124" s="1794"/>
    </row>
    <row r="125" spans="2:36">
      <c r="B125" s="1789" t="s">
        <v>3502</v>
      </c>
      <c r="D125" s="1784" t="s">
        <v>3406</v>
      </c>
      <c r="F125" s="1793">
        <v>83700</v>
      </c>
      <c r="H125" s="1786">
        <v>43158</v>
      </c>
      <c r="J125" s="1786">
        <v>43101</v>
      </c>
      <c r="L125" s="1781">
        <v>0.05</v>
      </c>
      <c r="N125" s="1784" t="s">
        <v>3397</v>
      </c>
      <c r="P125" s="1793"/>
      <c r="AB125" s="1785">
        <f t="shared" si="16"/>
        <v>83700</v>
      </c>
      <c r="AD125" s="1781" t="s">
        <v>3471</v>
      </c>
      <c r="AJ125" s="1794"/>
    </row>
    <row r="126" spans="2:36">
      <c r="B126" s="1789" t="s">
        <v>3447</v>
      </c>
      <c r="D126" s="1784" t="s">
        <v>3406</v>
      </c>
      <c r="F126" s="1793">
        <v>73700</v>
      </c>
      <c r="H126" s="1786">
        <v>43158</v>
      </c>
      <c r="J126" s="1786">
        <v>43101</v>
      </c>
      <c r="L126" s="1781">
        <v>0.05</v>
      </c>
      <c r="N126" s="1784" t="s">
        <v>3397</v>
      </c>
      <c r="P126" s="1793"/>
      <c r="AB126" s="1785">
        <f t="shared" si="16"/>
        <v>73700</v>
      </c>
      <c r="AD126" s="1781" t="s">
        <v>3471</v>
      </c>
      <c r="AJ126" s="1794"/>
    </row>
    <row r="127" spans="2:36">
      <c r="B127" s="1789" t="s">
        <v>3407</v>
      </c>
      <c r="D127" s="1784" t="s">
        <v>3406</v>
      </c>
      <c r="F127" s="1793">
        <v>73700</v>
      </c>
      <c r="H127" s="1786">
        <v>43158</v>
      </c>
      <c r="J127" s="1786">
        <v>43101</v>
      </c>
      <c r="L127" s="1781">
        <v>0.05</v>
      </c>
      <c r="N127" s="1784" t="s">
        <v>3397</v>
      </c>
      <c r="P127" s="1793"/>
      <c r="AB127" s="1785">
        <f t="shared" si="16"/>
        <v>73700</v>
      </c>
      <c r="AD127" s="1781" t="s">
        <v>3471</v>
      </c>
      <c r="AJ127" s="1794"/>
    </row>
    <row r="128" spans="2:36">
      <c r="B128" s="1789" t="s">
        <v>3460</v>
      </c>
      <c r="D128" s="1784" t="s">
        <v>3406</v>
      </c>
      <c r="F128" s="1793">
        <v>49200</v>
      </c>
      <c r="H128" s="1786">
        <v>43158</v>
      </c>
      <c r="J128" s="1786">
        <v>43101</v>
      </c>
      <c r="L128" s="1781">
        <v>0.05</v>
      </c>
      <c r="N128" s="1784" t="s">
        <v>3397</v>
      </c>
      <c r="P128" s="1793"/>
      <c r="AB128" s="1785">
        <f t="shared" si="16"/>
        <v>49200</v>
      </c>
      <c r="AD128" s="1781" t="s">
        <v>3471</v>
      </c>
      <c r="AJ128" s="1794"/>
    </row>
    <row r="129" spans="2:36">
      <c r="B129" s="1789" t="s">
        <v>3467</v>
      </c>
      <c r="D129" s="1784" t="s">
        <v>3406</v>
      </c>
      <c r="F129" s="1793">
        <v>39500</v>
      </c>
      <c r="H129" s="1786">
        <v>43158</v>
      </c>
      <c r="J129" s="1786">
        <v>43101</v>
      </c>
      <c r="L129" s="1781">
        <v>0.05</v>
      </c>
      <c r="N129" s="1784" t="s">
        <v>3397</v>
      </c>
      <c r="P129" s="1793"/>
      <c r="AB129" s="1785">
        <f t="shared" si="16"/>
        <v>39500</v>
      </c>
      <c r="AD129" s="1781" t="s">
        <v>3471</v>
      </c>
      <c r="AJ129" s="1794"/>
    </row>
    <row r="130" spans="2:36">
      <c r="B130" s="1789" t="s">
        <v>3503</v>
      </c>
      <c r="D130" s="1784" t="s">
        <v>3406</v>
      </c>
      <c r="F130" s="1793">
        <v>15000</v>
      </c>
      <c r="H130" s="1786">
        <v>43158</v>
      </c>
      <c r="J130" s="1786">
        <v>43101</v>
      </c>
      <c r="L130" s="1781">
        <v>0.05</v>
      </c>
      <c r="N130" s="1784" t="s">
        <v>3397</v>
      </c>
      <c r="P130" s="1793"/>
      <c r="AB130" s="1785">
        <f t="shared" si="16"/>
        <v>15000</v>
      </c>
      <c r="AD130" s="1781" t="s">
        <v>3471</v>
      </c>
      <c r="AJ130" s="1794"/>
    </row>
    <row r="131" spans="2:36">
      <c r="B131" s="1789" t="s">
        <v>3426</v>
      </c>
      <c r="D131" s="1784" t="s">
        <v>3406</v>
      </c>
      <c r="F131" s="1793">
        <v>49200</v>
      </c>
      <c r="H131" s="1786">
        <v>43158</v>
      </c>
      <c r="J131" s="1786">
        <v>43101</v>
      </c>
      <c r="L131" s="1781">
        <v>0.05</v>
      </c>
      <c r="N131" s="1784" t="s">
        <v>3397</v>
      </c>
      <c r="P131" s="1793"/>
      <c r="AB131" s="1785">
        <f t="shared" si="16"/>
        <v>49200</v>
      </c>
      <c r="AD131" s="1781" t="s">
        <v>3471</v>
      </c>
      <c r="AJ131" s="1794"/>
    </row>
    <row r="132" spans="2:36">
      <c r="B132" s="1789" t="s">
        <v>3420</v>
      </c>
      <c r="D132" s="1784" t="s">
        <v>3406</v>
      </c>
      <c r="F132" s="1793">
        <v>46000</v>
      </c>
      <c r="H132" s="1786">
        <v>43158</v>
      </c>
      <c r="J132" s="1786">
        <v>43101</v>
      </c>
      <c r="L132" s="1781">
        <v>0.05</v>
      </c>
      <c r="N132" s="1784" t="s">
        <v>3397</v>
      </c>
      <c r="P132" s="1793"/>
      <c r="AB132" s="1785">
        <f t="shared" si="16"/>
        <v>46000</v>
      </c>
      <c r="AD132" s="1781" t="s">
        <v>3471</v>
      </c>
      <c r="AJ132" s="1794"/>
    </row>
    <row r="133" spans="2:36">
      <c r="B133" s="1789" t="s">
        <v>3429</v>
      </c>
      <c r="D133" s="1784" t="s">
        <v>3406</v>
      </c>
      <c r="F133" s="1793">
        <v>40500</v>
      </c>
      <c r="H133" s="1786">
        <v>43158</v>
      </c>
      <c r="J133" s="1786">
        <v>43101</v>
      </c>
      <c r="L133" s="1781">
        <v>0.05</v>
      </c>
      <c r="N133" s="1784" t="s">
        <v>3397</v>
      </c>
      <c r="P133" s="1793"/>
      <c r="AB133" s="1785">
        <f t="shared" si="16"/>
        <v>40500</v>
      </c>
      <c r="AD133" s="1781" t="s">
        <v>3471</v>
      </c>
      <c r="AJ133" s="1794"/>
    </row>
    <row r="134" spans="2:36">
      <c r="B134" s="1789" t="s">
        <v>3504</v>
      </c>
      <c r="D134" s="1784" t="s">
        <v>3406</v>
      </c>
      <c r="F134" s="1793">
        <v>33400</v>
      </c>
      <c r="H134" s="1786">
        <v>43158</v>
      </c>
      <c r="J134" s="1786">
        <v>43101</v>
      </c>
      <c r="L134" s="1781">
        <v>0.05</v>
      </c>
      <c r="N134" s="1784" t="s">
        <v>3397</v>
      </c>
      <c r="P134" s="1793"/>
      <c r="AB134" s="1785">
        <f t="shared" si="16"/>
        <v>33400</v>
      </c>
      <c r="AD134" s="1781" t="s">
        <v>3471</v>
      </c>
      <c r="AJ134" s="1794"/>
    </row>
    <row r="135" spans="2:36">
      <c r="B135" s="1789" t="s">
        <v>3428</v>
      </c>
      <c r="D135" s="1784" t="s">
        <v>3406</v>
      </c>
      <c r="F135" s="1793">
        <v>40500</v>
      </c>
      <c r="H135" s="1786">
        <v>43158</v>
      </c>
      <c r="J135" s="1786">
        <v>43101</v>
      </c>
      <c r="L135" s="1781">
        <v>0.05</v>
      </c>
      <c r="N135" s="1784" t="s">
        <v>3397</v>
      </c>
      <c r="P135" s="1793"/>
      <c r="AB135" s="1785">
        <f t="shared" si="16"/>
        <v>40500</v>
      </c>
      <c r="AD135" s="1781" t="s">
        <v>3471</v>
      </c>
      <c r="AJ135" s="1794"/>
    </row>
    <row r="136" spans="2:36">
      <c r="B136" s="1789" t="s">
        <v>3410</v>
      </c>
      <c r="D136" s="1784" t="s">
        <v>3406</v>
      </c>
      <c r="F136" s="1793">
        <v>26200</v>
      </c>
      <c r="H136" s="1786">
        <v>43158</v>
      </c>
      <c r="J136" s="1786">
        <v>43101</v>
      </c>
      <c r="L136" s="1781">
        <v>0.05</v>
      </c>
      <c r="N136" s="1784" t="s">
        <v>3397</v>
      </c>
      <c r="P136" s="1793"/>
      <c r="AB136" s="1785">
        <f t="shared" si="16"/>
        <v>26200</v>
      </c>
      <c r="AD136" s="1781" t="s">
        <v>3471</v>
      </c>
      <c r="AJ136" s="1794"/>
    </row>
    <row r="137" spans="2:36">
      <c r="B137" s="1789" t="s">
        <v>3419</v>
      </c>
      <c r="D137" s="1784" t="s">
        <v>3406</v>
      </c>
      <c r="F137" s="1793">
        <v>35800</v>
      </c>
      <c r="H137" s="1786">
        <v>43158</v>
      </c>
      <c r="J137" s="1786">
        <v>43101</v>
      </c>
      <c r="L137" s="1781">
        <v>0.05</v>
      </c>
      <c r="N137" s="1784" t="s">
        <v>3397</v>
      </c>
      <c r="P137" s="1793"/>
      <c r="AB137" s="1785">
        <f t="shared" si="16"/>
        <v>35800</v>
      </c>
      <c r="AD137" s="1781" t="s">
        <v>3471</v>
      </c>
      <c r="AJ137" s="1794"/>
    </row>
    <row r="138" spans="2:36">
      <c r="B138" s="1789" t="s">
        <v>3441</v>
      </c>
      <c r="D138" s="1784" t="s">
        <v>3406</v>
      </c>
      <c r="F138" s="1793">
        <v>35800</v>
      </c>
      <c r="H138" s="1786">
        <v>43158</v>
      </c>
      <c r="J138" s="1786">
        <v>43101</v>
      </c>
      <c r="L138" s="1781">
        <v>0.05</v>
      </c>
      <c r="N138" s="1784" t="s">
        <v>3397</v>
      </c>
      <c r="P138" s="1793"/>
      <c r="AB138" s="1785">
        <f t="shared" si="16"/>
        <v>35800</v>
      </c>
      <c r="AD138" s="1781" t="s">
        <v>3471</v>
      </c>
      <c r="AJ138" s="1794"/>
    </row>
    <row r="139" spans="2:36">
      <c r="B139" s="1789" t="s">
        <v>3466</v>
      </c>
      <c r="D139" s="1784" t="s">
        <v>3406</v>
      </c>
      <c r="F139" s="1793">
        <v>21100</v>
      </c>
      <c r="H139" s="1786">
        <v>43158</v>
      </c>
      <c r="J139" s="1786">
        <v>43101</v>
      </c>
      <c r="L139" s="1781">
        <v>0.05</v>
      </c>
      <c r="N139" s="1784" t="s">
        <v>3397</v>
      </c>
      <c r="P139" s="1793"/>
      <c r="AB139" s="1785">
        <f t="shared" si="16"/>
        <v>21100</v>
      </c>
      <c r="AD139" s="1781" t="s">
        <v>3471</v>
      </c>
      <c r="AJ139" s="1794"/>
    </row>
    <row r="140" spans="2:36">
      <c r="B140" s="1789" t="s">
        <v>3464</v>
      </c>
      <c r="D140" s="1784" t="s">
        <v>3406</v>
      </c>
      <c r="F140" s="1793">
        <v>19200</v>
      </c>
      <c r="H140" s="1786">
        <v>43158</v>
      </c>
      <c r="J140" s="1786">
        <v>43101</v>
      </c>
      <c r="L140" s="1781">
        <v>0.05</v>
      </c>
      <c r="N140" s="1784" t="s">
        <v>3397</v>
      </c>
      <c r="P140" s="1793"/>
      <c r="AB140" s="1785">
        <f t="shared" si="16"/>
        <v>19200</v>
      </c>
      <c r="AD140" s="1781" t="s">
        <v>3471</v>
      </c>
      <c r="AJ140" s="1794"/>
    </row>
    <row r="141" spans="2:36">
      <c r="B141" s="1789" t="s">
        <v>3444</v>
      </c>
      <c r="D141" s="1784" t="s">
        <v>3406</v>
      </c>
      <c r="F141" s="1793">
        <v>23300</v>
      </c>
      <c r="H141" s="1786">
        <v>43158</v>
      </c>
      <c r="J141" s="1786">
        <v>43101</v>
      </c>
      <c r="L141" s="1781">
        <v>0.05</v>
      </c>
      <c r="N141" s="1784" t="s">
        <v>3397</v>
      </c>
      <c r="P141" s="1793"/>
      <c r="AB141" s="1785">
        <f t="shared" si="16"/>
        <v>23300</v>
      </c>
      <c r="AD141" s="1781" t="s">
        <v>3471</v>
      </c>
      <c r="AJ141" s="1794"/>
    </row>
    <row r="142" spans="2:36">
      <c r="B142" s="1789" t="s">
        <v>3445</v>
      </c>
      <c r="D142" s="1784" t="s">
        <v>3406</v>
      </c>
      <c r="F142" s="1793">
        <v>20500</v>
      </c>
      <c r="H142" s="1786">
        <v>43158</v>
      </c>
      <c r="J142" s="1786">
        <v>43101</v>
      </c>
      <c r="L142" s="1781">
        <v>0.05</v>
      </c>
      <c r="N142" s="1784" t="s">
        <v>3397</v>
      </c>
      <c r="P142" s="1793"/>
      <c r="AB142" s="1785">
        <f t="shared" si="16"/>
        <v>20500</v>
      </c>
      <c r="AD142" s="1781" t="s">
        <v>3471</v>
      </c>
      <c r="AJ142" s="1794"/>
    </row>
    <row r="143" spans="2:36">
      <c r="B143" s="1789" t="s">
        <v>3408</v>
      </c>
      <c r="D143" s="1784" t="s">
        <v>3406</v>
      </c>
      <c r="F143" s="1793">
        <v>20500</v>
      </c>
      <c r="H143" s="1786">
        <v>43158</v>
      </c>
      <c r="J143" s="1786">
        <v>43101</v>
      </c>
      <c r="L143" s="1781">
        <v>0.05</v>
      </c>
      <c r="N143" s="1784" t="s">
        <v>3397</v>
      </c>
      <c r="P143" s="1793"/>
      <c r="AB143" s="1785">
        <f t="shared" si="16"/>
        <v>20500</v>
      </c>
      <c r="AD143" s="1781" t="s">
        <v>3471</v>
      </c>
      <c r="AJ143" s="1794"/>
    </row>
    <row r="144" spans="2:36">
      <c r="B144" s="1789" t="s">
        <v>3418</v>
      </c>
      <c r="D144" s="1784" t="s">
        <v>3406</v>
      </c>
      <c r="F144" s="1793">
        <v>20500</v>
      </c>
      <c r="H144" s="1786">
        <v>43158</v>
      </c>
      <c r="J144" s="1786">
        <v>43101</v>
      </c>
      <c r="L144" s="1781">
        <v>0.05</v>
      </c>
      <c r="N144" s="1784" t="s">
        <v>3397</v>
      </c>
      <c r="P144" s="1793"/>
      <c r="AB144" s="1785">
        <f t="shared" si="16"/>
        <v>20500</v>
      </c>
      <c r="AD144" s="1781" t="s">
        <v>3471</v>
      </c>
      <c r="AJ144" s="1794"/>
    </row>
    <row r="145" spans="2:36">
      <c r="B145" s="1789" t="s">
        <v>3430</v>
      </c>
      <c r="D145" s="1784" t="s">
        <v>3406</v>
      </c>
      <c r="F145" s="1793">
        <v>20500</v>
      </c>
      <c r="H145" s="1786">
        <v>43158</v>
      </c>
      <c r="J145" s="1786">
        <v>43101</v>
      </c>
      <c r="L145" s="1781">
        <v>0.05</v>
      </c>
      <c r="N145" s="1784" t="s">
        <v>3397</v>
      </c>
      <c r="P145" s="1793"/>
      <c r="AB145" s="1785">
        <f t="shared" si="16"/>
        <v>20500</v>
      </c>
      <c r="AD145" s="1781" t="s">
        <v>3471</v>
      </c>
      <c r="AJ145" s="1794"/>
    </row>
    <row r="146" spans="2:36">
      <c r="B146" s="1789" t="s">
        <v>3431</v>
      </c>
      <c r="D146" s="1784" t="s">
        <v>3406</v>
      </c>
      <c r="F146" s="1793">
        <v>18700</v>
      </c>
      <c r="H146" s="1786">
        <v>43158</v>
      </c>
      <c r="J146" s="1786">
        <v>43101</v>
      </c>
      <c r="L146" s="1781">
        <v>0.05</v>
      </c>
      <c r="N146" s="1784" t="s">
        <v>3397</v>
      </c>
      <c r="P146" s="1793"/>
      <c r="AB146" s="1785">
        <f t="shared" si="16"/>
        <v>18700</v>
      </c>
      <c r="AD146" s="1781" t="s">
        <v>3471</v>
      </c>
      <c r="AJ146" s="1794"/>
    </row>
    <row r="147" spans="2:36">
      <c r="B147" s="1789" t="s">
        <v>3486</v>
      </c>
      <c r="D147" s="1784" t="s">
        <v>3406</v>
      </c>
      <c r="F147" s="1793">
        <v>6400</v>
      </c>
      <c r="H147" s="1786">
        <v>43158</v>
      </c>
      <c r="J147" s="1786">
        <v>43101</v>
      </c>
      <c r="L147" s="1781">
        <v>0.05</v>
      </c>
      <c r="N147" s="1784" t="s">
        <v>3397</v>
      </c>
      <c r="P147" s="1793"/>
      <c r="AB147" s="1785">
        <f t="shared" si="16"/>
        <v>6400</v>
      </c>
      <c r="AD147" s="1781" t="s">
        <v>3471</v>
      </c>
      <c r="AJ147" s="1794"/>
    </row>
    <row r="148" spans="2:36">
      <c r="B148" s="1789" t="s">
        <v>3461</v>
      </c>
      <c r="D148" s="1784" t="s">
        <v>3406</v>
      </c>
      <c r="F148" s="1793">
        <v>17600</v>
      </c>
      <c r="H148" s="1786">
        <v>43158</v>
      </c>
      <c r="J148" s="1786">
        <v>43101</v>
      </c>
      <c r="L148" s="1781">
        <v>0.05</v>
      </c>
      <c r="N148" s="1784" t="s">
        <v>3397</v>
      </c>
      <c r="P148" s="1793"/>
      <c r="AB148" s="1785">
        <f t="shared" si="16"/>
        <v>17600</v>
      </c>
      <c r="AD148" s="1781" t="s">
        <v>3471</v>
      </c>
      <c r="AJ148" s="1794"/>
    </row>
    <row r="149" spans="2:36">
      <c r="B149" s="1789" t="s">
        <v>3483</v>
      </c>
      <c r="D149" s="1784" t="s">
        <v>3406</v>
      </c>
      <c r="F149" s="1793">
        <v>8400</v>
      </c>
      <c r="H149" s="1786">
        <v>43158</v>
      </c>
      <c r="J149" s="1786">
        <v>43101</v>
      </c>
      <c r="L149" s="1781">
        <v>0.05</v>
      </c>
      <c r="N149" s="1784" t="s">
        <v>3397</v>
      </c>
      <c r="P149" s="1793"/>
      <c r="AB149" s="1785">
        <f t="shared" si="16"/>
        <v>8400</v>
      </c>
      <c r="AD149" s="1781" t="s">
        <v>3471</v>
      </c>
      <c r="AJ149" s="1794"/>
    </row>
    <row r="150" spans="2:36">
      <c r="B150" s="1789" t="s">
        <v>3505</v>
      </c>
      <c r="D150" s="1784" t="s">
        <v>3406</v>
      </c>
      <c r="F150" s="1793">
        <v>11900</v>
      </c>
      <c r="H150" s="1786">
        <v>43158</v>
      </c>
      <c r="J150" s="1786">
        <v>43101</v>
      </c>
      <c r="L150" s="1781">
        <v>0.05</v>
      </c>
      <c r="N150" s="1784" t="s">
        <v>3397</v>
      </c>
      <c r="P150" s="1793"/>
      <c r="AB150" s="1785">
        <f t="shared" si="16"/>
        <v>11900</v>
      </c>
      <c r="AD150" s="1781" t="s">
        <v>3471</v>
      </c>
      <c r="AJ150" s="1794"/>
    </row>
    <row r="151" spans="2:36">
      <c r="B151" s="1789" t="s">
        <v>3463</v>
      </c>
      <c r="D151" s="1784" t="s">
        <v>3406</v>
      </c>
      <c r="F151" s="1793">
        <v>8200</v>
      </c>
      <c r="H151" s="1786">
        <v>43158</v>
      </c>
      <c r="J151" s="1786">
        <v>43101</v>
      </c>
      <c r="L151" s="1781">
        <v>0.05</v>
      </c>
      <c r="N151" s="1784" t="s">
        <v>3397</v>
      </c>
      <c r="P151" s="1793"/>
      <c r="AB151" s="1785">
        <f t="shared" si="16"/>
        <v>8200</v>
      </c>
      <c r="AD151" s="1781" t="s">
        <v>3471</v>
      </c>
      <c r="AJ151" s="1794"/>
    </row>
    <row r="152" spans="2:36">
      <c r="B152" s="1789" t="s">
        <v>3506</v>
      </c>
      <c r="D152" s="1784" t="s">
        <v>3406</v>
      </c>
      <c r="F152" s="1793">
        <v>4000</v>
      </c>
      <c r="H152" s="1786">
        <v>43158</v>
      </c>
      <c r="J152" s="1786">
        <v>43101</v>
      </c>
      <c r="L152" s="1781">
        <v>0.05</v>
      </c>
      <c r="N152" s="1784" t="s">
        <v>3397</v>
      </c>
      <c r="P152" s="1793"/>
      <c r="AB152" s="1785">
        <f t="shared" si="16"/>
        <v>4000</v>
      </c>
      <c r="AD152" s="1781" t="s">
        <v>3471</v>
      </c>
      <c r="AJ152" s="1794"/>
    </row>
    <row r="153" spans="2:36">
      <c r="B153" s="1789" t="s">
        <v>3488</v>
      </c>
      <c r="D153" s="1784" t="s">
        <v>3406</v>
      </c>
      <c r="F153" s="1793">
        <v>2700</v>
      </c>
      <c r="H153" s="1786">
        <v>43158</v>
      </c>
      <c r="J153" s="1786">
        <v>43101</v>
      </c>
      <c r="L153" s="1781">
        <v>0.05</v>
      </c>
      <c r="N153" s="1784" t="s">
        <v>3397</v>
      </c>
      <c r="P153" s="1793"/>
      <c r="AB153" s="1785">
        <f t="shared" si="16"/>
        <v>2700</v>
      </c>
      <c r="AD153" s="1781" t="s">
        <v>3471</v>
      </c>
      <c r="AJ153" s="1794"/>
    </row>
    <row r="154" spans="2:36">
      <c r="B154" s="1789" t="s">
        <v>3436</v>
      </c>
      <c r="D154" s="1784" t="s">
        <v>3406</v>
      </c>
      <c r="F154" s="1793">
        <v>6300</v>
      </c>
      <c r="H154" s="1786">
        <v>43158</v>
      </c>
      <c r="J154" s="1786">
        <v>43101</v>
      </c>
      <c r="L154" s="1781">
        <v>0.05</v>
      </c>
      <c r="N154" s="1784" t="s">
        <v>3397</v>
      </c>
      <c r="P154" s="1793"/>
      <c r="AB154" s="1785">
        <f t="shared" si="16"/>
        <v>6300</v>
      </c>
      <c r="AD154" s="1781" t="s">
        <v>3471</v>
      </c>
      <c r="AJ154" s="1794"/>
    </row>
    <row r="155" spans="2:36">
      <c r="B155" s="1789" t="s">
        <v>3448</v>
      </c>
      <c r="D155" s="1784" t="s">
        <v>3406</v>
      </c>
      <c r="F155" s="1793">
        <v>7100</v>
      </c>
      <c r="H155" s="1786">
        <v>43158</v>
      </c>
      <c r="J155" s="1786">
        <v>43101</v>
      </c>
      <c r="L155" s="1781">
        <v>0.05</v>
      </c>
      <c r="N155" s="1784" t="s">
        <v>3397</v>
      </c>
      <c r="P155" s="1793"/>
      <c r="AB155" s="1785">
        <f t="shared" si="16"/>
        <v>7100</v>
      </c>
      <c r="AD155" s="1781" t="s">
        <v>3471</v>
      </c>
      <c r="AJ155" s="1794"/>
    </row>
    <row r="156" spans="2:36">
      <c r="B156" s="1789" t="s">
        <v>3469</v>
      </c>
      <c r="D156" s="1784" t="s">
        <v>3406</v>
      </c>
      <c r="F156" s="1793">
        <v>4300</v>
      </c>
      <c r="H156" s="1786">
        <v>43158</v>
      </c>
      <c r="J156" s="1786">
        <v>43101</v>
      </c>
      <c r="L156" s="1781">
        <v>0.05</v>
      </c>
      <c r="N156" s="1784" t="s">
        <v>3397</v>
      </c>
      <c r="P156" s="1793"/>
      <c r="AB156" s="1785">
        <f t="shared" si="16"/>
        <v>4300</v>
      </c>
      <c r="AD156" s="1781" t="s">
        <v>3471</v>
      </c>
      <c r="AJ156" s="1794"/>
    </row>
    <row r="157" spans="2:36">
      <c r="B157" s="1789" t="s">
        <v>3484</v>
      </c>
      <c r="D157" s="1784" t="s">
        <v>3406</v>
      </c>
      <c r="F157" s="1793">
        <v>2300</v>
      </c>
      <c r="H157" s="1786">
        <v>43158</v>
      </c>
      <c r="J157" s="1786">
        <v>43101</v>
      </c>
      <c r="L157" s="1781">
        <v>0.05</v>
      </c>
      <c r="N157" s="1784" t="s">
        <v>3397</v>
      </c>
      <c r="P157" s="1793"/>
      <c r="AB157" s="1785">
        <f t="shared" si="16"/>
        <v>2300</v>
      </c>
      <c r="AD157" s="1781" t="s">
        <v>3471</v>
      </c>
      <c r="AJ157" s="1794"/>
    </row>
    <row r="158" spans="2:36">
      <c r="B158" s="1789" t="s">
        <v>3427</v>
      </c>
      <c r="D158" s="1784" t="s">
        <v>3406</v>
      </c>
      <c r="F158" s="1793">
        <v>4700</v>
      </c>
      <c r="H158" s="1786">
        <v>43158</v>
      </c>
      <c r="J158" s="1786">
        <v>43101</v>
      </c>
      <c r="L158" s="1781">
        <v>0.05</v>
      </c>
      <c r="N158" s="1784" t="s">
        <v>3397</v>
      </c>
      <c r="P158" s="1793"/>
      <c r="AB158" s="1785">
        <f t="shared" si="16"/>
        <v>4700</v>
      </c>
      <c r="AD158" s="1781" t="s">
        <v>3471</v>
      </c>
      <c r="AJ158" s="1794"/>
    </row>
    <row r="159" spans="2:36">
      <c r="B159" s="1789" t="s">
        <v>3485</v>
      </c>
      <c r="D159" s="1784" t="s">
        <v>3406</v>
      </c>
      <c r="F159" s="1793">
        <v>1600</v>
      </c>
      <c r="H159" s="1786">
        <v>43158</v>
      </c>
      <c r="J159" s="1786">
        <v>43101</v>
      </c>
      <c r="L159" s="1781">
        <v>0.05</v>
      </c>
      <c r="N159" s="1784" t="s">
        <v>3397</v>
      </c>
      <c r="P159" s="1793"/>
      <c r="AB159" s="1785">
        <f t="shared" si="16"/>
        <v>1600</v>
      </c>
      <c r="AD159" s="1781" t="s">
        <v>3471</v>
      </c>
      <c r="AJ159" s="1794"/>
    </row>
    <row r="160" spans="2:36">
      <c r="B160" s="1789" t="s">
        <v>3489</v>
      </c>
      <c r="D160" s="1784" t="s">
        <v>3406</v>
      </c>
      <c r="F160" s="1793">
        <v>400</v>
      </c>
      <c r="H160" s="1786">
        <v>43158</v>
      </c>
      <c r="J160" s="1786">
        <v>43101</v>
      </c>
      <c r="L160" s="1781">
        <v>0.05</v>
      </c>
      <c r="N160" s="1784" t="s">
        <v>3397</v>
      </c>
      <c r="P160" s="1793"/>
      <c r="AB160" s="1785">
        <f t="shared" si="16"/>
        <v>400</v>
      </c>
      <c r="AD160" s="1781" t="s">
        <v>3471</v>
      </c>
      <c r="AJ160" s="1794"/>
    </row>
    <row r="161" spans="2:36">
      <c r="B161" s="1789" t="s">
        <v>3465</v>
      </c>
      <c r="D161" s="1784" t="s">
        <v>3406</v>
      </c>
      <c r="F161" s="1793">
        <v>1800</v>
      </c>
      <c r="H161" s="1786">
        <v>43158</v>
      </c>
      <c r="J161" s="1786">
        <v>43101</v>
      </c>
      <c r="L161" s="1781">
        <v>0.05</v>
      </c>
      <c r="N161" s="1784" t="s">
        <v>3397</v>
      </c>
      <c r="P161" s="1793"/>
      <c r="AB161" s="1785">
        <f t="shared" si="16"/>
        <v>1800</v>
      </c>
      <c r="AD161" s="1781" t="s">
        <v>3471</v>
      </c>
      <c r="AJ161" s="1794"/>
    </row>
    <row r="162" spans="2:36">
      <c r="B162" s="1789"/>
      <c r="D162" s="1784"/>
      <c r="F162" s="1793"/>
      <c r="H162" s="1786"/>
      <c r="J162" s="1786"/>
      <c r="N162" s="1784"/>
      <c r="P162" s="1793"/>
      <c r="AB162" s="1785"/>
      <c r="AJ162" s="1794"/>
    </row>
    <row r="163" spans="2:36" ht="15.75">
      <c r="B163" s="1795" t="s">
        <v>3507</v>
      </c>
      <c r="D163" s="1784" t="s">
        <v>3406</v>
      </c>
      <c r="F163" s="1797">
        <v>33750</v>
      </c>
      <c r="H163" s="1786">
        <v>43229</v>
      </c>
      <c r="J163" s="1786">
        <v>43164</v>
      </c>
      <c r="L163" s="1781">
        <v>0.05</v>
      </c>
      <c r="N163" s="1784" t="s">
        <v>3397</v>
      </c>
      <c r="P163" s="1793"/>
      <c r="AB163" s="1785">
        <f t="shared" ref="AB163:AB169" si="17">F163-P163</f>
        <v>33750</v>
      </c>
      <c r="AD163" s="1781" t="s">
        <v>3404</v>
      </c>
      <c r="AJ163" s="1794"/>
    </row>
    <row r="164" spans="2:36" ht="15.75">
      <c r="B164" s="1795" t="s">
        <v>3508</v>
      </c>
      <c r="D164" s="1784" t="s">
        <v>3406</v>
      </c>
      <c r="F164" s="1797">
        <v>62750</v>
      </c>
      <c r="H164" s="1786">
        <v>43229</v>
      </c>
      <c r="J164" s="1786">
        <v>43164</v>
      </c>
      <c r="L164" s="1781">
        <v>0.05</v>
      </c>
      <c r="N164" s="1784" t="s">
        <v>3397</v>
      </c>
      <c r="P164" s="1793"/>
      <c r="AB164" s="1785">
        <f t="shared" si="17"/>
        <v>62750</v>
      </c>
      <c r="AD164" s="1781" t="s">
        <v>3404</v>
      </c>
      <c r="AJ164" s="1794"/>
    </row>
    <row r="165" spans="2:36" ht="15.75">
      <c r="B165" s="1795" t="s">
        <v>3509</v>
      </c>
      <c r="D165" s="1784" t="s">
        <v>3406</v>
      </c>
      <c r="F165" s="1797">
        <v>62750</v>
      </c>
      <c r="H165" s="1786">
        <v>43229</v>
      </c>
      <c r="J165" s="1786">
        <v>43164</v>
      </c>
      <c r="L165" s="1781">
        <v>0.05</v>
      </c>
      <c r="N165" s="1784" t="s">
        <v>3397</v>
      </c>
      <c r="P165" s="1793"/>
      <c r="AB165" s="1785">
        <f t="shared" si="17"/>
        <v>62750</v>
      </c>
      <c r="AD165" s="1781" t="s">
        <v>3404</v>
      </c>
      <c r="AJ165" s="1794"/>
    </row>
    <row r="166" spans="2:36" ht="15.75">
      <c r="B166" s="1795" t="s">
        <v>3510</v>
      </c>
      <c r="D166" s="1784" t="s">
        <v>3406</v>
      </c>
      <c r="F166" s="1797">
        <v>33750</v>
      </c>
      <c r="H166" s="1786">
        <v>43229</v>
      </c>
      <c r="J166" s="1786">
        <v>43164</v>
      </c>
      <c r="L166" s="1781">
        <v>0.05</v>
      </c>
      <c r="N166" s="1784" t="s">
        <v>3397</v>
      </c>
      <c r="P166" s="1793"/>
      <c r="AB166" s="1785">
        <f t="shared" si="17"/>
        <v>33750</v>
      </c>
      <c r="AD166" s="1781" t="s">
        <v>3404</v>
      </c>
      <c r="AJ166" s="1794"/>
    </row>
    <row r="167" spans="2:36" ht="15.75">
      <c r="B167" s="1795" t="s">
        <v>3511</v>
      </c>
      <c r="D167" s="1784" t="s">
        <v>3406</v>
      </c>
      <c r="F167" s="1797">
        <v>13000</v>
      </c>
      <c r="H167" s="1786">
        <v>43229</v>
      </c>
      <c r="J167" s="1786">
        <v>43164</v>
      </c>
      <c r="L167" s="1781">
        <v>0.05</v>
      </c>
      <c r="N167" s="1784" t="s">
        <v>3397</v>
      </c>
      <c r="P167" s="1793"/>
      <c r="AB167" s="1785">
        <f t="shared" si="17"/>
        <v>13000</v>
      </c>
      <c r="AD167" s="1781" t="s">
        <v>3404</v>
      </c>
      <c r="AJ167" s="1794"/>
    </row>
    <row r="168" spans="2:36" ht="15.75">
      <c r="B168" s="1795" t="s">
        <v>3512</v>
      </c>
      <c r="D168" s="1784" t="s">
        <v>3406</v>
      </c>
      <c r="F168" s="1797">
        <v>10250</v>
      </c>
      <c r="H168" s="1786">
        <v>43229</v>
      </c>
      <c r="J168" s="1786">
        <v>43178</v>
      </c>
      <c r="L168" s="1781">
        <v>0.05</v>
      </c>
      <c r="N168" s="1784" t="s">
        <v>3397</v>
      </c>
      <c r="P168" s="1793"/>
      <c r="AB168" s="1785">
        <f t="shared" si="17"/>
        <v>10250</v>
      </c>
      <c r="AD168" s="1781" t="s">
        <v>3404</v>
      </c>
      <c r="AJ168" s="1794"/>
    </row>
    <row r="169" spans="2:36" ht="15.75">
      <c r="B169" s="1795" t="s">
        <v>3513</v>
      </c>
      <c r="D169" s="1784" t="s">
        <v>3406</v>
      </c>
      <c r="F169" s="1797">
        <v>106250</v>
      </c>
      <c r="H169" s="1786">
        <v>43229</v>
      </c>
      <c r="J169" s="1786">
        <v>43227</v>
      </c>
      <c r="L169" s="1781">
        <v>0.05</v>
      </c>
      <c r="N169" s="1784" t="s">
        <v>3397</v>
      </c>
      <c r="P169" s="1793"/>
      <c r="AB169" s="1785">
        <f t="shared" si="17"/>
        <v>106250</v>
      </c>
      <c r="AD169" s="1781" t="s">
        <v>3404</v>
      </c>
      <c r="AJ169" s="1794"/>
    </row>
    <row r="170" spans="2:36" ht="15.75">
      <c r="B170" s="1795"/>
      <c r="D170" s="1784"/>
      <c r="F170" s="1797"/>
      <c r="H170" s="1786"/>
      <c r="J170" s="1786"/>
      <c r="N170" s="1784"/>
      <c r="P170" s="1793"/>
      <c r="AB170" s="1785"/>
      <c r="AJ170" s="1794"/>
    </row>
    <row r="171" spans="2:36" ht="15.75">
      <c r="B171" s="1795" t="s">
        <v>3514</v>
      </c>
      <c r="D171" s="1784" t="s">
        <v>3406</v>
      </c>
      <c r="F171" s="1798">
        <v>8500</v>
      </c>
      <c r="H171" s="1786">
        <v>43229</v>
      </c>
      <c r="J171" s="1786">
        <v>43220</v>
      </c>
      <c r="L171" s="1781">
        <v>0.05</v>
      </c>
      <c r="N171" s="1784" t="s">
        <v>3397</v>
      </c>
      <c r="P171" s="1793"/>
      <c r="AB171" s="1785">
        <f t="shared" ref="AB171:AB179" si="18">F171-P171</f>
        <v>8500</v>
      </c>
      <c r="AD171" s="1781" t="s">
        <v>3471</v>
      </c>
      <c r="AJ171" s="1794"/>
    </row>
    <row r="172" spans="2:36" ht="15.75">
      <c r="B172" s="1795" t="s">
        <v>3461</v>
      </c>
      <c r="D172" s="1784" t="s">
        <v>3406</v>
      </c>
      <c r="F172" s="1798">
        <v>20250</v>
      </c>
      <c r="H172" s="1786">
        <v>43229</v>
      </c>
      <c r="J172" s="1786">
        <v>43220</v>
      </c>
      <c r="L172" s="1781">
        <v>0.05</v>
      </c>
      <c r="N172" s="1784" t="s">
        <v>3397</v>
      </c>
      <c r="P172" s="1793"/>
      <c r="AB172" s="1785">
        <f t="shared" si="18"/>
        <v>20250</v>
      </c>
      <c r="AD172" s="1781" t="s">
        <v>3471</v>
      </c>
      <c r="AJ172" s="1794"/>
    </row>
    <row r="173" spans="2:36" ht="15.75">
      <c r="B173" s="1795" t="s">
        <v>3515</v>
      </c>
      <c r="D173" s="1784" t="s">
        <v>3406</v>
      </c>
      <c r="F173" s="1798">
        <v>29000</v>
      </c>
      <c r="H173" s="1786">
        <v>43229</v>
      </c>
      <c r="J173" s="1786">
        <v>43220</v>
      </c>
      <c r="L173" s="1781">
        <v>0.05</v>
      </c>
      <c r="N173" s="1784" t="s">
        <v>3397</v>
      </c>
      <c r="P173" s="1793"/>
      <c r="AB173" s="1785">
        <f t="shared" si="18"/>
        <v>29000</v>
      </c>
      <c r="AD173" s="1781" t="s">
        <v>3471</v>
      </c>
      <c r="AJ173" s="1794"/>
    </row>
    <row r="174" spans="2:36" ht="15.75">
      <c r="B174" s="1795" t="s">
        <v>3516</v>
      </c>
      <c r="D174" s="1784" t="s">
        <v>3406</v>
      </c>
      <c r="F174" s="1798">
        <v>57750</v>
      </c>
      <c r="H174" s="1786">
        <v>43229</v>
      </c>
      <c r="J174" s="1786">
        <v>43220</v>
      </c>
      <c r="L174" s="1781">
        <v>0.05</v>
      </c>
      <c r="N174" s="1784" t="s">
        <v>3397</v>
      </c>
      <c r="P174" s="1793"/>
      <c r="AB174" s="1785">
        <f t="shared" si="18"/>
        <v>57750</v>
      </c>
      <c r="AD174" s="1781" t="s">
        <v>3471</v>
      </c>
      <c r="AJ174" s="1794"/>
    </row>
    <row r="175" spans="2:36" ht="15.75">
      <c r="B175" s="1795" t="s">
        <v>3483</v>
      </c>
      <c r="D175" s="1784" t="s">
        <v>3406</v>
      </c>
      <c r="F175" s="1798">
        <v>20250</v>
      </c>
      <c r="H175" s="1786">
        <v>43229</v>
      </c>
      <c r="J175" s="1786">
        <v>43220</v>
      </c>
      <c r="L175" s="1781">
        <v>0.05</v>
      </c>
      <c r="N175" s="1784" t="s">
        <v>3397</v>
      </c>
      <c r="P175" s="1793"/>
      <c r="AB175" s="1785">
        <f t="shared" si="18"/>
        <v>20250</v>
      </c>
      <c r="AD175" s="1781" t="s">
        <v>3471</v>
      </c>
      <c r="AJ175" s="1794"/>
    </row>
    <row r="176" spans="2:36" ht="15.75">
      <c r="B176" s="1795" t="s">
        <v>3436</v>
      </c>
      <c r="D176" s="1784" t="s">
        <v>3406</v>
      </c>
      <c r="F176" s="1798">
        <v>8500</v>
      </c>
      <c r="H176" s="1786">
        <v>43229</v>
      </c>
      <c r="J176" s="1786">
        <v>43220</v>
      </c>
      <c r="L176" s="1781">
        <v>0.05</v>
      </c>
      <c r="N176" s="1784" t="s">
        <v>3397</v>
      </c>
      <c r="P176" s="1793"/>
      <c r="AB176" s="1785">
        <f t="shared" si="18"/>
        <v>8500</v>
      </c>
      <c r="AD176" s="1781" t="s">
        <v>3471</v>
      </c>
      <c r="AJ176" s="1794"/>
    </row>
    <row r="177" spans="2:36" ht="15.75">
      <c r="B177" s="1795" t="s">
        <v>3517</v>
      </c>
      <c r="D177" s="1784" t="s">
        <v>3406</v>
      </c>
      <c r="F177" s="1798">
        <v>2750</v>
      </c>
      <c r="H177" s="1786">
        <v>43229</v>
      </c>
      <c r="J177" s="1786">
        <v>43220</v>
      </c>
      <c r="L177" s="1781">
        <v>0.05</v>
      </c>
      <c r="N177" s="1784" t="s">
        <v>3397</v>
      </c>
      <c r="P177" s="1793"/>
      <c r="AB177" s="1785">
        <f t="shared" si="18"/>
        <v>2750</v>
      </c>
      <c r="AD177" s="1781" t="s">
        <v>3471</v>
      </c>
      <c r="AJ177" s="1794"/>
    </row>
    <row r="178" spans="2:36" ht="15.75">
      <c r="B178" s="1795" t="s">
        <v>3427</v>
      </c>
      <c r="D178" s="1784" t="s">
        <v>3406</v>
      </c>
      <c r="F178" s="1798">
        <v>14750</v>
      </c>
      <c r="H178" s="1786">
        <v>43229</v>
      </c>
      <c r="J178" s="1786">
        <v>43220</v>
      </c>
      <c r="L178" s="1781">
        <v>0.05</v>
      </c>
      <c r="N178" s="1784" t="s">
        <v>3397</v>
      </c>
      <c r="P178" s="1793"/>
      <c r="AB178" s="1785">
        <f t="shared" si="18"/>
        <v>14750</v>
      </c>
      <c r="AD178" s="1781" t="s">
        <v>3471</v>
      </c>
      <c r="AJ178" s="1794"/>
    </row>
    <row r="179" spans="2:36">
      <c r="B179" s="1789" t="s">
        <v>3485</v>
      </c>
      <c r="D179" s="1784" t="s">
        <v>3406</v>
      </c>
      <c r="F179" s="1797">
        <v>12500</v>
      </c>
      <c r="H179" s="1786">
        <v>43229</v>
      </c>
      <c r="J179" s="1786">
        <v>42940</v>
      </c>
      <c r="L179" s="1781">
        <v>0.05</v>
      </c>
      <c r="N179" s="1784" t="s">
        <v>3397</v>
      </c>
      <c r="P179" s="1793"/>
      <c r="AB179" s="1785">
        <f t="shared" si="18"/>
        <v>12500</v>
      </c>
      <c r="AD179" s="1781" t="s">
        <v>3404</v>
      </c>
      <c r="AJ179" s="1794"/>
    </row>
    <row r="180" spans="2:36" ht="15.75">
      <c r="B180" s="1795"/>
      <c r="D180" s="1784"/>
      <c r="F180" s="1797"/>
      <c r="H180" s="1786"/>
      <c r="J180" s="1786"/>
      <c r="N180" s="1784"/>
      <c r="P180" s="1793"/>
      <c r="AB180" s="1785"/>
      <c r="AJ180" s="1794"/>
    </row>
    <row r="181" spans="2:36" ht="15.75">
      <c r="B181" s="1795"/>
      <c r="D181" s="1784"/>
      <c r="F181" s="1797"/>
      <c r="H181" s="1786"/>
      <c r="J181" s="1786"/>
      <c r="N181" s="1784"/>
      <c r="P181" s="1793"/>
      <c r="AB181" s="1785"/>
      <c r="AJ181" s="1794"/>
    </row>
    <row r="182" spans="2:36" ht="15.75">
      <c r="B182" s="1795"/>
      <c r="D182" s="1784"/>
      <c r="F182" s="1797"/>
      <c r="H182" s="1786"/>
      <c r="J182" s="1786"/>
      <c r="N182" s="1784"/>
      <c r="P182" s="1793"/>
      <c r="AB182" s="1785"/>
      <c r="AJ182" s="1794"/>
    </row>
    <row r="183" spans="2:36" ht="15.75">
      <c r="B183" s="1795"/>
      <c r="D183" s="1784"/>
      <c r="F183" s="1797"/>
      <c r="H183" s="1786"/>
      <c r="J183" s="1786"/>
      <c r="N183" s="1784"/>
      <c r="P183" s="1793"/>
      <c r="AB183" s="1785"/>
      <c r="AJ183" s="1794"/>
    </row>
    <row r="184" spans="2:36" ht="15.75">
      <c r="B184" s="1795"/>
      <c r="D184" s="1784"/>
      <c r="F184" s="1797"/>
      <c r="H184" s="1786"/>
      <c r="J184" s="1786"/>
      <c r="N184" s="1784"/>
      <c r="P184" s="1793"/>
      <c r="AB184" s="1785"/>
      <c r="AJ184" s="1794"/>
    </row>
    <row r="185" spans="2:36" ht="15.75">
      <c r="B185" s="1795"/>
      <c r="D185" s="1784"/>
      <c r="F185" s="1797"/>
      <c r="H185" s="1786"/>
      <c r="J185" s="1786"/>
      <c r="N185" s="1784"/>
      <c r="P185" s="1793"/>
      <c r="AB185" s="1785"/>
      <c r="AJ185" s="1794"/>
    </row>
    <row r="186" spans="2:36">
      <c r="D186" s="1784"/>
      <c r="F186" s="1785"/>
      <c r="H186" s="1786"/>
      <c r="J186" s="1792"/>
      <c r="N186" s="1784"/>
      <c r="P186" s="1785"/>
      <c r="AB186" s="1785"/>
    </row>
    <row r="187" spans="2:36">
      <c r="F187" s="1799"/>
      <c r="P187" s="1799"/>
      <c r="T187" s="1799"/>
      <c r="Z187" s="1799"/>
      <c r="AB187" s="1799"/>
      <c r="AF187" s="1799"/>
    </row>
    <row r="188" spans="2:36">
      <c r="B188" s="1781" t="s">
        <v>3518</v>
      </c>
      <c r="F188" s="1785">
        <f>SUM(F5:F187)</f>
        <v>27075079</v>
      </c>
      <c r="P188" s="1785">
        <f>SUM(P5:P187)</f>
        <v>1815648</v>
      </c>
      <c r="T188" s="1785">
        <f>SUM(T5:T187)</f>
        <v>0</v>
      </c>
      <c r="Z188" s="1785">
        <f>SUM(Z5:Z187)</f>
        <v>0</v>
      </c>
      <c r="AB188" s="1785">
        <f>SUM(AB5:AB187)</f>
        <v>25259431</v>
      </c>
      <c r="AF188" s="1787">
        <f>SUM(AF5:AF187)</f>
        <v>37287.5</v>
      </c>
    </row>
    <row r="190" spans="2:36">
      <c r="D190" s="1781" t="s">
        <v>3519</v>
      </c>
      <c r="F190" s="1785">
        <f>SUMIF(D5:D187,"F",AB5:AB187)</f>
        <v>3850000</v>
      </c>
      <c r="J190" s="1781">
        <f>SUMPRODUCT(L109:L179,AB109:AB179)/SUM(AB109:AB179)</f>
        <v>0.05</v>
      </c>
      <c r="P190" s="1785"/>
      <c r="AH190" s="1785">
        <v>50500000</v>
      </c>
      <c r="AJ190" s="1785">
        <v>87972707</v>
      </c>
    </row>
    <row r="191" spans="2:36">
      <c r="D191" s="1781" t="s">
        <v>3520</v>
      </c>
      <c r="F191" s="1785">
        <f>SUMIF(D5:D187,"E",AB5:AB187)</f>
        <v>19682806</v>
      </c>
      <c r="P191" s="1785"/>
    </row>
    <row r="192" spans="2:36">
      <c r="D192" s="1781" t="s">
        <v>3521</v>
      </c>
      <c r="F192" s="1785">
        <f>SUMIF(D5:D187,"C",AB5:AB187)</f>
        <v>1177500</v>
      </c>
      <c r="P192" s="1785"/>
    </row>
    <row r="193" spans="2:38">
      <c r="D193" s="1781" t="s">
        <v>3522</v>
      </c>
      <c r="F193" s="1785">
        <f>SUMIF(D5:D187,"X",AB5:AB187)</f>
        <v>549125</v>
      </c>
      <c r="P193" s="1785"/>
    </row>
    <row r="195" spans="2:38">
      <c r="AJ195" s="1800"/>
    </row>
    <row r="196" spans="2:38">
      <c r="B196" s="1781" t="s">
        <v>3523</v>
      </c>
      <c r="D196" s="1785">
        <v>7500000</v>
      </c>
      <c r="AF196" s="1800"/>
      <c r="AH196" s="1800"/>
      <c r="AJ196" s="1800"/>
    </row>
    <row r="197" spans="2:38">
      <c r="B197" s="1781" t="s">
        <v>3524</v>
      </c>
      <c r="D197" s="1801">
        <v>5000000</v>
      </c>
      <c r="AF197" s="1800"/>
      <c r="AH197" s="1800"/>
      <c r="AJ197" s="1800"/>
      <c r="AL197" s="1800"/>
    </row>
    <row r="198" spans="2:38">
      <c r="B198" s="1781" t="s">
        <v>3525</v>
      </c>
      <c r="D198" s="1785">
        <f>SUM(D196:D197)</f>
        <v>12500000</v>
      </c>
      <c r="AD198" s="1800"/>
      <c r="AF198" s="1800"/>
      <c r="AH198" s="1800"/>
      <c r="AJ198" s="1800"/>
      <c r="AL198" s="1800"/>
    </row>
    <row r="199" spans="2:38">
      <c r="B199" s="1781" t="s">
        <v>3526</v>
      </c>
      <c r="D199" s="1785">
        <f>-SUM(AB10:AB187)</f>
        <v>-21409431</v>
      </c>
    </row>
    <row r="200" spans="2:38">
      <c r="B200" s="1781" t="s">
        <v>3527</v>
      </c>
      <c r="D200" s="1785">
        <v>3863973</v>
      </c>
      <c r="AF200" s="1785"/>
      <c r="AH200" s="1784"/>
      <c r="AJ200" s="1785"/>
      <c r="AL200" s="1785"/>
    </row>
    <row r="201" spans="2:38">
      <c r="B201" s="1781" t="s">
        <v>3528</v>
      </c>
      <c r="D201" s="1785">
        <v>2500000</v>
      </c>
      <c r="AF201" s="1785"/>
      <c r="AH201" s="1784"/>
      <c r="AJ201" s="1785"/>
      <c r="AL201" s="1785"/>
    </row>
    <row r="202" spans="2:38">
      <c r="B202" s="1781" t="s">
        <v>3529</v>
      </c>
      <c r="D202" s="1801">
        <v>5000000</v>
      </c>
      <c r="AF202" s="1785"/>
      <c r="AH202" s="1784"/>
      <c r="AJ202" s="1785"/>
      <c r="AL202" s="1785"/>
    </row>
    <row r="203" spans="2:38">
      <c r="B203" s="1781" t="s">
        <v>3530</v>
      </c>
      <c r="D203" s="1785">
        <f>D198+D199+D200+D201+D202</f>
        <v>2454542</v>
      </c>
      <c r="H203" s="1785">
        <f>D198+D200</f>
        <v>16363973</v>
      </c>
      <c r="AJ203" s="1785"/>
      <c r="AL203" s="1785"/>
    </row>
    <row r="204" spans="2:38">
      <c r="D204" s="1785"/>
      <c r="AF204" s="1785"/>
      <c r="AL204" s="1785"/>
    </row>
    <row r="205" spans="2:38">
      <c r="B205" s="1781" t="s">
        <v>3531</v>
      </c>
      <c r="D205" s="1785">
        <f>SUM(AB5:AB8)</f>
        <v>3850000</v>
      </c>
      <c r="AF205" s="1802" t="s">
        <v>3532</v>
      </c>
      <c r="AL205" s="1785"/>
    </row>
    <row r="206" spans="2:38">
      <c r="AF206" s="1785"/>
      <c r="AL206" s="1785"/>
    </row>
    <row r="207" spans="2:38">
      <c r="AF207" s="1785"/>
      <c r="AL207" s="1785"/>
    </row>
    <row r="208" spans="2:38">
      <c r="H208" s="1785"/>
      <c r="J208" s="1788"/>
      <c r="AF208" s="1785"/>
      <c r="AL208" s="1785"/>
    </row>
    <row r="209" spans="4:38">
      <c r="D209" s="1785"/>
      <c r="F209" s="1788"/>
      <c r="H209" s="1785"/>
      <c r="J209" s="1788"/>
      <c r="P209" s="1788"/>
      <c r="AF209" s="1785"/>
      <c r="AL209" s="1785"/>
    </row>
    <row r="210" spans="4:38">
      <c r="H210" s="1785"/>
      <c r="J210" s="1788"/>
      <c r="AF210" s="1785"/>
      <c r="AL210" s="1785"/>
    </row>
    <row r="211" spans="4:38">
      <c r="D211" s="1785"/>
      <c r="F211" s="1788"/>
      <c r="H211" s="1785"/>
      <c r="J211" s="1788"/>
      <c r="P211" s="1788"/>
      <c r="AF211" s="1785"/>
      <c r="AL211" s="1785"/>
    </row>
    <row r="212" spans="4:38">
      <c r="H212" s="1785"/>
      <c r="J212" s="1788"/>
      <c r="AF212" s="1785"/>
      <c r="AL212" s="1785"/>
    </row>
    <row r="213" spans="4:38">
      <c r="H213" s="1785"/>
      <c r="J213" s="1788"/>
      <c r="AF213" s="1785"/>
      <c r="AL213" s="1785"/>
    </row>
    <row r="214" spans="4:38">
      <c r="D214" s="1785"/>
      <c r="F214" s="1788"/>
      <c r="H214" s="1785"/>
      <c r="J214" s="1788"/>
      <c r="P214" s="1788"/>
      <c r="AF214" s="1785"/>
      <c r="AL214" s="1785"/>
    </row>
    <row r="215" spans="4:38">
      <c r="D215" s="1785"/>
      <c r="F215" s="1788"/>
      <c r="H215" s="1785"/>
      <c r="J215" s="1788"/>
      <c r="P215" s="1788"/>
      <c r="AF215" s="1785"/>
      <c r="AL215" s="1785"/>
    </row>
    <row r="216" spans="4:38">
      <c r="D216" s="1803"/>
      <c r="F216" s="1788"/>
      <c r="H216" s="1803"/>
      <c r="J216" s="1788"/>
      <c r="P216" s="1788"/>
      <c r="AF216" s="1785"/>
      <c r="AL216" s="1785"/>
    </row>
    <row r="217" spans="4:38">
      <c r="D217" s="1785"/>
      <c r="AF217" s="1785"/>
      <c r="AL217" s="1785"/>
    </row>
    <row r="218" spans="4:38">
      <c r="D218" s="1785"/>
      <c r="H218" s="1785"/>
      <c r="AF218" s="1785"/>
      <c r="AL218" s="1785"/>
    </row>
    <row r="219" spans="4:38">
      <c r="AF219" s="1785"/>
      <c r="AL219" s="1785"/>
    </row>
    <row r="220" spans="4:38">
      <c r="AF220" s="1785"/>
      <c r="AL220" s="1785"/>
    </row>
    <row r="221" spans="4:38">
      <c r="AF221" s="1785"/>
      <c r="AL221" s="1785"/>
    </row>
    <row r="222" spans="4:38">
      <c r="AF222" s="1785"/>
      <c r="AL222" s="1785"/>
    </row>
    <row r="223" spans="4:38">
      <c r="AF223" s="1785"/>
      <c r="AL223" s="1785"/>
    </row>
    <row r="224" spans="4:38">
      <c r="AF224" s="1785"/>
      <c r="AL224" s="1785"/>
    </row>
    <row r="225" spans="32:38">
      <c r="AF225" s="1785"/>
      <c r="AL225" s="1785"/>
    </row>
    <row r="226" spans="32:38">
      <c r="AF226" s="1785"/>
      <c r="AL226" s="1785"/>
    </row>
    <row r="227" spans="32:38">
      <c r="AF227" s="1785"/>
      <c r="AL227" s="1785"/>
    </row>
    <row r="228" spans="32:38">
      <c r="AF228" s="1785"/>
      <c r="AL228" s="1785"/>
    </row>
    <row r="229" spans="32:38">
      <c r="AF229" s="1785"/>
      <c r="AL229" s="1785"/>
    </row>
    <row r="230" spans="32:38">
      <c r="AF230" s="1785"/>
      <c r="AL230" s="1785"/>
    </row>
    <row r="231" spans="32:38">
      <c r="AF231" s="1785"/>
      <c r="AL231" s="1785"/>
    </row>
    <row r="232" spans="32:38">
      <c r="AF232" s="1785"/>
      <c r="AL232" s="1785"/>
    </row>
    <row r="233" spans="32:38" ht="96" customHeight="1">
      <c r="AF233" s="1785"/>
      <c r="AL233" s="1785"/>
    </row>
    <row r="234" spans="32:38">
      <c r="AF234" s="1785"/>
      <c r="AL234" s="1785"/>
    </row>
    <row r="235" spans="32:38">
      <c r="AF235" s="1785"/>
      <c r="AL235" s="1785"/>
    </row>
    <row r="236" spans="32:38">
      <c r="AF236" s="1785"/>
      <c r="AL236" s="1785"/>
    </row>
    <row r="237" spans="32:38">
      <c r="AF237" s="1785"/>
      <c r="AL237" s="1785"/>
    </row>
    <row r="238" spans="32:38">
      <c r="AF238" s="1785"/>
      <c r="AL238" s="1785"/>
    </row>
    <row r="239" spans="32:38">
      <c r="AF239" s="1785"/>
      <c r="AL239" s="1785"/>
    </row>
    <row r="240" spans="32:38">
      <c r="AF240" s="1785"/>
      <c r="AL240" s="1785"/>
    </row>
    <row r="241" spans="32:38">
      <c r="AF241" s="1785"/>
      <c r="AL241" s="1785"/>
    </row>
    <row r="242" spans="32:38">
      <c r="AF242" s="1785"/>
      <c r="AL242" s="1785"/>
    </row>
    <row r="243" spans="32:38">
      <c r="AF243" s="1785"/>
      <c r="AL243" s="1785"/>
    </row>
    <row r="244" spans="32:38">
      <c r="AF244" s="1785"/>
      <c r="AL244" s="1785"/>
    </row>
    <row r="245" spans="32:38">
      <c r="AF245" s="1785"/>
      <c r="AL245" s="1785"/>
    </row>
    <row r="246" spans="32:38">
      <c r="AF246" s="1785"/>
      <c r="AL246" s="1785"/>
    </row>
    <row r="247" spans="32:38">
      <c r="AF247" s="1785"/>
      <c r="AL247" s="1785"/>
    </row>
    <row r="248" spans="32:38">
      <c r="AF248" s="1785"/>
      <c r="AL248" s="1785"/>
    </row>
    <row r="249" spans="32:38">
      <c r="AF249" s="1785"/>
      <c r="AL249" s="1785"/>
    </row>
    <row r="250" spans="32:38">
      <c r="AF250" s="1785"/>
      <c r="AL250" s="1785"/>
    </row>
    <row r="251" spans="32:38">
      <c r="AF251" s="1785"/>
      <c r="AL251" s="1785"/>
    </row>
    <row r="252" spans="32:38">
      <c r="AF252" s="1785"/>
      <c r="AL252" s="1785"/>
    </row>
    <row r="253" spans="32:38">
      <c r="AF253" s="1785"/>
      <c r="AL253" s="1785"/>
    </row>
    <row r="254" spans="32:38">
      <c r="AF254" s="1785"/>
      <c r="AL254" s="1785"/>
    </row>
    <row r="255" spans="32:38">
      <c r="AF255" s="1785"/>
      <c r="AL255" s="1785"/>
    </row>
    <row r="256" spans="32:38">
      <c r="AF256" s="1785"/>
      <c r="AL256" s="1785"/>
    </row>
    <row r="257" spans="30:38">
      <c r="AF257" s="1785"/>
      <c r="AL257" s="1785"/>
    </row>
    <row r="258" spans="30:38">
      <c r="AF258" s="1785"/>
      <c r="AL258" s="1785"/>
    </row>
    <row r="259" spans="30:38">
      <c r="AF259" s="1785"/>
      <c r="AL259" s="1785"/>
    </row>
    <row r="260" spans="30:38">
      <c r="AF260" s="1785"/>
      <c r="AL260" s="1785"/>
    </row>
    <row r="261" spans="30:38">
      <c r="AF261" s="1785"/>
      <c r="AL261" s="1785"/>
    </row>
    <row r="262" spans="30:38">
      <c r="AF262" s="1785"/>
      <c r="AL262" s="1785"/>
    </row>
    <row r="263" spans="30:38">
      <c r="AF263" s="1785"/>
      <c r="AL263" s="1785"/>
    </row>
    <row r="264" spans="30:38">
      <c r="AF264" s="1785"/>
      <c r="AL264" s="1785"/>
    </row>
    <row r="265" spans="30:38">
      <c r="AF265" s="1785"/>
      <c r="AL265" s="1785"/>
    </row>
    <row r="266" spans="30:38">
      <c r="AF266" s="1785"/>
      <c r="AL266" s="1785"/>
    </row>
    <row r="267" spans="30:38">
      <c r="AF267" s="1785"/>
      <c r="AL267" s="1785"/>
    </row>
    <row r="269" spans="30:38">
      <c r="AF269" s="1785"/>
      <c r="AL269" s="1785"/>
    </row>
    <row r="271" spans="30:38">
      <c r="AD271" s="1800"/>
      <c r="AF271" s="1803"/>
      <c r="AG271" s="1800"/>
      <c r="AH271" s="1800"/>
      <c r="AI271" s="1800"/>
      <c r="AJ271" s="1803"/>
      <c r="AK271" s="1800"/>
      <c r="AL271" s="1803"/>
    </row>
  </sheetData>
  <pageMargins left="0.7" right="0.7" top="0.75" bottom="0.75" header="0.3" footer="0.3"/>
  <pageSetup orientation="portrait"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tabColor theme="1"/>
  </sheetPr>
  <dimension ref="A1"/>
  <sheetViews>
    <sheetView workbookViewId="0">
      <selection activeCell="J17" sqref="J17"/>
    </sheetView>
  </sheetViews>
  <sheetFormatPr defaultRowHeight="12.75"/>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3">
    <tabColor rgb="FFFF0000"/>
  </sheetPr>
  <dimension ref="A1:CH74"/>
  <sheetViews>
    <sheetView showGridLines="0" zoomScaleNormal="100" zoomScaleSheetLayoutView="100" workbookViewId="0">
      <pane ySplit="10" topLeftCell="A11" activePane="bottomLeft" state="frozen"/>
      <selection activeCell="BU10" sqref="BU10"/>
      <selection pane="bottomLeft" activeCell="G21" sqref="G21"/>
    </sheetView>
  </sheetViews>
  <sheetFormatPr defaultRowHeight="11.25" outlineLevelRow="1" outlineLevelCol="1"/>
  <cols>
    <col min="1" max="1" width="40.1640625" style="44" bestFit="1" customWidth="1"/>
    <col min="2" max="2" width="14.83203125" style="44" bestFit="1" customWidth="1"/>
    <col min="3" max="3" width="25.1640625" style="45" bestFit="1" customWidth="1"/>
    <col min="4" max="4" width="19" style="45" bestFit="1" customWidth="1"/>
    <col min="5" max="9" width="17.83203125" style="45" customWidth="1"/>
    <col min="10" max="10" width="15.33203125" style="45" customWidth="1"/>
    <col min="11" max="11" width="14" style="45" customWidth="1"/>
    <col min="12" max="12" width="15.6640625" style="45" bestFit="1" customWidth="1"/>
    <col min="13" max="13" width="16.1640625" style="45" customWidth="1"/>
    <col min="14" max="16" width="14.83203125" style="45" bestFit="1" customWidth="1"/>
    <col min="17" max="18" width="14.83203125" style="45" customWidth="1"/>
    <col min="19" max="23" width="14.83203125" style="45" bestFit="1" customWidth="1"/>
    <col min="24" max="24" width="14.83203125" style="45" customWidth="1"/>
    <col min="25" max="29" width="14.83203125" style="45" bestFit="1" customWidth="1"/>
    <col min="30" max="30" width="17" style="45" bestFit="1" customWidth="1"/>
    <col min="31" max="31" width="14.83203125" style="45" bestFit="1" customWidth="1"/>
    <col min="32" max="32" width="19.1640625" style="45" customWidth="1"/>
    <col min="33" max="33" width="19.5" style="45" customWidth="1"/>
    <col min="34" max="34" width="21.1640625" style="45" customWidth="1"/>
    <col min="35" max="35" width="19" style="45" bestFit="1" customWidth="1"/>
    <col min="36" max="36" width="12.83203125" style="45" customWidth="1"/>
    <col min="37" max="37" width="15.33203125" style="45" customWidth="1"/>
    <col min="38" max="38" width="13.1640625" style="45" customWidth="1"/>
    <col min="39" max="39" width="18.5" style="45" bestFit="1" customWidth="1"/>
    <col min="40" max="40" width="14.83203125" style="45" bestFit="1" customWidth="1"/>
    <col min="41" max="44" width="14.83203125" style="45" customWidth="1"/>
    <col min="45" max="45" width="11.1640625" style="45" customWidth="1"/>
    <col min="46" max="46" width="14.83203125" style="45" bestFit="1" customWidth="1"/>
    <col min="47" max="50" width="14.83203125" style="45" customWidth="1"/>
    <col min="51" max="51" width="16" style="45" customWidth="1"/>
    <col min="52" max="69" width="14.83203125" style="45" customWidth="1"/>
    <col min="70" max="70" width="17" style="45" customWidth="1" outlineLevel="1"/>
    <col min="71" max="78" width="9.33203125" style="45"/>
    <col min="79" max="82" width="9.33203125" style="44"/>
    <col min="83" max="83" width="9.33203125" style="52"/>
    <col min="84" max="16384" width="9.33203125" style="44"/>
  </cols>
  <sheetData>
    <row r="1" spans="1:86" s="41" customFormat="1">
      <c r="A1" s="44" t="s">
        <v>748</v>
      </c>
      <c r="B1" s="51">
        <v>43245</v>
      </c>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2"/>
      <c r="AR1" s="45"/>
      <c r="AS1" s="43"/>
      <c r="AT1" s="45"/>
      <c r="AU1" s="42"/>
      <c r="AV1" s="42"/>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row>
    <row r="2" spans="1:86" s="41" customFormat="1">
      <c r="A2" s="44" t="s">
        <v>749</v>
      </c>
      <c r="B2" s="52" t="s">
        <v>778</v>
      </c>
      <c r="C2" s="45"/>
      <c r="D2" s="45"/>
      <c r="E2" s="45"/>
      <c r="F2" s="45"/>
      <c r="G2" s="45"/>
      <c r="H2" s="45"/>
      <c r="I2" s="45"/>
      <c r="J2" s="45"/>
      <c r="K2" s="1970" t="s">
        <v>87</v>
      </c>
      <c r="L2" s="1971">
        <v>43245</v>
      </c>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2"/>
      <c r="AR2" s="45"/>
      <c r="AS2" s="43"/>
      <c r="AT2" s="45"/>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row>
    <row r="3" spans="1:86" s="41" customFormat="1">
      <c r="A3" s="44" t="s">
        <v>750</v>
      </c>
      <c r="B3" s="52" t="s">
        <v>779</v>
      </c>
      <c r="C3" s="45"/>
      <c r="D3" s="45"/>
      <c r="E3" s="45"/>
      <c r="F3" s="45"/>
      <c r="G3" s="45"/>
      <c r="H3" s="45"/>
      <c r="I3" s="45"/>
      <c r="J3" s="45"/>
      <c r="K3" s="53" t="s">
        <v>462</v>
      </c>
      <c r="L3" s="54" t="s">
        <v>464</v>
      </c>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2"/>
      <c r="AR3" s="45"/>
      <c r="AS3" s="43"/>
      <c r="AT3" s="45"/>
      <c r="AU3" s="42"/>
      <c r="AV3" s="42"/>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c r="BY3" s="42"/>
      <c r="BZ3" s="42"/>
    </row>
    <row r="4" spans="1:86" s="41" customFormat="1">
      <c r="A4" s="44" t="s">
        <v>751</v>
      </c>
      <c r="B4" s="52" t="s">
        <v>780</v>
      </c>
      <c r="C4" s="45"/>
      <c r="D4" s="45"/>
      <c r="E4" s="45"/>
      <c r="F4" s="45"/>
      <c r="G4" s="45"/>
      <c r="H4" s="45"/>
      <c r="I4" s="45"/>
      <c r="J4" s="45"/>
      <c r="K4" s="53" t="s">
        <v>843</v>
      </c>
      <c r="L4" s="54" t="s">
        <v>844</v>
      </c>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2"/>
      <c r="AR4" s="45"/>
      <c r="AS4" s="42"/>
      <c r="AT4" s="45"/>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row>
    <row r="5" spans="1:86" s="41" customFormat="1">
      <c r="A5" s="44" t="s">
        <v>752</v>
      </c>
      <c r="B5" s="52" t="s">
        <v>846</v>
      </c>
      <c r="C5" s="45"/>
      <c r="D5" s="45"/>
      <c r="E5" s="45"/>
      <c r="F5" s="45"/>
      <c r="G5" s="45"/>
      <c r="H5" s="45"/>
      <c r="I5" s="45"/>
      <c r="J5" s="45"/>
      <c r="K5" s="53" t="s">
        <v>463</v>
      </c>
      <c r="L5" s="54" t="s">
        <v>465</v>
      </c>
      <c r="M5" s="45"/>
      <c r="N5" s="45"/>
      <c r="O5" s="45"/>
      <c r="P5" s="45"/>
      <c r="Q5" s="45"/>
      <c r="R5" s="45"/>
      <c r="S5" s="45"/>
      <c r="T5" s="45"/>
      <c r="U5" s="45"/>
      <c r="V5" s="45"/>
      <c r="W5" s="45"/>
      <c r="X5" s="45"/>
      <c r="Y5" s="45"/>
      <c r="Z5" s="45"/>
      <c r="AA5" s="45"/>
      <c r="AB5" s="45"/>
      <c r="AC5" s="45"/>
      <c r="AD5" s="45"/>
      <c r="AE5" s="45"/>
      <c r="AF5" s="45"/>
      <c r="AG5" s="45"/>
      <c r="AH5" s="45"/>
      <c r="AI5" s="45"/>
      <c r="AJ5" s="45"/>
      <c r="AK5" s="45"/>
      <c r="AL5" s="45"/>
      <c r="AM5" s="45"/>
      <c r="AN5" s="45"/>
      <c r="AO5" s="45"/>
      <c r="AP5" s="45"/>
      <c r="AQ5" s="42"/>
      <c r="AR5" s="45"/>
      <c r="AS5" s="42"/>
      <c r="AT5" s="45"/>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row>
    <row r="6" spans="1:86" s="41" customFormat="1">
      <c r="A6" s="44" t="s">
        <v>753</v>
      </c>
      <c r="B6" s="52" t="s">
        <v>3553</v>
      </c>
      <c r="C6" s="45"/>
      <c r="D6" s="45"/>
      <c r="E6" s="45"/>
      <c r="F6" s="45"/>
      <c r="G6" s="45"/>
      <c r="H6" s="45"/>
      <c r="I6" s="45"/>
      <c r="J6" s="45"/>
      <c r="K6" s="55" t="s">
        <v>89</v>
      </c>
      <c r="L6" s="56" t="s">
        <v>90</v>
      </c>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2"/>
      <c r="AR6" s="45"/>
      <c r="AS6" s="42"/>
      <c r="AT6" s="45"/>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row>
    <row r="7" spans="1:86" s="41" customFormat="1">
      <c r="A7" s="44" t="s">
        <v>845</v>
      </c>
      <c r="B7" s="52" t="s">
        <v>3554</v>
      </c>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57"/>
      <c r="AG7" s="57"/>
      <c r="AH7" s="45"/>
      <c r="AI7" s="45"/>
      <c r="AJ7" s="45"/>
      <c r="AK7" s="45"/>
      <c r="AL7" s="45"/>
      <c r="AM7" s="45"/>
      <c r="AN7" s="45"/>
      <c r="AO7" s="45"/>
      <c r="AP7" s="45"/>
      <c r="AQ7" s="42"/>
      <c r="AR7" s="45"/>
      <c r="AS7" s="42"/>
      <c r="AT7" s="45"/>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row>
    <row r="8" spans="1:86" s="41" customFormat="1">
      <c r="A8" s="44" t="s">
        <v>754</v>
      </c>
      <c r="B8" s="51">
        <v>43101</v>
      </c>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2"/>
      <c r="AR8" s="45"/>
      <c r="AS8" s="42"/>
      <c r="AT8" s="45"/>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row>
    <row r="9" spans="1:86" s="9" customFormat="1" ht="12.75">
      <c r="C9" s="34"/>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row>
    <row r="10" spans="1:86">
      <c r="A10" s="58" t="s">
        <v>781</v>
      </c>
      <c r="W10" s="46"/>
      <c r="AF10" s="45" t="s">
        <v>330</v>
      </c>
      <c r="AJ10" s="45" t="s">
        <v>353</v>
      </c>
      <c r="AK10" s="45" t="s">
        <v>329</v>
      </c>
      <c r="AL10" s="45" t="s">
        <v>330</v>
      </c>
      <c r="AM10" s="45" t="s">
        <v>353</v>
      </c>
      <c r="AN10" s="45" t="s">
        <v>329</v>
      </c>
      <c r="AO10" s="45" t="s">
        <v>330</v>
      </c>
      <c r="AQ10" s="42">
        <v>1</v>
      </c>
      <c r="AR10" s="45">
        <v>2</v>
      </c>
      <c r="AS10" s="42">
        <v>5</v>
      </c>
      <c r="AU10" s="45" t="s">
        <v>353</v>
      </c>
      <c r="AV10" s="45" t="s">
        <v>329</v>
      </c>
      <c r="AW10" s="45" t="s">
        <v>330</v>
      </c>
      <c r="AX10" s="46" t="s">
        <v>778</v>
      </c>
      <c r="AY10" s="46" t="s">
        <v>779</v>
      </c>
      <c r="AZ10" s="45" t="s">
        <v>353</v>
      </c>
      <c r="BA10" s="45" t="s">
        <v>329</v>
      </c>
      <c r="BB10" s="45" t="s">
        <v>330</v>
      </c>
      <c r="BC10" s="45" t="s">
        <v>778</v>
      </c>
      <c r="BD10" s="45" t="s">
        <v>779</v>
      </c>
      <c r="BH10" s="42"/>
      <c r="BI10" s="42"/>
      <c r="BJ10" s="42"/>
      <c r="BK10" s="42"/>
      <c r="BL10" s="42"/>
      <c r="BM10" s="42"/>
      <c r="BN10" s="42"/>
      <c r="BO10" s="42"/>
      <c r="BP10" s="42"/>
      <c r="BQ10" s="42"/>
      <c r="BR10" s="42"/>
      <c r="BS10" s="42" t="s">
        <v>117</v>
      </c>
      <c r="BT10" s="42"/>
      <c r="BU10" s="42"/>
      <c r="BV10" s="42"/>
      <c r="BW10" s="42"/>
      <c r="BX10" s="42"/>
      <c r="BY10" s="42"/>
      <c r="BZ10" s="42"/>
      <c r="CA10" s="41"/>
      <c r="CB10" s="41"/>
      <c r="CC10" s="41"/>
      <c r="CD10" s="41"/>
      <c r="CE10" s="41"/>
      <c r="CF10" s="41"/>
      <c r="CG10" s="41"/>
      <c r="CH10" s="41"/>
    </row>
    <row r="11" spans="1:86" ht="12.75">
      <c r="A11" s="44" t="s">
        <v>108</v>
      </c>
      <c r="B11" s="44" t="s">
        <v>755</v>
      </c>
      <c r="C11" s="45" t="s">
        <v>756</v>
      </c>
      <c r="D11" s="45" t="s">
        <v>757</v>
      </c>
      <c r="E11" s="45" t="s">
        <v>758</v>
      </c>
      <c r="F11" s="45" t="s">
        <v>847</v>
      </c>
      <c r="G11" s="45" t="s">
        <v>759</v>
      </c>
      <c r="H11" s="45" t="s">
        <v>147</v>
      </c>
      <c r="I11" s="45" t="s">
        <v>700</v>
      </c>
      <c r="J11" s="45" t="s">
        <v>94</v>
      </c>
      <c r="K11" s="45" t="s">
        <v>95</v>
      </c>
      <c r="L11" s="45" t="s">
        <v>96</v>
      </c>
      <c r="M11" s="45" t="s">
        <v>97</v>
      </c>
      <c r="N11" s="45" t="s">
        <v>100</v>
      </c>
      <c r="O11" s="34" t="s">
        <v>803</v>
      </c>
      <c r="P11" s="45" t="s">
        <v>804</v>
      </c>
      <c r="Q11" s="45" t="s">
        <v>805</v>
      </c>
      <c r="R11" s="45" t="s">
        <v>848</v>
      </c>
      <c r="S11" s="45" t="s">
        <v>849</v>
      </c>
      <c r="T11" s="45" t="s">
        <v>850</v>
      </c>
      <c r="U11" s="45" t="s">
        <v>851</v>
      </c>
      <c r="V11" s="45" t="s">
        <v>3555</v>
      </c>
      <c r="W11" s="45" t="s">
        <v>3556</v>
      </c>
      <c r="X11" s="34" t="s">
        <v>806</v>
      </c>
      <c r="Y11" s="45" t="s">
        <v>807</v>
      </c>
      <c r="Z11" s="45" t="s">
        <v>760</v>
      </c>
      <c r="AA11" s="45" t="s">
        <v>810</v>
      </c>
      <c r="AB11" s="45" t="s">
        <v>811</v>
      </c>
      <c r="AC11" s="45" t="s">
        <v>812</v>
      </c>
      <c r="AD11" s="45" t="s">
        <v>3557</v>
      </c>
      <c r="AE11" s="45" t="s">
        <v>3558</v>
      </c>
      <c r="AF11" s="45" t="s">
        <v>815</v>
      </c>
      <c r="AG11" s="45" t="s">
        <v>864</v>
      </c>
      <c r="AH11" s="45" t="s">
        <v>865</v>
      </c>
      <c r="AI11" s="45" t="s">
        <v>866</v>
      </c>
      <c r="AJ11" s="45" t="s">
        <v>816</v>
      </c>
      <c r="AK11" s="45" t="s">
        <v>816</v>
      </c>
      <c r="AL11" s="45" t="s">
        <v>816</v>
      </c>
      <c r="AM11" s="45" t="s">
        <v>698</v>
      </c>
      <c r="AN11" s="45" t="s">
        <v>698</v>
      </c>
      <c r="AO11" s="45" t="s">
        <v>698</v>
      </c>
      <c r="AP11" s="45" t="s">
        <v>867</v>
      </c>
      <c r="AQ11" s="45" t="s">
        <v>763</v>
      </c>
      <c r="AR11" s="45" t="s">
        <v>762</v>
      </c>
      <c r="AS11" s="45" t="s">
        <v>761</v>
      </c>
      <c r="AT11" s="45" t="s">
        <v>73</v>
      </c>
      <c r="AU11" s="45" t="s">
        <v>624</v>
      </c>
      <c r="AV11" s="45" t="s">
        <v>624</v>
      </c>
      <c r="AW11" s="45" t="s">
        <v>624</v>
      </c>
      <c r="AX11" s="45" t="s">
        <v>624</v>
      </c>
      <c r="AY11" s="45" t="s">
        <v>624</v>
      </c>
      <c r="AZ11" s="45" t="s">
        <v>625</v>
      </c>
      <c r="BA11" s="45" t="s">
        <v>625</v>
      </c>
      <c r="BB11" s="45" t="s">
        <v>625</v>
      </c>
      <c r="BC11" s="45" t="s">
        <v>625</v>
      </c>
      <c r="BD11" s="45" t="s">
        <v>625</v>
      </c>
      <c r="BE11" s="45" t="s">
        <v>853</v>
      </c>
      <c r="BF11" s="45" t="s">
        <v>854</v>
      </c>
      <c r="BG11" s="45" t="s">
        <v>855</v>
      </c>
      <c r="BH11" s="45" t="s">
        <v>856</v>
      </c>
      <c r="BI11" s="45" t="s">
        <v>857</v>
      </c>
      <c r="BJ11" s="45" t="s">
        <v>858</v>
      </c>
      <c r="BK11" s="45" t="s">
        <v>764</v>
      </c>
      <c r="BL11" s="45" t="s">
        <v>765</v>
      </c>
      <c r="BM11" s="45" t="s">
        <v>766</v>
      </c>
      <c r="BN11" s="45" t="s">
        <v>767</v>
      </c>
      <c r="BO11" s="45" t="s">
        <v>768</v>
      </c>
      <c r="BP11" s="45" t="s">
        <v>769</v>
      </c>
      <c r="BQ11" s="45" t="s">
        <v>770</v>
      </c>
      <c r="BR11" s="45" t="s">
        <v>771</v>
      </c>
      <c r="BS11" s="46" t="s">
        <v>782</v>
      </c>
      <c r="BT11" s="46" t="s">
        <v>783</v>
      </c>
      <c r="BU11" s="46" t="s">
        <v>784</v>
      </c>
      <c r="BV11" s="46" t="s">
        <v>785</v>
      </c>
      <c r="BW11" s="46" t="s">
        <v>786</v>
      </c>
      <c r="BX11" s="46" t="s">
        <v>1716</v>
      </c>
      <c r="BY11" s="46" t="s">
        <v>1717</v>
      </c>
      <c r="BZ11" s="46" t="s">
        <v>1718</v>
      </c>
      <c r="CB11" s="44" t="s">
        <v>868</v>
      </c>
      <c r="CC11" s="44" t="s">
        <v>302</v>
      </c>
      <c r="CD11" s="44" t="s">
        <v>303</v>
      </c>
      <c r="CE11" s="45" t="s">
        <v>819</v>
      </c>
    </row>
    <row r="12" spans="1:86">
      <c r="CE12" s="44"/>
    </row>
    <row r="13" spans="1:86" s="45" customFormat="1" ht="12.75">
      <c r="A13" s="45" t="s">
        <v>917</v>
      </c>
      <c r="B13" s="45" t="s">
        <v>918</v>
      </c>
      <c r="C13" s="45" t="s">
        <v>919</v>
      </c>
      <c r="D13" s="45" t="s">
        <v>788</v>
      </c>
      <c r="E13" s="46">
        <v>43100</v>
      </c>
      <c r="F13" s="46">
        <v>43190</v>
      </c>
      <c r="G13" s="46">
        <v>42403</v>
      </c>
      <c r="H13" s="59">
        <v>1379.67948</v>
      </c>
      <c r="I13" s="59">
        <v>36.53</v>
      </c>
      <c r="J13" s="59">
        <v>1705.3104800000001</v>
      </c>
      <c r="K13" s="59">
        <v>33.19</v>
      </c>
      <c r="L13" s="59" t="s">
        <v>13</v>
      </c>
      <c r="M13" s="59" t="s">
        <v>13</v>
      </c>
      <c r="N13" s="59">
        <v>358.82100000000003</v>
      </c>
      <c r="O13" s="59">
        <v>2.4340000000000002</v>
      </c>
      <c r="P13" s="59">
        <v>5.93</v>
      </c>
      <c r="Q13" s="59">
        <v>16.972999999999999</v>
      </c>
      <c r="R13" s="59">
        <v>6.0529999999999999</v>
      </c>
      <c r="S13" s="59">
        <v>13.728</v>
      </c>
      <c r="T13" s="59">
        <v>22.7866</v>
      </c>
      <c r="U13" s="59">
        <v>33.422170000000001</v>
      </c>
      <c r="V13" s="59">
        <v>41.15</v>
      </c>
      <c r="W13" s="59">
        <v>20.2</v>
      </c>
      <c r="X13" s="59">
        <v>-47.414999999999999</v>
      </c>
      <c r="Y13" s="59">
        <v>-108.33</v>
      </c>
      <c r="Z13" s="59">
        <v>-118.062</v>
      </c>
      <c r="AA13" s="59">
        <v>-95.986000000000004</v>
      </c>
      <c r="AB13" s="59">
        <v>-117.25</v>
      </c>
      <c r="AC13" s="59">
        <v>-111.62622</v>
      </c>
      <c r="AD13" s="59">
        <v>-131.72726</v>
      </c>
      <c r="AE13" s="59">
        <v>-162.44784999999999</v>
      </c>
      <c r="AF13" s="47" t="s">
        <v>13</v>
      </c>
      <c r="AG13" s="47" t="s">
        <v>13</v>
      </c>
      <c r="AH13" s="47" t="s">
        <v>13</v>
      </c>
      <c r="AI13" s="47" t="s">
        <v>13</v>
      </c>
      <c r="AJ13" s="59">
        <v>-7.24</v>
      </c>
      <c r="AK13" s="59">
        <v>-33.052999999999997</v>
      </c>
      <c r="AL13" s="59">
        <v>-27.003</v>
      </c>
      <c r="AM13" s="59">
        <v>-2.069</v>
      </c>
      <c r="AN13" s="59">
        <v>-3.206</v>
      </c>
      <c r="AO13" s="59">
        <v>-2.4140000000000001</v>
      </c>
      <c r="AP13" s="44" t="s">
        <v>3794</v>
      </c>
      <c r="AQ13" s="60">
        <v>0.99180999999999997</v>
      </c>
      <c r="AR13" s="60">
        <v>1.4734700000000001</v>
      </c>
      <c r="AS13" s="60">
        <v>3.6159400000000002</v>
      </c>
      <c r="AT13" s="47">
        <v>0</v>
      </c>
      <c r="AU13" s="59">
        <v>-85.353999999999999</v>
      </c>
      <c r="AV13" s="59">
        <v>-110.535</v>
      </c>
      <c r="AW13" s="59">
        <v>-120.166</v>
      </c>
      <c r="AX13" s="59">
        <v>-97.183000000000007</v>
      </c>
      <c r="AY13" s="59">
        <v>-120.324</v>
      </c>
      <c r="AZ13" s="59">
        <v>201.363</v>
      </c>
      <c r="BA13" s="59">
        <v>206.46100000000001</v>
      </c>
      <c r="BB13" s="59">
        <v>247.51499999999999</v>
      </c>
      <c r="BC13" s="59">
        <v>134.607</v>
      </c>
      <c r="BD13" s="59">
        <v>208.08</v>
      </c>
      <c r="BE13" s="59">
        <v>30.73</v>
      </c>
      <c r="BF13" s="59">
        <v>1354.91391</v>
      </c>
      <c r="BG13" s="59">
        <v>33.667000000000002</v>
      </c>
      <c r="BH13" s="45" t="s">
        <v>13</v>
      </c>
      <c r="BI13" s="45" t="s">
        <v>13</v>
      </c>
      <c r="BJ13" s="59">
        <v>295.69099999999997</v>
      </c>
      <c r="BK13" s="45" t="s">
        <v>13</v>
      </c>
      <c r="BL13" s="45">
        <v>1.6406999999999998</v>
      </c>
      <c r="BM13" s="45">
        <v>0</v>
      </c>
      <c r="BN13" s="45">
        <v>0</v>
      </c>
      <c r="BO13" s="45" t="s">
        <v>13</v>
      </c>
      <c r="BP13" s="45" t="s">
        <v>13</v>
      </c>
      <c r="BQ13" s="45">
        <v>0</v>
      </c>
      <c r="BR13" s="47">
        <v>0.1651446414894244</v>
      </c>
      <c r="BS13" s="61">
        <v>0.68420713810904565</v>
      </c>
      <c r="BT13" s="61">
        <v>0.69214889061457208</v>
      </c>
      <c r="BU13" s="61">
        <v>0.78204917356370451</v>
      </c>
      <c r="BV13" s="61" t="s">
        <v>13</v>
      </c>
      <c r="BW13" s="61" t="s">
        <v>13</v>
      </c>
      <c r="BX13" s="61" t="s">
        <v>13</v>
      </c>
      <c r="BY13" s="61" t="s">
        <v>13</v>
      </c>
      <c r="BZ13" s="61" t="s">
        <v>13</v>
      </c>
      <c r="CB13" s="45">
        <v>2</v>
      </c>
      <c r="CC13" s="10" t="s">
        <v>306</v>
      </c>
      <c r="CD13" s="10" t="s">
        <v>305</v>
      </c>
      <c r="CE13" s="46">
        <v>42515</v>
      </c>
    </row>
    <row r="14" spans="1:86" s="45" customFormat="1" ht="12.75">
      <c r="A14" s="45" t="s">
        <v>3795</v>
      </c>
      <c r="B14" s="45" t="s">
        <v>3796</v>
      </c>
      <c r="C14" s="45" t="s">
        <v>3797</v>
      </c>
      <c r="D14" s="45" t="s">
        <v>3798</v>
      </c>
      <c r="E14" s="46">
        <v>43100</v>
      </c>
      <c r="F14" s="46">
        <v>43100</v>
      </c>
      <c r="G14" s="46">
        <v>35415</v>
      </c>
      <c r="H14" s="59">
        <v>685.68294000000003</v>
      </c>
      <c r="I14" s="59">
        <v>9.98217</v>
      </c>
      <c r="J14" s="59">
        <v>655.68985999999995</v>
      </c>
      <c r="K14" s="59">
        <v>49.826320000000003</v>
      </c>
      <c r="L14" s="59" t="s">
        <v>13</v>
      </c>
      <c r="M14" s="59" t="s">
        <v>13</v>
      </c>
      <c r="N14" s="59">
        <v>19.367439999999998</v>
      </c>
      <c r="O14" s="59">
        <v>23.46114</v>
      </c>
      <c r="P14" s="59">
        <v>34.294750000000001</v>
      </c>
      <c r="Q14" s="59">
        <v>50.807600000000001</v>
      </c>
      <c r="R14" s="59">
        <v>34.294750000000001</v>
      </c>
      <c r="S14" s="59">
        <v>50.807600000000001</v>
      </c>
      <c r="T14" s="59">
        <v>67.411730000000006</v>
      </c>
      <c r="U14" s="59">
        <v>83.334149999999994</v>
      </c>
      <c r="V14" s="59">
        <v>110.53583999999999</v>
      </c>
      <c r="W14" s="59">
        <v>118.05574</v>
      </c>
      <c r="X14" s="59">
        <v>-18.368970000000001</v>
      </c>
      <c r="Y14" s="59">
        <v>-9.4305599999999998</v>
      </c>
      <c r="Z14" s="59">
        <v>-4.8523399999999999</v>
      </c>
      <c r="AA14" s="59">
        <v>-9.4305599999999998</v>
      </c>
      <c r="AB14" s="59">
        <v>-4.8523399999999999</v>
      </c>
      <c r="AC14" s="59">
        <v>5.2200100000000003</v>
      </c>
      <c r="AD14" s="59">
        <v>6.3925799999999997</v>
      </c>
      <c r="AE14" s="59">
        <v>20.616499999999998</v>
      </c>
      <c r="AF14" s="47">
        <v>0.50939000000000001</v>
      </c>
      <c r="AG14" s="47">
        <v>-9.5503999999999992E-2</v>
      </c>
      <c r="AH14" s="47">
        <v>-0.211891</v>
      </c>
      <c r="AI14" s="47">
        <v>-0.23987700000000001</v>
      </c>
      <c r="AJ14" s="59">
        <v>4.7013699999999998</v>
      </c>
      <c r="AK14" s="59">
        <v>3.4447899999999998</v>
      </c>
      <c r="AL14" s="59">
        <v>1.20295</v>
      </c>
      <c r="AM14" s="59">
        <v>-24.651230000000002</v>
      </c>
      <c r="AN14" s="59">
        <v>-7.97363</v>
      </c>
      <c r="AO14" s="59">
        <v>-2.6613500000000001</v>
      </c>
      <c r="AP14" s="44" t="s">
        <v>3799</v>
      </c>
      <c r="AQ14" s="60">
        <v>1.17248</v>
      </c>
      <c r="AR14" s="60">
        <v>1.36836</v>
      </c>
      <c r="AS14" s="60">
        <v>-4.4049999999999999E-2</v>
      </c>
      <c r="AT14" s="47">
        <v>0</v>
      </c>
      <c r="AU14" s="59">
        <v>-19.19923</v>
      </c>
      <c r="AV14" s="59">
        <v>-20.546469999999999</v>
      </c>
      <c r="AW14" s="59">
        <v>-12.187609999999999</v>
      </c>
      <c r="AX14" s="59">
        <v>-20.546469999999999</v>
      </c>
      <c r="AY14" s="59">
        <v>-12.187609999999999</v>
      </c>
      <c r="AZ14" s="59">
        <v>16.065480000000001</v>
      </c>
      <c r="BA14" s="59">
        <v>15.575609999999999</v>
      </c>
      <c r="BB14" s="59">
        <v>8.3070900000000005</v>
      </c>
      <c r="BC14" s="59">
        <v>15.575609999999999</v>
      </c>
      <c r="BD14" s="59">
        <v>8.3070900000000005</v>
      </c>
      <c r="BE14" s="59">
        <v>5.9706099999999998</v>
      </c>
      <c r="BF14" s="59">
        <v>370.54608999999999</v>
      </c>
      <c r="BG14" s="59">
        <v>43.990749999999998</v>
      </c>
      <c r="BH14" s="45" t="s">
        <v>13</v>
      </c>
      <c r="BI14" s="45" t="s">
        <v>13</v>
      </c>
      <c r="BJ14" s="59">
        <v>13.22372</v>
      </c>
      <c r="BK14" s="45" t="s">
        <v>787</v>
      </c>
      <c r="BL14" s="45">
        <v>0.53714399999999995</v>
      </c>
      <c r="BM14" s="45">
        <v>0.40277000000000002</v>
      </c>
      <c r="BN14" s="45">
        <v>0.37115599999999999</v>
      </c>
      <c r="BO14" s="45" t="s">
        <v>13</v>
      </c>
      <c r="BP14" s="45" t="s">
        <v>13</v>
      </c>
      <c r="BQ14" s="45" t="s">
        <v>13</v>
      </c>
      <c r="BR14" s="47">
        <v>0.11638731213440509</v>
      </c>
      <c r="BS14" s="61">
        <v>0.5603531593131208</v>
      </c>
      <c r="BT14" s="61">
        <v>0.57607610452320634</v>
      </c>
      <c r="BU14" s="61">
        <v>0.59784182919662132</v>
      </c>
      <c r="BV14" s="61">
        <v>0.61274111093250305</v>
      </c>
      <c r="BW14" s="61">
        <v>0.63632834239686409</v>
      </c>
      <c r="BX14" s="61">
        <v>0.62533370945119748</v>
      </c>
      <c r="BY14" s="61">
        <v>0.65140789100476826</v>
      </c>
      <c r="BZ14" s="61">
        <v>0.63994985116925596</v>
      </c>
      <c r="CB14" s="45">
        <v>2</v>
      </c>
      <c r="CC14" s="10" t="s">
        <v>306</v>
      </c>
      <c r="CD14" s="10" t="s">
        <v>305</v>
      </c>
      <c r="CE14" s="46">
        <v>42515</v>
      </c>
    </row>
    <row r="15" spans="1:86" s="45" customFormat="1" ht="12.75">
      <c r="A15" s="45" t="s">
        <v>3559</v>
      </c>
      <c r="B15" s="45" t="s">
        <v>3560</v>
      </c>
      <c r="C15" s="45" t="s">
        <v>3561</v>
      </c>
      <c r="D15" s="45" t="s">
        <v>817</v>
      </c>
      <c r="E15" s="46">
        <v>43100</v>
      </c>
      <c r="F15" s="46">
        <v>43190</v>
      </c>
      <c r="G15" s="46">
        <v>38303</v>
      </c>
      <c r="H15" s="59">
        <v>178.94605999999999</v>
      </c>
      <c r="I15" s="59">
        <v>11.12</v>
      </c>
      <c r="J15" s="59">
        <v>205.66506000000001</v>
      </c>
      <c r="K15" s="59">
        <v>0</v>
      </c>
      <c r="L15" s="59" t="s">
        <v>13</v>
      </c>
      <c r="M15" s="59" t="s">
        <v>13</v>
      </c>
      <c r="N15" s="59">
        <v>26.719000000000001</v>
      </c>
      <c r="O15" s="59" t="s">
        <v>13</v>
      </c>
      <c r="P15" s="59" t="s">
        <v>13</v>
      </c>
      <c r="Q15" s="59" t="s">
        <v>13</v>
      </c>
      <c r="R15" s="59" t="s">
        <v>13</v>
      </c>
      <c r="S15" s="59" t="s">
        <v>13</v>
      </c>
      <c r="T15" s="59" t="s">
        <v>13</v>
      </c>
      <c r="U15" s="59">
        <v>48.361330000000002</v>
      </c>
      <c r="V15" s="59">
        <v>51.17933</v>
      </c>
      <c r="W15" s="59">
        <v>100.16567000000001</v>
      </c>
      <c r="X15" s="59" t="s">
        <v>13</v>
      </c>
      <c r="Y15" s="59" t="s">
        <v>13</v>
      </c>
      <c r="Z15" s="59" t="s">
        <v>13</v>
      </c>
      <c r="AA15" s="59" t="s">
        <v>13</v>
      </c>
      <c r="AB15" s="59" t="s">
        <v>13</v>
      </c>
      <c r="AC15" s="59" t="s">
        <v>13</v>
      </c>
      <c r="AD15" s="59" t="s">
        <v>13</v>
      </c>
      <c r="AE15" s="59" t="s">
        <v>13</v>
      </c>
      <c r="AF15" s="47" t="s">
        <v>13</v>
      </c>
      <c r="AG15" s="47" t="s">
        <v>13</v>
      </c>
      <c r="AH15" s="47" t="s">
        <v>13</v>
      </c>
      <c r="AI15" s="47" t="s">
        <v>13</v>
      </c>
      <c r="AJ15" s="59">
        <v>-0.30199999999999999</v>
      </c>
      <c r="AK15" s="59">
        <v>-0.39</v>
      </c>
      <c r="AL15" s="59">
        <v>-1.056</v>
      </c>
      <c r="AM15" s="59" t="s">
        <v>13</v>
      </c>
      <c r="AN15" s="59" t="s">
        <v>13</v>
      </c>
      <c r="AO15" s="59" t="s">
        <v>13</v>
      </c>
      <c r="AP15" s="44" t="s">
        <v>3562</v>
      </c>
      <c r="AQ15" s="60">
        <v>-6.948E-2</v>
      </c>
      <c r="AR15" s="60">
        <v>0.13317000000000001</v>
      </c>
      <c r="AS15" s="60">
        <v>-0.24743999999999999</v>
      </c>
      <c r="AT15" s="47">
        <v>0</v>
      </c>
      <c r="AU15" s="59">
        <v>-1.256</v>
      </c>
      <c r="AV15" s="59">
        <v>-3.1749999999999998</v>
      </c>
      <c r="AW15" s="59">
        <v>-7.8079999999999998</v>
      </c>
      <c r="AX15" s="59">
        <v>-2.7890000000000001</v>
      </c>
      <c r="AY15" s="59">
        <v>-7.0460000000000003</v>
      </c>
      <c r="AZ15" s="59">
        <v>0.24299999999999999</v>
      </c>
      <c r="BA15" s="59">
        <v>2.8610000000000002</v>
      </c>
      <c r="BB15" s="59">
        <v>25.663</v>
      </c>
      <c r="BC15" s="59">
        <v>3.57</v>
      </c>
      <c r="BD15" s="59">
        <v>26.757000000000001</v>
      </c>
      <c r="BE15" s="59">
        <v>10.02</v>
      </c>
      <c r="BF15" s="59">
        <v>184.48195999999999</v>
      </c>
      <c r="BG15" s="59">
        <v>0</v>
      </c>
      <c r="BH15" s="45" t="s">
        <v>13</v>
      </c>
      <c r="BI15" s="45" t="s">
        <v>13</v>
      </c>
      <c r="BJ15" s="59">
        <v>9.6880000000000006</v>
      </c>
      <c r="BK15" s="45" t="s">
        <v>13</v>
      </c>
      <c r="BL15" s="45">
        <v>0</v>
      </c>
      <c r="BM15" s="45">
        <v>0</v>
      </c>
      <c r="BN15" s="45">
        <v>0</v>
      </c>
      <c r="BO15" s="45">
        <v>0</v>
      </c>
      <c r="BP15" s="45">
        <v>0</v>
      </c>
      <c r="BQ15" s="45">
        <v>0</v>
      </c>
      <c r="BR15" s="47" t="s">
        <v>787</v>
      </c>
      <c r="BS15" s="61">
        <v>0.61663073099445531</v>
      </c>
      <c r="BT15" s="61">
        <v>0.79865401640422862</v>
      </c>
      <c r="BU15" s="61">
        <v>1.387449122489415</v>
      </c>
      <c r="BV15" s="61">
        <v>1.3197878729406225</v>
      </c>
      <c r="BW15" s="61">
        <v>1.3589197558534298</v>
      </c>
      <c r="BX15" s="61">
        <v>1.4882408010406987</v>
      </c>
      <c r="BY15" s="61">
        <v>1.4826134715797739</v>
      </c>
      <c r="BZ15" s="61">
        <v>1.6309253171626295</v>
      </c>
      <c r="CB15" s="45">
        <v>2</v>
      </c>
      <c r="CC15" s="10" t="s">
        <v>306</v>
      </c>
      <c r="CD15" s="10" t="s">
        <v>305</v>
      </c>
      <c r="CE15" s="46">
        <v>42515</v>
      </c>
    </row>
    <row r="16" spans="1:86" s="45" customFormat="1" ht="12.75">
      <c r="A16" s="45" t="s">
        <v>3800</v>
      </c>
      <c r="B16" s="45" t="s">
        <v>3801</v>
      </c>
      <c r="C16" s="45" t="s">
        <v>3802</v>
      </c>
      <c r="D16" s="45" t="s">
        <v>3803</v>
      </c>
      <c r="E16" s="46">
        <v>43100</v>
      </c>
      <c r="F16" s="46">
        <v>43100</v>
      </c>
      <c r="G16" s="46">
        <v>41900</v>
      </c>
      <c r="H16" s="59">
        <v>150.9237</v>
      </c>
      <c r="I16" s="59">
        <v>5.9</v>
      </c>
      <c r="J16" s="59">
        <v>188.339</v>
      </c>
      <c r="K16" s="59">
        <v>8.6983700000000006</v>
      </c>
      <c r="L16" s="59" t="s">
        <v>13</v>
      </c>
      <c r="M16" s="59">
        <v>-4.5629999999999997E-2</v>
      </c>
      <c r="N16" s="59">
        <v>57.755760000000002</v>
      </c>
      <c r="O16" s="59">
        <v>3.4624000000000001</v>
      </c>
      <c r="P16" s="59">
        <v>1.72279</v>
      </c>
      <c r="Q16" s="59">
        <v>1.04467</v>
      </c>
      <c r="R16" s="59">
        <v>1.72279</v>
      </c>
      <c r="S16" s="59">
        <v>1.04467</v>
      </c>
      <c r="T16" s="59">
        <v>3.6</v>
      </c>
      <c r="U16" s="59">
        <v>4.6950000000000003</v>
      </c>
      <c r="V16" s="59" t="s">
        <v>13</v>
      </c>
      <c r="W16" s="59" t="s">
        <v>13</v>
      </c>
      <c r="X16" s="59">
        <v>-28.805869999999999</v>
      </c>
      <c r="Y16" s="59">
        <v>-40.514090000000003</v>
      </c>
      <c r="Z16" s="59">
        <v>-47.411140000000003</v>
      </c>
      <c r="AA16" s="59">
        <v>-40.514090000000003</v>
      </c>
      <c r="AB16" s="59">
        <v>-47.411140000000003</v>
      </c>
      <c r="AC16" s="59" t="s">
        <v>13</v>
      </c>
      <c r="AD16" s="59" t="s">
        <v>13</v>
      </c>
      <c r="AE16" s="59" t="s">
        <v>13</v>
      </c>
      <c r="AF16" s="47">
        <v>1</v>
      </c>
      <c r="AG16" s="47" t="s">
        <v>13</v>
      </c>
      <c r="AH16" s="47" t="s">
        <v>13</v>
      </c>
      <c r="AI16" s="47" t="s">
        <v>13</v>
      </c>
      <c r="AJ16" s="59">
        <v>-2.7879499999999999</v>
      </c>
      <c r="AK16" s="59">
        <v>-4.1116900000000003</v>
      </c>
      <c r="AL16" s="59">
        <v>-4.8919300000000003</v>
      </c>
      <c r="AM16" s="59">
        <v>-1.4075500000000001</v>
      </c>
      <c r="AN16" s="59">
        <v>-2.68025</v>
      </c>
      <c r="AO16" s="59">
        <v>-0.14529</v>
      </c>
      <c r="AP16" s="44" t="s">
        <v>3804</v>
      </c>
      <c r="AQ16" s="60">
        <v>1.43994</v>
      </c>
      <c r="AR16" s="60">
        <v>1.8418399999999999</v>
      </c>
      <c r="AS16" s="60">
        <v>0.45347999999999999</v>
      </c>
      <c r="AT16" s="47">
        <v>0</v>
      </c>
      <c r="AU16" s="59">
        <v>-22.625029999999999</v>
      </c>
      <c r="AV16" s="59">
        <v>-41.278370000000002</v>
      </c>
      <c r="AW16" s="59">
        <v>-52.443559999999998</v>
      </c>
      <c r="AX16" s="59">
        <v>-41.278370000000002</v>
      </c>
      <c r="AY16" s="59">
        <v>-52.443559999999998</v>
      </c>
      <c r="AZ16" s="59">
        <v>97.528099999999995</v>
      </c>
      <c r="BA16" s="59">
        <v>56.09205</v>
      </c>
      <c r="BB16" s="59">
        <v>47.220219999999998</v>
      </c>
      <c r="BC16" s="59">
        <v>56.09205</v>
      </c>
      <c r="BD16" s="59">
        <v>47.220219999999998</v>
      </c>
      <c r="BE16" s="59">
        <v>3.2250000000000001</v>
      </c>
      <c r="BF16" s="59">
        <v>102.20086000000001</v>
      </c>
      <c r="BG16" s="59">
        <v>7.6622199999999996</v>
      </c>
      <c r="BH16" s="45" t="s">
        <v>13</v>
      </c>
      <c r="BI16" s="45">
        <v>-1.1820000000000001E-2</v>
      </c>
      <c r="BJ16" s="59">
        <v>46.97081</v>
      </c>
      <c r="BK16" s="45" t="s">
        <v>787</v>
      </c>
      <c r="BL16" s="45">
        <v>-0.47760399999999997</v>
      </c>
      <c r="BM16" s="45">
        <v>0.40601999999999999</v>
      </c>
      <c r="BN16" s="45">
        <v>0.99398600000000004</v>
      </c>
      <c r="BO16" s="45" t="s">
        <v>13</v>
      </c>
      <c r="BP16" s="45" t="s">
        <v>13</v>
      </c>
      <c r="BQ16" s="45">
        <v>0</v>
      </c>
      <c r="BR16" s="47">
        <v>1.1655163831640616</v>
      </c>
      <c r="BS16" s="61">
        <v>0.59854106983801758</v>
      </c>
      <c r="BT16" s="61">
        <v>0.57008982105712236</v>
      </c>
      <c r="BU16" s="61">
        <v>0.73107336829310765</v>
      </c>
      <c r="BV16" s="61">
        <v>0.7169041230096167</v>
      </c>
      <c r="BW16" s="61" t="s">
        <v>13</v>
      </c>
      <c r="BX16" s="61" t="s">
        <v>13</v>
      </c>
      <c r="BY16" s="61" t="s">
        <v>13</v>
      </c>
      <c r="BZ16" s="61" t="s">
        <v>13</v>
      </c>
      <c r="CB16" s="45">
        <v>2</v>
      </c>
      <c r="CC16" s="10" t="s">
        <v>306</v>
      </c>
      <c r="CD16" s="10" t="s">
        <v>305</v>
      </c>
      <c r="CE16" s="46">
        <v>42515</v>
      </c>
    </row>
    <row r="17" spans="1:83" s="45" customFormat="1" ht="12.75">
      <c r="A17" s="45" t="s">
        <v>3563</v>
      </c>
      <c r="B17" s="45" t="s">
        <v>3564</v>
      </c>
      <c r="C17" s="45" t="s">
        <v>3565</v>
      </c>
      <c r="D17" s="45" t="s">
        <v>931</v>
      </c>
      <c r="E17" s="46">
        <v>43100</v>
      </c>
      <c r="F17" s="46">
        <v>43100</v>
      </c>
      <c r="G17" s="46">
        <v>42795</v>
      </c>
      <c r="H17" s="59">
        <v>125.77329</v>
      </c>
      <c r="I17" s="59">
        <v>1.7810900000000001</v>
      </c>
      <c r="J17" s="59">
        <v>138.52769000000001</v>
      </c>
      <c r="K17" s="59">
        <v>0.48391000000000001</v>
      </c>
      <c r="L17" s="59" t="s">
        <v>13</v>
      </c>
      <c r="M17" s="59" t="s">
        <v>13</v>
      </c>
      <c r="N17" s="59">
        <v>13.622719999999999</v>
      </c>
      <c r="O17" s="59" t="s">
        <v>13</v>
      </c>
      <c r="P17" s="59" t="s">
        <v>13</v>
      </c>
      <c r="Q17" s="59" t="s">
        <v>13</v>
      </c>
      <c r="R17" s="59" t="s">
        <v>13</v>
      </c>
      <c r="S17" s="59" t="s">
        <v>13</v>
      </c>
      <c r="T17" s="59" t="s">
        <v>13</v>
      </c>
      <c r="U17" s="59" t="s">
        <v>13</v>
      </c>
      <c r="V17" s="59" t="s">
        <v>13</v>
      </c>
      <c r="W17" s="59" t="s">
        <v>13</v>
      </c>
      <c r="X17" s="59" t="s">
        <v>13</v>
      </c>
      <c r="Y17" s="59">
        <v>-6.1796699999999998</v>
      </c>
      <c r="Z17" s="59">
        <v>-16.318439999999999</v>
      </c>
      <c r="AA17" s="59">
        <v>-6.1796699999999998</v>
      </c>
      <c r="AB17" s="59">
        <v>-16.318439999999999</v>
      </c>
      <c r="AC17" s="59">
        <v>-18.883320000000001</v>
      </c>
      <c r="AD17" s="59">
        <v>-44.760460000000002</v>
      </c>
      <c r="AE17" s="59">
        <v>-65.275670000000005</v>
      </c>
      <c r="AF17" s="47" t="s">
        <v>13</v>
      </c>
      <c r="AG17" s="47" t="s">
        <v>13</v>
      </c>
      <c r="AH17" s="47" t="s">
        <v>13</v>
      </c>
      <c r="AI17" s="47" t="s">
        <v>13</v>
      </c>
      <c r="AJ17" s="59" t="s">
        <v>13</v>
      </c>
      <c r="AK17" s="59">
        <v>-1.0113000000000001</v>
      </c>
      <c r="AL17" s="59">
        <v>3.6971699999999998</v>
      </c>
      <c r="AM17" s="59" t="s">
        <v>13</v>
      </c>
      <c r="AN17" s="59" t="s">
        <v>13</v>
      </c>
      <c r="AO17" s="59">
        <v>-2.3999999999999998E-3</v>
      </c>
      <c r="AP17" s="44" t="s">
        <v>3566</v>
      </c>
      <c r="AQ17" s="60">
        <v>1.1895500000000001</v>
      </c>
      <c r="AR17" s="60">
        <v>1.2112799999999999</v>
      </c>
      <c r="AS17" s="60" t="s">
        <v>13</v>
      </c>
      <c r="AT17" s="47">
        <v>0</v>
      </c>
      <c r="AU17" s="59" t="s">
        <v>13</v>
      </c>
      <c r="AV17" s="59">
        <v>-6.1786099999999999</v>
      </c>
      <c r="AW17" s="59">
        <v>-30.947410000000001</v>
      </c>
      <c r="AX17" s="59">
        <v>-6.1786099999999999</v>
      </c>
      <c r="AY17" s="59">
        <v>-30.947410000000001</v>
      </c>
      <c r="AZ17" s="59" t="s">
        <v>13</v>
      </c>
      <c r="BA17" s="59">
        <v>12.896649999999999</v>
      </c>
      <c r="BB17" s="59">
        <v>28.260090000000002</v>
      </c>
      <c r="BC17" s="59">
        <v>12.896649999999999</v>
      </c>
      <c r="BD17" s="59">
        <v>28.260090000000002</v>
      </c>
      <c r="BE17" s="59">
        <v>1.9923200000000001</v>
      </c>
      <c r="BF17" s="59">
        <v>154.98090999999999</v>
      </c>
      <c r="BG17" s="59">
        <v>0.51797000000000004</v>
      </c>
      <c r="BH17" s="45" t="s">
        <v>13</v>
      </c>
      <c r="BI17" s="45" t="s">
        <v>13</v>
      </c>
      <c r="BJ17" s="59">
        <v>16.945810000000002</v>
      </c>
      <c r="BK17" s="45" t="s">
        <v>787</v>
      </c>
      <c r="BL17" s="45">
        <v>0</v>
      </c>
      <c r="BM17" s="45">
        <v>0</v>
      </c>
      <c r="BN17" s="45">
        <v>0</v>
      </c>
      <c r="BO17" s="45">
        <v>0</v>
      </c>
      <c r="BP17" s="45">
        <v>0</v>
      </c>
      <c r="BQ17" s="45">
        <v>0</v>
      </c>
      <c r="BR17" s="47" t="s">
        <v>787</v>
      </c>
      <c r="BS17" s="61">
        <v>0.36538207852256455</v>
      </c>
      <c r="BT17" s="61">
        <v>0.3917886476836604</v>
      </c>
      <c r="BU17" s="61" t="s">
        <v>13</v>
      </c>
      <c r="BV17" s="61" t="s">
        <v>13</v>
      </c>
      <c r="BW17" s="61" t="s">
        <v>13</v>
      </c>
      <c r="BX17" s="61" t="s">
        <v>13</v>
      </c>
      <c r="BY17" s="61" t="s">
        <v>13</v>
      </c>
      <c r="BZ17" s="61" t="s">
        <v>13</v>
      </c>
      <c r="CB17" s="45">
        <v>2</v>
      </c>
      <c r="CC17" s="10" t="s">
        <v>306</v>
      </c>
      <c r="CD17" s="10" t="s">
        <v>305</v>
      </c>
      <c r="CE17" s="46">
        <v>42515</v>
      </c>
    </row>
    <row r="18" spans="1:83" s="45" customFormat="1" ht="12.75">
      <c r="A18" s="45" t="s">
        <v>3567</v>
      </c>
      <c r="B18" s="45" t="s">
        <v>3568</v>
      </c>
      <c r="C18" s="45" t="s">
        <v>3569</v>
      </c>
      <c r="D18" s="45" t="s">
        <v>817</v>
      </c>
      <c r="E18" s="46">
        <v>43100</v>
      </c>
      <c r="F18" s="46">
        <v>43190</v>
      </c>
      <c r="G18" s="46">
        <v>42866</v>
      </c>
      <c r="H18" s="59">
        <v>51.510280000000002</v>
      </c>
      <c r="I18" s="59">
        <v>7.87</v>
      </c>
      <c r="J18" s="59">
        <v>74.033280000000005</v>
      </c>
      <c r="K18" s="59">
        <v>0</v>
      </c>
      <c r="L18" s="59" t="s">
        <v>13</v>
      </c>
      <c r="M18" s="59" t="s">
        <v>13</v>
      </c>
      <c r="N18" s="59">
        <v>22.523</v>
      </c>
      <c r="O18" s="59" t="s">
        <v>13</v>
      </c>
      <c r="P18" s="59" t="s">
        <v>13</v>
      </c>
      <c r="Q18" s="59" t="s">
        <v>13</v>
      </c>
      <c r="R18" s="59" t="s">
        <v>13</v>
      </c>
      <c r="S18" s="59" t="s">
        <v>13</v>
      </c>
      <c r="T18" s="59" t="s">
        <v>13</v>
      </c>
      <c r="U18" s="59" t="s">
        <v>13</v>
      </c>
      <c r="V18" s="59" t="s">
        <v>13</v>
      </c>
      <c r="W18" s="59" t="s">
        <v>13</v>
      </c>
      <c r="X18" s="59">
        <v>-1.145</v>
      </c>
      <c r="Y18" s="59">
        <v>-5.4619999999999997</v>
      </c>
      <c r="Z18" s="59">
        <v>-10.483000000000001</v>
      </c>
      <c r="AA18" s="59">
        <v>-5.093</v>
      </c>
      <c r="AB18" s="59">
        <v>-9.0990000000000002</v>
      </c>
      <c r="AC18" s="59">
        <v>-12.6</v>
      </c>
      <c r="AD18" s="59">
        <v>-13.6</v>
      </c>
      <c r="AE18" s="59" t="s">
        <v>13</v>
      </c>
      <c r="AF18" s="47" t="s">
        <v>13</v>
      </c>
      <c r="AG18" s="47" t="s">
        <v>13</v>
      </c>
      <c r="AH18" s="47" t="s">
        <v>13</v>
      </c>
      <c r="AI18" s="47" t="s">
        <v>13</v>
      </c>
      <c r="AJ18" s="59">
        <v>-8.7999999999999995E-2</v>
      </c>
      <c r="AK18" s="59" t="s">
        <v>13</v>
      </c>
      <c r="AL18" s="59">
        <v>-0.114</v>
      </c>
      <c r="AM18" s="59" t="s">
        <v>13</v>
      </c>
      <c r="AN18" s="59">
        <v>-4.0000000000000001E-3</v>
      </c>
      <c r="AO18" s="59" t="s">
        <v>13</v>
      </c>
      <c r="AP18" s="44" t="s">
        <v>3570</v>
      </c>
      <c r="AQ18" s="60">
        <v>0.28711999999999999</v>
      </c>
      <c r="AR18" s="60">
        <v>0.25030000000000002</v>
      </c>
      <c r="AS18" s="60" t="s">
        <v>13</v>
      </c>
      <c r="AT18" s="47">
        <v>0</v>
      </c>
      <c r="AU18" s="59">
        <v>-1.1599999999999999</v>
      </c>
      <c r="AV18" s="59">
        <v>-5.9764999999999997</v>
      </c>
      <c r="AW18" s="59">
        <v>-14.548</v>
      </c>
      <c r="AX18" s="59">
        <v>-5.6550000000000002</v>
      </c>
      <c r="AY18" s="59">
        <v>-13.116</v>
      </c>
      <c r="AZ18" s="59">
        <v>1.5029999999999999</v>
      </c>
      <c r="BA18" s="59">
        <v>-2.702</v>
      </c>
      <c r="BB18" s="59">
        <v>24.297999999999998</v>
      </c>
      <c r="BC18" s="59">
        <v>-2.702</v>
      </c>
      <c r="BD18" s="59">
        <v>19.452000000000002</v>
      </c>
      <c r="BE18" s="59">
        <v>4.0599999999999996</v>
      </c>
      <c r="BF18" s="59">
        <v>28.766780000000001</v>
      </c>
      <c r="BG18" s="59">
        <v>0</v>
      </c>
      <c r="BH18" s="45" t="s">
        <v>13</v>
      </c>
      <c r="BI18" s="45" t="s">
        <v>13</v>
      </c>
      <c r="BJ18" s="59">
        <v>19.094000000000001</v>
      </c>
      <c r="BK18" s="45" t="s">
        <v>13</v>
      </c>
      <c r="BL18" s="45">
        <v>0</v>
      </c>
      <c r="BM18" s="45">
        <v>0</v>
      </c>
      <c r="BN18" s="45">
        <v>0</v>
      </c>
      <c r="BO18" s="45">
        <v>0</v>
      </c>
      <c r="BP18" s="45">
        <v>0</v>
      </c>
      <c r="BQ18" s="45">
        <v>0</v>
      </c>
      <c r="BR18" s="47" t="s">
        <v>787</v>
      </c>
      <c r="BS18" s="61">
        <v>0.70291215677055674</v>
      </c>
      <c r="BT18" s="61">
        <v>0.69646624513060806</v>
      </c>
      <c r="BU18" s="61" t="s">
        <v>13</v>
      </c>
      <c r="BV18" s="61" t="s">
        <v>13</v>
      </c>
      <c r="BW18" s="61" t="s">
        <v>13</v>
      </c>
      <c r="BX18" s="61" t="s">
        <v>13</v>
      </c>
      <c r="BY18" s="61" t="s">
        <v>13</v>
      </c>
      <c r="BZ18" s="61" t="s">
        <v>13</v>
      </c>
      <c r="CB18" s="45">
        <v>2</v>
      </c>
      <c r="CC18" s="10" t="s">
        <v>306</v>
      </c>
      <c r="CD18" s="10" t="s">
        <v>305</v>
      </c>
      <c r="CE18" s="46">
        <v>42515</v>
      </c>
    </row>
    <row r="19" spans="1:83" s="45" customFormat="1" ht="12.75">
      <c r="A19" s="45" t="s">
        <v>3571</v>
      </c>
      <c r="B19" s="45" t="s">
        <v>3572</v>
      </c>
      <c r="C19" s="45" t="s">
        <v>3573</v>
      </c>
      <c r="D19" s="45" t="s">
        <v>931</v>
      </c>
      <c r="E19" s="46">
        <v>43100</v>
      </c>
      <c r="F19" s="46">
        <v>43100</v>
      </c>
      <c r="G19" s="46">
        <v>42115</v>
      </c>
      <c r="H19" s="59">
        <v>30.919689999999999</v>
      </c>
      <c r="I19" s="59">
        <v>2.8849499999999999</v>
      </c>
      <c r="J19" s="59">
        <v>37.159999999999997</v>
      </c>
      <c r="K19" s="59">
        <v>2.6891699999999998</v>
      </c>
      <c r="L19" s="59">
        <v>0</v>
      </c>
      <c r="M19" s="59">
        <v>0</v>
      </c>
      <c r="N19" s="59">
        <v>9.1175599999999992</v>
      </c>
      <c r="O19" s="59">
        <v>0.17107</v>
      </c>
      <c r="P19" s="59">
        <v>1.847E-2</v>
      </c>
      <c r="Q19" s="59">
        <v>5.8220000000000001E-2</v>
      </c>
      <c r="R19" s="59">
        <v>1.847E-2</v>
      </c>
      <c r="S19" s="59">
        <v>5.8220000000000001E-2</v>
      </c>
      <c r="T19" s="59">
        <v>2.2147100000000002</v>
      </c>
      <c r="U19" s="59">
        <v>16.085789999999999</v>
      </c>
      <c r="V19" s="59" t="s">
        <v>13</v>
      </c>
      <c r="W19" s="59" t="s">
        <v>13</v>
      </c>
      <c r="X19" s="59">
        <v>-5.6414799999999996</v>
      </c>
      <c r="Y19" s="59">
        <v>-9.4783200000000001</v>
      </c>
      <c r="Z19" s="59">
        <v>-11.535640000000001</v>
      </c>
      <c r="AA19" s="59">
        <v>-9.4783200000000001</v>
      </c>
      <c r="AB19" s="59">
        <v>-11.535640000000001</v>
      </c>
      <c r="AC19" s="59" t="s">
        <v>13</v>
      </c>
      <c r="AD19" s="59" t="s">
        <v>13</v>
      </c>
      <c r="AE19" s="59" t="s">
        <v>13</v>
      </c>
      <c r="AF19" s="47" t="s">
        <v>13</v>
      </c>
      <c r="AG19" s="47" t="s">
        <v>13</v>
      </c>
      <c r="AH19" s="47" t="s">
        <v>13</v>
      </c>
      <c r="AI19" s="47" t="s">
        <v>13</v>
      </c>
      <c r="AJ19" s="59">
        <v>0.54310000000000003</v>
      </c>
      <c r="AK19" s="59">
        <v>0.69857000000000002</v>
      </c>
      <c r="AL19" s="59">
        <v>0.87277000000000005</v>
      </c>
      <c r="AM19" s="59">
        <v>-0.1724</v>
      </c>
      <c r="AN19" s="59">
        <v>0</v>
      </c>
      <c r="AO19" s="59">
        <v>0</v>
      </c>
      <c r="AP19" s="44" t="s">
        <v>3574</v>
      </c>
      <c r="AQ19" s="60">
        <v>0.75199000000000005</v>
      </c>
      <c r="AR19" s="60">
        <v>1.13463</v>
      </c>
      <c r="AS19" s="60">
        <v>1.4883900000000001</v>
      </c>
      <c r="AT19" s="47">
        <v>0</v>
      </c>
      <c r="AU19" s="59">
        <v>-4.6385699999999996</v>
      </c>
      <c r="AV19" s="59">
        <v>-7.8248499999999996</v>
      </c>
      <c r="AW19" s="59">
        <v>-9.7454199999999993</v>
      </c>
      <c r="AX19" s="59">
        <v>-7.8248499999999996</v>
      </c>
      <c r="AY19" s="59">
        <v>-9.7454199999999993</v>
      </c>
      <c r="AZ19" s="59">
        <v>13.92259</v>
      </c>
      <c r="BA19" s="59">
        <v>9.0697600000000005</v>
      </c>
      <c r="BB19" s="59">
        <v>8.8350600000000004</v>
      </c>
      <c r="BC19" s="59">
        <v>9.0697600000000005</v>
      </c>
      <c r="BD19" s="59">
        <v>8.8350600000000004</v>
      </c>
      <c r="BE19" s="59">
        <v>4.4407100000000002</v>
      </c>
      <c r="BF19" s="59">
        <v>39.537320000000001</v>
      </c>
      <c r="BG19" s="59">
        <v>5.33371</v>
      </c>
      <c r="BH19" s="45">
        <v>0</v>
      </c>
      <c r="BI19" s="45">
        <v>0</v>
      </c>
      <c r="BJ19" s="59">
        <v>10.482849999999999</v>
      </c>
      <c r="BK19" s="45" t="s">
        <v>787</v>
      </c>
      <c r="BL19" s="45">
        <v>-0.44517000000000001</v>
      </c>
      <c r="BM19" s="45">
        <v>-0.40677000000000002</v>
      </c>
      <c r="BN19" s="45">
        <v>0.28203899999999998</v>
      </c>
      <c r="BO19" s="45" t="s">
        <v>13</v>
      </c>
      <c r="BP19" s="45" t="s">
        <v>13</v>
      </c>
      <c r="BQ19" s="45" t="s">
        <v>13</v>
      </c>
      <c r="BR19" s="47">
        <v>0</v>
      </c>
      <c r="BS19" s="61">
        <v>0.50333768928955025</v>
      </c>
      <c r="BT19" s="61">
        <v>0.54786642126005347</v>
      </c>
      <c r="BU19" s="61">
        <v>0.63297354727902455</v>
      </c>
      <c r="BV19" s="61">
        <v>0.68884036657096237</v>
      </c>
      <c r="BW19" s="61" t="s">
        <v>13</v>
      </c>
      <c r="BX19" s="61" t="s">
        <v>13</v>
      </c>
      <c r="BY19" s="61" t="s">
        <v>13</v>
      </c>
      <c r="BZ19" s="61" t="s">
        <v>13</v>
      </c>
      <c r="CB19" s="45">
        <v>2</v>
      </c>
      <c r="CC19" s="10" t="s">
        <v>306</v>
      </c>
      <c r="CD19" s="10" t="s">
        <v>305</v>
      </c>
      <c r="CE19" s="46">
        <v>42515</v>
      </c>
    </row>
    <row r="20" spans="1:83" s="45" customFormat="1" ht="12.75">
      <c r="A20" s="45" t="s">
        <v>3575</v>
      </c>
      <c r="B20" s="45" t="s">
        <v>3576</v>
      </c>
      <c r="C20" s="45" t="s">
        <v>3577</v>
      </c>
      <c r="D20" s="45" t="s">
        <v>788</v>
      </c>
      <c r="E20" s="46">
        <v>43100</v>
      </c>
      <c r="F20" s="46">
        <v>43190</v>
      </c>
      <c r="G20" s="46">
        <v>41864</v>
      </c>
      <c r="H20" s="59">
        <v>25.84599</v>
      </c>
      <c r="I20" s="59">
        <v>4.45</v>
      </c>
      <c r="J20" s="59">
        <v>136.06998999999999</v>
      </c>
      <c r="K20" s="59">
        <v>0</v>
      </c>
      <c r="L20" s="59">
        <v>0</v>
      </c>
      <c r="M20" s="59">
        <v>0</v>
      </c>
      <c r="N20" s="59">
        <v>110.224</v>
      </c>
      <c r="O20" s="59">
        <v>1.2999999999999999E-2</v>
      </c>
      <c r="P20" s="59">
        <v>1.028</v>
      </c>
      <c r="Q20" s="59">
        <v>1.179</v>
      </c>
      <c r="R20" s="59">
        <v>0.68300000000000005</v>
      </c>
      <c r="S20" s="59">
        <v>1.236</v>
      </c>
      <c r="T20" s="59">
        <v>1.3438399999999999</v>
      </c>
      <c r="U20" s="59">
        <v>1.29383</v>
      </c>
      <c r="V20" s="59">
        <v>18.167660000000001</v>
      </c>
      <c r="W20" s="59">
        <v>62.215000000000003</v>
      </c>
      <c r="X20" s="59">
        <v>-75.781000000000006</v>
      </c>
      <c r="Y20" s="59">
        <v>-111.059</v>
      </c>
      <c r="Z20" s="59">
        <v>-68.695999999999998</v>
      </c>
      <c r="AA20" s="59">
        <v>-110.17100000000001</v>
      </c>
      <c r="AB20" s="59">
        <v>-85.912000000000006</v>
      </c>
      <c r="AC20" s="59" t="s">
        <v>13</v>
      </c>
      <c r="AD20" s="59" t="s">
        <v>13</v>
      </c>
      <c r="AE20" s="59" t="s">
        <v>13</v>
      </c>
      <c r="AF20" s="47">
        <v>-1.1263779999999999</v>
      </c>
      <c r="AG20" s="47" t="s">
        <v>13</v>
      </c>
      <c r="AH20" s="47" t="s">
        <v>13</v>
      </c>
      <c r="AI20" s="47" t="s">
        <v>13</v>
      </c>
      <c r="AJ20" s="59">
        <v>-5.2510000000000003</v>
      </c>
      <c r="AK20" s="59">
        <v>-3.923</v>
      </c>
      <c r="AL20" s="59">
        <v>-4.4560000000000004</v>
      </c>
      <c r="AM20" s="59">
        <v>-1.921</v>
      </c>
      <c r="AN20" s="59">
        <v>-2.8780000000000001</v>
      </c>
      <c r="AO20" s="59">
        <v>-0.97299999999999998</v>
      </c>
      <c r="AP20" s="44" t="s">
        <v>3578</v>
      </c>
      <c r="AQ20" s="60">
        <v>0.60646</v>
      </c>
      <c r="AR20" s="60">
        <v>1.5444899999999999</v>
      </c>
      <c r="AS20" s="60">
        <v>3.12642</v>
      </c>
      <c r="AT20" s="47">
        <v>0</v>
      </c>
      <c r="AU20" s="59">
        <v>-76.414000000000001</v>
      </c>
      <c r="AV20" s="59">
        <v>-110.898</v>
      </c>
      <c r="AW20" s="59">
        <v>-74.475999999999999</v>
      </c>
      <c r="AX20" s="59">
        <v>-110.583</v>
      </c>
      <c r="AY20" s="59">
        <v>-90.13</v>
      </c>
      <c r="AZ20" s="59">
        <v>265.25200000000001</v>
      </c>
      <c r="BA20" s="59">
        <v>169.32499999999999</v>
      </c>
      <c r="BB20" s="59">
        <v>108.604</v>
      </c>
      <c r="BC20" s="59">
        <v>192.73699999999999</v>
      </c>
      <c r="BD20" s="59">
        <v>117.279</v>
      </c>
      <c r="BE20" s="59">
        <v>5.55</v>
      </c>
      <c r="BF20" s="59">
        <v>168.37101000000001</v>
      </c>
      <c r="BG20" s="59">
        <v>0</v>
      </c>
      <c r="BH20" s="45">
        <v>0</v>
      </c>
      <c r="BI20" s="45">
        <v>0</v>
      </c>
      <c r="BJ20" s="59">
        <v>134.30799999999999</v>
      </c>
      <c r="BK20" s="45">
        <v>0</v>
      </c>
      <c r="BL20" s="45">
        <v>8.5232510000000001</v>
      </c>
      <c r="BM20" s="45">
        <v>0</v>
      </c>
      <c r="BN20" s="45">
        <v>0</v>
      </c>
      <c r="BO20" s="48" t="s">
        <v>13</v>
      </c>
      <c r="BP20" s="45" t="s">
        <v>13</v>
      </c>
      <c r="BQ20" s="45">
        <v>0</v>
      </c>
      <c r="BR20" s="47">
        <v>1.1034775233248515</v>
      </c>
      <c r="BS20" s="61">
        <v>1.9365890761833764</v>
      </c>
      <c r="BT20" s="61">
        <v>1.4180730299832749</v>
      </c>
      <c r="BU20" s="61">
        <v>1.2276350327527208</v>
      </c>
      <c r="BV20" s="61">
        <v>1.1474404313943027</v>
      </c>
      <c r="BW20" s="61" t="s">
        <v>13</v>
      </c>
      <c r="BX20" s="61" t="s">
        <v>13</v>
      </c>
      <c r="BY20" s="61" t="s">
        <v>13</v>
      </c>
      <c r="BZ20" s="61" t="s">
        <v>13</v>
      </c>
      <c r="CB20" s="45">
        <v>2</v>
      </c>
      <c r="CC20" s="10" t="s">
        <v>306</v>
      </c>
      <c r="CD20" s="10" t="s">
        <v>305</v>
      </c>
      <c r="CE20" s="46">
        <v>42515</v>
      </c>
    </row>
    <row r="21" spans="1:83" s="45" customFormat="1" ht="12.75">
      <c r="A21" s="45" t="s">
        <v>3579</v>
      </c>
      <c r="B21" s="45" t="s">
        <v>3580</v>
      </c>
      <c r="C21" s="45" t="s">
        <v>3581</v>
      </c>
      <c r="D21" s="45" t="s">
        <v>817</v>
      </c>
      <c r="E21" s="46">
        <v>43100</v>
      </c>
      <c r="F21" s="46">
        <v>43190</v>
      </c>
      <c r="G21" s="46">
        <v>41857</v>
      </c>
      <c r="H21" s="59">
        <v>3.0721500000000002</v>
      </c>
      <c r="I21" s="59">
        <v>1.19</v>
      </c>
      <c r="J21" s="59">
        <v>7.2796900000000004</v>
      </c>
      <c r="K21" s="59">
        <v>9.06297</v>
      </c>
      <c r="L21" s="59">
        <v>0</v>
      </c>
      <c r="M21" s="59">
        <v>0</v>
      </c>
      <c r="N21" s="59">
        <v>13.2705</v>
      </c>
      <c r="O21" s="59">
        <v>0</v>
      </c>
      <c r="P21" s="59">
        <v>0</v>
      </c>
      <c r="Q21" s="59">
        <v>0</v>
      </c>
      <c r="R21" s="59">
        <v>0</v>
      </c>
      <c r="S21" s="59">
        <v>0</v>
      </c>
      <c r="T21" s="59" t="s">
        <v>13</v>
      </c>
      <c r="U21" s="59" t="s">
        <v>13</v>
      </c>
      <c r="V21" s="59" t="s">
        <v>13</v>
      </c>
      <c r="W21" s="59" t="s">
        <v>13</v>
      </c>
      <c r="X21" s="59">
        <v>-32.326450000000001</v>
      </c>
      <c r="Y21" s="59">
        <v>-30.156189999999999</v>
      </c>
      <c r="Z21" s="59">
        <v>-22.175709999999999</v>
      </c>
      <c r="AA21" s="59">
        <v>-29.657679999999999</v>
      </c>
      <c r="AB21" s="59">
        <v>-24.871189999999999</v>
      </c>
      <c r="AC21" s="59" t="s">
        <v>13</v>
      </c>
      <c r="AD21" s="59" t="s">
        <v>13</v>
      </c>
      <c r="AE21" s="59" t="s">
        <v>13</v>
      </c>
      <c r="AF21" s="47">
        <v>0</v>
      </c>
      <c r="AG21" s="47">
        <v>0</v>
      </c>
      <c r="AH21" s="47">
        <v>0</v>
      </c>
      <c r="AI21" s="47">
        <v>0</v>
      </c>
      <c r="AJ21" s="59">
        <v>-5.2408999999999999</v>
      </c>
      <c r="AK21" s="59">
        <v>-5.9532600000000002</v>
      </c>
      <c r="AL21" s="59">
        <v>-4.6525699999999999</v>
      </c>
      <c r="AM21" s="59">
        <v>-8.3379999999999996E-2</v>
      </c>
      <c r="AN21" s="59">
        <v>-0.24428</v>
      </c>
      <c r="AO21" s="59">
        <v>-6.7000000000000002E-3</v>
      </c>
      <c r="AP21" s="44" t="s">
        <v>3582</v>
      </c>
      <c r="AQ21" s="60">
        <v>0.50263999999999998</v>
      </c>
      <c r="AR21" s="60">
        <v>1.32524</v>
      </c>
      <c r="AS21" s="60">
        <v>0.77980000000000005</v>
      </c>
      <c r="AT21" s="47">
        <v>0</v>
      </c>
      <c r="AU21" s="59">
        <v>-31.87566</v>
      </c>
      <c r="AV21" s="59">
        <v>-30.15774</v>
      </c>
      <c r="AW21" s="59">
        <v>-18.62031</v>
      </c>
      <c r="AX21" s="59">
        <v>-30.185919999999999</v>
      </c>
      <c r="AY21" s="59">
        <v>-25.046659999999999</v>
      </c>
      <c r="AZ21" s="59">
        <v>37.447130000000001</v>
      </c>
      <c r="BA21" s="59">
        <v>10.552519999999999</v>
      </c>
      <c r="BB21" s="59">
        <v>-1.48258</v>
      </c>
      <c r="BC21" s="59">
        <v>13.92314</v>
      </c>
      <c r="BD21" s="59">
        <v>-2.2186499999999998</v>
      </c>
      <c r="BE21" s="59">
        <v>5.9050000000000002</v>
      </c>
      <c r="BF21" s="59">
        <v>26.176690000000001</v>
      </c>
      <c r="BG21" s="59">
        <v>11.38569</v>
      </c>
      <c r="BH21" s="45">
        <v>0</v>
      </c>
      <c r="BI21" s="45">
        <v>0</v>
      </c>
      <c r="BJ21" s="59">
        <v>20.8446</v>
      </c>
      <c r="BK21" s="45" t="s">
        <v>787</v>
      </c>
      <c r="BL21" s="45">
        <v>0</v>
      </c>
      <c r="BM21" s="45">
        <v>0</v>
      </c>
      <c r="BN21" s="45">
        <v>0</v>
      </c>
      <c r="BO21" s="45" t="s">
        <v>13</v>
      </c>
      <c r="BP21" s="45" t="s">
        <v>13</v>
      </c>
      <c r="BQ21" s="45">
        <v>0</v>
      </c>
      <c r="BR21" s="47" t="s">
        <v>787</v>
      </c>
      <c r="BS21" s="61">
        <v>1.1936997390359998</v>
      </c>
      <c r="BT21" s="61">
        <v>1.2017249743157488</v>
      </c>
      <c r="BU21" s="61">
        <v>1.0906921239872702</v>
      </c>
      <c r="BV21" s="61">
        <v>1.0309921222499077</v>
      </c>
      <c r="BW21" s="61" t="s">
        <v>13</v>
      </c>
      <c r="BX21" s="61" t="s">
        <v>13</v>
      </c>
      <c r="BY21" s="61" t="s">
        <v>13</v>
      </c>
      <c r="BZ21" s="61" t="s">
        <v>13</v>
      </c>
      <c r="CB21" s="45">
        <v>2</v>
      </c>
      <c r="CC21" s="10" t="s">
        <v>306</v>
      </c>
      <c r="CD21" s="10" t="s">
        <v>305</v>
      </c>
      <c r="CE21" s="46">
        <v>42515</v>
      </c>
    </row>
    <row r="22" spans="1:83" s="45" customFormat="1" ht="12.75" hidden="1" outlineLevel="1">
      <c r="A22" s="45" t="s">
        <v>789</v>
      </c>
      <c r="B22" s="45" t="s">
        <v>789</v>
      </c>
      <c r="C22" s="45" t="s">
        <v>789</v>
      </c>
      <c r="D22" s="45" t="s">
        <v>789</v>
      </c>
      <c r="E22" s="46" t="s">
        <v>789</v>
      </c>
      <c r="F22" s="46" t="s">
        <v>789</v>
      </c>
      <c r="G22" s="46" t="s">
        <v>789</v>
      </c>
      <c r="H22" s="59" t="s">
        <v>789</v>
      </c>
      <c r="I22" s="59" t="s">
        <v>789</v>
      </c>
      <c r="J22" s="59" t="s">
        <v>789</v>
      </c>
      <c r="K22" s="59" t="s">
        <v>789</v>
      </c>
      <c r="L22" s="59" t="s">
        <v>789</v>
      </c>
      <c r="M22" s="59" t="s">
        <v>789</v>
      </c>
      <c r="N22" s="59" t="s">
        <v>789</v>
      </c>
      <c r="O22" s="59" t="s">
        <v>789</v>
      </c>
      <c r="P22" s="59" t="s">
        <v>789</v>
      </c>
      <c r="Q22" s="59" t="s">
        <v>789</v>
      </c>
      <c r="R22" s="59" t="s">
        <v>789</v>
      </c>
      <c r="S22" s="59" t="s">
        <v>789</v>
      </c>
      <c r="T22" s="59" t="s">
        <v>789</v>
      </c>
      <c r="U22" s="59" t="s">
        <v>789</v>
      </c>
      <c r="V22" s="59" t="s">
        <v>789</v>
      </c>
      <c r="W22" s="59" t="s">
        <v>789</v>
      </c>
      <c r="X22" s="59" t="s">
        <v>789</v>
      </c>
      <c r="Y22" s="59" t="s">
        <v>789</v>
      </c>
      <c r="Z22" s="59" t="s">
        <v>789</v>
      </c>
      <c r="AA22" s="59" t="s">
        <v>789</v>
      </c>
      <c r="AB22" s="59" t="s">
        <v>789</v>
      </c>
      <c r="AC22" s="59" t="s">
        <v>789</v>
      </c>
      <c r="AD22" s="59" t="s">
        <v>789</v>
      </c>
      <c r="AE22" s="59" t="s">
        <v>789</v>
      </c>
      <c r="AF22" s="47" t="s">
        <v>13</v>
      </c>
      <c r="AG22" s="47" t="s">
        <v>13</v>
      </c>
      <c r="AH22" s="47" t="s">
        <v>13</v>
      </c>
      <c r="AI22" s="47" t="s">
        <v>13</v>
      </c>
      <c r="AJ22" s="59" t="s">
        <v>789</v>
      </c>
      <c r="AK22" s="59" t="s">
        <v>789</v>
      </c>
      <c r="AL22" s="59" t="s">
        <v>789</v>
      </c>
      <c r="AM22" s="59" t="s">
        <v>789</v>
      </c>
      <c r="AN22" s="59" t="s">
        <v>789</v>
      </c>
      <c r="AO22" s="59" t="s">
        <v>789</v>
      </c>
      <c r="AP22" s="44" t="s">
        <v>789</v>
      </c>
      <c r="AQ22" s="60" t="s">
        <v>789</v>
      </c>
      <c r="AR22" s="60" t="s">
        <v>789</v>
      </c>
      <c r="AS22" s="60" t="s">
        <v>789</v>
      </c>
      <c r="AT22" s="47" t="s">
        <v>13</v>
      </c>
      <c r="AU22" s="59" t="s">
        <v>789</v>
      </c>
      <c r="AV22" s="59" t="s">
        <v>789</v>
      </c>
      <c r="AW22" s="59" t="s">
        <v>789</v>
      </c>
      <c r="AX22" s="59" t="s">
        <v>789</v>
      </c>
      <c r="AY22" s="59" t="s">
        <v>789</v>
      </c>
      <c r="AZ22" s="59" t="s">
        <v>789</v>
      </c>
      <c r="BA22" s="59" t="s">
        <v>789</v>
      </c>
      <c r="BB22" s="59" t="s">
        <v>789</v>
      </c>
      <c r="BC22" s="59" t="s">
        <v>789</v>
      </c>
      <c r="BD22" s="59" t="s">
        <v>789</v>
      </c>
      <c r="BE22" s="59" t="s">
        <v>789</v>
      </c>
      <c r="BF22" s="59" t="s">
        <v>789</v>
      </c>
      <c r="BG22" s="59" t="s">
        <v>789</v>
      </c>
      <c r="BH22" s="45" t="s">
        <v>789</v>
      </c>
      <c r="BI22" s="45" t="s">
        <v>789</v>
      </c>
      <c r="BJ22" s="59" t="s">
        <v>789</v>
      </c>
      <c r="BK22" s="45" t="s">
        <v>789</v>
      </c>
      <c r="BL22" s="45" t="e">
        <v>#VALUE!</v>
      </c>
      <c r="BM22" s="45" t="e">
        <v>#VALUE!</v>
      </c>
      <c r="BN22" s="45" t="e">
        <v>#VALUE!</v>
      </c>
      <c r="BO22" s="45" t="e">
        <v>#VALUE!</v>
      </c>
      <c r="BP22" s="45" t="e">
        <v>#VALUE!</v>
      </c>
      <c r="BQ22" s="45" t="e">
        <v>#VALUE!</v>
      </c>
      <c r="BR22" s="47" t="s">
        <v>787</v>
      </c>
      <c r="BS22" s="61" t="e">
        <v>#VALUE!</v>
      </c>
      <c r="BT22" s="61" t="e">
        <v>#VALUE!</v>
      </c>
      <c r="BU22" s="61" t="e">
        <v>#VALUE!</v>
      </c>
      <c r="BV22" s="61" t="e">
        <v>#VALUE!</v>
      </c>
      <c r="BW22" s="61" t="e">
        <v>#VALUE!</v>
      </c>
      <c r="BX22" s="61" t="e">
        <v>#VALUE!</v>
      </c>
      <c r="BY22" s="61" t="e">
        <v>#VALUE!</v>
      </c>
      <c r="BZ22" s="61" t="e">
        <v>#VALUE!</v>
      </c>
      <c r="CB22" s="45">
        <v>2</v>
      </c>
      <c r="CC22" s="10" t="s">
        <v>306</v>
      </c>
      <c r="CD22" s="10" t="s">
        <v>305</v>
      </c>
      <c r="CE22" s="46">
        <v>42515</v>
      </c>
    </row>
    <row r="23" spans="1:83" s="45" customFormat="1" ht="12.75" hidden="1" outlineLevel="1">
      <c r="A23" s="45" t="s">
        <v>789</v>
      </c>
      <c r="B23" s="45" t="s">
        <v>789</v>
      </c>
      <c r="C23" s="45" t="s">
        <v>789</v>
      </c>
      <c r="D23" s="45" t="s">
        <v>789</v>
      </c>
      <c r="E23" s="46" t="s">
        <v>789</v>
      </c>
      <c r="F23" s="46" t="s">
        <v>789</v>
      </c>
      <c r="G23" s="46" t="s">
        <v>789</v>
      </c>
      <c r="H23" s="59" t="s">
        <v>789</v>
      </c>
      <c r="I23" s="59" t="s">
        <v>789</v>
      </c>
      <c r="J23" s="59" t="s">
        <v>789</v>
      </c>
      <c r="K23" s="59" t="s">
        <v>789</v>
      </c>
      <c r="L23" s="59" t="s">
        <v>789</v>
      </c>
      <c r="M23" s="59" t="s">
        <v>789</v>
      </c>
      <c r="N23" s="59" t="s">
        <v>789</v>
      </c>
      <c r="O23" s="59" t="s">
        <v>789</v>
      </c>
      <c r="P23" s="59" t="s">
        <v>789</v>
      </c>
      <c r="Q23" s="59" t="s">
        <v>789</v>
      </c>
      <c r="R23" s="59" t="s">
        <v>789</v>
      </c>
      <c r="S23" s="59" t="s">
        <v>789</v>
      </c>
      <c r="T23" s="59" t="s">
        <v>789</v>
      </c>
      <c r="U23" s="59" t="s">
        <v>789</v>
      </c>
      <c r="V23" s="59" t="s">
        <v>789</v>
      </c>
      <c r="W23" s="59" t="s">
        <v>789</v>
      </c>
      <c r="X23" s="59" t="s">
        <v>789</v>
      </c>
      <c r="Y23" s="59" t="s">
        <v>789</v>
      </c>
      <c r="Z23" s="59" t="s">
        <v>789</v>
      </c>
      <c r="AA23" s="59" t="s">
        <v>789</v>
      </c>
      <c r="AB23" s="59" t="s">
        <v>789</v>
      </c>
      <c r="AC23" s="59" t="s">
        <v>789</v>
      </c>
      <c r="AD23" s="59" t="s">
        <v>789</v>
      </c>
      <c r="AE23" s="59" t="s">
        <v>789</v>
      </c>
      <c r="AF23" s="47" t="s">
        <v>13</v>
      </c>
      <c r="AG23" s="47" t="s">
        <v>13</v>
      </c>
      <c r="AH23" s="47" t="s">
        <v>13</v>
      </c>
      <c r="AI23" s="47" t="s">
        <v>13</v>
      </c>
      <c r="AJ23" s="59" t="s">
        <v>789</v>
      </c>
      <c r="AK23" s="59" t="s">
        <v>789</v>
      </c>
      <c r="AL23" s="59" t="s">
        <v>789</v>
      </c>
      <c r="AM23" s="59" t="s">
        <v>789</v>
      </c>
      <c r="AN23" s="59" t="s">
        <v>789</v>
      </c>
      <c r="AO23" s="59" t="s">
        <v>789</v>
      </c>
      <c r="AP23" s="44" t="s">
        <v>789</v>
      </c>
      <c r="AQ23" s="60" t="s">
        <v>789</v>
      </c>
      <c r="AR23" s="60" t="s">
        <v>789</v>
      </c>
      <c r="AS23" s="60" t="s">
        <v>789</v>
      </c>
      <c r="AT23" s="47" t="s">
        <v>13</v>
      </c>
      <c r="AU23" s="59" t="s">
        <v>789</v>
      </c>
      <c r="AV23" s="59" t="s">
        <v>789</v>
      </c>
      <c r="AW23" s="59" t="s">
        <v>789</v>
      </c>
      <c r="AX23" s="59" t="s">
        <v>789</v>
      </c>
      <c r="AY23" s="59" t="s">
        <v>789</v>
      </c>
      <c r="AZ23" s="59" t="s">
        <v>789</v>
      </c>
      <c r="BA23" s="59" t="s">
        <v>789</v>
      </c>
      <c r="BB23" s="59" t="s">
        <v>789</v>
      </c>
      <c r="BC23" s="59" t="s">
        <v>789</v>
      </c>
      <c r="BD23" s="59" t="s">
        <v>789</v>
      </c>
      <c r="BE23" s="59" t="s">
        <v>789</v>
      </c>
      <c r="BF23" s="59" t="s">
        <v>789</v>
      </c>
      <c r="BG23" s="59" t="s">
        <v>789</v>
      </c>
      <c r="BH23" s="45" t="s">
        <v>789</v>
      </c>
      <c r="BI23" s="45" t="s">
        <v>789</v>
      </c>
      <c r="BJ23" s="59" t="s">
        <v>789</v>
      </c>
      <c r="BK23" s="45" t="s">
        <v>789</v>
      </c>
      <c r="BL23" s="45" t="e">
        <v>#VALUE!</v>
      </c>
      <c r="BM23" s="45" t="e">
        <v>#VALUE!</v>
      </c>
      <c r="BN23" s="45" t="e">
        <v>#VALUE!</v>
      </c>
      <c r="BO23" s="45" t="e">
        <v>#VALUE!</v>
      </c>
      <c r="BP23" s="45" t="e">
        <v>#VALUE!</v>
      </c>
      <c r="BQ23" s="45" t="e">
        <v>#VALUE!</v>
      </c>
      <c r="BR23" s="47" t="s">
        <v>787</v>
      </c>
      <c r="BS23" s="61" t="e">
        <v>#VALUE!</v>
      </c>
      <c r="BT23" s="61" t="e">
        <v>#VALUE!</v>
      </c>
      <c r="BU23" s="61" t="e">
        <v>#VALUE!</v>
      </c>
      <c r="BV23" s="61" t="e">
        <v>#VALUE!</v>
      </c>
      <c r="BW23" s="61" t="e">
        <v>#VALUE!</v>
      </c>
      <c r="BX23" s="61" t="e">
        <v>#VALUE!</v>
      </c>
      <c r="BY23" s="61" t="e">
        <v>#VALUE!</v>
      </c>
      <c r="BZ23" s="61" t="e">
        <v>#VALUE!</v>
      </c>
      <c r="CB23" s="45">
        <v>2</v>
      </c>
      <c r="CC23" s="10" t="s">
        <v>306</v>
      </c>
      <c r="CD23" s="10" t="s">
        <v>305</v>
      </c>
      <c r="CE23" s="46">
        <v>42515</v>
      </c>
    </row>
    <row r="24" spans="1:83" s="45" customFormat="1" ht="12.75" hidden="1" outlineLevel="1">
      <c r="A24" s="45" t="s">
        <v>789</v>
      </c>
      <c r="B24" s="45" t="s">
        <v>789</v>
      </c>
      <c r="C24" s="45" t="s">
        <v>789</v>
      </c>
      <c r="D24" s="45" t="s">
        <v>789</v>
      </c>
      <c r="E24" s="46" t="s">
        <v>789</v>
      </c>
      <c r="F24" s="46" t="s">
        <v>789</v>
      </c>
      <c r="G24" s="46" t="s">
        <v>789</v>
      </c>
      <c r="H24" s="59" t="s">
        <v>789</v>
      </c>
      <c r="I24" s="59" t="s">
        <v>789</v>
      </c>
      <c r="J24" s="59" t="s">
        <v>789</v>
      </c>
      <c r="K24" s="59" t="s">
        <v>789</v>
      </c>
      <c r="L24" s="59" t="s">
        <v>789</v>
      </c>
      <c r="M24" s="59" t="s">
        <v>789</v>
      </c>
      <c r="N24" s="59" t="s">
        <v>789</v>
      </c>
      <c r="O24" s="59" t="s">
        <v>789</v>
      </c>
      <c r="P24" s="59" t="s">
        <v>789</v>
      </c>
      <c r="Q24" s="59" t="s">
        <v>789</v>
      </c>
      <c r="R24" s="59" t="s">
        <v>789</v>
      </c>
      <c r="S24" s="59" t="s">
        <v>789</v>
      </c>
      <c r="T24" s="59" t="s">
        <v>789</v>
      </c>
      <c r="U24" s="59" t="s">
        <v>789</v>
      </c>
      <c r="V24" s="59" t="s">
        <v>789</v>
      </c>
      <c r="W24" s="59" t="s">
        <v>789</v>
      </c>
      <c r="X24" s="59" t="s">
        <v>789</v>
      </c>
      <c r="Y24" s="59" t="s">
        <v>789</v>
      </c>
      <c r="Z24" s="59" t="s">
        <v>789</v>
      </c>
      <c r="AA24" s="59" t="s">
        <v>789</v>
      </c>
      <c r="AB24" s="59" t="s">
        <v>789</v>
      </c>
      <c r="AC24" s="59" t="s">
        <v>789</v>
      </c>
      <c r="AD24" s="59" t="s">
        <v>789</v>
      </c>
      <c r="AE24" s="59" t="s">
        <v>789</v>
      </c>
      <c r="AF24" s="47" t="s">
        <v>13</v>
      </c>
      <c r="AG24" s="47" t="s">
        <v>13</v>
      </c>
      <c r="AH24" s="47" t="s">
        <v>13</v>
      </c>
      <c r="AI24" s="47" t="s">
        <v>13</v>
      </c>
      <c r="AJ24" s="59" t="s">
        <v>789</v>
      </c>
      <c r="AK24" s="59" t="s">
        <v>789</v>
      </c>
      <c r="AL24" s="59" t="s">
        <v>789</v>
      </c>
      <c r="AM24" s="59" t="s">
        <v>789</v>
      </c>
      <c r="AN24" s="59" t="s">
        <v>789</v>
      </c>
      <c r="AO24" s="59" t="s">
        <v>789</v>
      </c>
      <c r="AP24" s="44" t="s">
        <v>789</v>
      </c>
      <c r="AQ24" s="60" t="s">
        <v>789</v>
      </c>
      <c r="AR24" s="60" t="s">
        <v>789</v>
      </c>
      <c r="AS24" s="60" t="s">
        <v>789</v>
      </c>
      <c r="AT24" s="47" t="s">
        <v>13</v>
      </c>
      <c r="AU24" s="59" t="s">
        <v>789</v>
      </c>
      <c r="AV24" s="59" t="s">
        <v>789</v>
      </c>
      <c r="AW24" s="59" t="s">
        <v>789</v>
      </c>
      <c r="AX24" s="59" t="s">
        <v>789</v>
      </c>
      <c r="AY24" s="59" t="s">
        <v>789</v>
      </c>
      <c r="AZ24" s="59" t="s">
        <v>789</v>
      </c>
      <c r="BA24" s="59" t="s">
        <v>789</v>
      </c>
      <c r="BB24" s="59" t="s">
        <v>789</v>
      </c>
      <c r="BC24" s="59" t="s">
        <v>789</v>
      </c>
      <c r="BD24" s="59" t="s">
        <v>789</v>
      </c>
      <c r="BE24" s="59" t="s">
        <v>789</v>
      </c>
      <c r="BF24" s="59" t="s">
        <v>789</v>
      </c>
      <c r="BG24" s="59" t="s">
        <v>789</v>
      </c>
      <c r="BH24" s="45" t="s">
        <v>789</v>
      </c>
      <c r="BI24" s="45" t="s">
        <v>789</v>
      </c>
      <c r="BJ24" s="59" t="s">
        <v>789</v>
      </c>
      <c r="BK24" s="45" t="s">
        <v>789</v>
      </c>
      <c r="BL24" s="45" t="e">
        <v>#VALUE!</v>
      </c>
      <c r="BM24" s="45" t="e">
        <v>#VALUE!</v>
      </c>
      <c r="BN24" s="45" t="e">
        <v>#VALUE!</v>
      </c>
      <c r="BO24" s="45" t="e">
        <v>#VALUE!</v>
      </c>
      <c r="BP24" s="45" t="e">
        <v>#VALUE!</v>
      </c>
      <c r="BQ24" s="45" t="e">
        <v>#VALUE!</v>
      </c>
      <c r="BR24" s="47" t="s">
        <v>787</v>
      </c>
      <c r="BS24" s="61" t="e">
        <v>#VALUE!</v>
      </c>
      <c r="BT24" s="61" t="e">
        <v>#VALUE!</v>
      </c>
      <c r="BU24" s="61" t="e">
        <v>#VALUE!</v>
      </c>
      <c r="BV24" s="61" t="e">
        <v>#VALUE!</v>
      </c>
      <c r="BW24" s="61" t="e">
        <v>#VALUE!</v>
      </c>
      <c r="BX24" s="61" t="e">
        <v>#VALUE!</v>
      </c>
      <c r="BY24" s="61" t="e">
        <v>#VALUE!</v>
      </c>
      <c r="BZ24" s="61" t="e">
        <v>#VALUE!</v>
      </c>
      <c r="CB24" s="45">
        <v>2</v>
      </c>
      <c r="CC24" s="10" t="s">
        <v>306</v>
      </c>
      <c r="CD24" s="10" t="s">
        <v>305</v>
      </c>
      <c r="CE24" s="46">
        <v>42515</v>
      </c>
    </row>
    <row r="25" spans="1:83" s="45" customFormat="1" ht="12.75" hidden="1" outlineLevel="1">
      <c r="A25" s="45" t="s">
        <v>789</v>
      </c>
      <c r="B25" s="45" t="s">
        <v>789</v>
      </c>
      <c r="C25" s="45" t="s">
        <v>789</v>
      </c>
      <c r="D25" s="45" t="s">
        <v>789</v>
      </c>
      <c r="E25" s="46" t="s">
        <v>789</v>
      </c>
      <c r="F25" s="46" t="s">
        <v>789</v>
      </c>
      <c r="G25" s="46" t="s">
        <v>789</v>
      </c>
      <c r="H25" s="59" t="s">
        <v>789</v>
      </c>
      <c r="I25" s="59" t="s">
        <v>789</v>
      </c>
      <c r="J25" s="59" t="s">
        <v>789</v>
      </c>
      <c r="K25" s="59" t="s">
        <v>789</v>
      </c>
      <c r="L25" s="59" t="s">
        <v>789</v>
      </c>
      <c r="M25" s="59" t="s">
        <v>789</v>
      </c>
      <c r="N25" s="59" t="s">
        <v>789</v>
      </c>
      <c r="O25" s="59" t="s">
        <v>789</v>
      </c>
      <c r="P25" s="59" t="s">
        <v>789</v>
      </c>
      <c r="Q25" s="59" t="s">
        <v>789</v>
      </c>
      <c r="R25" s="59" t="s">
        <v>789</v>
      </c>
      <c r="S25" s="59" t="s">
        <v>789</v>
      </c>
      <c r="T25" s="59" t="s">
        <v>789</v>
      </c>
      <c r="U25" s="59" t="s">
        <v>789</v>
      </c>
      <c r="V25" s="59" t="s">
        <v>789</v>
      </c>
      <c r="W25" s="59" t="s">
        <v>789</v>
      </c>
      <c r="X25" s="59" t="s">
        <v>789</v>
      </c>
      <c r="Y25" s="59" t="s">
        <v>789</v>
      </c>
      <c r="Z25" s="59" t="s">
        <v>789</v>
      </c>
      <c r="AA25" s="59" t="s">
        <v>789</v>
      </c>
      <c r="AB25" s="59" t="s">
        <v>789</v>
      </c>
      <c r="AC25" s="59" t="s">
        <v>789</v>
      </c>
      <c r="AD25" s="59" t="s">
        <v>789</v>
      </c>
      <c r="AE25" s="59" t="s">
        <v>789</v>
      </c>
      <c r="AF25" s="47" t="s">
        <v>13</v>
      </c>
      <c r="AG25" s="47" t="s">
        <v>13</v>
      </c>
      <c r="AH25" s="47" t="s">
        <v>13</v>
      </c>
      <c r="AI25" s="47" t="s">
        <v>13</v>
      </c>
      <c r="AJ25" s="59" t="s">
        <v>789</v>
      </c>
      <c r="AK25" s="59" t="s">
        <v>789</v>
      </c>
      <c r="AL25" s="59" t="s">
        <v>789</v>
      </c>
      <c r="AM25" s="59" t="s">
        <v>789</v>
      </c>
      <c r="AN25" s="59" t="s">
        <v>789</v>
      </c>
      <c r="AO25" s="59" t="s">
        <v>789</v>
      </c>
      <c r="AP25" s="44" t="s">
        <v>789</v>
      </c>
      <c r="AQ25" s="60" t="s">
        <v>789</v>
      </c>
      <c r="AR25" s="60" t="s">
        <v>789</v>
      </c>
      <c r="AS25" s="60" t="s">
        <v>789</v>
      </c>
      <c r="AT25" s="47" t="s">
        <v>13</v>
      </c>
      <c r="AU25" s="59" t="s">
        <v>789</v>
      </c>
      <c r="AV25" s="59" t="s">
        <v>789</v>
      </c>
      <c r="AW25" s="59" t="s">
        <v>789</v>
      </c>
      <c r="AX25" s="59" t="s">
        <v>789</v>
      </c>
      <c r="AY25" s="59" t="s">
        <v>789</v>
      </c>
      <c r="AZ25" s="59" t="s">
        <v>789</v>
      </c>
      <c r="BA25" s="59" t="s">
        <v>789</v>
      </c>
      <c r="BB25" s="59" t="s">
        <v>789</v>
      </c>
      <c r="BC25" s="59" t="s">
        <v>789</v>
      </c>
      <c r="BD25" s="59" t="s">
        <v>789</v>
      </c>
      <c r="BE25" s="59" t="s">
        <v>789</v>
      </c>
      <c r="BF25" s="59" t="s">
        <v>789</v>
      </c>
      <c r="BG25" s="59" t="s">
        <v>789</v>
      </c>
      <c r="BH25" s="45" t="s">
        <v>789</v>
      </c>
      <c r="BI25" s="45" t="s">
        <v>789</v>
      </c>
      <c r="BJ25" s="59" t="s">
        <v>789</v>
      </c>
      <c r="BK25" s="45" t="s">
        <v>789</v>
      </c>
      <c r="BL25" s="45" t="e">
        <v>#VALUE!</v>
      </c>
      <c r="BM25" s="45" t="e">
        <v>#VALUE!</v>
      </c>
      <c r="BN25" s="45" t="e">
        <v>#VALUE!</v>
      </c>
      <c r="BO25" s="45" t="e">
        <v>#VALUE!</v>
      </c>
      <c r="BP25" s="45" t="e">
        <v>#VALUE!</v>
      </c>
      <c r="BQ25" s="45" t="e">
        <v>#VALUE!</v>
      </c>
      <c r="BR25" s="47" t="s">
        <v>787</v>
      </c>
      <c r="BS25" s="61" t="e">
        <v>#VALUE!</v>
      </c>
      <c r="BT25" s="61" t="e">
        <v>#VALUE!</v>
      </c>
      <c r="BU25" s="61" t="e">
        <v>#VALUE!</v>
      </c>
      <c r="BV25" s="61" t="e">
        <v>#VALUE!</v>
      </c>
      <c r="BW25" s="61" t="e">
        <v>#VALUE!</v>
      </c>
      <c r="BX25" s="61" t="e">
        <v>#VALUE!</v>
      </c>
      <c r="BY25" s="61" t="e">
        <v>#VALUE!</v>
      </c>
      <c r="BZ25" s="61" t="e">
        <v>#VALUE!</v>
      </c>
      <c r="CB25" s="45">
        <v>2</v>
      </c>
      <c r="CC25" s="10" t="s">
        <v>306</v>
      </c>
      <c r="CD25" s="10" t="s">
        <v>305</v>
      </c>
      <c r="CE25" s="46">
        <v>42515</v>
      </c>
    </row>
    <row r="26" spans="1:83" s="45" customFormat="1" ht="12.75" hidden="1" outlineLevel="1">
      <c r="A26" s="45" t="s">
        <v>789</v>
      </c>
      <c r="B26" s="45" t="s">
        <v>789</v>
      </c>
      <c r="C26" s="45" t="s">
        <v>789</v>
      </c>
      <c r="D26" s="45" t="s">
        <v>789</v>
      </c>
      <c r="E26" s="46" t="s">
        <v>789</v>
      </c>
      <c r="F26" s="46" t="s">
        <v>789</v>
      </c>
      <c r="G26" s="46" t="s">
        <v>789</v>
      </c>
      <c r="H26" s="59" t="s">
        <v>789</v>
      </c>
      <c r="I26" s="59" t="s">
        <v>789</v>
      </c>
      <c r="J26" s="59" t="s">
        <v>789</v>
      </c>
      <c r="K26" s="59" t="s">
        <v>789</v>
      </c>
      <c r="L26" s="59" t="s">
        <v>789</v>
      </c>
      <c r="M26" s="59" t="s">
        <v>789</v>
      </c>
      <c r="N26" s="59" t="s">
        <v>789</v>
      </c>
      <c r="O26" s="59" t="s">
        <v>789</v>
      </c>
      <c r="P26" s="59" t="s">
        <v>789</v>
      </c>
      <c r="Q26" s="59" t="s">
        <v>789</v>
      </c>
      <c r="R26" s="59" t="s">
        <v>789</v>
      </c>
      <c r="S26" s="59" t="s">
        <v>789</v>
      </c>
      <c r="T26" s="59" t="s">
        <v>789</v>
      </c>
      <c r="U26" s="59" t="s">
        <v>789</v>
      </c>
      <c r="V26" s="59" t="s">
        <v>789</v>
      </c>
      <c r="W26" s="59" t="s">
        <v>789</v>
      </c>
      <c r="X26" s="59" t="s">
        <v>789</v>
      </c>
      <c r="Y26" s="59" t="s">
        <v>789</v>
      </c>
      <c r="Z26" s="59" t="s">
        <v>789</v>
      </c>
      <c r="AA26" s="59" t="s">
        <v>789</v>
      </c>
      <c r="AB26" s="59" t="s">
        <v>789</v>
      </c>
      <c r="AC26" s="59" t="s">
        <v>789</v>
      </c>
      <c r="AD26" s="59" t="s">
        <v>789</v>
      </c>
      <c r="AE26" s="59" t="s">
        <v>789</v>
      </c>
      <c r="AF26" s="47" t="s">
        <v>13</v>
      </c>
      <c r="AG26" s="47" t="s">
        <v>13</v>
      </c>
      <c r="AH26" s="47" t="s">
        <v>13</v>
      </c>
      <c r="AI26" s="47" t="s">
        <v>13</v>
      </c>
      <c r="AJ26" s="59" t="s">
        <v>789</v>
      </c>
      <c r="AK26" s="59" t="s">
        <v>789</v>
      </c>
      <c r="AL26" s="59" t="s">
        <v>789</v>
      </c>
      <c r="AM26" s="59" t="s">
        <v>789</v>
      </c>
      <c r="AN26" s="59" t="s">
        <v>789</v>
      </c>
      <c r="AO26" s="59" t="s">
        <v>789</v>
      </c>
      <c r="AP26" s="44" t="s">
        <v>789</v>
      </c>
      <c r="AQ26" s="60" t="s">
        <v>789</v>
      </c>
      <c r="AR26" s="60" t="s">
        <v>789</v>
      </c>
      <c r="AS26" s="60" t="s">
        <v>789</v>
      </c>
      <c r="AT26" s="47" t="s">
        <v>13</v>
      </c>
      <c r="AU26" s="59" t="s">
        <v>789</v>
      </c>
      <c r="AV26" s="59" t="s">
        <v>789</v>
      </c>
      <c r="AW26" s="59" t="s">
        <v>789</v>
      </c>
      <c r="AX26" s="59" t="s">
        <v>789</v>
      </c>
      <c r="AY26" s="59" t="s">
        <v>789</v>
      </c>
      <c r="AZ26" s="59" t="s">
        <v>789</v>
      </c>
      <c r="BA26" s="59" t="s">
        <v>789</v>
      </c>
      <c r="BB26" s="59" t="s">
        <v>789</v>
      </c>
      <c r="BC26" s="59" t="s">
        <v>789</v>
      </c>
      <c r="BD26" s="59" t="s">
        <v>789</v>
      </c>
      <c r="BE26" s="59" t="s">
        <v>789</v>
      </c>
      <c r="BF26" s="59" t="s">
        <v>789</v>
      </c>
      <c r="BG26" s="59" t="s">
        <v>789</v>
      </c>
      <c r="BH26" s="45" t="s">
        <v>789</v>
      </c>
      <c r="BI26" s="45" t="s">
        <v>789</v>
      </c>
      <c r="BJ26" s="59" t="s">
        <v>789</v>
      </c>
      <c r="BK26" s="45" t="s">
        <v>789</v>
      </c>
      <c r="BL26" s="45" t="e">
        <v>#VALUE!</v>
      </c>
      <c r="BM26" s="45" t="e">
        <v>#VALUE!</v>
      </c>
      <c r="BN26" s="45" t="e">
        <v>#VALUE!</v>
      </c>
      <c r="BO26" s="45" t="e">
        <v>#VALUE!</v>
      </c>
      <c r="BP26" s="45" t="e">
        <v>#VALUE!</v>
      </c>
      <c r="BQ26" s="45" t="e">
        <v>#VALUE!</v>
      </c>
      <c r="BR26" s="47" t="s">
        <v>787</v>
      </c>
      <c r="BS26" s="61" t="e">
        <v>#VALUE!</v>
      </c>
      <c r="BT26" s="61" t="e">
        <v>#VALUE!</v>
      </c>
      <c r="BU26" s="61" t="e">
        <v>#VALUE!</v>
      </c>
      <c r="BV26" s="61" t="e">
        <v>#VALUE!</v>
      </c>
      <c r="BW26" s="61" t="e">
        <v>#VALUE!</v>
      </c>
      <c r="BX26" s="61" t="e">
        <v>#VALUE!</v>
      </c>
      <c r="BY26" s="61" t="e">
        <v>#VALUE!</v>
      </c>
      <c r="BZ26" s="61" t="e">
        <v>#VALUE!</v>
      </c>
      <c r="CB26" s="45">
        <v>2</v>
      </c>
      <c r="CC26" s="10" t="s">
        <v>306</v>
      </c>
      <c r="CD26" s="10" t="s">
        <v>305</v>
      </c>
      <c r="CE26" s="46">
        <v>42515</v>
      </c>
    </row>
    <row r="27" spans="1:83" s="45" customFormat="1" ht="12.75" hidden="1" outlineLevel="1">
      <c r="A27" s="45" t="s">
        <v>789</v>
      </c>
      <c r="B27" s="45" t="s">
        <v>789</v>
      </c>
      <c r="C27" s="45" t="s">
        <v>789</v>
      </c>
      <c r="D27" s="45" t="s">
        <v>789</v>
      </c>
      <c r="E27" s="46" t="s">
        <v>789</v>
      </c>
      <c r="F27" s="46" t="s">
        <v>789</v>
      </c>
      <c r="G27" s="46" t="s">
        <v>789</v>
      </c>
      <c r="H27" s="59" t="s">
        <v>789</v>
      </c>
      <c r="I27" s="59" t="s">
        <v>789</v>
      </c>
      <c r="J27" s="59" t="s">
        <v>789</v>
      </c>
      <c r="K27" s="59" t="s">
        <v>789</v>
      </c>
      <c r="L27" s="59" t="s">
        <v>789</v>
      </c>
      <c r="M27" s="59" t="s">
        <v>789</v>
      </c>
      <c r="N27" s="59" t="s">
        <v>789</v>
      </c>
      <c r="O27" s="59" t="s">
        <v>789</v>
      </c>
      <c r="P27" s="59" t="s">
        <v>789</v>
      </c>
      <c r="Q27" s="59" t="s">
        <v>789</v>
      </c>
      <c r="R27" s="59" t="s">
        <v>789</v>
      </c>
      <c r="S27" s="59" t="s">
        <v>789</v>
      </c>
      <c r="T27" s="59" t="s">
        <v>789</v>
      </c>
      <c r="U27" s="59" t="s">
        <v>789</v>
      </c>
      <c r="V27" s="59" t="s">
        <v>789</v>
      </c>
      <c r="W27" s="59" t="s">
        <v>789</v>
      </c>
      <c r="X27" s="59" t="s">
        <v>789</v>
      </c>
      <c r="Y27" s="59" t="s">
        <v>789</v>
      </c>
      <c r="Z27" s="59" t="s">
        <v>789</v>
      </c>
      <c r="AA27" s="59" t="s">
        <v>789</v>
      </c>
      <c r="AB27" s="59" t="s">
        <v>789</v>
      </c>
      <c r="AC27" s="59" t="s">
        <v>789</v>
      </c>
      <c r="AD27" s="59" t="s">
        <v>789</v>
      </c>
      <c r="AE27" s="59" t="s">
        <v>789</v>
      </c>
      <c r="AF27" s="47" t="s">
        <v>13</v>
      </c>
      <c r="AG27" s="47" t="s">
        <v>13</v>
      </c>
      <c r="AH27" s="47" t="s">
        <v>13</v>
      </c>
      <c r="AI27" s="47" t="s">
        <v>13</v>
      </c>
      <c r="AJ27" s="59" t="s">
        <v>789</v>
      </c>
      <c r="AK27" s="59" t="s">
        <v>789</v>
      </c>
      <c r="AL27" s="59" t="s">
        <v>789</v>
      </c>
      <c r="AM27" s="59" t="s">
        <v>789</v>
      </c>
      <c r="AN27" s="59" t="s">
        <v>789</v>
      </c>
      <c r="AO27" s="59" t="s">
        <v>789</v>
      </c>
      <c r="AP27" s="44" t="s">
        <v>789</v>
      </c>
      <c r="AQ27" s="60" t="s">
        <v>789</v>
      </c>
      <c r="AR27" s="60" t="s">
        <v>789</v>
      </c>
      <c r="AS27" s="60" t="s">
        <v>789</v>
      </c>
      <c r="AT27" s="47" t="s">
        <v>13</v>
      </c>
      <c r="AU27" s="59" t="s">
        <v>789</v>
      </c>
      <c r="AV27" s="59" t="s">
        <v>789</v>
      </c>
      <c r="AW27" s="59" t="s">
        <v>789</v>
      </c>
      <c r="AX27" s="59" t="s">
        <v>789</v>
      </c>
      <c r="AY27" s="59" t="s">
        <v>789</v>
      </c>
      <c r="AZ27" s="59" t="s">
        <v>789</v>
      </c>
      <c r="BA27" s="59" t="s">
        <v>789</v>
      </c>
      <c r="BB27" s="59" t="s">
        <v>789</v>
      </c>
      <c r="BC27" s="59" t="s">
        <v>789</v>
      </c>
      <c r="BD27" s="59" t="s">
        <v>789</v>
      </c>
      <c r="BE27" s="59" t="s">
        <v>789</v>
      </c>
      <c r="BF27" s="59" t="s">
        <v>789</v>
      </c>
      <c r="BG27" s="59" t="s">
        <v>789</v>
      </c>
      <c r="BH27" s="45" t="s">
        <v>789</v>
      </c>
      <c r="BI27" s="45" t="s">
        <v>789</v>
      </c>
      <c r="BJ27" s="59" t="s">
        <v>789</v>
      </c>
      <c r="BK27" s="45" t="s">
        <v>789</v>
      </c>
      <c r="BL27" s="45" t="e">
        <v>#VALUE!</v>
      </c>
      <c r="BM27" s="45" t="e">
        <v>#VALUE!</v>
      </c>
      <c r="BN27" s="45" t="e">
        <v>#VALUE!</v>
      </c>
      <c r="BO27" s="45" t="e">
        <v>#VALUE!</v>
      </c>
      <c r="BP27" s="45" t="e">
        <v>#VALUE!</v>
      </c>
      <c r="BQ27" s="45" t="e">
        <v>#VALUE!</v>
      </c>
      <c r="BR27" s="47" t="s">
        <v>787</v>
      </c>
      <c r="BS27" s="61" t="e">
        <v>#VALUE!</v>
      </c>
      <c r="BT27" s="61" t="e">
        <v>#VALUE!</v>
      </c>
      <c r="BU27" s="61" t="e">
        <v>#VALUE!</v>
      </c>
      <c r="BV27" s="61" t="e">
        <v>#VALUE!</v>
      </c>
      <c r="BW27" s="61" t="e">
        <v>#VALUE!</v>
      </c>
      <c r="BX27" s="61" t="e">
        <v>#VALUE!</v>
      </c>
      <c r="BY27" s="61" t="e">
        <v>#VALUE!</v>
      </c>
      <c r="BZ27" s="61" t="e">
        <v>#VALUE!</v>
      </c>
      <c r="CB27" s="45">
        <v>2</v>
      </c>
      <c r="CC27" s="10" t="s">
        <v>306</v>
      </c>
      <c r="CD27" s="10" t="s">
        <v>305</v>
      </c>
      <c r="CE27" s="46">
        <v>42515</v>
      </c>
    </row>
    <row r="28" spans="1:83" s="45" customFormat="1" ht="12.75" hidden="1" outlineLevel="1">
      <c r="A28" s="45" t="s">
        <v>789</v>
      </c>
      <c r="B28" s="45" t="s">
        <v>789</v>
      </c>
      <c r="C28" s="45" t="s">
        <v>789</v>
      </c>
      <c r="D28" s="45" t="s">
        <v>789</v>
      </c>
      <c r="E28" s="46" t="s">
        <v>789</v>
      </c>
      <c r="F28" s="46" t="s">
        <v>789</v>
      </c>
      <c r="G28" s="46" t="s">
        <v>789</v>
      </c>
      <c r="H28" s="59" t="s">
        <v>789</v>
      </c>
      <c r="I28" s="59" t="s">
        <v>789</v>
      </c>
      <c r="J28" s="59" t="s">
        <v>789</v>
      </c>
      <c r="K28" s="59" t="s">
        <v>789</v>
      </c>
      <c r="L28" s="59" t="s">
        <v>789</v>
      </c>
      <c r="M28" s="59" t="s">
        <v>789</v>
      </c>
      <c r="N28" s="59" t="s">
        <v>789</v>
      </c>
      <c r="O28" s="59" t="s">
        <v>789</v>
      </c>
      <c r="P28" s="59" t="s">
        <v>789</v>
      </c>
      <c r="Q28" s="59" t="s">
        <v>789</v>
      </c>
      <c r="R28" s="59" t="s">
        <v>789</v>
      </c>
      <c r="S28" s="59" t="s">
        <v>789</v>
      </c>
      <c r="T28" s="59" t="s">
        <v>789</v>
      </c>
      <c r="U28" s="59" t="s">
        <v>789</v>
      </c>
      <c r="V28" s="59" t="s">
        <v>789</v>
      </c>
      <c r="W28" s="59" t="s">
        <v>789</v>
      </c>
      <c r="X28" s="59" t="s">
        <v>789</v>
      </c>
      <c r="Y28" s="59" t="s">
        <v>789</v>
      </c>
      <c r="Z28" s="59" t="s">
        <v>789</v>
      </c>
      <c r="AA28" s="59" t="s">
        <v>789</v>
      </c>
      <c r="AB28" s="59" t="s">
        <v>789</v>
      </c>
      <c r="AC28" s="59" t="s">
        <v>789</v>
      </c>
      <c r="AD28" s="59" t="s">
        <v>789</v>
      </c>
      <c r="AE28" s="59" t="s">
        <v>789</v>
      </c>
      <c r="AF28" s="47" t="s">
        <v>13</v>
      </c>
      <c r="AG28" s="47" t="s">
        <v>13</v>
      </c>
      <c r="AH28" s="47" t="s">
        <v>13</v>
      </c>
      <c r="AI28" s="47" t="s">
        <v>13</v>
      </c>
      <c r="AJ28" s="59" t="s">
        <v>789</v>
      </c>
      <c r="AK28" s="59" t="s">
        <v>789</v>
      </c>
      <c r="AL28" s="59" t="s">
        <v>789</v>
      </c>
      <c r="AM28" s="59" t="s">
        <v>789</v>
      </c>
      <c r="AN28" s="59" t="s">
        <v>789</v>
      </c>
      <c r="AO28" s="59" t="s">
        <v>789</v>
      </c>
      <c r="AP28" s="44" t="s">
        <v>789</v>
      </c>
      <c r="AQ28" s="60" t="s">
        <v>789</v>
      </c>
      <c r="AR28" s="60" t="s">
        <v>789</v>
      </c>
      <c r="AS28" s="60" t="s">
        <v>789</v>
      </c>
      <c r="AT28" s="47" t="s">
        <v>13</v>
      </c>
      <c r="AU28" s="59" t="s">
        <v>789</v>
      </c>
      <c r="AV28" s="59" t="s">
        <v>789</v>
      </c>
      <c r="AW28" s="59" t="s">
        <v>789</v>
      </c>
      <c r="AX28" s="59" t="s">
        <v>789</v>
      </c>
      <c r="AY28" s="59" t="s">
        <v>789</v>
      </c>
      <c r="AZ28" s="59" t="s">
        <v>789</v>
      </c>
      <c r="BA28" s="59" t="s">
        <v>789</v>
      </c>
      <c r="BB28" s="59" t="s">
        <v>789</v>
      </c>
      <c r="BC28" s="59" t="s">
        <v>789</v>
      </c>
      <c r="BD28" s="59" t="s">
        <v>789</v>
      </c>
      <c r="BE28" s="59" t="s">
        <v>789</v>
      </c>
      <c r="BF28" s="59" t="s">
        <v>789</v>
      </c>
      <c r="BG28" s="59" t="s">
        <v>789</v>
      </c>
      <c r="BH28" s="45" t="s">
        <v>789</v>
      </c>
      <c r="BI28" s="45" t="s">
        <v>789</v>
      </c>
      <c r="BJ28" s="59" t="s">
        <v>789</v>
      </c>
      <c r="BK28" s="45" t="s">
        <v>789</v>
      </c>
      <c r="BL28" s="45" t="e">
        <v>#VALUE!</v>
      </c>
      <c r="BM28" s="45" t="e">
        <v>#VALUE!</v>
      </c>
      <c r="BN28" s="45" t="e">
        <v>#VALUE!</v>
      </c>
      <c r="BO28" s="45" t="e">
        <v>#VALUE!</v>
      </c>
      <c r="BP28" s="45" t="e">
        <v>#VALUE!</v>
      </c>
      <c r="BQ28" s="45" t="e">
        <v>#VALUE!</v>
      </c>
      <c r="BR28" s="47" t="s">
        <v>787</v>
      </c>
      <c r="BS28" s="61" t="e">
        <v>#VALUE!</v>
      </c>
      <c r="BT28" s="61" t="e">
        <v>#VALUE!</v>
      </c>
      <c r="BU28" s="61" t="e">
        <v>#VALUE!</v>
      </c>
      <c r="BV28" s="61" t="e">
        <v>#VALUE!</v>
      </c>
      <c r="BW28" s="61" t="e">
        <v>#VALUE!</v>
      </c>
      <c r="BX28" s="61" t="e">
        <v>#VALUE!</v>
      </c>
      <c r="BY28" s="61" t="e">
        <v>#VALUE!</v>
      </c>
      <c r="BZ28" s="61" t="e">
        <v>#VALUE!</v>
      </c>
      <c r="CB28" s="45">
        <v>2</v>
      </c>
      <c r="CC28" s="10" t="s">
        <v>306</v>
      </c>
      <c r="CD28" s="10" t="s">
        <v>305</v>
      </c>
      <c r="CE28" s="46">
        <v>42515</v>
      </c>
    </row>
    <row r="29" spans="1:83" s="45" customFormat="1" ht="12.75" hidden="1" outlineLevel="1">
      <c r="A29" s="45" t="s">
        <v>789</v>
      </c>
      <c r="B29" s="45" t="s">
        <v>789</v>
      </c>
      <c r="C29" s="45" t="s">
        <v>789</v>
      </c>
      <c r="D29" s="45" t="s">
        <v>789</v>
      </c>
      <c r="E29" s="46" t="s">
        <v>789</v>
      </c>
      <c r="F29" s="46" t="s">
        <v>789</v>
      </c>
      <c r="G29" s="46" t="s">
        <v>789</v>
      </c>
      <c r="H29" s="59" t="s">
        <v>789</v>
      </c>
      <c r="I29" s="59" t="s">
        <v>789</v>
      </c>
      <c r="J29" s="59" t="s">
        <v>789</v>
      </c>
      <c r="K29" s="59" t="s">
        <v>789</v>
      </c>
      <c r="L29" s="59" t="s">
        <v>789</v>
      </c>
      <c r="M29" s="59" t="s">
        <v>789</v>
      </c>
      <c r="N29" s="59" t="s">
        <v>789</v>
      </c>
      <c r="O29" s="59" t="s">
        <v>789</v>
      </c>
      <c r="P29" s="59" t="s">
        <v>789</v>
      </c>
      <c r="Q29" s="59" t="s">
        <v>789</v>
      </c>
      <c r="R29" s="59" t="s">
        <v>789</v>
      </c>
      <c r="S29" s="59" t="s">
        <v>789</v>
      </c>
      <c r="T29" s="59" t="s">
        <v>789</v>
      </c>
      <c r="U29" s="59" t="s">
        <v>789</v>
      </c>
      <c r="V29" s="59" t="s">
        <v>789</v>
      </c>
      <c r="W29" s="59" t="s">
        <v>789</v>
      </c>
      <c r="X29" s="59" t="s">
        <v>789</v>
      </c>
      <c r="Y29" s="59" t="s">
        <v>789</v>
      </c>
      <c r="Z29" s="59" t="s">
        <v>789</v>
      </c>
      <c r="AA29" s="59" t="s">
        <v>789</v>
      </c>
      <c r="AB29" s="59" t="s">
        <v>789</v>
      </c>
      <c r="AC29" s="59" t="s">
        <v>789</v>
      </c>
      <c r="AD29" s="59" t="s">
        <v>789</v>
      </c>
      <c r="AE29" s="59" t="s">
        <v>789</v>
      </c>
      <c r="AF29" s="47" t="s">
        <v>13</v>
      </c>
      <c r="AG29" s="47" t="s">
        <v>13</v>
      </c>
      <c r="AH29" s="47" t="s">
        <v>13</v>
      </c>
      <c r="AI29" s="47" t="s">
        <v>13</v>
      </c>
      <c r="AJ29" s="59" t="s">
        <v>789</v>
      </c>
      <c r="AK29" s="59" t="s">
        <v>789</v>
      </c>
      <c r="AL29" s="59" t="s">
        <v>789</v>
      </c>
      <c r="AM29" s="59" t="s">
        <v>789</v>
      </c>
      <c r="AN29" s="59" t="s">
        <v>789</v>
      </c>
      <c r="AO29" s="59" t="s">
        <v>789</v>
      </c>
      <c r="AP29" s="44" t="s">
        <v>789</v>
      </c>
      <c r="AQ29" s="60" t="s">
        <v>789</v>
      </c>
      <c r="AR29" s="60" t="s">
        <v>789</v>
      </c>
      <c r="AS29" s="60" t="s">
        <v>789</v>
      </c>
      <c r="AT29" s="47" t="s">
        <v>13</v>
      </c>
      <c r="AU29" s="59" t="s">
        <v>789</v>
      </c>
      <c r="AV29" s="59" t="s">
        <v>789</v>
      </c>
      <c r="AW29" s="59" t="s">
        <v>789</v>
      </c>
      <c r="AX29" s="59" t="s">
        <v>789</v>
      </c>
      <c r="AY29" s="59" t="s">
        <v>789</v>
      </c>
      <c r="AZ29" s="59" t="s">
        <v>789</v>
      </c>
      <c r="BA29" s="59" t="s">
        <v>789</v>
      </c>
      <c r="BB29" s="59" t="s">
        <v>789</v>
      </c>
      <c r="BC29" s="59" t="s">
        <v>789</v>
      </c>
      <c r="BD29" s="59" t="s">
        <v>789</v>
      </c>
      <c r="BE29" s="59" t="s">
        <v>789</v>
      </c>
      <c r="BF29" s="59" t="s">
        <v>789</v>
      </c>
      <c r="BG29" s="59" t="s">
        <v>789</v>
      </c>
      <c r="BH29" s="45" t="s">
        <v>789</v>
      </c>
      <c r="BI29" s="45" t="s">
        <v>789</v>
      </c>
      <c r="BJ29" s="59" t="s">
        <v>789</v>
      </c>
      <c r="BK29" s="45" t="s">
        <v>789</v>
      </c>
      <c r="BL29" s="45" t="e">
        <v>#VALUE!</v>
      </c>
      <c r="BM29" s="45" t="e">
        <v>#VALUE!</v>
      </c>
      <c r="BN29" s="45" t="e">
        <v>#VALUE!</v>
      </c>
      <c r="BO29" s="45" t="e">
        <v>#VALUE!</v>
      </c>
      <c r="BP29" s="45" t="e">
        <v>#VALUE!</v>
      </c>
      <c r="BQ29" s="45" t="e">
        <v>#VALUE!</v>
      </c>
      <c r="BR29" s="47" t="s">
        <v>787</v>
      </c>
      <c r="BS29" s="61" t="e">
        <v>#VALUE!</v>
      </c>
      <c r="BT29" s="61" t="e">
        <v>#VALUE!</v>
      </c>
      <c r="BU29" s="61" t="e">
        <v>#VALUE!</v>
      </c>
      <c r="BV29" s="61" t="e">
        <v>#VALUE!</v>
      </c>
      <c r="BW29" s="61" t="e">
        <v>#VALUE!</v>
      </c>
      <c r="BX29" s="61" t="e">
        <v>#VALUE!</v>
      </c>
      <c r="BY29" s="61" t="e">
        <v>#VALUE!</v>
      </c>
      <c r="BZ29" s="61" t="e">
        <v>#VALUE!</v>
      </c>
      <c r="CB29" s="45">
        <v>2</v>
      </c>
      <c r="CC29" s="10" t="s">
        <v>306</v>
      </c>
      <c r="CD29" s="10" t="s">
        <v>305</v>
      </c>
      <c r="CE29" s="46">
        <v>42515</v>
      </c>
    </row>
    <row r="30" spans="1:83" s="45" customFormat="1" ht="12.75" hidden="1" outlineLevel="1">
      <c r="A30" s="45" t="s">
        <v>789</v>
      </c>
      <c r="B30" s="45" t="s">
        <v>789</v>
      </c>
      <c r="C30" s="45" t="s">
        <v>789</v>
      </c>
      <c r="D30" s="45" t="s">
        <v>789</v>
      </c>
      <c r="E30" s="46" t="s">
        <v>789</v>
      </c>
      <c r="F30" s="46" t="s">
        <v>789</v>
      </c>
      <c r="G30" s="46" t="s">
        <v>789</v>
      </c>
      <c r="H30" s="59" t="s">
        <v>789</v>
      </c>
      <c r="I30" s="59" t="s">
        <v>789</v>
      </c>
      <c r="J30" s="59" t="s">
        <v>789</v>
      </c>
      <c r="K30" s="59" t="s">
        <v>789</v>
      </c>
      <c r="L30" s="59" t="s">
        <v>789</v>
      </c>
      <c r="M30" s="59" t="s">
        <v>789</v>
      </c>
      <c r="N30" s="59" t="s">
        <v>789</v>
      </c>
      <c r="O30" s="59" t="s">
        <v>789</v>
      </c>
      <c r="P30" s="59" t="s">
        <v>789</v>
      </c>
      <c r="Q30" s="59" t="s">
        <v>789</v>
      </c>
      <c r="R30" s="59" t="s">
        <v>789</v>
      </c>
      <c r="S30" s="59" t="s">
        <v>789</v>
      </c>
      <c r="T30" s="59" t="s">
        <v>789</v>
      </c>
      <c r="U30" s="59" t="s">
        <v>789</v>
      </c>
      <c r="V30" s="59" t="s">
        <v>789</v>
      </c>
      <c r="W30" s="59" t="s">
        <v>789</v>
      </c>
      <c r="X30" s="59" t="s">
        <v>789</v>
      </c>
      <c r="Y30" s="59" t="s">
        <v>789</v>
      </c>
      <c r="Z30" s="59" t="s">
        <v>789</v>
      </c>
      <c r="AA30" s="59" t="s">
        <v>789</v>
      </c>
      <c r="AB30" s="59" t="s">
        <v>789</v>
      </c>
      <c r="AC30" s="59" t="s">
        <v>789</v>
      </c>
      <c r="AD30" s="59" t="s">
        <v>789</v>
      </c>
      <c r="AE30" s="59" t="s">
        <v>789</v>
      </c>
      <c r="AF30" s="47" t="s">
        <v>13</v>
      </c>
      <c r="AG30" s="47" t="s">
        <v>13</v>
      </c>
      <c r="AH30" s="47" t="s">
        <v>13</v>
      </c>
      <c r="AI30" s="47" t="s">
        <v>13</v>
      </c>
      <c r="AJ30" s="59" t="s">
        <v>789</v>
      </c>
      <c r="AK30" s="59" t="s">
        <v>789</v>
      </c>
      <c r="AL30" s="59" t="s">
        <v>789</v>
      </c>
      <c r="AM30" s="59" t="s">
        <v>789</v>
      </c>
      <c r="AN30" s="59" t="s">
        <v>789</v>
      </c>
      <c r="AO30" s="59" t="s">
        <v>789</v>
      </c>
      <c r="AP30" s="44" t="s">
        <v>789</v>
      </c>
      <c r="AQ30" s="60" t="s">
        <v>789</v>
      </c>
      <c r="AR30" s="60" t="s">
        <v>789</v>
      </c>
      <c r="AS30" s="60" t="s">
        <v>789</v>
      </c>
      <c r="AT30" s="47" t="s">
        <v>13</v>
      </c>
      <c r="AU30" s="59" t="s">
        <v>789</v>
      </c>
      <c r="AV30" s="59" t="s">
        <v>789</v>
      </c>
      <c r="AW30" s="59" t="s">
        <v>789</v>
      </c>
      <c r="AX30" s="59" t="s">
        <v>789</v>
      </c>
      <c r="AY30" s="59" t="s">
        <v>789</v>
      </c>
      <c r="AZ30" s="59" t="s">
        <v>789</v>
      </c>
      <c r="BA30" s="59" t="s">
        <v>789</v>
      </c>
      <c r="BB30" s="59" t="s">
        <v>789</v>
      </c>
      <c r="BC30" s="59" t="s">
        <v>789</v>
      </c>
      <c r="BD30" s="59" t="s">
        <v>789</v>
      </c>
      <c r="BE30" s="59" t="s">
        <v>789</v>
      </c>
      <c r="BF30" s="59" t="s">
        <v>789</v>
      </c>
      <c r="BG30" s="59" t="s">
        <v>789</v>
      </c>
      <c r="BH30" s="45" t="s">
        <v>789</v>
      </c>
      <c r="BI30" s="45" t="s">
        <v>789</v>
      </c>
      <c r="BJ30" s="59" t="s">
        <v>789</v>
      </c>
      <c r="BK30" s="45" t="s">
        <v>789</v>
      </c>
      <c r="BL30" s="45" t="e">
        <v>#VALUE!</v>
      </c>
      <c r="BM30" s="45" t="e">
        <v>#VALUE!</v>
      </c>
      <c r="BN30" s="45" t="e">
        <v>#VALUE!</v>
      </c>
      <c r="BO30" s="45" t="e">
        <v>#VALUE!</v>
      </c>
      <c r="BP30" s="45" t="e">
        <v>#VALUE!</v>
      </c>
      <c r="BQ30" s="45" t="e">
        <v>#VALUE!</v>
      </c>
      <c r="BR30" s="47" t="s">
        <v>787</v>
      </c>
      <c r="BS30" s="61" t="e">
        <v>#VALUE!</v>
      </c>
      <c r="BT30" s="61" t="e">
        <v>#VALUE!</v>
      </c>
      <c r="BU30" s="61" t="e">
        <v>#VALUE!</v>
      </c>
      <c r="BV30" s="61" t="e">
        <v>#VALUE!</v>
      </c>
      <c r="BW30" s="61" t="e">
        <v>#VALUE!</v>
      </c>
      <c r="BX30" s="61" t="e">
        <v>#VALUE!</v>
      </c>
      <c r="BY30" s="61" t="e">
        <v>#VALUE!</v>
      </c>
      <c r="BZ30" s="61" t="e">
        <v>#VALUE!</v>
      </c>
      <c r="CB30" s="45">
        <v>2</v>
      </c>
      <c r="CC30" s="10" t="s">
        <v>306</v>
      </c>
      <c r="CD30" s="10" t="s">
        <v>305</v>
      </c>
      <c r="CE30" s="46">
        <v>42515</v>
      </c>
    </row>
    <row r="31" spans="1:83" s="45" customFormat="1" ht="12.75" hidden="1" outlineLevel="1">
      <c r="A31" s="45" t="s">
        <v>789</v>
      </c>
      <c r="B31" s="45" t="s">
        <v>789</v>
      </c>
      <c r="C31" s="45" t="s">
        <v>789</v>
      </c>
      <c r="D31" s="45" t="s">
        <v>789</v>
      </c>
      <c r="E31" s="46" t="s">
        <v>789</v>
      </c>
      <c r="F31" s="46" t="s">
        <v>789</v>
      </c>
      <c r="G31" s="46" t="s">
        <v>789</v>
      </c>
      <c r="H31" s="59" t="s">
        <v>789</v>
      </c>
      <c r="I31" s="59" t="s">
        <v>789</v>
      </c>
      <c r="J31" s="59" t="s">
        <v>789</v>
      </c>
      <c r="K31" s="59" t="s">
        <v>789</v>
      </c>
      <c r="L31" s="59" t="s">
        <v>789</v>
      </c>
      <c r="M31" s="59" t="s">
        <v>789</v>
      </c>
      <c r="N31" s="59" t="s">
        <v>789</v>
      </c>
      <c r="O31" s="59" t="s">
        <v>789</v>
      </c>
      <c r="P31" s="59" t="s">
        <v>789</v>
      </c>
      <c r="Q31" s="59" t="s">
        <v>789</v>
      </c>
      <c r="R31" s="59" t="s">
        <v>789</v>
      </c>
      <c r="S31" s="59" t="s">
        <v>789</v>
      </c>
      <c r="T31" s="59" t="s">
        <v>789</v>
      </c>
      <c r="U31" s="59" t="s">
        <v>789</v>
      </c>
      <c r="V31" s="59" t="s">
        <v>789</v>
      </c>
      <c r="W31" s="59" t="s">
        <v>789</v>
      </c>
      <c r="X31" s="59" t="s">
        <v>789</v>
      </c>
      <c r="Y31" s="59" t="s">
        <v>789</v>
      </c>
      <c r="Z31" s="59" t="s">
        <v>789</v>
      </c>
      <c r="AA31" s="59" t="s">
        <v>789</v>
      </c>
      <c r="AB31" s="59" t="s">
        <v>789</v>
      </c>
      <c r="AC31" s="59" t="s">
        <v>789</v>
      </c>
      <c r="AD31" s="59" t="s">
        <v>789</v>
      </c>
      <c r="AE31" s="59" t="s">
        <v>789</v>
      </c>
      <c r="AF31" s="47" t="s">
        <v>13</v>
      </c>
      <c r="AG31" s="47" t="s">
        <v>13</v>
      </c>
      <c r="AH31" s="47" t="s">
        <v>13</v>
      </c>
      <c r="AI31" s="47" t="s">
        <v>13</v>
      </c>
      <c r="AJ31" s="59" t="s">
        <v>789</v>
      </c>
      <c r="AK31" s="59" t="s">
        <v>789</v>
      </c>
      <c r="AL31" s="59" t="s">
        <v>789</v>
      </c>
      <c r="AM31" s="59" t="s">
        <v>789</v>
      </c>
      <c r="AN31" s="59" t="s">
        <v>789</v>
      </c>
      <c r="AO31" s="59" t="s">
        <v>789</v>
      </c>
      <c r="AP31" s="44" t="s">
        <v>789</v>
      </c>
      <c r="AQ31" s="60" t="s">
        <v>789</v>
      </c>
      <c r="AR31" s="60" t="s">
        <v>789</v>
      </c>
      <c r="AS31" s="60" t="s">
        <v>789</v>
      </c>
      <c r="AT31" s="47" t="s">
        <v>13</v>
      </c>
      <c r="AU31" s="59" t="s">
        <v>789</v>
      </c>
      <c r="AV31" s="59" t="s">
        <v>789</v>
      </c>
      <c r="AW31" s="59" t="s">
        <v>789</v>
      </c>
      <c r="AX31" s="59" t="s">
        <v>789</v>
      </c>
      <c r="AY31" s="59" t="s">
        <v>789</v>
      </c>
      <c r="AZ31" s="59" t="s">
        <v>789</v>
      </c>
      <c r="BA31" s="59" t="s">
        <v>789</v>
      </c>
      <c r="BB31" s="59" t="s">
        <v>789</v>
      </c>
      <c r="BC31" s="59" t="s">
        <v>789</v>
      </c>
      <c r="BD31" s="59" t="s">
        <v>789</v>
      </c>
      <c r="BE31" s="59" t="s">
        <v>789</v>
      </c>
      <c r="BF31" s="59" t="s">
        <v>789</v>
      </c>
      <c r="BG31" s="59" t="s">
        <v>789</v>
      </c>
      <c r="BH31" s="45" t="s">
        <v>789</v>
      </c>
      <c r="BI31" s="45" t="s">
        <v>789</v>
      </c>
      <c r="BJ31" s="59" t="s">
        <v>789</v>
      </c>
      <c r="BK31" s="45" t="s">
        <v>789</v>
      </c>
      <c r="BL31" s="45" t="e">
        <v>#VALUE!</v>
      </c>
      <c r="BM31" s="45" t="e">
        <v>#VALUE!</v>
      </c>
      <c r="BN31" s="45" t="e">
        <v>#VALUE!</v>
      </c>
      <c r="BO31" s="45" t="e">
        <v>#VALUE!</v>
      </c>
      <c r="BP31" s="45" t="e">
        <v>#VALUE!</v>
      </c>
      <c r="BQ31" s="45" t="e">
        <v>#VALUE!</v>
      </c>
      <c r="BR31" s="47" t="s">
        <v>787</v>
      </c>
      <c r="BS31" s="61" t="e">
        <v>#VALUE!</v>
      </c>
      <c r="BT31" s="61" t="e">
        <v>#VALUE!</v>
      </c>
      <c r="BU31" s="61" t="e">
        <v>#VALUE!</v>
      </c>
      <c r="BV31" s="61" t="e">
        <v>#VALUE!</v>
      </c>
      <c r="BW31" s="61" t="e">
        <v>#VALUE!</v>
      </c>
      <c r="BX31" s="61" t="e">
        <v>#VALUE!</v>
      </c>
      <c r="BY31" s="61" t="e">
        <v>#VALUE!</v>
      </c>
      <c r="BZ31" s="61" t="e">
        <v>#VALUE!</v>
      </c>
      <c r="CB31" s="45">
        <v>2</v>
      </c>
      <c r="CC31" s="10" t="s">
        <v>306</v>
      </c>
      <c r="CD31" s="10" t="s">
        <v>305</v>
      </c>
      <c r="CE31" s="46">
        <v>42515</v>
      </c>
    </row>
    <row r="32" spans="1:83" s="45" customFormat="1" ht="12.75" hidden="1" outlineLevel="1">
      <c r="A32" s="45" t="s">
        <v>789</v>
      </c>
      <c r="B32" s="45" t="s">
        <v>789</v>
      </c>
      <c r="C32" s="45" t="s">
        <v>789</v>
      </c>
      <c r="D32" s="45" t="s">
        <v>789</v>
      </c>
      <c r="E32" s="46" t="s">
        <v>789</v>
      </c>
      <c r="F32" s="46" t="s">
        <v>789</v>
      </c>
      <c r="G32" s="46" t="s">
        <v>789</v>
      </c>
      <c r="H32" s="59" t="s">
        <v>789</v>
      </c>
      <c r="I32" s="59" t="s">
        <v>789</v>
      </c>
      <c r="J32" s="59" t="s">
        <v>789</v>
      </c>
      <c r="K32" s="59" t="s">
        <v>789</v>
      </c>
      <c r="L32" s="59" t="s">
        <v>789</v>
      </c>
      <c r="M32" s="59" t="s">
        <v>789</v>
      </c>
      <c r="N32" s="59" t="s">
        <v>789</v>
      </c>
      <c r="O32" s="59" t="s">
        <v>789</v>
      </c>
      <c r="P32" s="59" t="s">
        <v>789</v>
      </c>
      <c r="Q32" s="59" t="s">
        <v>789</v>
      </c>
      <c r="R32" s="59" t="s">
        <v>789</v>
      </c>
      <c r="S32" s="59" t="s">
        <v>789</v>
      </c>
      <c r="T32" s="59" t="s">
        <v>789</v>
      </c>
      <c r="U32" s="59" t="s">
        <v>789</v>
      </c>
      <c r="V32" s="59" t="s">
        <v>789</v>
      </c>
      <c r="W32" s="59" t="s">
        <v>789</v>
      </c>
      <c r="X32" s="59" t="s">
        <v>789</v>
      </c>
      <c r="Y32" s="59" t="s">
        <v>789</v>
      </c>
      <c r="Z32" s="59" t="s">
        <v>789</v>
      </c>
      <c r="AA32" s="59" t="s">
        <v>789</v>
      </c>
      <c r="AB32" s="59" t="s">
        <v>789</v>
      </c>
      <c r="AC32" s="59" t="s">
        <v>789</v>
      </c>
      <c r="AD32" s="59" t="s">
        <v>789</v>
      </c>
      <c r="AE32" s="59" t="s">
        <v>789</v>
      </c>
      <c r="AF32" s="47" t="s">
        <v>13</v>
      </c>
      <c r="AG32" s="47" t="s">
        <v>13</v>
      </c>
      <c r="AH32" s="47" t="s">
        <v>13</v>
      </c>
      <c r="AI32" s="47" t="s">
        <v>13</v>
      </c>
      <c r="AJ32" s="59" t="s">
        <v>789</v>
      </c>
      <c r="AK32" s="59" t="s">
        <v>789</v>
      </c>
      <c r="AL32" s="59" t="s">
        <v>789</v>
      </c>
      <c r="AM32" s="59" t="s">
        <v>789</v>
      </c>
      <c r="AN32" s="59" t="s">
        <v>789</v>
      </c>
      <c r="AO32" s="59" t="s">
        <v>789</v>
      </c>
      <c r="AP32" s="44" t="s">
        <v>789</v>
      </c>
      <c r="AQ32" s="60" t="s">
        <v>789</v>
      </c>
      <c r="AR32" s="60" t="s">
        <v>789</v>
      </c>
      <c r="AS32" s="60" t="s">
        <v>789</v>
      </c>
      <c r="AT32" s="47" t="s">
        <v>13</v>
      </c>
      <c r="AU32" s="59" t="s">
        <v>789</v>
      </c>
      <c r="AV32" s="59" t="s">
        <v>789</v>
      </c>
      <c r="AW32" s="59" t="s">
        <v>789</v>
      </c>
      <c r="AX32" s="59" t="s">
        <v>789</v>
      </c>
      <c r="AY32" s="59" t="s">
        <v>789</v>
      </c>
      <c r="AZ32" s="59" t="s">
        <v>789</v>
      </c>
      <c r="BA32" s="59" t="s">
        <v>789</v>
      </c>
      <c r="BB32" s="59" t="s">
        <v>789</v>
      </c>
      <c r="BC32" s="59" t="s">
        <v>789</v>
      </c>
      <c r="BD32" s="59" t="s">
        <v>789</v>
      </c>
      <c r="BE32" s="59" t="s">
        <v>789</v>
      </c>
      <c r="BF32" s="59" t="s">
        <v>789</v>
      </c>
      <c r="BG32" s="59" t="s">
        <v>789</v>
      </c>
      <c r="BH32" s="45" t="s">
        <v>789</v>
      </c>
      <c r="BI32" s="45" t="s">
        <v>789</v>
      </c>
      <c r="BJ32" s="59" t="s">
        <v>789</v>
      </c>
      <c r="BK32" s="45" t="s">
        <v>789</v>
      </c>
      <c r="BL32" s="45" t="e">
        <v>#VALUE!</v>
      </c>
      <c r="BM32" s="45" t="e">
        <v>#VALUE!</v>
      </c>
      <c r="BN32" s="45" t="e">
        <v>#VALUE!</v>
      </c>
      <c r="BO32" s="45" t="e">
        <v>#VALUE!</v>
      </c>
      <c r="BP32" s="45" t="e">
        <v>#VALUE!</v>
      </c>
      <c r="BQ32" s="45" t="e">
        <v>#VALUE!</v>
      </c>
      <c r="BR32" s="47" t="s">
        <v>787</v>
      </c>
      <c r="BS32" s="61" t="e">
        <v>#VALUE!</v>
      </c>
      <c r="BT32" s="61" t="e">
        <v>#VALUE!</v>
      </c>
      <c r="BU32" s="61" t="e">
        <v>#VALUE!</v>
      </c>
      <c r="BV32" s="61" t="e">
        <v>#VALUE!</v>
      </c>
      <c r="BW32" s="61" t="e">
        <v>#VALUE!</v>
      </c>
      <c r="BX32" s="61" t="e">
        <v>#VALUE!</v>
      </c>
      <c r="BY32" s="61" t="e">
        <v>#VALUE!</v>
      </c>
      <c r="BZ32" s="61" t="e">
        <v>#VALUE!</v>
      </c>
      <c r="CB32" s="45">
        <v>2</v>
      </c>
      <c r="CC32" s="10" t="s">
        <v>306</v>
      </c>
      <c r="CD32" s="10" t="s">
        <v>305</v>
      </c>
      <c r="CE32" s="46">
        <v>42515</v>
      </c>
    </row>
    <row r="33" spans="1:83" s="45" customFormat="1" ht="12.75" hidden="1" outlineLevel="1">
      <c r="A33" s="45" t="s">
        <v>789</v>
      </c>
      <c r="B33" s="45" t="s">
        <v>789</v>
      </c>
      <c r="C33" s="45" t="s">
        <v>789</v>
      </c>
      <c r="D33" s="45" t="s">
        <v>789</v>
      </c>
      <c r="E33" s="46" t="s">
        <v>789</v>
      </c>
      <c r="F33" s="46" t="s">
        <v>789</v>
      </c>
      <c r="G33" s="46" t="s">
        <v>789</v>
      </c>
      <c r="H33" s="59" t="s">
        <v>789</v>
      </c>
      <c r="I33" s="59" t="s">
        <v>789</v>
      </c>
      <c r="J33" s="59" t="s">
        <v>789</v>
      </c>
      <c r="K33" s="59" t="s">
        <v>789</v>
      </c>
      <c r="L33" s="59" t="s">
        <v>789</v>
      </c>
      <c r="M33" s="59" t="s">
        <v>789</v>
      </c>
      <c r="N33" s="59" t="s">
        <v>789</v>
      </c>
      <c r="O33" s="59" t="s">
        <v>789</v>
      </c>
      <c r="P33" s="59" t="s">
        <v>789</v>
      </c>
      <c r="Q33" s="59" t="s">
        <v>789</v>
      </c>
      <c r="R33" s="59" t="s">
        <v>789</v>
      </c>
      <c r="S33" s="59" t="s">
        <v>789</v>
      </c>
      <c r="T33" s="59" t="s">
        <v>789</v>
      </c>
      <c r="U33" s="59" t="s">
        <v>789</v>
      </c>
      <c r="V33" s="59" t="s">
        <v>789</v>
      </c>
      <c r="W33" s="59" t="s">
        <v>789</v>
      </c>
      <c r="X33" s="59" t="s">
        <v>789</v>
      </c>
      <c r="Y33" s="59" t="s">
        <v>789</v>
      </c>
      <c r="Z33" s="59" t="s">
        <v>789</v>
      </c>
      <c r="AA33" s="59" t="s">
        <v>789</v>
      </c>
      <c r="AB33" s="59" t="s">
        <v>789</v>
      </c>
      <c r="AC33" s="59" t="s">
        <v>789</v>
      </c>
      <c r="AD33" s="59" t="s">
        <v>789</v>
      </c>
      <c r="AE33" s="59" t="s">
        <v>789</v>
      </c>
      <c r="AF33" s="47" t="s">
        <v>13</v>
      </c>
      <c r="AG33" s="47" t="s">
        <v>13</v>
      </c>
      <c r="AH33" s="47" t="s">
        <v>13</v>
      </c>
      <c r="AI33" s="47" t="s">
        <v>13</v>
      </c>
      <c r="AJ33" s="59" t="s">
        <v>789</v>
      </c>
      <c r="AK33" s="59" t="s">
        <v>789</v>
      </c>
      <c r="AL33" s="59" t="s">
        <v>789</v>
      </c>
      <c r="AM33" s="59" t="s">
        <v>789</v>
      </c>
      <c r="AN33" s="59" t="s">
        <v>789</v>
      </c>
      <c r="AO33" s="59" t="s">
        <v>789</v>
      </c>
      <c r="AP33" s="44" t="s">
        <v>789</v>
      </c>
      <c r="AQ33" s="60" t="s">
        <v>789</v>
      </c>
      <c r="AR33" s="60" t="s">
        <v>789</v>
      </c>
      <c r="AS33" s="60" t="s">
        <v>789</v>
      </c>
      <c r="AT33" s="47" t="s">
        <v>13</v>
      </c>
      <c r="AU33" s="59" t="s">
        <v>789</v>
      </c>
      <c r="AV33" s="59" t="s">
        <v>789</v>
      </c>
      <c r="AW33" s="59" t="s">
        <v>789</v>
      </c>
      <c r="AX33" s="59" t="s">
        <v>789</v>
      </c>
      <c r="AY33" s="59" t="s">
        <v>789</v>
      </c>
      <c r="AZ33" s="59" t="s">
        <v>789</v>
      </c>
      <c r="BA33" s="59" t="s">
        <v>789</v>
      </c>
      <c r="BB33" s="59" t="s">
        <v>789</v>
      </c>
      <c r="BC33" s="59" t="s">
        <v>789</v>
      </c>
      <c r="BD33" s="59" t="s">
        <v>789</v>
      </c>
      <c r="BE33" s="59" t="s">
        <v>789</v>
      </c>
      <c r="BF33" s="59" t="s">
        <v>789</v>
      </c>
      <c r="BG33" s="59" t="s">
        <v>789</v>
      </c>
      <c r="BH33" s="45" t="s">
        <v>789</v>
      </c>
      <c r="BI33" s="45" t="s">
        <v>789</v>
      </c>
      <c r="BJ33" s="59" t="s">
        <v>789</v>
      </c>
      <c r="BK33" s="45" t="s">
        <v>789</v>
      </c>
      <c r="BL33" s="45" t="e">
        <v>#VALUE!</v>
      </c>
      <c r="BM33" s="45" t="e">
        <v>#VALUE!</v>
      </c>
      <c r="BN33" s="45" t="e">
        <v>#VALUE!</v>
      </c>
      <c r="BO33" s="45" t="e">
        <v>#VALUE!</v>
      </c>
      <c r="BP33" s="45" t="e">
        <v>#VALUE!</v>
      </c>
      <c r="BQ33" s="45" t="e">
        <v>#VALUE!</v>
      </c>
      <c r="BR33" s="47" t="s">
        <v>787</v>
      </c>
      <c r="BS33" s="61" t="e">
        <v>#VALUE!</v>
      </c>
      <c r="BT33" s="61" t="e">
        <v>#VALUE!</v>
      </c>
      <c r="BU33" s="61" t="e">
        <v>#VALUE!</v>
      </c>
      <c r="BV33" s="61" t="e">
        <v>#VALUE!</v>
      </c>
      <c r="BW33" s="61" t="e">
        <v>#VALUE!</v>
      </c>
      <c r="BX33" s="61" t="e">
        <v>#VALUE!</v>
      </c>
      <c r="BY33" s="61" t="e">
        <v>#VALUE!</v>
      </c>
      <c r="BZ33" s="61" t="e">
        <v>#VALUE!</v>
      </c>
      <c r="CB33" s="45">
        <v>2</v>
      </c>
      <c r="CC33" s="10" t="s">
        <v>306</v>
      </c>
      <c r="CD33" s="10" t="s">
        <v>305</v>
      </c>
      <c r="CE33" s="46">
        <v>42515</v>
      </c>
    </row>
    <row r="34" spans="1:83" s="45" customFormat="1" ht="12.75" hidden="1" outlineLevel="1">
      <c r="A34" s="45" t="s">
        <v>789</v>
      </c>
      <c r="B34" s="45" t="s">
        <v>789</v>
      </c>
      <c r="C34" s="45" t="s">
        <v>789</v>
      </c>
      <c r="D34" s="45" t="s">
        <v>789</v>
      </c>
      <c r="E34" s="46" t="s">
        <v>789</v>
      </c>
      <c r="F34" s="46" t="s">
        <v>789</v>
      </c>
      <c r="G34" s="46" t="s">
        <v>789</v>
      </c>
      <c r="H34" s="59" t="s">
        <v>789</v>
      </c>
      <c r="I34" s="59" t="s">
        <v>789</v>
      </c>
      <c r="J34" s="59" t="s">
        <v>789</v>
      </c>
      <c r="K34" s="59" t="s">
        <v>789</v>
      </c>
      <c r="L34" s="59" t="s">
        <v>789</v>
      </c>
      <c r="M34" s="59" t="s">
        <v>789</v>
      </c>
      <c r="N34" s="59" t="s">
        <v>789</v>
      </c>
      <c r="O34" s="59" t="s">
        <v>789</v>
      </c>
      <c r="P34" s="59" t="s">
        <v>789</v>
      </c>
      <c r="Q34" s="59" t="s">
        <v>789</v>
      </c>
      <c r="R34" s="59" t="s">
        <v>789</v>
      </c>
      <c r="S34" s="59" t="s">
        <v>789</v>
      </c>
      <c r="T34" s="59" t="s">
        <v>789</v>
      </c>
      <c r="U34" s="59" t="s">
        <v>789</v>
      </c>
      <c r="V34" s="59" t="s">
        <v>789</v>
      </c>
      <c r="W34" s="59" t="s">
        <v>789</v>
      </c>
      <c r="X34" s="59" t="s">
        <v>789</v>
      </c>
      <c r="Y34" s="59" t="s">
        <v>789</v>
      </c>
      <c r="Z34" s="59" t="s">
        <v>789</v>
      </c>
      <c r="AA34" s="59" t="s">
        <v>789</v>
      </c>
      <c r="AB34" s="59" t="s">
        <v>789</v>
      </c>
      <c r="AC34" s="59" t="s">
        <v>789</v>
      </c>
      <c r="AD34" s="59" t="s">
        <v>789</v>
      </c>
      <c r="AE34" s="59" t="s">
        <v>789</v>
      </c>
      <c r="AF34" s="47" t="s">
        <v>13</v>
      </c>
      <c r="AG34" s="47" t="s">
        <v>13</v>
      </c>
      <c r="AH34" s="47" t="s">
        <v>13</v>
      </c>
      <c r="AI34" s="47" t="s">
        <v>13</v>
      </c>
      <c r="AJ34" s="59" t="s">
        <v>789</v>
      </c>
      <c r="AK34" s="59" t="s">
        <v>789</v>
      </c>
      <c r="AL34" s="59" t="s">
        <v>789</v>
      </c>
      <c r="AM34" s="59" t="s">
        <v>789</v>
      </c>
      <c r="AN34" s="59" t="s">
        <v>789</v>
      </c>
      <c r="AO34" s="59" t="s">
        <v>789</v>
      </c>
      <c r="AP34" s="44" t="s">
        <v>789</v>
      </c>
      <c r="AQ34" s="60" t="s">
        <v>789</v>
      </c>
      <c r="AR34" s="60" t="s">
        <v>789</v>
      </c>
      <c r="AS34" s="60" t="s">
        <v>789</v>
      </c>
      <c r="AT34" s="47" t="s">
        <v>13</v>
      </c>
      <c r="AU34" s="59" t="s">
        <v>789</v>
      </c>
      <c r="AV34" s="59" t="s">
        <v>789</v>
      </c>
      <c r="AW34" s="59" t="s">
        <v>789</v>
      </c>
      <c r="AX34" s="59" t="s">
        <v>789</v>
      </c>
      <c r="AY34" s="59" t="s">
        <v>789</v>
      </c>
      <c r="AZ34" s="59" t="s">
        <v>789</v>
      </c>
      <c r="BA34" s="59" t="s">
        <v>789</v>
      </c>
      <c r="BB34" s="59" t="s">
        <v>789</v>
      </c>
      <c r="BC34" s="59" t="s">
        <v>789</v>
      </c>
      <c r="BD34" s="59" t="s">
        <v>789</v>
      </c>
      <c r="BE34" s="59" t="s">
        <v>789</v>
      </c>
      <c r="BF34" s="59" t="s">
        <v>789</v>
      </c>
      <c r="BG34" s="59" t="s">
        <v>789</v>
      </c>
      <c r="BH34" s="45" t="s">
        <v>789</v>
      </c>
      <c r="BI34" s="45" t="s">
        <v>789</v>
      </c>
      <c r="BJ34" s="59" t="s">
        <v>789</v>
      </c>
      <c r="BK34" s="45" t="s">
        <v>789</v>
      </c>
      <c r="BL34" s="45" t="e">
        <v>#VALUE!</v>
      </c>
      <c r="BM34" s="45" t="e">
        <v>#VALUE!</v>
      </c>
      <c r="BN34" s="45" t="e">
        <v>#VALUE!</v>
      </c>
      <c r="BO34" s="45" t="e">
        <v>#VALUE!</v>
      </c>
      <c r="BP34" s="45" t="e">
        <v>#VALUE!</v>
      </c>
      <c r="BQ34" s="45" t="e">
        <v>#VALUE!</v>
      </c>
      <c r="BR34" s="47" t="s">
        <v>787</v>
      </c>
      <c r="BS34" s="61" t="e">
        <v>#VALUE!</v>
      </c>
      <c r="BT34" s="61" t="e">
        <v>#VALUE!</v>
      </c>
      <c r="BU34" s="61" t="e">
        <v>#VALUE!</v>
      </c>
      <c r="BV34" s="61" t="e">
        <v>#VALUE!</v>
      </c>
      <c r="BW34" s="61" t="e">
        <v>#VALUE!</v>
      </c>
      <c r="BX34" s="61" t="e">
        <v>#VALUE!</v>
      </c>
      <c r="BY34" s="61" t="e">
        <v>#VALUE!</v>
      </c>
      <c r="BZ34" s="61" t="e">
        <v>#VALUE!</v>
      </c>
      <c r="CB34" s="45">
        <v>2</v>
      </c>
      <c r="CC34" s="10" t="s">
        <v>306</v>
      </c>
      <c r="CD34" s="10" t="s">
        <v>305</v>
      </c>
      <c r="CE34" s="46">
        <v>42515</v>
      </c>
    </row>
    <row r="35" spans="1:83" s="45" customFormat="1" ht="12.75" hidden="1" outlineLevel="1">
      <c r="A35" s="45" t="s">
        <v>789</v>
      </c>
      <c r="B35" s="45" t="s">
        <v>789</v>
      </c>
      <c r="C35" s="45" t="s">
        <v>789</v>
      </c>
      <c r="D35" s="45" t="s">
        <v>789</v>
      </c>
      <c r="E35" s="46" t="s">
        <v>789</v>
      </c>
      <c r="F35" s="46" t="s">
        <v>789</v>
      </c>
      <c r="G35" s="46" t="s">
        <v>789</v>
      </c>
      <c r="H35" s="59" t="s">
        <v>789</v>
      </c>
      <c r="I35" s="59" t="s">
        <v>789</v>
      </c>
      <c r="J35" s="59" t="s">
        <v>789</v>
      </c>
      <c r="K35" s="59" t="s">
        <v>789</v>
      </c>
      <c r="L35" s="59" t="s">
        <v>789</v>
      </c>
      <c r="M35" s="59" t="s">
        <v>789</v>
      </c>
      <c r="N35" s="59" t="s">
        <v>789</v>
      </c>
      <c r="O35" s="59" t="s">
        <v>789</v>
      </c>
      <c r="P35" s="59" t="s">
        <v>789</v>
      </c>
      <c r="Q35" s="59" t="s">
        <v>789</v>
      </c>
      <c r="R35" s="59" t="s">
        <v>789</v>
      </c>
      <c r="S35" s="59" t="s">
        <v>789</v>
      </c>
      <c r="T35" s="59" t="s">
        <v>789</v>
      </c>
      <c r="U35" s="59" t="s">
        <v>789</v>
      </c>
      <c r="V35" s="59" t="s">
        <v>789</v>
      </c>
      <c r="W35" s="59" t="s">
        <v>789</v>
      </c>
      <c r="X35" s="59" t="s">
        <v>789</v>
      </c>
      <c r="Y35" s="59" t="s">
        <v>789</v>
      </c>
      <c r="Z35" s="59" t="s">
        <v>789</v>
      </c>
      <c r="AA35" s="59" t="s">
        <v>789</v>
      </c>
      <c r="AB35" s="59" t="s">
        <v>789</v>
      </c>
      <c r="AC35" s="59" t="s">
        <v>789</v>
      </c>
      <c r="AD35" s="59" t="s">
        <v>789</v>
      </c>
      <c r="AE35" s="59" t="s">
        <v>789</v>
      </c>
      <c r="AF35" s="47" t="s">
        <v>13</v>
      </c>
      <c r="AG35" s="47" t="s">
        <v>13</v>
      </c>
      <c r="AH35" s="47" t="s">
        <v>13</v>
      </c>
      <c r="AI35" s="47" t="s">
        <v>13</v>
      </c>
      <c r="AJ35" s="59" t="s">
        <v>789</v>
      </c>
      <c r="AK35" s="59" t="s">
        <v>789</v>
      </c>
      <c r="AL35" s="59" t="s">
        <v>789</v>
      </c>
      <c r="AM35" s="59" t="s">
        <v>789</v>
      </c>
      <c r="AN35" s="59" t="s">
        <v>789</v>
      </c>
      <c r="AO35" s="59" t="s">
        <v>789</v>
      </c>
      <c r="AP35" s="44" t="s">
        <v>789</v>
      </c>
      <c r="AQ35" s="60" t="s">
        <v>789</v>
      </c>
      <c r="AR35" s="60" t="s">
        <v>789</v>
      </c>
      <c r="AS35" s="60" t="s">
        <v>789</v>
      </c>
      <c r="AT35" s="47" t="s">
        <v>13</v>
      </c>
      <c r="AU35" s="59" t="s">
        <v>789</v>
      </c>
      <c r="AV35" s="59" t="s">
        <v>789</v>
      </c>
      <c r="AW35" s="59" t="s">
        <v>789</v>
      </c>
      <c r="AX35" s="59" t="s">
        <v>789</v>
      </c>
      <c r="AY35" s="59" t="s">
        <v>789</v>
      </c>
      <c r="AZ35" s="59" t="s">
        <v>789</v>
      </c>
      <c r="BA35" s="59" t="s">
        <v>789</v>
      </c>
      <c r="BB35" s="59" t="s">
        <v>789</v>
      </c>
      <c r="BC35" s="59" t="s">
        <v>789</v>
      </c>
      <c r="BD35" s="59" t="s">
        <v>789</v>
      </c>
      <c r="BE35" s="59" t="s">
        <v>789</v>
      </c>
      <c r="BF35" s="59" t="s">
        <v>789</v>
      </c>
      <c r="BG35" s="59" t="s">
        <v>789</v>
      </c>
      <c r="BH35" s="45" t="s">
        <v>789</v>
      </c>
      <c r="BI35" s="45" t="s">
        <v>789</v>
      </c>
      <c r="BJ35" s="59" t="s">
        <v>789</v>
      </c>
      <c r="BK35" s="45" t="s">
        <v>789</v>
      </c>
      <c r="BL35" s="45" t="e">
        <v>#VALUE!</v>
      </c>
      <c r="BM35" s="45" t="e">
        <v>#VALUE!</v>
      </c>
      <c r="BN35" s="45" t="e">
        <v>#VALUE!</v>
      </c>
      <c r="BO35" s="45" t="e">
        <v>#VALUE!</v>
      </c>
      <c r="BP35" s="45" t="e">
        <v>#VALUE!</v>
      </c>
      <c r="BQ35" s="45" t="e">
        <v>#VALUE!</v>
      </c>
      <c r="BR35" s="45" t="s">
        <v>787</v>
      </c>
      <c r="BS35" s="61" t="e">
        <v>#VALUE!</v>
      </c>
      <c r="BT35" s="61" t="e">
        <v>#VALUE!</v>
      </c>
      <c r="BU35" s="61" t="e">
        <v>#VALUE!</v>
      </c>
      <c r="BV35" s="61" t="e">
        <v>#VALUE!</v>
      </c>
      <c r="BW35" s="61" t="e">
        <v>#VALUE!</v>
      </c>
      <c r="BX35" s="61" t="e">
        <v>#VALUE!</v>
      </c>
      <c r="BY35" s="61" t="e">
        <v>#VALUE!</v>
      </c>
      <c r="BZ35" s="61" t="e">
        <v>#VALUE!</v>
      </c>
      <c r="CB35" s="45">
        <v>2</v>
      </c>
      <c r="CC35" s="10" t="s">
        <v>306</v>
      </c>
      <c r="CD35" s="10" t="s">
        <v>305</v>
      </c>
      <c r="CE35" s="46">
        <v>42515</v>
      </c>
    </row>
    <row r="36" spans="1:83" s="45" customFormat="1" ht="12.75" hidden="1" outlineLevel="1">
      <c r="A36" s="45" t="s">
        <v>789</v>
      </c>
      <c r="B36" s="45" t="s">
        <v>789</v>
      </c>
      <c r="C36" s="45" t="s">
        <v>789</v>
      </c>
      <c r="D36" s="45" t="s">
        <v>789</v>
      </c>
      <c r="E36" s="46" t="s">
        <v>789</v>
      </c>
      <c r="F36" s="46" t="s">
        <v>789</v>
      </c>
      <c r="G36" s="46" t="s">
        <v>789</v>
      </c>
      <c r="H36" s="59" t="s">
        <v>789</v>
      </c>
      <c r="I36" s="59" t="s">
        <v>789</v>
      </c>
      <c r="J36" s="59" t="s">
        <v>789</v>
      </c>
      <c r="K36" s="59" t="s">
        <v>789</v>
      </c>
      <c r="L36" s="59" t="s">
        <v>789</v>
      </c>
      <c r="M36" s="59" t="s">
        <v>789</v>
      </c>
      <c r="N36" s="59" t="s">
        <v>789</v>
      </c>
      <c r="O36" s="59" t="s">
        <v>789</v>
      </c>
      <c r="P36" s="59" t="s">
        <v>789</v>
      </c>
      <c r="Q36" s="59" t="s">
        <v>789</v>
      </c>
      <c r="R36" s="59" t="s">
        <v>789</v>
      </c>
      <c r="S36" s="59" t="s">
        <v>789</v>
      </c>
      <c r="T36" s="59" t="s">
        <v>789</v>
      </c>
      <c r="U36" s="59" t="s">
        <v>789</v>
      </c>
      <c r="V36" s="59" t="s">
        <v>789</v>
      </c>
      <c r="W36" s="59" t="s">
        <v>789</v>
      </c>
      <c r="X36" s="59" t="s">
        <v>789</v>
      </c>
      <c r="Y36" s="59" t="s">
        <v>789</v>
      </c>
      <c r="Z36" s="59" t="s">
        <v>789</v>
      </c>
      <c r="AA36" s="59" t="s">
        <v>789</v>
      </c>
      <c r="AB36" s="59" t="s">
        <v>789</v>
      </c>
      <c r="AC36" s="59" t="s">
        <v>789</v>
      </c>
      <c r="AD36" s="59" t="s">
        <v>789</v>
      </c>
      <c r="AE36" s="59" t="s">
        <v>789</v>
      </c>
      <c r="AF36" s="47" t="s">
        <v>13</v>
      </c>
      <c r="AG36" s="47" t="s">
        <v>13</v>
      </c>
      <c r="AH36" s="47" t="s">
        <v>13</v>
      </c>
      <c r="AI36" s="47" t="s">
        <v>13</v>
      </c>
      <c r="AJ36" s="59" t="s">
        <v>789</v>
      </c>
      <c r="AK36" s="59" t="s">
        <v>789</v>
      </c>
      <c r="AL36" s="59" t="s">
        <v>789</v>
      </c>
      <c r="AM36" s="59" t="s">
        <v>789</v>
      </c>
      <c r="AN36" s="59" t="s">
        <v>789</v>
      </c>
      <c r="AO36" s="59" t="s">
        <v>789</v>
      </c>
      <c r="AP36" s="44" t="s">
        <v>789</v>
      </c>
      <c r="AQ36" s="60" t="s">
        <v>789</v>
      </c>
      <c r="AR36" s="60" t="s">
        <v>789</v>
      </c>
      <c r="AS36" s="60" t="s">
        <v>789</v>
      </c>
      <c r="AT36" s="47" t="s">
        <v>13</v>
      </c>
      <c r="AU36" s="59" t="s">
        <v>789</v>
      </c>
      <c r="AV36" s="59" t="s">
        <v>789</v>
      </c>
      <c r="AW36" s="59" t="s">
        <v>789</v>
      </c>
      <c r="AX36" s="59" t="s">
        <v>789</v>
      </c>
      <c r="AY36" s="59" t="s">
        <v>789</v>
      </c>
      <c r="AZ36" s="59" t="s">
        <v>789</v>
      </c>
      <c r="BA36" s="59" t="s">
        <v>789</v>
      </c>
      <c r="BB36" s="59" t="s">
        <v>789</v>
      </c>
      <c r="BC36" s="59" t="s">
        <v>789</v>
      </c>
      <c r="BD36" s="59" t="s">
        <v>789</v>
      </c>
      <c r="BE36" s="59" t="s">
        <v>789</v>
      </c>
      <c r="BF36" s="59" t="s">
        <v>789</v>
      </c>
      <c r="BG36" s="59" t="s">
        <v>789</v>
      </c>
      <c r="BH36" s="45" t="s">
        <v>789</v>
      </c>
      <c r="BI36" s="45" t="s">
        <v>789</v>
      </c>
      <c r="BJ36" s="59" t="s">
        <v>789</v>
      </c>
      <c r="BK36" s="45" t="s">
        <v>789</v>
      </c>
      <c r="BL36" s="45" t="e">
        <v>#VALUE!</v>
      </c>
      <c r="BM36" s="45" t="e">
        <v>#VALUE!</v>
      </c>
      <c r="BN36" s="45" t="e">
        <v>#VALUE!</v>
      </c>
      <c r="BO36" s="45" t="e">
        <v>#VALUE!</v>
      </c>
      <c r="BP36" s="45" t="e">
        <v>#VALUE!</v>
      </c>
      <c r="BQ36" s="45" t="e">
        <v>#VALUE!</v>
      </c>
      <c r="BR36" s="45" t="s">
        <v>787</v>
      </c>
      <c r="BS36" s="61" t="e">
        <v>#VALUE!</v>
      </c>
      <c r="BT36" s="61" t="e">
        <v>#VALUE!</v>
      </c>
      <c r="BU36" s="61" t="e">
        <v>#VALUE!</v>
      </c>
      <c r="BV36" s="61" t="e">
        <v>#VALUE!</v>
      </c>
      <c r="BW36" s="61" t="e">
        <v>#VALUE!</v>
      </c>
      <c r="BX36" s="61" t="e">
        <v>#VALUE!</v>
      </c>
      <c r="BY36" s="61" t="e">
        <v>#VALUE!</v>
      </c>
      <c r="BZ36" s="61" t="e">
        <v>#VALUE!</v>
      </c>
      <c r="CB36" s="45">
        <v>2</v>
      </c>
      <c r="CC36" s="10" t="s">
        <v>306</v>
      </c>
      <c r="CD36" s="10" t="s">
        <v>305</v>
      </c>
      <c r="CE36" s="46">
        <v>42515</v>
      </c>
    </row>
    <row r="37" spans="1:83" s="45" customFormat="1" ht="12.75" hidden="1" outlineLevel="1">
      <c r="A37" s="45" t="s">
        <v>789</v>
      </c>
      <c r="B37" s="45" t="s">
        <v>789</v>
      </c>
      <c r="C37" s="45" t="s">
        <v>789</v>
      </c>
      <c r="D37" s="45" t="s">
        <v>789</v>
      </c>
      <c r="E37" s="46" t="s">
        <v>789</v>
      </c>
      <c r="F37" s="46" t="s">
        <v>789</v>
      </c>
      <c r="G37" s="46" t="s">
        <v>789</v>
      </c>
      <c r="H37" s="59" t="s">
        <v>789</v>
      </c>
      <c r="I37" s="59" t="s">
        <v>789</v>
      </c>
      <c r="J37" s="59" t="s">
        <v>789</v>
      </c>
      <c r="K37" s="59" t="s">
        <v>789</v>
      </c>
      <c r="L37" s="59" t="s">
        <v>789</v>
      </c>
      <c r="M37" s="59" t="s">
        <v>789</v>
      </c>
      <c r="N37" s="59" t="s">
        <v>789</v>
      </c>
      <c r="O37" s="59" t="s">
        <v>789</v>
      </c>
      <c r="P37" s="59" t="s">
        <v>789</v>
      </c>
      <c r="Q37" s="59" t="s">
        <v>789</v>
      </c>
      <c r="R37" s="59" t="s">
        <v>789</v>
      </c>
      <c r="S37" s="59" t="s">
        <v>789</v>
      </c>
      <c r="T37" s="59" t="s">
        <v>789</v>
      </c>
      <c r="U37" s="59" t="s">
        <v>789</v>
      </c>
      <c r="V37" s="59" t="s">
        <v>789</v>
      </c>
      <c r="W37" s="59" t="s">
        <v>789</v>
      </c>
      <c r="X37" s="59" t="s">
        <v>789</v>
      </c>
      <c r="Y37" s="59" t="s">
        <v>789</v>
      </c>
      <c r="Z37" s="59" t="s">
        <v>789</v>
      </c>
      <c r="AA37" s="59" t="s">
        <v>789</v>
      </c>
      <c r="AB37" s="59" t="s">
        <v>789</v>
      </c>
      <c r="AC37" s="59" t="s">
        <v>789</v>
      </c>
      <c r="AD37" s="59" t="s">
        <v>789</v>
      </c>
      <c r="AE37" s="59" t="s">
        <v>789</v>
      </c>
      <c r="AF37" s="47" t="s">
        <v>13</v>
      </c>
      <c r="AG37" s="47" t="s">
        <v>13</v>
      </c>
      <c r="AH37" s="47" t="s">
        <v>13</v>
      </c>
      <c r="AI37" s="47" t="s">
        <v>13</v>
      </c>
      <c r="AJ37" s="59" t="s">
        <v>789</v>
      </c>
      <c r="AK37" s="59" t="s">
        <v>789</v>
      </c>
      <c r="AL37" s="59" t="s">
        <v>789</v>
      </c>
      <c r="AM37" s="59" t="s">
        <v>789</v>
      </c>
      <c r="AN37" s="59" t="s">
        <v>789</v>
      </c>
      <c r="AO37" s="59" t="s">
        <v>789</v>
      </c>
      <c r="AP37" s="44" t="s">
        <v>789</v>
      </c>
      <c r="AQ37" s="60" t="s">
        <v>789</v>
      </c>
      <c r="AR37" s="60" t="s">
        <v>789</v>
      </c>
      <c r="AS37" s="60" t="s">
        <v>789</v>
      </c>
      <c r="AT37" s="47" t="s">
        <v>13</v>
      </c>
      <c r="AU37" s="59" t="s">
        <v>789</v>
      </c>
      <c r="AV37" s="59" t="s">
        <v>789</v>
      </c>
      <c r="AW37" s="59" t="s">
        <v>789</v>
      </c>
      <c r="AX37" s="59" t="s">
        <v>789</v>
      </c>
      <c r="AY37" s="59" t="s">
        <v>789</v>
      </c>
      <c r="AZ37" s="59" t="s">
        <v>789</v>
      </c>
      <c r="BA37" s="59" t="s">
        <v>789</v>
      </c>
      <c r="BB37" s="59" t="s">
        <v>789</v>
      </c>
      <c r="BC37" s="59" t="s">
        <v>789</v>
      </c>
      <c r="BD37" s="59" t="s">
        <v>789</v>
      </c>
      <c r="BE37" s="59" t="s">
        <v>789</v>
      </c>
      <c r="BF37" s="59" t="s">
        <v>789</v>
      </c>
      <c r="BG37" s="59" t="s">
        <v>789</v>
      </c>
      <c r="BH37" s="45" t="s">
        <v>789</v>
      </c>
      <c r="BI37" s="45" t="s">
        <v>789</v>
      </c>
      <c r="BJ37" s="59" t="s">
        <v>789</v>
      </c>
      <c r="BK37" s="45" t="s">
        <v>789</v>
      </c>
      <c r="BL37" s="45" t="e">
        <v>#VALUE!</v>
      </c>
      <c r="BM37" s="45" t="e">
        <v>#VALUE!</v>
      </c>
      <c r="BN37" s="45" t="e">
        <v>#VALUE!</v>
      </c>
      <c r="BO37" s="45" t="e">
        <v>#VALUE!</v>
      </c>
      <c r="BP37" s="45" t="e">
        <v>#VALUE!</v>
      </c>
      <c r="BQ37" s="45" t="e">
        <v>#VALUE!</v>
      </c>
      <c r="BR37" s="45" t="s">
        <v>787</v>
      </c>
      <c r="BS37" s="47" t="e">
        <v>#VALUE!</v>
      </c>
      <c r="BT37" s="47" t="e">
        <v>#VALUE!</v>
      </c>
      <c r="BU37" s="47" t="e">
        <v>#VALUE!</v>
      </c>
      <c r="BV37" s="47" t="e">
        <v>#VALUE!</v>
      </c>
      <c r="BW37" s="47" t="e">
        <v>#VALUE!</v>
      </c>
      <c r="BX37" s="47" t="e">
        <v>#VALUE!</v>
      </c>
      <c r="BY37" s="47" t="e">
        <v>#VALUE!</v>
      </c>
      <c r="BZ37" s="47" t="e">
        <v>#VALUE!</v>
      </c>
      <c r="CB37" s="45">
        <v>2</v>
      </c>
      <c r="CC37" s="10" t="s">
        <v>306</v>
      </c>
      <c r="CD37" s="10" t="s">
        <v>305</v>
      </c>
      <c r="CE37" s="46">
        <v>42515</v>
      </c>
    </row>
    <row r="38" spans="1:83" s="45" customFormat="1" ht="12.75" hidden="1" outlineLevel="1">
      <c r="A38" s="45" t="s">
        <v>789</v>
      </c>
      <c r="B38" s="45" t="s">
        <v>789</v>
      </c>
      <c r="C38" s="45" t="s">
        <v>789</v>
      </c>
      <c r="D38" s="45" t="s">
        <v>789</v>
      </c>
      <c r="E38" s="46" t="s">
        <v>789</v>
      </c>
      <c r="F38" s="46" t="s">
        <v>789</v>
      </c>
      <c r="G38" s="46" t="s">
        <v>789</v>
      </c>
      <c r="H38" s="59" t="s">
        <v>789</v>
      </c>
      <c r="I38" s="59" t="s">
        <v>789</v>
      </c>
      <c r="J38" s="59" t="s">
        <v>789</v>
      </c>
      <c r="K38" s="59" t="s">
        <v>789</v>
      </c>
      <c r="L38" s="59" t="s">
        <v>789</v>
      </c>
      <c r="M38" s="59" t="s">
        <v>789</v>
      </c>
      <c r="N38" s="59" t="s">
        <v>789</v>
      </c>
      <c r="O38" s="59" t="s">
        <v>789</v>
      </c>
      <c r="P38" s="59" t="s">
        <v>789</v>
      </c>
      <c r="Q38" s="59" t="s">
        <v>789</v>
      </c>
      <c r="R38" s="59" t="s">
        <v>789</v>
      </c>
      <c r="S38" s="59" t="s">
        <v>789</v>
      </c>
      <c r="T38" s="59" t="s">
        <v>789</v>
      </c>
      <c r="U38" s="59" t="s">
        <v>789</v>
      </c>
      <c r="V38" s="59" t="s">
        <v>789</v>
      </c>
      <c r="W38" s="59" t="s">
        <v>789</v>
      </c>
      <c r="X38" s="59" t="s">
        <v>789</v>
      </c>
      <c r="Y38" s="59" t="s">
        <v>789</v>
      </c>
      <c r="Z38" s="59" t="s">
        <v>789</v>
      </c>
      <c r="AA38" s="59" t="s">
        <v>789</v>
      </c>
      <c r="AB38" s="59" t="s">
        <v>789</v>
      </c>
      <c r="AC38" s="59" t="s">
        <v>789</v>
      </c>
      <c r="AD38" s="59" t="s">
        <v>789</v>
      </c>
      <c r="AE38" s="59" t="s">
        <v>789</v>
      </c>
      <c r="AF38" s="47" t="s">
        <v>13</v>
      </c>
      <c r="AG38" s="47" t="s">
        <v>13</v>
      </c>
      <c r="AH38" s="47" t="s">
        <v>13</v>
      </c>
      <c r="AI38" s="47" t="s">
        <v>13</v>
      </c>
      <c r="AJ38" s="59" t="s">
        <v>789</v>
      </c>
      <c r="AK38" s="59" t="s">
        <v>789</v>
      </c>
      <c r="AL38" s="59" t="s">
        <v>789</v>
      </c>
      <c r="AM38" s="59" t="s">
        <v>789</v>
      </c>
      <c r="AN38" s="59" t="s">
        <v>789</v>
      </c>
      <c r="AO38" s="59" t="s">
        <v>789</v>
      </c>
      <c r="AP38" s="44" t="s">
        <v>789</v>
      </c>
      <c r="AQ38" s="60" t="s">
        <v>789</v>
      </c>
      <c r="AR38" s="60" t="s">
        <v>789</v>
      </c>
      <c r="AS38" s="60" t="s">
        <v>789</v>
      </c>
      <c r="AT38" s="47" t="s">
        <v>13</v>
      </c>
      <c r="AU38" s="59" t="s">
        <v>789</v>
      </c>
      <c r="AV38" s="59" t="s">
        <v>789</v>
      </c>
      <c r="AW38" s="59" t="s">
        <v>789</v>
      </c>
      <c r="AX38" s="59" t="s">
        <v>789</v>
      </c>
      <c r="AY38" s="59" t="s">
        <v>789</v>
      </c>
      <c r="AZ38" s="59" t="s">
        <v>789</v>
      </c>
      <c r="BA38" s="59" t="s">
        <v>789</v>
      </c>
      <c r="BB38" s="59" t="s">
        <v>789</v>
      </c>
      <c r="BC38" s="59" t="s">
        <v>789</v>
      </c>
      <c r="BD38" s="59" t="s">
        <v>789</v>
      </c>
      <c r="BE38" s="59" t="s">
        <v>789</v>
      </c>
      <c r="BF38" s="59" t="s">
        <v>789</v>
      </c>
      <c r="BG38" s="59" t="s">
        <v>789</v>
      </c>
      <c r="BH38" s="45" t="s">
        <v>789</v>
      </c>
      <c r="BI38" s="45" t="s">
        <v>789</v>
      </c>
      <c r="BJ38" s="59" t="s">
        <v>789</v>
      </c>
      <c r="BK38" s="45" t="s">
        <v>789</v>
      </c>
      <c r="BL38" s="45" t="e">
        <v>#VALUE!</v>
      </c>
      <c r="BM38" s="45" t="e">
        <v>#VALUE!</v>
      </c>
      <c r="BN38" s="45" t="e">
        <v>#VALUE!</v>
      </c>
      <c r="BO38" s="45" t="e">
        <v>#VALUE!</v>
      </c>
      <c r="BP38" s="45" t="e">
        <v>#VALUE!</v>
      </c>
      <c r="BQ38" s="45" t="e">
        <v>#VALUE!</v>
      </c>
      <c r="BR38" s="45" t="s">
        <v>787</v>
      </c>
      <c r="BS38" s="47" t="e">
        <v>#VALUE!</v>
      </c>
      <c r="BT38" s="47" t="e">
        <v>#VALUE!</v>
      </c>
      <c r="BU38" s="47" t="e">
        <v>#VALUE!</v>
      </c>
      <c r="BV38" s="47" t="e">
        <v>#VALUE!</v>
      </c>
      <c r="BW38" s="47" t="e">
        <v>#VALUE!</v>
      </c>
      <c r="BX38" s="47" t="e">
        <v>#VALUE!</v>
      </c>
      <c r="BY38" s="47" t="e">
        <v>#VALUE!</v>
      </c>
      <c r="BZ38" s="47" t="e">
        <v>#VALUE!</v>
      </c>
      <c r="CB38" s="45">
        <v>2</v>
      </c>
      <c r="CC38" s="10" t="s">
        <v>306</v>
      </c>
      <c r="CD38" s="10" t="s">
        <v>305</v>
      </c>
      <c r="CE38" s="46">
        <v>42515</v>
      </c>
    </row>
    <row r="39" spans="1:83" s="45" customFormat="1" ht="12.75" hidden="1" outlineLevel="1">
      <c r="A39" s="45" t="s">
        <v>789</v>
      </c>
      <c r="B39" s="45" t="s">
        <v>789</v>
      </c>
      <c r="C39" s="45" t="s">
        <v>789</v>
      </c>
      <c r="D39" s="45" t="s">
        <v>789</v>
      </c>
      <c r="E39" s="46" t="s">
        <v>789</v>
      </c>
      <c r="F39" s="46" t="s">
        <v>789</v>
      </c>
      <c r="G39" s="46" t="s">
        <v>789</v>
      </c>
      <c r="H39" s="59" t="s">
        <v>789</v>
      </c>
      <c r="I39" s="59" t="s">
        <v>789</v>
      </c>
      <c r="J39" s="59" t="s">
        <v>789</v>
      </c>
      <c r="K39" s="59" t="s">
        <v>789</v>
      </c>
      <c r="L39" s="59" t="s">
        <v>789</v>
      </c>
      <c r="M39" s="59" t="s">
        <v>789</v>
      </c>
      <c r="N39" s="59" t="s">
        <v>789</v>
      </c>
      <c r="O39" s="59" t="s">
        <v>789</v>
      </c>
      <c r="P39" s="59" t="s">
        <v>789</v>
      </c>
      <c r="Q39" s="59" t="s">
        <v>789</v>
      </c>
      <c r="R39" s="59" t="s">
        <v>789</v>
      </c>
      <c r="S39" s="59" t="s">
        <v>789</v>
      </c>
      <c r="T39" s="59" t="s">
        <v>789</v>
      </c>
      <c r="U39" s="59" t="s">
        <v>789</v>
      </c>
      <c r="V39" s="59" t="s">
        <v>789</v>
      </c>
      <c r="W39" s="59" t="s">
        <v>789</v>
      </c>
      <c r="X39" s="59" t="s">
        <v>789</v>
      </c>
      <c r="Y39" s="59" t="s">
        <v>789</v>
      </c>
      <c r="Z39" s="59" t="s">
        <v>789</v>
      </c>
      <c r="AA39" s="59" t="s">
        <v>789</v>
      </c>
      <c r="AB39" s="59" t="s">
        <v>789</v>
      </c>
      <c r="AC39" s="59" t="s">
        <v>789</v>
      </c>
      <c r="AD39" s="59" t="s">
        <v>789</v>
      </c>
      <c r="AE39" s="59" t="s">
        <v>789</v>
      </c>
      <c r="AF39" s="47" t="s">
        <v>13</v>
      </c>
      <c r="AG39" s="47" t="s">
        <v>13</v>
      </c>
      <c r="AH39" s="47" t="s">
        <v>13</v>
      </c>
      <c r="AI39" s="47" t="s">
        <v>13</v>
      </c>
      <c r="AJ39" s="59" t="s">
        <v>789</v>
      </c>
      <c r="AK39" s="59" t="s">
        <v>789</v>
      </c>
      <c r="AL39" s="59" t="s">
        <v>789</v>
      </c>
      <c r="AM39" s="59" t="s">
        <v>789</v>
      </c>
      <c r="AN39" s="59" t="s">
        <v>789</v>
      </c>
      <c r="AO39" s="59" t="s">
        <v>789</v>
      </c>
      <c r="AP39" s="44" t="s">
        <v>789</v>
      </c>
      <c r="AQ39" s="60" t="s">
        <v>789</v>
      </c>
      <c r="AR39" s="60" t="s">
        <v>789</v>
      </c>
      <c r="AS39" s="60" t="s">
        <v>789</v>
      </c>
      <c r="AT39" s="47" t="s">
        <v>13</v>
      </c>
      <c r="AU39" s="59" t="s">
        <v>789</v>
      </c>
      <c r="AV39" s="59" t="s">
        <v>789</v>
      </c>
      <c r="AW39" s="59" t="s">
        <v>789</v>
      </c>
      <c r="AX39" s="59" t="s">
        <v>789</v>
      </c>
      <c r="AY39" s="59" t="s">
        <v>789</v>
      </c>
      <c r="AZ39" s="59" t="s">
        <v>789</v>
      </c>
      <c r="BA39" s="59" t="s">
        <v>789</v>
      </c>
      <c r="BB39" s="59" t="s">
        <v>789</v>
      </c>
      <c r="BC39" s="59" t="s">
        <v>789</v>
      </c>
      <c r="BD39" s="59" t="s">
        <v>789</v>
      </c>
      <c r="BE39" s="59" t="s">
        <v>789</v>
      </c>
      <c r="BF39" s="59" t="s">
        <v>789</v>
      </c>
      <c r="BG39" s="59" t="s">
        <v>789</v>
      </c>
      <c r="BH39" s="45" t="s">
        <v>789</v>
      </c>
      <c r="BI39" s="45" t="s">
        <v>789</v>
      </c>
      <c r="BJ39" s="59" t="s">
        <v>789</v>
      </c>
      <c r="BK39" s="45" t="s">
        <v>789</v>
      </c>
      <c r="BL39" s="45" t="e">
        <v>#VALUE!</v>
      </c>
      <c r="BM39" s="45" t="e">
        <v>#VALUE!</v>
      </c>
      <c r="BN39" s="45" t="e">
        <v>#VALUE!</v>
      </c>
      <c r="BO39" s="45" t="e">
        <v>#VALUE!</v>
      </c>
      <c r="BP39" s="45" t="e">
        <v>#VALUE!</v>
      </c>
      <c r="BQ39" s="45" t="e">
        <v>#VALUE!</v>
      </c>
      <c r="BR39" s="45" t="s">
        <v>787</v>
      </c>
      <c r="BS39" s="47" t="e">
        <v>#VALUE!</v>
      </c>
      <c r="BT39" s="47" t="e">
        <v>#VALUE!</v>
      </c>
      <c r="BU39" s="47" t="e">
        <v>#VALUE!</v>
      </c>
      <c r="BV39" s="47" t="e">
        <v>#VALUE!</v>
      </c>
      <c r="BW39" s="47" t="e">
        <v>#VALUE!</v>
      </c>
      <c r="BX39" s="47" t="e">
        <v>#VALUE!</v>
      </c>
      <c r="BY39" s="47" t="e">
        <v>#VALUE!</v>
      </c>
      <c r="BZ39" s="47" t="e">
        <v>#VALUE!</v>
      </c>
      <c r="CB39" s="45">
        <v>2</v>
      </c>
      <c r="CC39" s="10" t="s">
        <v>306</v>
      </c>
      <c r="CD39" s="10" t="s">
        <v>305</v>
      </c>
      <c r="CE39" s="46">
        <v>42515</v>
      </c>
    </row>
    <row r="40" spans="1:83" s="45" customFormat="1" ht="12.75" hidden="1" outlineLevel="1">
      <c r="A40" s="45" t="s">
        <v>789</v>
      </c>
      <c r="B40" s="45" t="s">
        <v>789</v>
      </c>
      <c r="C40" s="45" t="s">
        <v>789</v>
      </c>
      <c r="D40" s="45" t="s">
        <v>789</v>
      </c>
      <c r="E40" s="46" t="s">
        <v>789</v>
      </c>
      <c r="F40" s="46" t="s">
        <v>789</v>
      </c>
      <c r="G40" s="46" t="s">
        <v>789</v>
      </c>
      <c r="H40" s="59" t="s">
        <v>789</v>
      </c>
      <c r="I40" s="59" t="s">
        <v>789</v>
      </c>
      <c r="J40" s="59" t="s">
        <v>789</v>
      </c>
      <c r="K40" s="59" t="s">
        <v>789</v>
      </c>
      <c r="L40" s="59" t="s">
        <v>789</v>
      </c>
      <c r="M40" s="59" t="s">
        <v>789</v>
      </c>
      <c r="N40" s="59" t="s">
        <v>789</v>
      </c>
      <c r="O40" s="59" t="s">
        <v>789</v>
      </c>
      <c r="P40" s="59" t="s">
        <v>789</v>
      </c>
      <c r="Q40" s="59" t="s">
        <v>789</v>
      </c>
      <c r="R40" s="59" t="s">
        <v>789</v>
      </c>
      <c r="S40" s="59" t="s">
        <v>789</v>
      </c>
      <c r="T40" s="59" t="s">
        <v>789</v>
      </c>
      <c r="U40" s="59" t="s">
        <v>789</v>
      </c>
      <c r="V40" s="59" t="s">
        <v>789</v>
      </c>
      <c r="W40" s="59" t="s">
        <v>789</v>
      </c>
      <c r="X40" s="59" t="s">
        <v>789</v>
      </c>
      <c r="Y40" s="59" t="s">
        <v>789</v>
      </c>
      <c r="Z40" s="59" t="s">
        <v>789</v>
      </c>
      <c r="AA40" s="59" t="s">
        <v>789</v>
      </c>
      <c r="AB40" s="59" t="s">
        <v>789</v>
      </c>
      <c r="AC40" s="59" t="s">
        <v>789</v>
      </c>
      <c r="AD40" s="59" t="s">
        <v>789</v>
      </c>
      <c r="AE40" s="59" t="s">
        <v>789</v>
      </c>
      <c r="AF40" s="47" t="s">
        <v>13</v>
      </c>
      <c r="AG40" s="47" t="s">
        <v>13</v>
      </c>
      <c r="AH40" s="47" t="s">
        <v>13</v>
      </c>
      <c r="AI40" s="47" t="s">
        <v>13</v>
      </c>
      <c r="AJ40" s="59" t="s">
        <v>789</v>
      </c>
      <c r="AK40" s="59" t="s">
        <v>789</v>
      </c>
      <c r="AL40" s="59" t="s">
        <v>789</v>
      </c>
      <c r="AM40" s="59" t="s">
        <v>789</v>
      </c>
      <c r="AN40" s="59" t="s">
        <v>789</v>
      </c>
      <c r="AO40" s="59" t="s">
        <v>789</v>
      </c>
      <c r="AP40" s="44" t="s">
        <v>789</v>
      </c>
      <c r="AQ40" s="60" t="s">
        <v>789</v>
      </c>
      <c r="AR40" s="60" t="s">
        <v>789</v>
      </c>
      <c r="AS40" s="60" t="s">
        <v>789</v>
      </c>
      <c r="AT40" s="47" t="s">
        <v>13</v>
      </c>
      <c r="AU40" s="59" t="s">
        <v>789</v>
      </c>
      <c r="AV40" s="59" t="s">
        <v>789</v>
      </c>
      <c r="AW40" s="59" t="s">
        <v>789</v>
      </c>
      <c r="AX40" s="59" t="s">
        <v>789</v>
      </c>
      <c r="AY40" s="59" t="s">
        <v>789</v>
      </c>
      <c r="AZ40" s="59" t="s">
        <v>789</v>
      </c>
      <c r="BA40" s="59" t="s">
        <v>789</v>
      </c>
      <c r="BB40" s="59" t="s">
        <v>789</v>
      </c>
      <c r="BC40" s="59" t="s">
        <v>789</v>
      </c>
      <c r="BD40" s="59" t="s">
        <v>789</v>
      </c>
      <c r="BE40" s="59" t="s">
        <v>789</v>
      </c>
      <c r="BF40" s="59" t="s">
        <v>789</v>
      </c>
      <c r="BG40" s="59" t="s">
        <v>789</v>
      </c>
      <c r="BH40" s="45" t="s">
        <v>789</v>
      </c>
      <c r="BI40" s="45" t="s">
        <v>789</v>
      </c>
      <c r="BJ40" s="59" t="s">
        <v>789</v>
      </c>
      <c r="BK40" s="45" t="s">
        <v>789</v>
      </c>
      <c r="BL40" s="45" t="e">
        <v>#VALUE!</v>
      </c>
      <c r="BM40" s="45" t="e">
        <v>#VALUE!</v>
      </c>
      <c r="BN40" s="45" t="e">
        <v>#VALUE!</v>
      </c>
      <c r="BO40" s="45" t="e">
        <v>#VALUE!</v>
      </c>
      <c r="BP40" s="45" t="e">
        <v>#VALUE!</v>
      </c>
      <c r="BQ40" s="45" t="e">
        <v>#VALUE!</v>
      </c>
      <c r="BR40" s="45" t="s">
        <v>787</v>
      </c>
      <c r="BS40" s="47" t="e">
        <v>#VALUE!</v>
      </c>
      <c r="BT40" s="47" t="e">
        <v>#VALUE!</v>
      </c>
      <c r="BU40" s="47" t="e">
        <v>#VALUE!</v>
      </c>
      <c r="BV40" s="47" t="e">
        <v>#VALUE!</v>
      </c>
      <c r="BW40" s="47" t="e">
        <v>#VALUE!</v>
      </c>
      <c r="BX40" s="47" t="e">
        <v>#VALUE!</v>
      </c>
      <c r="BY40" s="47" t="e">
        <v>#VALUE!</v>
      </c>
      <c r="BZ40" s="47" t="e">
        <v>#VALUE!</v>
      </c>
      <c r="CB40" s="45">
        <v>2</v>
      </c>
      <c r="CC40" s="10" t="s">
        <v>306</v>
      </c>
      <c r="CD40" s="10" t="s">
        <v>305</v>
      </c>
      <c r="CE40" s="46">
        <v>42515</v>
      </c>
    </row>
    <row r="41" spans="1:83" s="45" customFormat="1" ht="12.75" hidden="1" outlineLevel="1">
      <c r="A41" s="45" t="s">
        <v>789</v>
      </c>
      <c r="B41" s="45" t="s">
        <v>789</v>
      </c>
      <c r="C41" s="45" t="s">
        <v>789</v>
      </c>
      <c r="D41" s="45" t="s">
        <v>789</v>
      </c>
      <c r="E41" s="46" t="s">
        <v>789</v>
      </c>
      <c r="F41" s="46" t="s">
        <v>789</v>
      </c>
      <c r="G41" s="46" t="s">
        <v>789</v>
      </c>
      <c r="H41" s="59" t="s">
        <v>789</v>
      </c>
      <c r="I41" s="59" t="s">
        <v>789</v>
      </c>
      <c r="J41" s="59" t="s">
        <v>789</v>
      </c>
      <c r="K41" s="59" t="s">
        <v>789</v>
      </c>
      <c r="L41" s="59" t="s">
        <v>789</v>
      </c>
      <c r="M41" s="59" t="s">
        <v>789</v>
      </c>
      <c r="N41" s="59" t="s">
        <v>789</v>
      </c>
      <c r="O41" s="59" t="s">
        <v>789</v>
      </c>
      <c r="P41" s="59" t="s">
        <v>789</v>
      </c>
      <c r="Q41" s="59" t="s">
        <v>789</v>
      </c>
      <c r="R41" s="59" t="s">
        <v>789</v>
      </c>
      <c r="S41" s="59" t="s">
        <v>789</v>
      </c>
      <c r="T41" s="59" t="s">
        <v>789</v>
      </c>
      <c r="U41" s="59" t="s">
        <v>789</v>
      </c>
      <c r="V41" s="59" t="s">
        <v>789</v>
      </c>
      <c r="W41" s="59" t="s">
        <v>789</v>
      </c>
      <c r="X41" s="59" t="s">
        <v>789</v>
      </c>
      <c r="Y41" s="59" t="s">
        <v>789</v>
      </c>
      <c r="Z41" s="59" t="s">
        <v>789</v>
      </c>
      <c r="AA41" s="59" t="s">
        <v>789</v>
      </c>
      <c r="AB41" s="59" t="s">
        <v>789</v>
      </c>
      <c r="AC41" s="59" t="s">
        <v>789</v>
      </c>
      <c r="AD41" s="59" t="s">
        <v>789</v>
      </c>
      <c r="AE41" s="59" t="s">
        <v>789</v>
      </c>
      <c r="AF41" s="47" t="s">
        <v>13</v>
      </c>
      <c r="AG41" s="47" t="s">
        <v>13</v>
      </c>
      <c r="AH41" s="47" t="s">
        <v>13</v>
      </c>
      <c r="AI41" s="47" t="s">
        <v>13</v>
      </c>
      <c r="AJ41" s="59" t="s">
        <v>789</v>
      </c>
      <c r="AK41" s="59" t="s">
        <v>789</v>
      </c>
      <c r="AL41" s="59" t="s">
        <v>789</v>
      </c>
      <c r="AM41" s="59" t="s">
        <v>789</v>
      </c>
      <c r="AN41" s="59" t="s">
        <v>789</v>
      </c>
      <c r="AO41" s="59" t="s">
        <v>789</v>
      </c>
      <c r="AP41" s="44" t="s">
        <v>789</v>
      </c>
      <c r="AQ41" s="60" t="s">
        <v>789</v>
      </c>
      <c r="AR41" s="60" t="s">
        <v>789</v>
      </c>
      <c r="AS41" s="60" t="s">
        <v>789</v>
      </c>
      <c r="AT41" s="47" t="s">
        <v>13</v>
      </c>
      <c r="AU41" s="59" t="s">
        <v>789</v>
      </c>
      <c r="AV41" s="59" t="s">
        <v>789</v>
      </c>
      <c r="AW41" s="59" t="s">
        <v>789</v>
      </c>
      <c r="AX41" s="59" t="s">
        <v>789</v>
      </c>
      <c r="AY41" s="59" t="s">
        <v>789</v>
      </c>
      <c r="AZ41" s="59" t="s">
        <v>789</v>
      </c>
      <c r="BA41" s="59" t="s">
        <v>789</v>
      </c>
      <c r="BB41" s="59" t="s">
        <v>789</v>
      </c>
      <c r="BC41" s="59" t="s">
        <v>789</v>
      </c>
      <c r="BD41" s="59" t="s">
        <v>789</v>
      </c>
      <c r="BE41" s="59" t="s">
        <v>789</v>
      </c>
      <c r="BF41" s="59" t="s">
        <v>789</v>
      </c>
      <c r="BG41" s="59" t="s">
        <v>789</v>
      </c>
      <c r="BH41" s="45" t="s">
        <v>789</v>
      </c>
      <c r="BI41" s="45" t="s">
        <v>789</v>
      </c>
      <c r="BJ41" s="59" t="s">
        <v>789</v>
      </c>
      <c r="BK41" s="45" t="s">
        <v>789</v>
      </c>
      <c r="BL41" s="45" t="e">
        <v>#VALUE!</v>
      </c>
      <c r="BM41" s="45" t="e">
        <v>#VALUE!</v>
      </c>
      <c r="BN41" s="45" t="e">
        <v>#VALUE!</v>
      </c>
      <c r="BO41" s="45" t="e">
        <v>#VALUE!</v>
      </c>
      <c r="BP41" s="45" t="e">
        <v>#VALUE!</v>
      </c>
      <c r="BQ41" s="45" t="e">
        <v>#VALUE!</v>
      </c>
      <c r="BR41" s="45" t="s">
        <v>787</v>
      </c>
      <c r="BS41" s="47" t="e">
        <v>#VALUE!</v>
      </c>
      <c r="BT41" s="47" t="e">
        <v>#VALUE!</v>
      </c>
      <c r="BU41" s="47" t="e">
        <v>#VALUE!</v>
      </c>
      <c r="BV41" s="47" t="e">
        <v>#VALUE!</v>
      </c>
      <c r="BW41" s="47" t="e">
        <v>#VALUE!</v>
      </c>
      <c r="BX41" s="47" t="e">
        <v>#VALUE!</v>
      </c>
      <c r="BY41" s="47" t="e">
        <v>#VALUE!</v>
      </c>
      <c r="BZ41" s="47" t="e">
        <v>#VALUE!</v>
      </c>
      <c r="CB41" s="45">
        <v>2</v>
      </c>
      <c r="CC41" s="10" t="s">
        <v>306</v>
      </c>
      <c r="CD41" s="10" t="s">
        <v>305</v>
      </c>
      <c r="CE41" s="46">
        <v>42515</v>
      </c>
    </row>
    <row r="42" spans="1:83" s="45" customFormat="1" ht="12.75" hidden="1" outlineLevel="1">
      <c r="A42" s="45" t="s">
        <v>789</v>
      </c>
      <c r="B42" s="45" t="s">
        <v>789</v>
      </c>
      <c r="C42" s="45" t="s">
        <v>789</v>
      </c>
      <c r="D42" s="45" t="s">
        <v>789</v>
      </c>
      <c r="E42" s="46" t="s">
        <v>789</v>
      </c>
      <c r="F42" s="46" t="s">
        <v>789</v>
      </c>
      <c r="G42" s="46" t="s">
        <v>789</v>
      </c>
      <c r="H42" s="59" t="s">
        <v>789</v>
      </c>
      <c r="I42" s="59" t="s">
        <v>789</v>
      </c>
      <c r="J42" s="59" t="s">
        <v>789</v>
      </c>
      <c r="K42" s="59" t="s">
        <v>789</v>
      </c>
      <c r="L42" s="59" t="s">
        <v>789</v>
      </c>
      <c r="M42" s="59" t="s">
        <v>789</v>
      </c>
      <c r="N42" s="59" t="s">
        <v>789</v>
      </c>
      <c r="O42" s="59" t="s">
        <v>789</v>
      </c>
      <c r="P42" s="59" t="s">
        <v>789</v>
      </c>
      <c r="Q42" s="59" t="s">
        <v>789</v>
      </c>
      <c r="R42" s="59" t="s">
        <v>789</v>
      </c>
      <c r="S42" s="59" t="s">
        <v>789</v>
      </c>
      <c r="T42" s="59" t="s">
        <v>789</v>
      </c>
      <c r="U42" s="59" t="s">
        <v>789</v>
      </c>
      <c r="V42" s="59" t="s">
        <v>789</v>
      </c>
      <c r="W42" s="59" t="s">
        <v>789</v>
      </c>
      <c r="X42" s="59" t="s">
        <v>789</v>
      </c>
      <c r="Y42" s="59" t="s">
        <v>789</v>
      </c>
      <c r="Z42" s="59" t="s">
        <v>789</v>
      </c>
      <c r="AA42" s="59" t="s">
        <v>789</v>
      </c>
      <c r="AB42" s="59" t="s">
        <v>789</v>
      </c>
      <c r="AC42" s="59" t="s">
        <v>789</v>
      </c>
      <c r="AD42" s="59" t="s">
        <v>789</v>
      </c>
      <c r="AE42" s="59" t="s">
        <v>789</v>
      </c>
      <c r="AF42" s="47" t="s">
        <v>13</v>
      </c>
      <c r="AG42" s="47" t="s">
        <v>13</v>
      </c>
      <c r="AH42" s="47" t="s">
        <v>13</v>
      </c>
      <c r="AI42" s="47" t="s">
        <v>13</v>
      </c>
      <c r="AJ42" s="59" t="s">
        <v>789</v>
      </c>
      <c r="AK42" s="59" t="s">
        <v>789</v>
      </c>
      <c r="AL42" s="59" t="s">
        <v>789</v>
      </c>
      <c r="AM42" s="59" t="s">
        <v>789</v>
      </c>
      <c r="AN42" s="59" t="s">
        <v>789</v>
      </c>
      <c r="AO42" s="59" t="s">
        <v>789</v>
      </c>
      <c r="AP42" s="44" t="s">
        <v>789</v>
      </c>
      <c r="AQ42" s="60" t="s">
        <v>789</v>
      </c>
      <c r="AR42" s="60" t="s">
        <v>789</v>
      </c>
      <c r="AS42" s="60" t="s">
        <v>789</v>
      </c>
      <c r="AT42" s="47" t="s">
        <v>13</v>
      </c>
      <c r="AU42" s="59" t="s">
        <v>789</v>
      </c>
      <c r="AV42" s="59" t="s">
        <v>789</v>
      </c>
      <c r="AW42" s="59" t="s">
        <v>789</v>
      </c>
      <c r="AX42" s="59" t="s">
        <v>789</v>
      </c>
      <c r="AY42" s="59" t="s">
        <v>789</v>
      </c>
      <c r="AZ42" s="59" t="s">
        <v>789</v>
      </c>
      <c r="BA42" s="59" t="s">
        <v>789</v>
      </c>
      <c r="BB42" s="59" t="s">
        <v>789</v>
      </c>
      <c r="BC42" s="59" t="s">
        <v>789</v>
      </c>
      <c r="BD42" s="59" t="s">
        <v>789</v>
      </c>
      <c r="BE42" s="59" t="s">
        <v>789</v>
      </c>
      <c r="BF42" s="59" t="s">
        <v>789</v>
      </c>
      <c r="BG42" s="59" t="s">
        <v>789</v>
      </c>
      <c r="BH42" s="45" t="s">
        <v>789</v>
      </c>
      <c r="BI42" s="45" t="s">
        <v>789</v>
      </c>
      <c r="BJ42" s="59" t="s">
        <v>789</v>
      </c>
      <c r="BK42" s="45" t="s">
        <v>789</v>
      </c>
      <c r="BL42" s="45" t="e">
        <v>#VALUE!</v>
      </c>
      <c r="BM42" s="45" t="e">
        <v>#VALUE!</v>
      </c>
      <c r="BN42" s="45" t="e">
        <v>#VALUE!</v>
      </c>
      <c r="BO42" s="45" t="e">
        <v>#VALUE!</v>
      </c>
      <c r="BP42" s="45" t="e">
        <v>#VALUE!</v>
      </c>
      <c r="BQ42" s="45" t="e">
        <v>#VALUE!</v>
      </c>
      <c r="BR42" s="45" t="s">
        <v>787</v>
      </c>
      <c r="BS42" s="47" t="e">
        <v>#VALUE!</v>
      </c>
      <c r="BT42" s="47" t="e">
        <v>#VALUE!</v>
      </c>
      <c r="BU42" s="47" t="e">
        <v>#VALUE!</v>
      </c>
      <c r="BV42" s="47" t="e">
        <v>#VALUE!</v>
      </c>
      <c r="BW42" s="47" t="e">
        <v>#VALUE!</v>
      </c>
      <c r="BX42" s="47" t="e">
        <v>#VALUE!</v>
      </c>
      <c r="BY42" s="47" t="e">
        <v>#VALUE!</v>
      </c>
      <c r="BZ42" s="47" t="e">
        <v>#VALUE!</v>
      </c>
      <c r="CB42" s="45">
        <v>2</v>
      </c>
      <c r="CC42" s="10" t="s">
        <v>306</v>
      </c>
      <c r="CD42" s="10" t="s">
        <v>305</v>
      </c>
      <c r="CE42" s="46">
        <v>42515</v>
      </c>
    </row>
    <row r="43" spans="1:83" collapsed="1">
      <c r="A43" s="58" t="s">
        <v>790</v>
      </c>
      <c r="E43" s="46"/>
      <c r="F43" s="46"/>
      <c r="G43" s="46"/>
      <c r="H43" s="59"/>
      <c r="I43" s="59"/>
      <c r="K43" s="59"/>
      <c r="M43" s="59"/>
      <c r="N43" s="59"/>
      <c r="O43" s="59"/>
      <c r="P43" s="59"/>
      <c r="Q43" s="59"/>
      <c r="R43" s="59"/>
      <c r="S43" s="59"/>
      <c r="U43" s="59"/>
      <c r="V43" s="59"/>
      <c r="W43" s="59"/>
      <c r="X43" s="59"/>
      <c r="Y43" s="59"/>
      <c r="Z43" s="59"/>
      <c r="AA43" s="59"/>
      <c r="AB43" s="59"/>
      <c r="AC43" s="59"/>
      <c r="AE43" s="59"/>
      <c r="AF43" s="47"/>
      <c r="AG43" s="47"/>
      <c r="AH43" s="47"/>
      <c r="AI43" s="47"/>
      <c r="AJ43" s="59"/>
      <c r="AK43" s="59"/>
      <c r="AL43" s="59"/>
      <c r="AM43" s="59"/>
      <c r="AN43" s="59"/>
      <c r="AO43" s="59"/>
      <c r="AP43" s="44"/>
      <c r="AQ43" s="60"/>
      <c r="AR43" s="60"/>
      <c r="AS43" s="60"/>
      <c r="AU43" s="59"/>
      <c r="AV43" s="59"/>
      <c r="AW43" s="59"/>
      <c r="AX43" s="59"/>
      <c r="AY43" s="59"/>
      <c r="AZ43" s="59"/>
      <c r="BA43" s="59"/>
      <c r="BB43" s="59"/>
      <c r="BC43" s="59"/>
      <c r="BD43" s="59"/>
      <c r="BE43" s="59" t="s">
        <v>3583</v>
      </c>
      <c r="BF43" s="59"/>
      <c r="BG43" s="59"/>
      <c r="BH43" s="42"/>
      <c r="BI43" s="42"/>
      <c r="BJ43" s="59"/>
      <c r="BK43" s="42"/>
      <c r="BL43" s="42"/>
      <c r="BM43" s="42"/>
      <c r="BN43" s="42"/>
      <c r="BO43" s="42"/>
      <c r="BP43" s="42"/>
      <c r="BQ43" s="42"/>
      <c r="BR43" s="42"/>
      <c r="BS43" s="42"/>
      <c r="BT43" s="42"/>
      <c r="BU43" s="42"/>
      <c r="BV43" s="42"/>
      <c r="BW43" s="42"/>
      <c r="BX43" s="42"/>
      <c r="BY43" s="42"/>
      <c r="BZ43" s="42"/>
    </row>
    <row r="44" spans="1:83">
      <c r="A44" s="45" t="s">
        <v>3584</v>
      </c>
      <c r="B44" s="45" t="s">
        <v>3585</v>
      </c>
      <c r="C44" s="45" t="s">
        <v>3586</v>
      </c>
      <c r="D44" s="45" t="s">
        <v>3587</v>
      </c>
      <c r="E44" s="46">
        <v>43100</v>
      </c>
      <c r="F44" s="46">
        <v>43100</v>
      </c>
      <c r="G44" s="46">
        <v>34831</v>
      </c>
      <c r="H44" s="59">
        <v>10013.34721</v>
      </c>
      <c r="I44" s="59">
        <v>36.654859999999999</v>
      </c>
      <c r="J44" s="46">
        <v>9250.5129199999992</v>
      </c>
      <c r="K44" s="59">
        <v>897.48945000000003</v>
      </c>
      <c r="L44" s="59" t="s">
        <v>13</v>
      </c>
      <c r="M44" s="59">
        <v>0.96763999999999994</v>
      </c>
      <c r="N44" s="59">
        <v>112.40792999999999</v>
      </c>
      <c r="O44" s="59">
        <v>1552.09223</v>
      </c>
      <c r="P44" s="59">
        <v>1704.1251400000001</v>
      </c>
      <c r="Q44" s="59">
        <v>2127.0419299999999</v>
      </c>
      <c r="R44" s="59">
        <v>1704.1251400000001</v>
      </c>
      <c r="S44" s="59">
        <v>2127.0419299999999</v>
      </c>
      <c r="T44" s="59">
        <v>2158.8586700000001</v>
      </c>
      <c r="U44" s="59">
        <v>2292.2103000000002</v>
      </c>
      <c r="V44" s="59">
        <v>2445.2264300000002</v>
      </c>
      <c r="W44" s="59">
        <v>2616.69859</v>
      </c>
      <c r="X44" s="59">
        <v>316.09417000000002</v>
      </c>
      <c r="Y44" s="59">
        <v>347.44161000000003</v>
      </c>
      <c r="Z44" s="59">
        <v>459.63072</v>
      </c>
      <c r="AA44" s="59">
        <v>347.44161000000003</v>
      </c>
      <c r="AB44" s="59">
        <v>459.63072</v>
      </c>
      <c r="AC44" s="59">
        <v>472.61417999999998</v>
      </c>
      <c r="AD44" s="45">
        <v>525.55364999999995</v>
      </c>
      <c r="AE44" s="59">
        <v>571.92327</v>
      </c>
      <c r="AF44" s="47">
        <v>0.76305999999999996</v>
      </c>
      <c r="AG44" s="47">
        <v>0.21608899999999998</v>
      </c>
      <c r="AH44" s="47">
        <v>0.18545700000000001</v>
      </c>
      <c r="AI44" s="47">
        <v>0.132989</v>
      </c>
      <c r="AJ44" s="59">
        <v>299.21253000000002</v>
      </c>
      <c r="AK44" s="59">
        <v>302.71578</v>
      </c>
      <c r="AL44" s="59">
        <v>354.48011000000002</v>
      </c>
      <c r="AM44" s="59">
        <v>-57.193840000000002</v>
      </c>
      <c r="AN44" s="59">
        <v>-45.293779999999998</v>
      </c>
      <c r="AO44" s="59">
        <v>-50.31747</v>
      </c>
      <c r="AP44" s="44" t="s">
        <v>3588</v>
      </c>
      <c r="AQ44" s="60">
        <v>0.72309999999999997</v>
      </c>
      <c r="AR44" s="60">
        <v>0.67928999999999995</v>
      </c>
      <c r="AS44" s="60">
        <v>0.43098999999999998</v>
      </c>
      <c r="AT44" s="45">
        <v>0</v>
      </c>
      <c r="AU44" s="59">
        <v>209.41965999999999</v>
      </c>
      <c r="AV44" s="59">
        <v>207.86861999999999</v>
      </c>
      <c r="AW44" s="59">
        <v>283.68085000000002</v>
      </c>
      <c r="AX44" s="59">
        <v>207.86861999999999</v>
      </c>
      <c r="AY44" s="59">
        <v>283.68085000000002</v>
      </c>
      <c r="AZ44" s="59">
        <v>945.95401000000004</v>
      </c>
      <c r="BA44" s="59">
        <v>989.07979999999998</v>
      </c>
      <c r="BB44" s="59">
        <v>1198.7491600000001</v>
      </c>
      <c r="BC44" s="59">
        <v>989.07979999999998</v>
      </c>
      <c r="BD44" s="59">
        <v>1198.7491600000001</v>
      </c>
      <c r="BE44" s="59">
        <v>27.960290000000001</v>
      </c>
      <c r="BF44" s="59">
        <v>7240.77088</v>
      </c>
      <c r="BG44" s="59">
        <v>862.82560999999998</v>
      </c>
      <c r="BH44" s="45" t="s">
        <v>13</v>
      </c>
      <c r="BI44" s="45">
        <v>0.76722999999999997</v>
      </c>
      <c r="BJ44" s="59">
        <v>109.71373</v>
      </c>
      <c r="BK44" s="45">
        <v>21.9604</v>
      </c>
      <c r="BL44" s="45">
        <v>0.112053</v>
      </c>
      <c r="BM44" s="45">
        <v>0.12166199999999999</v>
      </c>
      <c r="BN44" s="45">
        <v>9.0431000000000011E-2</v>
      </c>
      <c r="BO44" s="45">
        <v>0.14549300000000001</v>
      </c>
      <c r="BP44" s="45">
        <v>0.137574</v>
      </c>
      <c r="BQ44" s="45">
        <v>8.2993999999999998E-2</v>
      </c>
      <c r="BR44" s="45">
        <v>3.0631587032231188E-2</v>
      </c>
      <c r="BS44" s="47">
        <v>0.24667328110833076</v>
      </c>
      <c r="BT44" s="47">
        <v>0.23269266626938309</v>
      </c>
      <c r="BU44" s="47">
        <v>0.23519878453022161</v>
      </c>
      <c r="BV44" s="47">
        <v>0.23317103930938773</v>
      </c>
      <c r="BW44" s="47">
        <v>0.22651183691343624</v>
      </c>
      <c r="BX44" s="47">
        <v>0.22748252115891895</v>
      </c>
      <c r="BY44" s="47">
        <v>0.24022151039897602</v>
      </c>
      <c r="BZ44" s="47">
        <v>0.24694643097437827</v>
      </c>
    </row>
    <row r="45" spans="1:83">
      <c r="A45" s="45" t="s">
        <v>3589</v>
      </c>
      <c r="B45" s="45" t="s">
        <v>3590</v>
      </c>
      <c r="C45" s="45" t="s">
        <v>3591</v>
      </c>
      <c r="D45" s="45" t="s">
        <v>946</v>
      </c>
      <c r="E45" s="46">
        <v>43281</v>
      </c>
      <c r="F45" s="46">
        <v>43100</v>
      </c>
      <c r="G45" s="46">
        <v>35045</v>
      </c>
      <c r="H45" s="59">
        <v>8550.7603099999997</v>
      </c>
      <c r="I45" s="59">
        <v>146.78552999999999</v>
      </c>
      <c r="J45" s="46">
        <v>8447.1869900000002</v>
      </c>
      <c r="K45" s="59">
        <v>190.59522000000001</v>
      </c>
      <c r="L45" s="59" t="s">
        <v>13</v>
      </c>
      <c r="M45" s="59" t="s">
        <v>13</v>
      </c>
      <c r="N45" s="59">
        <v>83.502579999999995</v>
      </c>
      <c r="O45" s="59">
        <v>761.29483000000005</v>
      </c>
      <c r="P45" s="59">
        <v>854.48261000000002</v>
      </c>
      <c r="Q45" s="59">
        <v>1010.96547</v>
      </c>
      <c r="R45" s="59">
        <v>854.48261000000002</v>
      </c>
      <c r="S45" s="59">
        <v>1010.96547</v>
      </c>
      <c r="T45" s="59">
        <v>1092.9350300000001</v>
      </c>
      <c r="U45" s="59">
        <v>1202.2750599999999</v>
      </c>
      <c r="V45" s="59">
        <v>1318.6060299999999</v>
      </c>
      <c r="W45" s="59">
        <v>1431.1759500000001</v>
      </c>
      <c r="X45" s="59">
        <v>186.33653000000001</v>
      </c>
      <c r="Y45" s="59">
        <v>220.75926999999999</v>
      </c>
      <c r="Z45" s="59">
        <v>270.84518000000003</v>
      </c>
      <c r="AA45" s="59">
        <v>220.75926999999999</v>
      </c>
      <c r="AB45" s="59">
        <v>270.84518000000003</v>
      </c>
      <c r="AC45" s="59">
        <v>306.73665</v>
      </c>
      <c r="AD45" s="45">
        <v>341.71708000000001</v>
      </c>
      <c r="AE45" s="59">
        <v>369.79248000000001</v>
      </c>
      <c r="AF45" s="47">
        <v>0.72294599999999998</v>
      </c>
      <c r="AG45" s="47">
        <v>0.26790700000000001</v>
      </c>
      <c r="AH45" s="47">
        <v>0.250504</v>
      </c>
      <c r="AI45" s="47">
        <v>0.17231399999999999</v>
      </c>
      <c r="AJ45" s="59">
        <v>155.99170000000001</v>
      </c>
      <c r="AK45" s="59">
        <v>177.45246</v>
      </c>
      <c r="AL45" s="59">
        <v>204.26496</v>
      </c>
      <c r="AM45" s="59">
        <v>-21.524229999999999</v>
      </c>
      <c r="AN45" s="59">
        <v>-22.005210000000002</v>
      </c>
      <c r="AO45" s="59">
        <v>-37.955010000000001</v>
      </c>
      <c r="AP45" s="44" t="s">
        <v>3592</v>
      </c>
      <c r="AQ45" s="60">
        <v>0.34320000000000001</v>
      </c>
      <c r="AR45" s="60">
        <v>0.45882000000000001</v>
      </c>
      <c r="AS45" s="60">
        <v>0.39782000000000001</v>
      </c>
      <c r="AT45" s="45">
        <v>1.4410000000000001E-2</v>
      </c>
      <c r="AU45" s="59">
        <v>122.70910000000001</v>
      </c>
      <c r="AV45" s="59">
        <v>149.17058</v>
      </c>
      <c r="AW45" s="59">
        <v>174.20402999999999</v>
      </c>
      <c r="AX45" s="59">
        <v>149.17058</v>
      </c>
      <c r="AY45" s="59">
        <v>174.20402999999999</v>
      </c>
      <c r="AZ45" s="59">
        <v>302.47606000000002</v>
      </c>
      <c r="BA45" s="59">
        <v>352.65384</v>
      </c>
      <c r="BB45" s="59">
        <v>448.99234999999999</v>
      </c>
      <c r="BC45" s="59">
        <v>352.65384</v>
      </c>
      <c r="BD45" s="59">
        <v>448.99234999999999</v>
      </c>
      <c r="BE45" s="59">
        <v>133.66900999999999</v>
      </c>
      <c r="BF45" s="59">
        <v>7692.2265100000004</v>
      </c>
      <c r="BG45" s="59">
        <v>168.00092000000001</v>
      </c>
      <c r="BH45" s="45" t="s">
        <v>13</v>
      </c>
      <c r="BI45" s="45" t="s">
        <v>13</v>
      </c>
      <c r="BJ45" s="59">
        <v>68.713070000000002</v>
      </c>
      <c r="BK45" s="45">
        <v>27.812000000000001</v>
      </c>
      <c r="BL45" s="45">
        <v>0.11268300000000001</v>
      </c>
      <c r="BM45" s="45">
        <v>0.14058899999999999</v>
      </c>
      <c r="BN45" s="45">
        <v>0.10567600000000001</v>
      </c>
      <c r="BO45" s="45">
        <v>0.164103</v>
      </c>
      <c r="BP45" s="45">
        <v>0.14926500000000001</v>
      </c>
      <c r="BQ45" s="45">
        <v>8.2845999999999989E-2</v>
      </c>
      <c r="BR45" s="45">
        <v>1.7403294694130354E-2</v>
      </c>
      <c r="BS45" s="47">
        <v>0.21338887443262552</v>
      </c>
      <c r="BT45" s="47">
        <v>0.22266903813571626</v>
      </c>
      <c r="BU45" s="47">
        <v>0.256785444476819</v>
      </c>
      <c r="BV45" s="47">
        <v>0.25504585688851317</v>
      </c>
      <c r="BW45" s="47">
        <v>0.26663013143749792</v>
      </c>
      <c r="BX45" s="47">
        <v>0.26561713407528725</v>
      </c>
      <c r="BY45" s="47">
        <v>0.31305656568793017</v>
      </c>
      <c r="BZ45" s="47">
        <v>0.30415491365137115</v>
      </c>
    </row>
    <row r="46" spans="1:83">
      <c r="A46" s="45" t="s">
        <v>3593</v>
      </c>
      <c r="B46" s="45" t="s">
        <v>3594</v>
      </c>
      <c r="C46" s="45" t="s">
        <v>3595</v>
      </c>
      <c r="D46" s="45" t="s">
        <v>3596</v>
      </c>
      <c r="E46" s="46">
        <v>43100</v>
      </c>
      <c r="F46" s="46">
        <v>43190</v>
      </c>
      <c r="G46" s="46">
        <v>37069</v>
      </c>
      <c r="H46" s="59">
        <v>4335.9414800000004</v>
      </c>
      <c r="I46" s="59">
        <v>18.114000000000001</v>
      </c>
      <c r="J46" s="46">
        <v>3964.46461</v>
      </c>
      <c r="K46" s="59">
        <v>517.81939</v>
      </c>
      <c r="L46" s="59" t="s">
        <v>13</v>
      </c>
      <c r="M46" s="59">
        <v>-0.44351000000000002</v>
      </c>
      <c r="N46" s="59">
        <v>124.75545</v>
      </c>
      <c r="O46" s="59">
        <v>1203.98155</v>
      </c>
      <c r="P46" s="59">
        <v>1256.0682200000001</v>
      </c>
      <c r="Q46" s="59">
        <v>1576.0786000000001</v>
      </c>
      <c r="R46" s="59">
        <v>1196.1332199999999</v>
      </c>
      <c r="S46" s="59">
        <v>1520.16571</v>
      </c>
      <c r="T46" s="59">
        <v>1580.8010099999999</v>
      </c>
      <c r="U46" s="59">
        <v>1706.3765599999999</v>
      </c>
      <c r="V46" s="59">
        <v>1838.04872</v>
      </c>
      <c r="W46" s="59">
        <v>1977.11466</v>
      </c>
      <c r="X46" s="59">
        <v>194.7987</v>
      </c>
      <c r="Y46" s="59">
        <v>209.82249999999999</v>
      </c>
      <c r="Z46" s="59">
        <v>267.09744999999998</v>
      </c>
      <c r="AA46" s="59">
        <v>199.89549</v>
      </c>
      <c r="AB46" s="59">
        <v>260.88977</v>
      </c>
      <c r="AC46" s="59">
        <v>275.84627999999998</v>
      </c>
      <c r="AD46" s="45">
        <v>305.49295999999998</v>
      </c>
      <c r="AE46" s="59">
        <v>337.51486999999997</v>
      </c>
      <c r="AF46" s="47">
        <v>0.22251100000000001</v>
      </c>
      <c r="AG46" s="47">
        <v>0.16946899999999998</v>
      </c>
      <c r="AH46" s="47">
        <v>0.12220200000000001</v>
      </c>
      <c r="AI46" s="47">
        <v>8.0042000000000002E-2</v>
      </c>
      <c r="AJ46" s="59">
        <v>-66.891409999999993</v>
      </c>
      <c r="AK46" s="59">
        <v>-56.042560000000002</v>
      </c>
      <c r="AL46" s="59">
        <v>-112.3112</v>
      </c>
      <c r="AM46" s="59">
        <v>-38.82011</v>
      </c>
      <c r="AN46" s="59">
        <v>-51.394350000000003</v>
      </c>
      <c r="AO46" s="59">
        <v>-60.893189999999997</v>
      </c>
      <c r="AP46" s="44" t="s">
        <v>3597</v>
      </c>
      <c r="AQ46" s="60">
        <v>1.2323599999999999</v>
      </c>
      <c r="AR46" s="60">
        <v>0.80889999999999995</v>
      </c>
      <c r="AS46" s="60">
        <v>0.68684000000000001</v>
      </c>
      <c r="AT46" s="45">
        <v>7.0780000000000001E-3</v>
      </c>
      <c r="AU46" s="59">
        <v>59.00461</v>
      </c>
      <c r="AV46" s="59">
        <v>72.726690000000005</v>
      </c>
      <c r="AW46" s="59">
        <v>125.93568999999999</v>
      </c>
      <c r="AX46" s="59">
        <v>67.323970000000003</v>
      </c>
      <c r="AY46" s="59">
        <v>120.65082</v>
      </c>
      <c r="AZ46" s="59">
        <v>573.33750999999995</v>
      </c>
      <c r="BA46" s="59">
        <v>619.91125</v>
      </c>
      <c r="BB46" s="59">
        <v>660.96095000000003</v>
      </c>
      <c r="BC46" s="59">
        <v>588.68362999999999</v>
      </c>
      <c r="BD46" s="59">
        <v>706.55380000000002</v>
      </c>
      <c r="BE46" s="59">
        <v>15.41047</v>
      </c>
      <c r="BF46" s="59">
        <v>3383.90409</v>
      </c>
      <c r="BG46" s="59">
        <v>506.55124000000001</v>
      </c>
      <c r="BH46" s="45" t="s">
        <v>13</v>
      </c>
      <c r="BI46" s="45">
        <v>0.22811000000000001</v>
      </c>
      <c r="BJ46" s="59">
        <v>134.75003000000001</v>
      </c>
      <c r="BK46" s="45">
        <v>17.986499999999999</v>
      </c>
      <c r="BL46" s="45">
        <v>0.100062</v>
      </c>
      <c r="BM46" s="45">
        <v>0.11059100000000001</v>
      </c>
      <c r="BN46" s="45">
        <v>8.7827000000000002E-2</v>
      </c>
      <c r="BO46" s="45">
        <v>0.12584899999999999</v>
      </c>
      <c r="BP46" s="45">
        <v>0.13231400000000001</v>
      </c>
      <c r="BQ46" s="45">
        <v>9.4391000000000003E-2</v>
      </c>
      <c r="BR46" s="45">
        <v>4.7267147717125278E-2</v>
      </c>
      <c r="BS46" s="47">
        <v>0.24227178754694109</v>
      </c>
      <c r="BT46" s="47">
        <v>0.25595218945759446</v>
      </c>
      <c r="BU46" s="47">
        <v>0.26344954486034894</v>
      </c>
      <c r="BV46" s="47">
        <v>0.25559720003828573</v>
      </c>
      <c r="BW46" s="47">
        <v>0.25236727378393736</v>
      </c>
      <c r="BX46" s="47">
        <v>0.2652711833093786</v>
      </c>
      <c r="BY46" s="47">
        <v>0.29030742623277744</v>
      </c>
      <c r="BZ46" s="47">
        <v>0.29353410379629646</v>
      </c>
    </row>
    <row r="47" spans="1:83">
      <c r="A47" s="45" t="s">
        <v>3598</v>
      </c>
      <c r="B47" s="45" t="s">
        <v>3599</v>
      </c>
      <c r="C47" s="45" t="s">
        <v>3600</v>
      </c>
      <c r="D47" s="45" t="s">
        <v>3601</v>
      </c>
      <c r="E47" s="46">
        <v>43100</v>
      </c>
      <c r="F47" s="46">
        <v>43190</v>
      </c>
      <c r="G47" s="46">
        <v>34096</v>
      </c>
      <c r="H47" s="59">
        <v>91.639359999999996</v>
      </c>
      <c r="I47" s="59">
        <v>8.2012300000000007</v>
      </c>
      <c r="J47" s="46">
        <v>66.167559999999995</v>
      </c>
      <c r="K47" s="59">
        <v>35.85136</v>
      </c>
      <c r="L47" s="59" t="s">
        <v>13</v>
      </c>
      <c r="M47" s="59" t="s">
        <v>13</v>
      </c>
      <c r="N47" s="59">
        <v>9.1216600000000003</v>
      </c>
      <c r="O47" s="59">
        <v>66.469970000000004</v>
      </c>
      <c r="P47" s="59">
        <v>61.85716</v>
      </c>
      <c r="Q47" s="59">
        <v>71.045259999999999</v>
      </c>
      <c r="R47" s="59">
        <v>60.810830000000003</v>
      </c>
      <c r="S47" s="59">
        <v>70.601339999999993</v>
      </c>
      <c r="T47" s="59">
        <v>71.618020000000001</v>
      </c>
      <c r="U47" s="59">
        <v>77.44341</v>
      </c>
      <c r="V47" s="59">
        <v>82.583460000000002</v>
      </c>
      <c r="W47" s="59" t="s">
        <v>13</v>
      </c>
      <c r="X47" s="59">
        <v>10.944269999999999</v>
      </c>
      <c r="Y47" s="59">
        <v>10.698309999999999</v>
      </c>
      <c r="Z47" s="59">
        <v>10.664910000000001</v>
      </c>
      <c r="AA47" s="59">
        <v>10.36162</v>
      </c>
      <c r="AB47" s="59">
        <v>11.309480000000001</v>
      </c>
      <c r="AC47" s="59">
        <v>11.87922</v>
      </c>
      <c r="AD47" s="45">
        <v>13.706799999999999</v>
      </c>
      <c r="AE47" s="59">
        <v>14.6777</v>
      </c>
      <c r="AF47" s="47">
        <v>0.27509600000000001</v>
      </c>
      <c r="AG47" s="47">
        <v>0.150114</v>
      </c>
      <c r="AH47" s="47">
        <v>6.8360000000000004E-2</v>
      </c>
      <c r="AI47" s="47">
        <v>3.7969000000000003E-2</v>
      </c>
      <c r="AJ47" s="59">
        <v>-9.0467899999999997</v>
      </c>
      <c r="AK47" s="59">
        <v>12.617990000000001</v>
      </c>
      <c r="AL47" s="59">
        <v>18.80668</v>
      </c>
      <c r="AM47" s="59">
        <v>-4.2285399999999997</v>
      </c>
      <c r="AN47" s="59">
        <v>-2.9542000000000002</v>
      </c>
      <c r="AO47" s="59">
        <v>-5.6547099999999997</v>
      </c>
      <c r="AP47" s="45" t="s">
        <v>3602</v>
      </c>
      <c r="AQ47" s="60">
        <v>0.56566000000000005</v>
      </c>
      <c r="AR47" s="60">
        <v>0.56438999999999995</v>
      </c>
      <c r="AS47" s="60">
        <v>0.39144000000000001</v>
      </c>
      <c r="AT47" s="45">
        <v>0</v>
      </c>
      <c r="AU47" s="59">
        <v>1.89933</v>
      </c>
      <c r="AV47" s="59">
        <v>3.2170800000000002</v>
      </c>
      <c r="AW47" s="59">
        <v>2.69754</v>
      </c>
      <c r="AX47" s="59">
        <v>2.91215</v>
      </c>
      <c r="AY47" s="59">
        <v>2.7615500000000002</v>
      </c>
      <c r="AZ47" s="59">
        <v>41.198079999999997</v>
      </c>
      <c r="BA47" s="59">
        <v>41.638260000000002</v>
      </c>
      <c r="BB47" s="59">
        <v>58.685470000000002</v>
      </c>
      <c r="BC47" s="59">
        <v>40.414009999999998</v>
      </c>
      <c r="BD47" s="59">
        <v>45.077280000000002</v>
      </c>
      <c r="BE47" s="59">
        <v>7.9272999999999998</v>
      </c>
      <c r="BF47" s="59">
        <v>47.968110000000003</v>
      </c>
      <c r="BG47" s="59">
        <v>39.524000000000001</v>
      </c>
      <c r="BH47" s="45" t="s">
        <v>13</v>
      </c>
      <c r="BI47" s="45" t="s">
        <v>13</v>
      </c>
      <c r="BJ47" s="59">
        <v>2.6610900000000002</v>
      </c>
      <c r="BK47" s="45">
        <v>13.4727</v>
      </c>
      <c r="BL47" s="45">
        <v>4.9071999999999998E-2</v>
      </c>
      <c r="BM47" s="45">
        <v>0.14210599999999998</v>
      </c>
      <c r="BN47" s="45">
        <v>6.9112999999999994E-2</v>
      </c>
      <c r="BO47" s="45">
        <v>1.696E-3</v>
      </c>
      <c r="BP47" s="45">
        <v>8.4053000000000003E-2</v>
      </c>
      <c r="BQ47" s="45">
        <v>0.10399900000000001</v>
      </c>
      <c r="BR47" s="45">
        <v>8.1754363345281578E-2</v>
      </c>
      <c r="BS47" s="47">
        <v>0.3757902242518214</v>
      </c>
      <c r="BT47" s="47">
        <v>0.338719462842133</v>
      </c>
      <c r="BU47" s="47">
        <v>0.33856438005458822</v>
      </c>
      <c r="BV47" s="47">
        <v>0.33383552388075782</v>
      </c>
      <c r="BW47" s="47">
        <v>0.33399283582433842</v>
      </c>
      <c r="BX47" s="47">
        <v>0.36181322148863199</v>
      </c>
      <c r="BY47" s="47">
        <v>0.39576120790283292</v>
      </c>
      <c r="BZ47" s="47">
        <v>0.39118841851838637</v>
      </c>
    </row>
    <row r="48" spans="1:83" hidden="1" outlineLevel="1">
      <c r="A48" s="45" t="s">
        <v>789</v>
      </c>
      <c r="B48" s="45" t="s">
        <v>789</v>
      </c>
      <c r="C48" s="45" t="s">
        <v>789</v>
      </c>
      <c r="D48" s="45" t="s">
        <v>789</v>
      </c>
      <c r="E48" s="46" t="s">
        <v>789</v>
      </c>
      <c r="F48" s="46" t="s">
        <v>789</v>
      </c>
      <c r="G48" s="46" t="s">
        <v>789</v>
      </c>
      <c r="H48" s="59" t="s">
        <v>789</v>
      </c>
      <c r="I48" s="59" t="s">
        <v>789</v>
      </c>
      <c r="J48" s="46" t="s">
        <v>789</v>
      </c>
      <c r="K48" s="59" t="s">
        <v>789</v>
      </c>
      <c r="L48" s="59" t="s">
        <v>789</v>
      </c>
      <c r="M48" s="59" t="s">
        <v>789</v>
      </c>
      <c r="N48" s="59" t="s">
        <v>789</v>
      </c>
      <c r="O48" s="59" t="s">
        <v>789</v>
      </c>
      <c r="P48" s="59" t="s">
        <v>789</v>
      </c>
      <c r="Q48" s="59" t="s">
        <v>789</v>
      </c>
      <c r="R48" s="59" t="s">
        <v>789</v>
      </c>
      <c r="S48" s="59" t="s">
        <v>789</v>
      </c>
      <c r="T48" s="59" t="s">
        <v>789</v>
      </c>
      <c r="U48" s="59" t="s">
        <v>789</v>
      </c>
      <c r="V48" s="59" t="s">
        <v>789</v>
      </c>
      <c r="W48" s="59" t="s">
        <v>789</v>
      </c>
      <c r="X48" s="59" t="s">
        <v>789</v>
      </c>
      <c r="Y48" s="59" t="s">
        <v>789</v>
      </c>
      <c r="Z48" s="59" t="s">
        <v>789</v>
      </c>
      <c r="AA48" s="59" t="s">
        <v>789</v>
      </c>
      <c r="AB48" s="59" t="s">
        <v>789</v>
      </c>
      <c r="AC48" s="59" t="s">
        <v>789</v>
      </c>
      <c r="AD48" s="45" t="s">
        <v>789</v>
      </c>
      <c r="AE48" s="59" t="s">
        <v>789</v>
      </c>
      <c r="AF48" s="47" t="s">
        <v>13</v>
      </c>
      <c r="AG48" s="47" t="s">
        <v>13</v>
      </c>
      <c r="AH48" s="47" t="s">
        <v>13</v>
      </c>
      <c r="AI48" s="47" t="s">
        <v>13</v>
      </c>
      <c r="AJ48" s="59" t="s">
        <v>789</v>
      </c>
      <c r="AK48" s="59" t="s">
        <v>789</v>
      </c>
      <c r="AL48" s="59" t="s">
        <v>789</v>
      </c>
      <c r="AM48" s="59" t="s">
        <v>789</v>
      </c>
      <c r="AN48" s="59" t="s">
        <v>789</v>
      </c>
      <c r="AO48" s="59" t="s">
        <v>789</v>
      </c>
      <c r="AP48" s="45" t="s">
        <v>789</v>
      </c>
      <c r="AQ48" s="60" t="s">
        <v>789</v>
      </c>
      <c r="AR48" s="60" t="s">
        <v>789</v>
      </c>
      <c r="AS48" s="60" t="s">
        <v>789</v>
      </c>
      <c r="AT48" s="45" t="s">
        <v>13</v>
      </c>
      <c r="AU48" s="59" t="s">
        <v>789</v>
      </c>
      <c r="AV48" s="59" t="s">
        <v>789</v>
      </c>
      <c r="AW48" s="59" t="s">
        <v>789</v>
      </c>
      <c r="AX48" s="59" t="s">
        <v>789</v>
      </c>
      <c r="AY48" s="59" t="s">
        <v>789</v>
      </c>
      <c r="AZ48" s="59" t="s">
        <v>789</v>
      </c>
      <c r="BA48" s="59" t="s">
        <v>789</v>
      </c>
      <c r="BB48" s="59" t="s">
        <v>789</v>
      </c>
      <c r="BC48" s="59" t="s">
        <v>789</v>
      </c>
      <c r="BD48" s="59" t="s">
        <v>789</v>
      </c>
      <c r="BE48" s="59" t="s">
        <v>789</v>
      </c>
      <c r="BF48" s="59" t="s">
        <v>789</v>
      </c>
      <c r="BG48" s="59" t="s">
        <v>789</v>
      </c>
      <c r="BH48" s="45" t="s">
        <v>789</v>
      </c>
      <c r="BI48" s="45" t="s">
        <v>789</v>
      </c>
      <c r="BJ48" s="59" t="s">
        <v>789</v>
      </c>
      <c r="BK48" s="45" t="s">
        <v>789</v>
      </c>
      <c r="BL48" s="45" t="e">
        <v>#VALUE!</v>
      </c>
      <c r="BM48" s="45" t="e">
        <v>#VALUE!</v>
      </c>
      <c r="BN48" s="45" t="e">
        <v>#VALUE!</v>
      </c>
      <c r="BO48" s="45" t="e">
        <v>#VALUE!</v>
      </c>
      <c r="BP48" s="45" t="e">
        <v>#VALUE!</v>
      </c>
      <c r="BQ48" s="45" t="e">
        <v>#VALUE!</v>
      </c>
      <c r="BR48" s="45" t="s">
        <v>787</v>
      </c>
      <c r="BS48" s="47" t="e">
        <v>#VALUE!</v>
      </c>
      <c r="BT48" s="47" t="e">
        <v>#VALUE!</v>
      </c>
      <c r="BU48" s="47" t="e">
        <v>#VALUE!</v>
      </c>
      <c r="BV48" s="47" t="e">
        <v>#VALUE!</v>
      </c>
      <c r="BW48" s="47" t="e">
        <v>#VALUE!</v>
      </c>
      <c r="BX48" s="47" t="e">
        <v>#VALUE!</v>
      </c>
      <c r="BY48" s="47" t="e">
        <v>#VALUE!</v>
      </c>
      <c r="BZ48" s="47" t="e">
        <v>#VALUE!</v>
      </c>
    </row>
    <row r="49" spans="1:83" hidden="1" outlineLevel="1">
      <c r="A49" s="45" t="s">
        <v>789</v>
      </c>
      <c r="B49" s="45" t="s">
        <v>789</v>
      </c>
      <c r="C49" s="45" t="s">
        <v>789</v>
      </c>
      <c r="D49" s="45" t="s">
        <v>789</v>
      </c>
      <c r="E49" s="46" t="s">
        <v>789</v>
      </c>
      <c r="F49" s="46" t="s">
        <v>789</v>
      </c>
      <c r="G49" s="46" t="s">
        <v>789</v>
      </c>
      <c r="H49" s="59" t="s">
        <v>789</v>
      </c>
      <c r="I49" s="59" t="s">
        <v>789</v>
      </c>
      <c r="J49" s="46" t="s">
        <v>789</v>
      </c>
      <c r="K49" s="59" t="s">
        <v>789</v>
      </c>
      <c r="L49" s="59" t="s">
        <v>789</v>
      </c>
      <c r="M49" s="59" t="s">
        <v>789</v>
      </c>
      <c r="N49" s="59" t="s">
        <v>789</v>
      </c>
      <c r="O49" s="59" t="s">
        <v>789</v>
      </c>
      <c r="P49" s="59" t="s">
        <v>789</v>
      </c>
      <c r="Q49" s="59" t="s">
        <v>789</v>
      </c>
      <c r="R49" s="59" t="s">
        <v>789</v>
      </c>
      <c r="S49" s="59" t="s">
        <v>789</v>
      </c>
      <c r="T49" s="59" t="s">
        <v>789</v>
      </c>
      <c r="U49" s="59" t="s">
        <v>789</v>
      </c>
      <c r="V49" s="59" t="s">
        <v>789</v>
      </c>
      <c r="W49" s="59" t="s">
        <v>789</v>
      </c>
      <c r="X49" s="59" t="s">
        <v>789</v>
      </c>
      <c r="Y49" s="59" t="s">
        <v>789</v>
      </c>
      <c r="Z49" s="59" t="s">
        <v>789</v>
      </c>
      <c r="AA49" s="59" t="s">
        <v>789</v>
      </c>
      <c r="AB49" s="59" t="s">
        <v>789</v>
      </c>
      <c r="AC49" s="59" t="s">
        <v>789</v>
      </c>
      <c r="AD49" s="45" t="s">
        <v>789</v>
      </c>
      <c r="AE49" s="59" t="s">
        <v>789</v>
      </c>
      <c r="AF49" s="47" t="s">
        <v>13</v>
      </c>
      <c r="AG49" s="47" t="s">
        <v>13</v>
      </c>
      <c r="AH49" s="47" t="s">
        <v>13</v>
      </c>
      <c r="AI49" s="47" t="s">
        <v>13</v>
      </c>
      <c r="AJ49" s="59" t="s">
        <v>789</v>
      </c>
      <c r="AK49" s="59" t="s">
        <v>789</v>
      </c>
      <c r="AL49" s="59" t="s">
        <v>789</v>
      </c>
      <c r="AM49" s="59" t="s">
        <v>789</v>
      </c>
      <c r="AN49" s="59" t="s">
        <v>789</v>
      </c>
      <c r="AO49" s="59" t="s">
        <v>789</v>
      </c>
      <c r="AP49" s="45" t="s">
        <v>789</v>
      </c>
      <c r="AQ49" s="60" t="s">
        <v>789</v>
      </c>
      <c r="AR49" s="60" t="s">
        <v>789</v>
      </c>
      <c r="AS49" s="60" t="s">
        <v>789</v>
      </c>
      <c r="AT49" s="45" t="s">
        <v>13</v>
      </c>
      <c r="AU49" s="59" t="s">
        <v>789</v>
      </c>
      <c r="AV49" s="59" t="s">
        <v>789</v>
      </c>
      <c r="AW49" s="59" t="s">
        <v>789</v>
      </c>
      <c r="AX49" s="59" t="s">
        <v>789</v>
      </c>
      <c r="AY49" s="59" t="s">
        <v>789</v>
      </c>
      <c r="AZ49" s="59" t="s">
        <v>789</v>
      </c>
      <c r="BA49" s="59" t="s">
        <v>789</v>
      </c>
      <c r="BB49" s="59" t="s">
        <v>789</v>
      </c>
      <c r="BC49" s="59" t="s">
        <v>789</v>
      </c>
      <c r="BD49" s="59" t="s">
        <v>789</v>
      </c>
      <c r="BE49" s="59" t="s">
        <v>789</v>
      </c>
      <c r="BF49" s="59" t="s">
        <v>789</v>
      </c>
      <c r="BG49" s="59" t="s">
        <v>789</v>
      </c>
      <c r="BH49" s="45" t="s">
        <v>789</v>
      </c>
      <c r="BI49" s="45" t="s">
        <v>789</v>
      </c>
      <c r="BJ49" s="59" t="s">
        <v>789</v>
      </c>
      <c r="BK49" s="45" t="s">
        <v>789</v>
      </c>
      <c r="BL49" s="45" t="e">
        <v>#VALUE!</v>
      </c>
      <c r="BM49" s="45" t="e">
        <v>#VALUE!</v>
      </c>
      <c r="BN49" s="45" t="e">
        <v>#VALUE!</v>
      </c>
      <c r="BO49" s="45" t="e">
        <v>#VALUE!</v>
      </c>
      <c r="BP49" s="45" t="e">
        <v>#VALUE!</v>
      </c>
      <c r="BQ49" s="45" t="e">
        <v>#VALUE!</v>
      </c>
      <c r="BR49" s="45" t="s">
        <v>787</v>
      </c>
      <c r="BS49" s="47" t="e">
        <v>#VALUE!</v>
      </c>
      <c r="BT49" s="47" t="e">
        <v>#VALUE!</v>
      </c>
      <c r="BU49" s="47" t="e">
        <v>#VALUE!</v>
      </c>
      <c r="BV49" s="47" t="e">
        <v>#VALUE!</v>
      </c>
      <c r="BW49" s="47" t="e">
        <v>#VALUE!</v>
      </c>
      <c r="BX49" s="47" t="e">
        <v>#VALUE!</v>
      </c>
      <c r="BY49" s="47" t="e">
        <v>#VALUE!</v>
      </c>
      <c r="BZ49" s="47" t="e">
        <v>#VALUE!</v>
      </c>
    </row>
    <row r="50" spans="1:83" hidden="1" outlineLevel="1">
      <c r="A50" s="45" t="s">
        <v>789</v>
      </c>
      <c r="B50" s="45" t="s">
        <v>789</v>
      </c>
      <c r="C50" s="45" t="s">
        <v>789</v>
      </c>
      <c r="D50" s="45" t="s">
        <v>789</v>
      </c>
      <c r="E50" s="46" t="s">
        <v>789</v>
      </c>
      <c r="F50" s="46" t="s">
        <v>789</v>
      </c>
      <c r="G50" s="46" t="s">
        <v>789</v>
      </c>
      <c r="H50" s="59" t="s">
        <v>789</v>
      </c>
      <c r="I50" s="59" t="s">
        <v>789</v>
      </c>
      <c r="J50" s="46" t="s">
        <v>789</v>
      </c>
      <c r="K50" s="59" t="s">
        <v>789</v>
      </c>
      <c r="L50" s="59" t="s">
        <v>789</v>
      </c>
      <c r="M50" s="59" t="s">
        <v>789</v>
      </c>
      <c r="N50" s="59" t="s">
        <v>789</v>
      </c>
      <c r="O50" s="59" t="s">
        <v>789</v>
      </c>
      <c r="P50" s="59" t="s">
        <v>789</v>
      </c>
      <c r="Q50" s="59" t="s">
        <v>789</v>
      </c>
      <c r="R50" s="59" t="s">
        <v>789</v>
      </c>
      <c r="S50" s="59" t="s">
        <v>789</v>
      </c>
      <c r="T50" s="59" t="s">
        <v>789</v>
      </c>
      <c r="U50" s="59" t="s">
        <v>789</v>
      </c>
      <c r="V50" s="59" t="s">
        <v>789</v>
      </c>
      <c r="W50" s="59" t="s">
        <v>789</v>
      </c>
      <c r="X50" s="59" t="s">
        <v>789</v>
      </c>
      <c r="Y50" s="59" t="s">
        <v>789</v>
      </c>
      <c r="Z50" s="59" t="s">
        <v>789</v>
      </c>
      <c r="AA50" s="59" t="s">
        <v>789</v>
      </c>
      <c r="AB50" s="59" t="s">
        <v>789</v>
      </c>
      <c r="AC50" s="59" t="s">
        <v>789</v>
      </c>
      <c r="AD50" s="45" t="s">
        <v>789</v>
      </c>
      <c r="AE50" s="59" t="s">
        <v>789</v>
      </c>
      <c r="AF50" s="47" t="s">
        <v>13</v>
      </c>
      <c r="AG50" s="47" t="s">
        <v>13</v>
      </c>
      <c r="AH50" s="47" t="s">
        <v>13</v>
      </c>
      <c r="AI50" s="47" t="s">
        <v>13</v>
      </c>
      <c r="AJ50" s="59" t="s">
        <v>789</v>
      </c>
      <c r="AK50" s="59" t="s">
        <v>789</v>
      </c>
      <c r="AL50" s="59" t="s">
        <v>789</v>
      </c>
      <c r="AM50" s="59" t="s">
        <v>789</v>
      </c>
      <c r="AN50" s="59" t="s">
        <v>789</v>
      </c>
      <c r="AO50" s="59" t="s">
        <v>789</v>
      </c>
      <c r="AP50" s="45" t="s">
        <v>789</v>
      </c>
      <c r="AQ50" s="60" t="s">
        <v>789</v>
      </c>
      <c r="AR50" s="60" t="s">
        <v>789</v>
      </c>
      <c r="AS50" s="60" t="s">
        <v>789</v>
      </c>
      <c r="AT50" s="45" t="s">
        <v>13</v>
      </c>
      <c r="AU50" s="59" t="s">
        <v>789</v>
      </c>
      <c r="AV50" s="59" t="s">
        <v>789</v>
      </c>
      <c r="AW50" s="59" t="s">
        <v>789</v>
      </c>
      <c r="AX50" s="59" t="s">
        <v>789</v>
      </c>
      <c r="AY50" s="59" t="s">
        <v>789</v>
      </c>
      <c r="AZ50" s="59" t="s">
        <v>789</v>
      </c>
      <c r="BA50" s="59" t="s">
        <v>789</v>
      </c>
      <c r="BB50" s="59" t="s">
        <v>789</v>
      </c>
      <c r="BC50" s="59" t="s">
        <v>789</v>
      </c>
      <c r="BD50" s="59" t="s">
        <v>789</v>
      </c>
      <c r="BE50" s="59" t="s">
        <v>789</v>
      </c>
      <c r="BF50" s="59" t="s">
        <v>789</v>
      </c>
      <c r="BG50" s="59" t="s">
        <v>789</v>
      </c>
      <c r="BH50" s="45" t="s">
        <v>789</v>
      </c>
      <c r="BI50" s="45" t="s">
        <v>789</v>
      </c>
      <c r="BJ50" s="59" t="s">
        <v>789</v>
      </c>
      <c r="BK50" s="45" t="s">
        <v>789</v>
      </c>
      <c r="BL50" s="45" t="e">
        <v>#VALUE!</v>
      </c>
      <c r="BM50" s="45" t="e">
        <v>#VALUE!</v>
      </c>
      <c r="BN50" s="45" t="e">
        <v>#VALUE!</v>
      </c>
      <c r="BO50" s="45" t="e">
        <v>#VALUE!</v>
      </c>
      <c r="BP50" s="45" t="e">
        <v>#VALUE!</v>
      </c>
      <c r="BQ50" s="45" t="e">
        <v>#VALUE!</v>
      </c>
      <c r="BR50" s="45" t="s">
        <v>787</v>
      </c>
      <c r="BS50" s="47" t="e">
        <v>#VALUE!</v>
      </c>
      <c r="BT50" s="47" t="e">
        <v>#VALUE!</v>
      </c>
      <c r="BU50" s="47" t="e">
        <v>#VALUE!</v>
      </c>
      <c r="BV50" s="47" t="e">
        <v>#VALUE!</v>
      </c>
      <c r="BW50" s="47" t="e">
        <v>#VALUE!</v>
      </c>
      <c r="BX50" s="47" t="e">
        <v>#VALUE!</v>
      </c>
      <c r="BY50" s="47" t="e">
        <v>#VALUE!</v>
      </c>
      <c r="BZ50" s="47" t="e">
        <v>#VALUE!</v>
      </c>
    </row>
    <row r="51" spans="1:83" hidden="1" outlineLevel="1">
      <c r="A51" s="45" t="s">
        <v>789</v>
      </c>
      <c r="B51" s="45" t="s">
        <v>789</v>
      </c>
      <c r="C51" s="45" t="s">
        <v>789</v>
      </c>
      <c r="D51" s="45" t="s">
        <v>789</v>
      </c>
      <c r="E51" s="46" t="s">
        <v>789</v>
      </c>
      <c r="F51" s="46" t="s">
        <v>789</v>
      </c>
      <c r="G51" s="46" t="s">
        <v>789</v>
      </c>
      <c r="H51" s="59" t="s">
        <v>789</v>
      </c>
      <c r="I51" s="59" t="s">
        <v>789</v>
      </c>
      <c r="J51" s="46" t="s">
        <v>789</v>
      </c>
      <c r="K51" s="59" t="s">
        <v>789</v>
      </c>
      <c r="L51" s="59" t="s">
        <v>789</v>
      </c>
      <c r="M51" s="59" t="s">
        <v>789</v>
      </c>
      <c r="N51" s="59" t="s">
        <v>789</v>
      </c>
      <c r="O51" s="59" t="s">
        <v>789</v>
      </c>
      <c r="P51" s="59" t="s">
        <v>789</v>
      </c>
      <c r="Q51" s="59" t="s">
        <v>789</v>
      </c>
      <c r="R51" s="59" t="s">
        <v>789</v>
      </c>
      <c r="S51" s="59" t="s">
        <v>789</v>
      </c>
      <c r="T51" s="59" t="s">
        <v>789</v>
      </c>
      <c r="U51" s="59" t="s">
        <v>789</v>
      </c>
      <c r="V51" s="59" t="s">
        <v>789</v>
      </c>
      <c r="W51" s="59" t="s">
        <v>789</v>
      </c>
      <c r="X51" s="59" t="s">
        <v>789</v>
      </c>
      <c r="Y51" s="59" t="s">
        <v>789</v>
      </c>
      <c r="Z51" s="59" t="s">
        <v>789</v>
      </c>
      <c r="AA51" s="59" t="s">
        <v>789</v>
      </c>
      <c r="AB51" s="59" t="s">
        <v>789</v>
      </c>
      <c r="AC51" s="59" t="s">
        <v>789</v>
      </c>
      <c r="AD51" s="45" t="s">
        <v>789</v>
      </c>
      <c r="AE51" s="59" t="s">
        <v>789</v>
      </c>
      <c r="AF51" s="47" t="s">
        <v>13</v>
      </c>
      <c r="AG51" s="47" t="s">
        <v>13</v>
      </c>
      <c r="AH51" s="47" t="s">
        <v>13</v>
      </c>
      <c r="AI51" s="47" t="s">
        <v>13</v>
      </c>
      <c r="AJ51" s="59" t="s">
        <v>789</v>
      </c>
      <c r="AK51" s="59" t="s">
        <v>789</v>
      </c>
      <c r="AL51" s="59" t="s">
        <v>789</v>
      </c>
      <c r="AM51" s="59" t="s">
        <v>789</v>
      </c>
      <c r="AN51" s="59" t="s">
        <v>789</v>
      </c>
      <c r="AO51" s="59" t="s">
        <v>789</v>
      </c>
      <c r="AP51" s="45" t="s">
        <v>789</v>
      </c>
      <c r="AQ51" s="60" t="s">
        <v>789</v>
      </c>
      <c r="AR51" s="60" t="s">
        <v>789</v>
      </c>
      <c r="AS51" s="60" t="s">
        <v>789</v>
      </c>
      <c r="AT51" s="45" t="s">
        <v>13</v>
      </c>
      <c r="AU51" s="59" t="s">
        <v>789</v>
      </c>
      <c r="AV51" s="59" t="s">
        <v>789</v>
      </c>
      <c r="AW51" s="59" t="s">
        <v>789</v>
      </c>
      <c r="AX51" s="59" t="s">
        <v>789</v>
      </c>
      <c r="AY51" s="59" t="s">
        <v>789</v>
      </c>
      <c r="AZ51" s="59" t="s">
        <v>789</v>
      </c>
      <c r="BA51" s="59" t="s">
        <v>789</v>
      </c>
      <c r="BB51" s="59" t="s">
        <v>789</v>
      </c>
      <c r="BC51" s="59" t="s">
        <v>789</v>
      </c>
      <c r="BD51" s="59" t="s">
        <v>789</v>
      </c>
      <c r="BE51" s="59" t="s">
        <v>789</v>
      </c>
      <c r="BF51" s="59" t="s">
        <v>789</v>
      </c>
      <c r="BG51" s="59" t="s">
        <v>789</v>
      </c>
      <c r="BH51" s="45" t="s">
        <v>789</v>
      </c>
      <c r="BI51" s="45" t="s">
        <v>789</v>
      </c>
      <c r="BJ51" s="59" t="s">
        <v>789</v>
      </c>
      <c r="BK51" s="45" t="s">
        <v>789</v>
      </c>
      <c r="BL51" s="45" t="e">
        <v>#VALUE!</v>
      </c>
      <c r="BM51" s="45" t="e">
        <v>#VALUE!</v>
      </c>
      <c r="BN51" s="45" t="e">
        <v>#VALUE!</v>
      </c>
      <c r="BO51" s="45" t="e">
        <v>#VALUE!</v>
      </c>
      <c r="BP51" s="45" t="e">
        <v>#VALUE!</v>
      </c>
      <c r="BQ51" s="45" t="e">
        <v>#VALUE!</v>
      </c>
      <c r="BR51" s="45" t="s">
        <v>787</v>
      </c>
      <c r="BS51" s="47" t="e">
        <v>#VALUE!</v>
      </c>
      <c r="BT51" s="47" t="e">
        <v>#VALUE!</v>
      </c>
      <c r="BU51" s="47" t="e">
        <v>#VALUE!</v>
      </c>
      <c r="BV51" s="47" t="e">
        <v>#VALUE!</v>
      </c>
      <c r="BW51" s="47" t="e">
        <v>#VALUE!</v>
      </c>
      <c r="BX51" s="47" t="e">
        <v>#VALUE!</v>
      </c>
      <c r="BY51" s="47" t="e">
        <v>#VALUE!</v>
      </c>
      <c r="BZ51" s="47" t="e">
        <v>#VALUE!</v>
      </c>
    </row>
    <row r="52" spans="1:83" hidden="1" outlineLevel="1">
      <c r="A52" s="45" t="s">
        <v>789</v>
      </c>
      <c r="B52" s="45" t="s">
        <v>789</v>
      </c>
      <c r="C52" s="45" t="s">
        <v>789</v>
      </c>
      <c r="D52" s="45" t="s">
        <v>789</v>
      </c>
      <c r="E52" s="46" t="s">
        <v>789</v>
      </c>
      <c r="F52" s="46" t="s">
        <v>789</v>
      </c>
      <c r="G52" s="46" t="s">
        <v>789</v>
      </c>
      <c r="H52" s="59" t="s">
        <v>789</v>
      </c>
      <c r="I52" s="59" t="s">
        <v>789</v>
      </c>
      <c r="J52" s="46" t="s">
        <v>789</v>
      </c>
      <c r="K52" s="59" t="s">
        <v>789</v>
      </c>
      <c r="L52" s="59" t="s">
        <v>789</v>
      </c>
      <c r="M52" s="59" t="s">
        <v>789</v>
      </c>
      <c r="N52" s="59" t="s">
        <v>789</v>
      </c>
      <c r="O52" s="59" t="s">
        <v>789</v>
      </c>
      <c r="P52" s="59" t="s">
        <v>789</v>
      </c>
      <c r="Q52" s="59" t="s">
        <v>789</v>
      </c>
      <c r="R52" s="59" t="s">
        <v>789</v>
      </c>
      <c r="S52" s="59" t="s">
        <v>789</v>
      </c>
      <c r="T52" s="59" t="s">
        <v>789</v>
      </c>
      <c r="U52" s="59" t="s">
        <v>789</v>
      </c>
      <c r="V52" s="59" t="s">
        <v>789</v>
      </c>
      <c r="W52" s="59" t="s">
        <v>789</v>
      </c>
      <c r="X52" s="59" t="s">
        <v>789</v>
      </c>
      <c r="Y52" s="59" t="s">
        <v>789</v>
      </c>
      <c r="Z52" s="59" t="s">
        <v>789</v>
      </c>
      <c r="AA52" s="59" t="s">
        <v>789</v>
      </c>
      <c r="AB52" s="59" t="s">
        <v>789</v>
      </c>
      <c r="AC52" s="59" t="s">
        <v>789</v>
      </c>
      <c r="AD52" s="45" t="s">
        <v>789</v>
      </c>
      <c r="AE52" s="59" t="s">
        <v>789</v>
      </c>
      <c r="AF52" s="47" t="s">
        <v>13</v>
      </c>
      <c r="AG52" s="47" t="s">
        <v>13</v>
      </c>
      <c r="AH52" s="47" t="s">
        <v>13</v>
      </c>
      <c r="AI52" s="47" t="s">
        <v>13</v>
      </c>
      <c r="AJ52" s="59" t="s">
        <v>789</v>
      </c>
      <c r="AK52" s="59" t="s">
        <v>789</v>
      </c>
      <c r="AL52" s="59" t="s">
        <v>789</v>
      </c>
      <c r="AM52" s="59" t="s">
        <v>789</v>
      </c>
      <c r="AN52" s="59" t="s">
        <v>789</v>
      </c>
      <c r="AO52" s="59" t="s">
        <v>789</v>
      </c>
      <c r="AP52" s="45" t="s">
        <v>789</v>
      </c>
      <c r="AQ52" s="60" t="s">
        <v>789</v>
      </c>
      <c r="AR52" s="60" t="s">
        <v>789</v>
      </c>
      <c r="AS52" s="60" t="s">
        <v>789</v>
      </c>
      <c r="AT52" s="45" t="s">
        <v>13</v>
      </c>
      <c r="AU52" s="59" t="s">
        <v>789</v>
      </c>
      <c r="AV52" s="59" t="s">
        <v>789</v>
      </c>
      <c r="AW52" s="59" t="s">
        <v>789</v>
      </c>
      <c r="AX52" s="59" t="s">
        <v>789</v>
      </c>
      <c r="AY52" s="59" t="s">
        <v>789</v>
      </c>
      <c r="AZ52" s="59" t="s">
        <v>789</v>
      </c>
      <c r="BA52" s="59" t="s">
        <v>789</v>
      </c>
      <c r="BB52" s="59" t="s">
        <v>789</v>
      </c>
      <c r="BC52" s="59" t="s">
        <v>789</v>
      </c>
      <c r="BD52" s="59" t="s">
        <v>789</v>
      </c>
      <c r="BE52" s="59" t="s">
        <v>789</v>
      </c>
      <c r="BF52" s="59" t="s">
        <v>789</v>
      </c>
      <c r="BG52" s="59" t="s">
        <v>789</v>
      </c>
      <c r="BH52" s="45" t="s">
        <v>789</v>
      </c>
      <c r="BI52" s="45" t="s">
        <v>789</v>
      </c>
      <c r="BJ52" s="59" t="s">
        <v>789</v>
      </c>
      <c r="BK52" s="45" t="s">
        <v>789</v>
      </c>
      <c r="BL52" s="45" t="e">
        <v>#VALUE!</v>
      </c>
      <c r="BM52" s="45" t="e">
        <v>#VALUE!</v>
      </c>
      <c r="BN52" s="45" t="e">
        <v>#VALUE!</v>
      </c>
      <c r="BO52" s="45" t="e">
        <v>#VALUE!</v>
      </c>
      <c r="BP52" s="45" t="e">
        <v>#VALUE!</v>
      </c>
      <c r="BQ52" s="45" t="e">
        <v>#VALUE!</v>
      </c>
      <c r="BR52" s="45" t="s">
        <v>787</v>
      </c>
      <c r="BS52" s="47" t="e">
        <v>#VALUE!</v>
      </c>
      <c r="BT52" s="47" t="e">
        <v>#VALUE!</v>
      </c>
      <c r="BU52" s="47" t="e">
        <v>#VALUE!</v>
      </c>
      <c r="BV52" s="47" t="e">
        <v>#VALUE!</v>
      </c>
      <c r="BW52" s="47" t="e">
        <v>#VALUE!</v>
      </c>
      <c r="BX52" s="47" t="e">
        <v>#VALUE!</v>
      </c>
      <c r="BY52" s="47" t="e">
        <v>#VALUE!</v>
      </c>
      <c r="BZ52" s="47" t="e">
        <v>#VALUE!</v>
      </c>
    </row>
    <row r="53" spans="1:83" hidden="1" outlineLevel="1">
      <c r="A53" s="45" t="s">
        <v>789</v>
      </c>
      <c r="B53" s="45" t="s">
        <v>789</v>
      </c>
      <c r="C53" s="45" t="s">
        <v>789</v>
      </c>
      <c r="D53" s="45" t="s">
        <v>789</v>
      </c>
      <c r="E53" s="46" t="s">
        <v>789</v>
      </c>
      <c r="F53" s="46" t="s">
        <v>789</v>
      </c>
      <c r="G53" s="46" t="s">
        <v>789</v>
      </c>
      <c r="H53" s="59" t="s">
        <v>789</v>
      </c>
      <c r="I53" s="59" t="s">
        <v>789</v>
      </c>
      <c r="J53" s="46" t="s">
        <v>789</v>
      </c>
      <c r="K53" s="59" t="s">
        <v>789</v>
      </c>
      <c r="L53" s="59" t="s">
        <v>789</v>
      </c>
      <c r="M53" s="59" t="s">
        <v>789</v>
      </c>
      <c r="N53" s="59" t="s">
        <v>789</v>
      </c>
      <c r="O53" s="59" t="s">
        <v>789</v>
      </c>
      <c r="P53" s="59" t="s">
        <v>789</v>
      </c>
      <c r="Q53" s="59" t="s">
        <v>789</v>
      </c>
      <c r="R53" s="59" t="s">
        <v>789</v>
      </c>
      <c r="S53" s="59" t="s">
        <v>789</v>
      </c>
      <c r="T53" s="59" t="s">
        <v>789</v>
      </c>
      <c r="U53" s="59" t="s">
        <v>789</v>
      </c>
      <c r="V53" s="59" t="s">
        <v>789</v>
      </c>
      <c r="W53" s="59" t="s">
        <v>789</v>
      </c>
      <c r="X53" s="59" t="s">
        <v>789</v>
      </c>
      <c r="Y53" s="59" t="s">
        <v>789</v>
      </c>
      <c r="Z53" s="59" t="s">
        <v>789</v>
      </c>
      <c r="AA53" s="59" t="s">
        <v>789</v>
      </c>
      <c r="AB53" s="59" t="s">
        <v>789</v>
      </c>
      <c r="AC53" s="59" t="s">
        <v>789</v>
      </c>
      <c r="AD53" s="45" t="s">
        <v>789</v>
      </c>
      <c r="AE53" s="59" t="s">
        <v>789</v>
      </c>
      <c r="AF53" s="47" t="s">
        <v>13</v>
      </c>
      <c r="AG53" s="47" t="s">
        <v>13</v>
      </c>
      <c r="AH53" s="47" t="s">
        <v>13</v>
      </c>
      <c r="AI53" s="47" t="s">
        <v>13</v>
      </c>
      <c r="AJ53" s="59" t="s">
        <v>789</v>
      </c>
      <c r="AK53" s="59" t="s">
        <v>789</v>
      </c>
      <c r="AL53" s="59" t="s">
        <v>789</v>
      </c>
      <c r="AM53" s="59" t="s">
        <v>789</v>
      </c>
      <c r="AN53" s="59" t="s">
        <v>789</v>
      </c>
      <c r="AO53" s="59" t="s">
        <v>789</v>
      </c>
      <c r="AP53" s="45" t="s">
        <v>789</v>
      </c>
      <c r="AQ53" s="60" t="s">
        <v>789</v>
      </c>
      <c r="AR53" s="60" t="s">
        <v>789</v>
      </c>
      <c r="AS53" s="60" t="s">
        <v>789</v>
      </c>
      <c r="AT53" s="45" t="s">
        <v>13</v>
      </c>
      <c r="AU53" s="59" t="s">
        <v>789</v>
      </c>
      <c r="AV53" s="59" t="s">
        <v>789</v>
      </c>
      <c r="AW53" s="59" t="s">
        <v>789</v>
      </c>
      <c r="AX53" s="59" t="s">
        <v>789</v>
      </c>
      <c r="AY53" s="59" t="s">
        <v>789</v>
      </c>
      <c r="AZ53" s="59" t="s">
        <v>789</v>
      </c>
      <c r="BA53" s="59" t="s">
        <v>789</v>
      </c>
      <c r="BB53" s="59" t="s">
        <v>789</v>
      </c>
      <c r="BC53" s="59" t="s">
        <v>789</v>
      </c>
      <c r="BD53" s="59" t="s">
        <v>789</v>
      </c>
      <c r="BE53" s="59" t="s">
        <v>789</v>
      </c>
      <c r="BF53" s="59" t="s">
        <v>789</v>
      </c>
      <c r="BG53" s="59" t="s">
        <v>789</v>
      </c>
      <c r="BH53" s="45" t="s">
        <v>789</v>
      </c>
      <c r="BI53" s="45" t="s">
        <v>789</v>
      </c>
      <c r="BJ53" s="59" t="s">
        <v>789</v>
      </c>
      <c r="BK53" s="45" t="s">
        <v>789</v>
      </c>
      <c r="BL53" s="45" t="e">
        <v>#VALUE!</v>
      </c>
      <c r="BM53" s="45" t="e">
        <v>#VALUE!</v>
      </c>
      <c r="BN53" s="45" t="e">
        <v>#VALUE!</v>
      </c>
      <c r="BO53" s="45" t="e">
        <v>#VALUE!</v>
      </c>
      <c r="BP53" s="45" t="e">
        <v>#VALUE!</v>
      </c>
      <c r="BQ53" s="45" t="e">
        <v>#VALUE!</v>
      </c>
      <c r="BR53" s="45" t="s">
        <v>787</v>
      </c>
      <c r="BS53" s="47" t="e">
        <v>#VALUE!</v>
      </c>
      <c r="BT53" s="47" t="e">
        <v>#VALUE!</v>
      </c>
      <c r="BU53" s="47" t="e">
        <v>#VALUE!</v>
      </c>
      <c r="BV53" s="47" t="e">
        <v>#VALUE!</v>
      </c>
      <c r="BW53" s="47" t="e">
        <v>#VALUE!</v>
      </c>
      <c r="BX53" s="47" t="e">
        <v>#VALUE!</v>
      </c>
      <c r="BY53" s="47" t="e">
        <v>#VALUE!</v>
      </c>
      <c r="BZ53" s="47" t="e">
        <v>#VALUE!</v>
      </c>
    </row>
    <row r="54" spans="1:83" collapsed="1">
      <c r="J54" s="46"/>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E54" s="44"/>
    </row>
    <row r="55" spans="1:83">
      <c r="J55" s="46"/>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E55" s="44"/>
    </row>
    <row r="56" spans="1:83" ht="12.75">
      <c r="B56" s="1972" t="s">
        <v>128</v>
      </c>
      <c r="C56" s="1973" t="s">
        <v>772</v>
      </c>
      <c r="D56" s="1974" t="s">
        <v>773</v>
      </c>
      <c r="E56" s="1975" t="s">
        <v>127</v>
      </c>
      <c r="F56" s="1976"/>
      <c r="G56" s="1976"/>
      <c r="H56" s="1976"/>
      <c r="I56" s="1976"/>
      <c r="J56" s="1977"/>
      <c r="K56" s="1978"/>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E56" s="44"/>
    </row>
    <row r="57" spans="1:83" ht="12.75">
      <c r="B57" s="1979" t="s">
        <v>131</v>
      </c>
      <c r="C57" s="1980">
        <v>8.3333333333333329E-2</v>
      </c>
      <c r="D57" s="1981">
        <v>1.7000000000000001E-2</v>
      </c>
      <c r="E57" s="63" t="s">
        <v>792</v>
      </c>
      <c r="F57" s="64"/>
      <c r="G57" s="64"/>
      <c r="H57" s="64"/>
      <c r="I57" s="64"/>
      <c r="J57" s="65"/>
      <c r="K57" s="66"/>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E57" s="44"/>
    </row>
    <row r="58" spans="1:83" ht="12.75">
      <c r="B58" s="67" t="s">
        <v>132</v>
      </c>
      <c r="C58" s="68">
        <v>0.25</v>
      </c>
      <c r="D58" s="50">
        <v>1.9E-2</v>
      </c>
      <c r="E58" s="63" t="s">
        <v>793</v>
      </c>
      <c r="F58" s="64"/>
      <c r="G58" s="64"/>
      <c r="H58" s="64"/>
      <c r="I58" s="64"/>
      <c r="J58" s="65"/>
      <c r="K58" s="66"/>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E58" s="44"/>
    </row>
    <row r="59" spans="1:83" ht="12.75">
      <c r="B59" s="67" t="s">
        <v>133</v>
      </c>
      <c r="C59" s="68">
        <v>0.5</v>
      </c>
      <c r="D59" s="50">
        <v>2.07E-2</v>
      </c>
      <c r="E59" s="63" t="s">
        <v>794</v>
      </c>
      <c r="F59" s="64"/>
      <c r="G59" s="64"/>
      <c r="H59" s="64"/>
      <c r="I59" s="64"/>
      <c r="J59" s="65"/>
      <c r="K59" s="66"/>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E59" s="44"/>
    </row>
    <row r="60" spans="1:83" ht="12.75">
      <c r="B60" s="67" t="s">
        <v>134</v>
      </c>
      <c r="C60" s="68">
        <v>1</v>
      </c>
      <c r="D60" s="50">
        <v>2.2700000000000001E-2</v>
      </c>
      <c r="E60" s="63" t="s">
        <v>795</v>
      </c>
      <c r="F60" s="64"/>
      <c r="G60" s="64"/>
      <c r="H60" s="64"/>
      <c r="I60" s="64"/>
      <c r="J60" s="65"/>
      <c r="K60" s="66"/>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E60" s="44"/>
    </row>
    <row r="61" spans="1:83" ht="12.75">
      <c r="B61" s="67" t="s">
        <v>135</v>
      </c>
      <c r="C61" s="68">
        <v>2</v>
      </c>
      <c r="D61" s="50">
        <v>2.4799999999999999E-2</v>
      </c>
      <c r="E61" s="63" t="s">
        <v>796</v>
      </c>
      <c r="F61" s="64"/>
      <c r="G61" s="64"/>
      <c r="H61" s="64"/>
      <c r="I61" s="64"/>
      <c r="J61" s="65"/>
      <c r="K61" s="66"/>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E61" s="44"/>
    </row>
    <row r="62" spans="1:83" ht="12.75">
      <c r="B62" s="67" t="s">
        <v>136</v>
      </c>
      <c r="C62" s="68">
        <v>3</v>
      </c>
      <c r="D62" s="50">
        <v>2.6000000000000002E-2</v>
      </c>
      <c r="E62" s="63" t="s">
        <v>797</v>
      </c>
      <c r="F62" s="64"/>
      <c r="G62" s="64"/>
      <c r="H62" s="64"/>
      <c r="I62" s="64"/>
      <c r="J62" s="65"/>
      <c r="K62" s="66"/>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E62" s="44"/>
    </row>
    <row r="63" spans="1:83" ht="12.75">
      <c r="B63" s="67" t="s">
        <v>137</v>
      </c>
      <c r="C63" s="68">
        <v>5</v>
      </c>
      <c r="D63" s="50">
        <v>2.76E-2</v>
      </c>
      <c r="E63" s="63" t="s">
        <v>798</v>
      </c>
      <c r="F63" s="64"/>
      <c r="G63" s="64"/>
      <c r="H63" s="64"/>
      <c r="I63" s="64"/>
      <c r="J63" s="65"/>
      <c r="K63" s="66"/>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E63" s="44"/>
    </row>
    <row r="64" spans="1:83" ht="12.75">
      <c r="B64" s="67" t="s">
        <v>138</v>
      </c>
      <c r="C64" s="68">
        <v>7</v>
      </c>
      <c r="D64" s="50">
        <v>2.8799999999999999E-2</v>
      </c>
      <c r="E64" s="63" t="s">
        <v>799</v>
      </c>
      <c r="F64" s="64"/>
      <c r="G64" s="64"/>
      <c r="H64" s="64"/>
      <c r="I64" s="64"/>
      <c r="J64" s="65"/>
      <c r="K64" s="66"/>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E64" s="44"/>
    </row>
    <row r="65" spans="2:83" ht="12.75">
      <c r="B65" s="67" t="s">
        <v>139</v>
      </c>
      <c r="C65" s="68">
        <v>10</v>
      </c>
      <c r="D65" s="50">
        <v>2.9300000000000003E-2</v>
      </c>
      <c r="E65" s="63" t="s">
        <v>800</v>
      </c>
      <c r="F65" s="64"/>
      <c r="G65" s="64"/>
      <c r="H65" s="64"/>
      <c r="I65" s="64"/>
      <c r="J65" s="65"/>
      <c r="K65" s="66"/>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E65" s="44"/>
    </row>
    <row r="66" spans="2:83" ht="12.75">
      <c r="B66" s="67" t="s">
        <v>140</v>
      </c>
      <c r="C66" s="68">
        <v>20</v>
      </c>
      <c r="D66" s="50">
        <v>3.0099999999999998E-2</v>
      </c>
      <c r="E66" s="63" t="s">
        <v>801</v>
      </c>
      <c r="F66" s="64"/>
      <c r="G66" s="64"/>
      <c r="H66" s="64"/>
      <c r="I66" s="64"/>
      <c r="J66" s="65"/>
      <c r="K66" s="66"/>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E66" s="44"/>
    </row>
    <row r="67" spans="2:83" ht="12.75">
      <c r="B67" s="69" t="s">
        <v>141</v>
      </c>
      <c r="C67" s="70">
        <v>30</v>
      </c>
      <c r="D67" s="49">
        <v>3.0899999999999997E-2</v>
      </c>
      <c r="E67" s="71" t="s">
        <v>802</v>
      </c>
      <c r="F67" s="72"/>
      <c r="G67" s="72"/>
      <c r="H67" s="72"/>
      <c r="I67" s="72"/>
      <c r="J67" s="73"/>
      <c r="K67" s="7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E67" s="44"/>
    </row>
    <row r="70" spans="2:83">
      <c r="B70" s="75" t="s">
        <v>774</v>
      </c>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E70" s="44"/>
    </row>
    <row r="71" spans="2:83" ht="12.75">
      <c r="B71" s="1982" t="s">
        <v>775</v>
      </c>
      <c r="C71" s="1983">
        <v>4.7800000000000002E-2</v>
      </c>
      <c r="D71" s="1984" t="s">
        <v>869</v>
      </c>
      <c r="E71" s="1985"/>
      <c r="F71" s="1985"/>
      <c r="G71" s="1985"/>
      <c r="H71" s="1985"/>
      <c r="I71" s="1985"/>
      <c r="J71" s="1986"/>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E71" s="44"/>
    </row>
    <row r="73" spans="2:83">
      <c r="B73" s="75" t="s">
        <v>776</v>
      </c>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E73" s="44"/>
    </row>
    <row r="74" spans="2:83" ht="12.75">
      <c r="B74" s="1982" t="s">
        <v>777</v>
      </c>
      <c r="C74" s="1983">
        <v>4.7500000000000001E-2</v>
      </c>
      <c r="D74" s="1984"/>
      <c r="E74" s="1985"/>
      <c r="F74" s="1985"/>
      <c r="G74" s="1985"/>
      <c r="H74" s="1985"/>
      <c r="I74" s="1985"/>
      <c r="J74" s="1986"/>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E74" s="44"/>
    </row>
  </sheetData>
  <pageMargins left="0.7" right="0.7" top="0.75" bottom="0.75" header="0.3" footer="0.3"/>
  <pageSetup paperSize="9" orientation="portrait" horizontalDpi="90" verticalDpi="90" r:id="rId1"/>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4">
    <tabColor rgb="FFFF0000"/>
  </sheetPr>
  <dimension ref="B1:AM57"/>
  <sheetViews>
    <sheetView showGridLines="0" view="pageBreakPreview" topLeftCell="K1" zoomScale="60" zoomScaleNormal="100" workbookViewId="0">
      <selection activeCell="AE52" sqref="AE52"/>
    </sheetView>
  </sheetViews>
  <sheetFormatPr defaultRowHeight="12.75" outlineLevelRow="1" outlineLevelCol="1"/>
  <cols>
    <col min="1" max="1" width="2.83203125" customWidth="1"/>
    <col min="2" max="2" width="11.83203125" customWidth="1"/>
    <col min="3" max="3" width="28.83203125" customWidth="1"/>
    <col min="4" max="4" width="26.33203125" customWidth="1"/>
    <col min="5" max="5" width="26.33203125" customWidth="1" outlineLevel="1"/>
    <col min="6" max="6" width="10.1640625" bestFit="1" customWidth="1"/>
    <col min="7" max="7" width="10" customWidth="1" outlineLevel="1"/>
    <col min="8" max="8" width="2.83203125" customWidth="1"/>
    <col min="9" max="11" width="16.33203125" customWidth="1"/>
    <col min="12" max="12" width="15.6640625" customWidth="1"/>
    <col min="13" max="13" width="2.83203125" customWidth="1"/>
    <col min="14" max="16" width="19.1640625" customWidth="1"/>
    <col min="17" max="17" width="2.83203125" customWidth="1"/>
    <col min="18" max="20" width="11.33203125" customWidth="1"/>
    <col min="21" max="22" width="11.33203125" customWidth="1" outlineLevel="1"/>
    <col min="23" max="23" width="2.83203125" customWidth="1"/>
    <col min="24" max="24" width="11.33203125" customWidth="1"/>
    <col min="25" max="25" width="2.83203125" customWidth="1"/>
    <col min="26" max="28" width="11.33203125" customWidth="1" outlineLevel="1"/>
    <col min="29" max="29" width="2.83203125" customWidth="1" outlineLevel="1"/>
    <col min="30" max="32" width="11.33203125" customWidth="1" outlineLevel="1"/>
    <col min="33" max="33" width="2.83203125" customWidth="1" outlineLevel="1"/>
    <col min="34" max="34" width="12.1640625" customWidth="1"/>
    <col min="35" max="35" width="11.6640625" customWidth="1"/>
    <col min="36" max="36" width="2.83203125" customWidth="1"/>
    <col min="37" max="37" width="24.6640625" customWidth="1"/>
    <col min="38" max="38" width="51.1640625" customWidth="1"/>
  </cols>
  <sheetData>
    <row r="1" spans="2:39" s="8" customFormat="1" ht="10.7" customHeight="1" thickBot="1"/>
    <row r="2" spans="2:39" s="8" customFormat="1" ht="16.5" customHeight="1" thickTop="1">
      <c r="B2" s="4" t="s">
        <v>675</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K2" s="1987" t="s">
        <v>87</v>
      </c>
      <c r="AL2" s="1988">
        <v>43245</v>
      </c>
    </row>
    <row r="3" spans="2:39" s="8" customFormat="1" ht="15.75" customHeight="1">
      <c r="B3" s="5" t="s">
        <v>813</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K3" s="38" t="s">
        <v>462</v>
      </c>
      <c r="AL3" s="36" t="s">
        <v>464</v>
      </c>
    </row>
    <row r="4" spans="2:39" s="8" customFormat="1" ht="16.5" customHeight="1" thickBot="1">
      <c r="B4" s="6" t="s">
        <v>743</v>
      </c>
      <c r="C4" s="6"/>
      <c r="D4" s="6"/>
      <c r="E4" s="6"/>
      <c r="F4" s="6"/>
      <c r="G4" s="6"/>
      <c r="H4" s="6"/>
      <c r="I4" s="6"/>
      <c r="J4" s="6"/>
      <c r="K4" s="6"/>
      <c r="L4" s="6"/>
      <c r="M4" s="6"/>
      <c r="N4" s="7"/>
      <c r="O4" s="7"/>
      <c r="P4" s="7"/>
      <c r="Q4" s="7" t="s">
        <v>88</v>
      </c>
      <c r="R4" s="7"/>
      <c r="S4" s="7"/>
      <c r="T4" s="7"/>
      <c r="U4" s="7"/>
      <c r="V4" s="7"/>
      <c r="W4" s="7"/>
      <c r="X4" s="7"/>
      <c r="Y4" s="7"/>
      <c r="Z4" s="7"/>
      <c r="AA4" s="7"/>
      <c r="AB4" s="7"/>
      <c r="AC4" s="7"/>
      <c r="AD4" s="7"/>
      <c r="AE4" s="7"/>
      <c r="AF4" s="7"/>
      <c r="AG4" s="7"/>
      <c r="AH4" s="7"/>
      <c r="AI4" s="7"/>
      <c r="AK4" s="38" t="s">
        <v>463</v>
      </c>
      <c r="AL4" s="36" t="s">
        <v>465</v>
      </c>
    </row>
    <row r="5" spans="2:39" s="8" customFormat="1" ht="12.75" customHeight="1" thickTop="1">
      <c r="AK5" s="14" t="s">
        <v>89</v>
      </c>
      <c r="AL5" s="106" t="s">
        <v>90</v>
      </c>
    </row>
    <row r="6" spans="2:39" s="8" customFormat="1" ht="12.75" customHeight="1">
      <c r="C6"/>
      <c r="D6" s="1989"/>
    </row>
    <row r="7" spans="2:39" s="8" customFormat="1" ht="12.75" customHeight="1">
      <c r="I7" s="1990" t="s">
        <v>477</v>
      </c>
      <c r="J7" s="1991"/>
      <c r="K7" s="1991"/>
      <c r="L7" s="1992"/>
      <c r="N7" s="1990" t="s">
        <v>361</v>
      </c>
      <c r="O7" s="1991"/>
      <c r="P7" s="1992"/>
      <c r="R7" s="1990" t="s">
        <v>360</v>
      </c>
      <c r="S7" s="1991"/>
      <c r="T7" s="1992"/>
      <c r="U7" s="1991"/>
      <c r="V7" s="1992"/>
      <c r="X7" s="2077" t="s">
        <v>602</v>
      </c>
      <c r="Z7" s="1990" t="s">
        <v>362</v>
      </c>
      <c r="AA7" s="1991"/>
      <c r="AB7" s="1992"/>
      <c r="AD7" s="1990" t="s">
        <v>363</v>
      </c>
      <c r="AE7" s="1991"/>
      <c r="AF7" s="1992"/>
      <c r="AH7" s="1990" t="s">
        <v>366</v>
      </c>
      <c r="AI7" s="1993"/>
    </row>
    <row r="8" spans="2:39" s="2" customFormat="1" ht="30.75" customHeight="1">
      <c r="B8" s="1994" t="s">
        <v>355</v>
      </c>
      <c r="C8" s="1995" t="s">
        <v>862</v>
      </c>
      <c r="D8" s="1995" t="s">
        <v>356</v>
      </c>
      <c r="E8" s="1995" t="s">
        <v>481</v>
      </c>
      <c r="F8" s="1996" t="s">
        <v>357</v>
      </c>
      <c r="G8" s="1996" t="s">
        <v>359</v>
      </c>
      <c r="I8" s="1994" t="s">
        <v>147</v>
      </c>
      <c r="J8" s="1995" t="s">
        <v>2103</v>
      </c>
      <c r="K8" s="1995" t="s">
        <v>2104</v>
      </c>
      <c r="L8" s="1996" t="s">
        <v>478</v>
      </c>
      <c r="M8" s="21"/>
      <c r="N8" s="1994" t="s">
        <v>162</v>
      </c>
      <c r="O8" s="1995" t="s">
        <v>175</v>
      </c>
      <c r="P8" s="1996" t="s">
        <v>176</v>
      </c>
      <c r="R8" s="1994" t="s">
        <v>162</v>
      </c>
      <c r="S8" s="1995" t="s">
        <v>175</v>
      </c>
      <c r="T8" s="1996" t="s">
        <v>176</v>
      </c>
      <c r="U8" s="1995" t="s">
        <v>479</v>
      </c>
      <c r="V8" s="1996" t="s">
        <v>480</v>
      </c>
      <c r="X8" s="2077"/>
      <c r="Z8" s="1994" t="s">
        <v>162</v>
      </c>
      <c r="AA8" s="1995" t="s">
        <v>175</v>
      </c>
      <c r="AB8" s="1996" t="s">
        <v>176</v>
      </c>
      <c r="AD8" s="1994" t="s">
        <v>162</v>
      </c>
      <c r="AE8" s="1995" t="s">
        <v>175</v>
      </c>
      <c r="AF8" s="1996" t="s">
        <v>176</v>
      </c>
      <c r="AH8" s="19" t="s">
        <v>364</v>
      </c>
      <c r="AI8" s="20" t="s">
        <v>365</v>
      </c>
      <c r="AK8" s="1997" t="s">
        <v>358</v>
      </c>
    </row>
    <row r="9" spans="2:39" s="8" customFormat="1" ht="12.75" customHeight="1"/>
    <row r="10" spans="2:39" s="26" customFormat="1" ht="12.75" customHeight="1">
      <c r="B10" s="25">
        <v>42902</v>
      </c>
      <c r="C10" s="26" t="s">
        <v>1985</v>
      </c>
      <c r="D10" s="26" t="s">
        <v>947</v>
      </c>
      <c r="E10" s="26" t="s">
        <v>818</v>
      </c>
      <c r="F10" s="27">
        <v>1</v>
      </c>
      <c r="G10" s="28" t="s">
        <v>814</v>
      </c>
      <c r="I10" s="29">
        <v>11.21428</v>
      </c>
      <c r="J10" s="29">
        <v>14.916689999999999</v>
      </c>
      <c r="K10" s="29">
        <v>0</v>
      </c>
      <c r="L10" s="29">
        <v>15.00634</v>
      </c>
      <c r="M10" s="30"/>
      <c r="N10" s="29">
        <v>0.51100000000000001</v>
      </c>
      <c r="O10" s="29">
        <v>-7.125</v>
      </c>
      <c r="P10" s="29">
        <v>-7.2149999999999999</v>
      </c>
      <c r="Q10" s="30"/>
      <c r="R10" s="31">
        <v>21.945753424657536</v>
      </c>
      <c r="S10" s="31">
        <v>-1.5739340350877193</v>
      </c>
      <c r="T10" s="31">
        <v>-1.5543007623007623</v>
      </c>
      <c r="U10" s="31">
        <v>3.1703899999999998</v>
      </c>
      <c r="V10" s="31" t="s">
        <v>787</v>
      </c>
      <c r="W10" s="30"/>
      <c r="X10" s="31"/>
      <c r="Y10" s="30"/>
      <c r="Z10" s="29">
        <v>0.4</v>
      </c>
      <c r="AA10" s="29">
        <v>0</v>
      </c>
      <c r="AB10" s="29" t="s">
        <v>787</v>
      </c>
      <c r="AC10" s="30"/>
      <c r="AD10" s="31">
        <v>28.035699999999999</v>
      </c>
      <c r="AE10" s="31" t="s">
        <v>13</v>
      </c>
      <c r="AF10" s="31" t="s">
        <v>13</v>
      </c>
      <c r="AH10" s="32">
        <v>7.0265999999999995E-2</v>
      </c>
      <c r="AI10" s="32">
        <v>1.0002230000000001</v>
      </c>
      <c r="AK10" s="37" t="s">
        <v>3603</v>
      </c>
      <c r="AL10" s="26" t="s">
        <v>3604</v>
      </c>
      <c r="AM10" s="1998" t="s">
        <v>3605</v>
      </c>
    </row>
    <row r="11" spans="2:39" s="26" customFormat="1" ht="12.75" hidden="1" customHeight="1">
      <c r="B11" s="25">
        <v>41578</v>
      </c>
      <c r="C11" s="26" t="s">
        <v>3577</v>
      </c>
      <c r="D11" s="26" t="s">
        <v>3805</v>
      </c>
      <c r="E11" s="26" t="s">
        <v>3806</v>
      </c>
      <c r="F11" s="27">
        <v>1</v>
      </c>
      <c r="G11" s="28" t="s">
        <v>814</v>
      </c>
      <c r="I11" s="29">
        <v>0</v>
      </c>
      <c r="J11" s="29">
        <v>0</v>
      </c>
      <c r="K11" s="29">
        <v>0</v>
      </c>
      <c r="L11" s="29">
        <v>0</v>
      </c>
      <c r="M11" s="30"/>
      <c r="N11" s="29">
        <v>0</v>
      </c>
      <c r="O11" s="29">
        <v>0</v>
      </c>
      <c r="P11" s="29">
        <v>0</v>
      </c>
      <c r="Q11" s="30"/>
      <c r="R11" s="31" t="s">
        <v>13</v>
      </c>
      <c r="S11" s="31" t="s">
        <v>13</v>
      </c>
      <c r="T11" s="31" t="s">
        <v>13</v>
      </c>
      <c r="U11" s="31" t="s">
        <v>609</v>
      </c>
      <c r="V11" s="31" t="s">
        <v>609</v>
      </c>
      <c r="W11" s="30"/>
      <c r="X11" s="31"/>
      <c r="Y11" s="30"/>
      <c r="Z11" s="29">
        <v>0</v>
      </c>
      <c r="AA11" s="29">
        <v>0</v>
      </c>
      <c r="AB11" s="29">
        <v>0</v>
      </c>
      <c r="AC11" s="30"/>
      <c r="AD11" s="31" t="s">
        <v>13</v>
      </c>
      <c r="AE11" s="31" t="s">
        <v>13</v>
      </c>
      <c r="AF11" s="31" t="s">
        <v>13</v>
      </c>
      <c r="AH11" s="32" t="s">
        <v>787</v>
      </c>
      <c r="AI11" s="32" t="s">
        <v>787</v>
      </c>
      <c r="AK11" s="37" t="s">
        <v>3807</v>
      </c>
      <c r="AL11" s="26" t="s">
        <v>3808</v>
      </c>
      <c r="AM11" s="1998" t="s">
        <v>3809</v>
      </c>
    </row>
    <row r="12" spans="2:39" s="26" customFormat="1" ht="12.75" hidden="1" customHeight="1" outlineLevel="1">
      <c r="B12" s="25" t="s">
        <v>791</v>
      </c>
      <c r="C12" s="26" t="s">
        <v>791</v>
      </c>
      <c r="D12" s="26" t="s">
        <v>791</v>
      </c>
      <c r="E12" s="26" t="s">
        <v>789</v>
      </c>
      <c r="F12" s="27" t="e">
        <v>#VALUE!</v>
      </c>
      <c r="G12" s="28" t="s">
        <v>791</v>
      </c>
      <c r="I12" s="29" t="s">
        <v>791</v>
      </c>
      <c r="J12" s="29" t="e">
        <v>#VALUE!</v>
      </c>
      <c r="K12" s="29" t="s">
        <v>791</v>
      </c>
      <c r="L12" s="29" t="s">
        <v>791</v>
      </c>
      <c r="M12" s="30"/>
      <c r="N12" s="29" t="s">
        <v>791</v>
      </c>
      <c r="O12" s="29" t="s">
        <v>791</v>
      </c>
      <c r="P12" s="29" t="s">
        <v>791</v>
      </c>
      <c r="Q12" s="30"/>
      <c r="R12" s="31" t="s">
        <v>13</v>
      </c>
      <c r="S12" s="31" t="s">
        <v>13</v>
      </c>
      <c r="T12" s="31" t="s">
        <v>13</v>
      </c>
      <c r="U12" s="31" t="s">
        <v>791</v>
      </c>
      <c r="V12" s="31" t="s">
        <v>791</v>
      </c>
      <c r="W12" s="30"/>
      <c r="X12" s="31"/>
      <c r="Y12" s="30"/>
      <c r="Z12" s="29" t="s">
        <v>791</v>
      </c>
      <c r="AA12" s="29" t="s">
        <v>791</v>
      </c>
      <c r="AB12" s="29" t="s">
        <v>791</v>
      </c>
      <c r="AC12" s="30"/>
      <c r="AD12" s="31" t="s">
        <v>13</v>
      </c>
      <c r="AE12" s="31" t="s">
        <v>13</v>
      </c>
      <c r="AF12" s="31" t="s">
        <v>13</v>
      </c>
      <c r="AH12" s="32" t="e">
        <v>#VALUE!</v>
      </c>
      <c r="AI12" s="32" t="e">
        <v>#VALUE!</v>
      </c>
      <c r="AK12" s="37">
        <v>0</v>
      </c>
      <c r="AL12" s="26" t="s">
        <v>789</v>
      </c>
      <c r="AM12" s="1998" t="s">
        <v>791</v>
      </c>
    </row>
    <row r="13" spans="2:39" s="26" customFormat="1" ht="12.75" hidden="1" customHeight="1" outlineLevel="1">
      <c r="B13" s="25" t="s">
        <v>791</v>
      </c>
      <c r="C13" s="26" t="s">
        <v>791</v>
      </c>
      <c r="D13" s="26" t="s">
        <v>791</v>
      </c>
      <c r="E13" s="26" t="s">
        <v>789</v>
      </c>
      <c r="F13" s="27" t="e">
        <v>#VALUE!</v>
      </c>
      <c r="G13" s="28" t="s">
        <v>791</v>
      </c>
      <c r="I13" s="29" t="s">
        <v>791</v>
      </c>
      <c r="J13" s="29" t="e">
        <v>#VALUE!</v>
      </c>
      <c r="K13" s="29" t="s">
        <v>791</v>
      </c>
      <c r="L13" s="29" t="s">
        <v>791</v>
      </c>
      <c r="M13" s="30"/>
      <c r="N13" s="29" t="s">
        <v>791</v>
      </c>
      <c r="O13" s="29" t="s">
        <v>791</v>
      </c>
      <c r="P13" s="29" t="s">
        <v>791</v>
      </c>
      <c r="Q13" s="30"/>
      <c r="R13" s="31" t="s">
        <v>13</v>
      </c>
      <c r="S13" s="31" t="s">
        <v>13</v>
      </c>
      <c r="T13" s="31" t="s">
        <v>13</v>
      </c>
      <c r="U13" s="31" t="s">
        <v>791</v>
      </c>
      <c r="V13" s="31" t="s">
        <v>791</v>
      </c>
      <c r="W13" s="30"/>
      <c r="X13" s="31"/>
      <c r="Y13" s="30"/>
      <c r="Z13" s="29" t="s">
        <v>791</v>
      </c>
      <c r="AA13" s="29" t="s">
        <v>791</v>
      </c>
      <c r="AB13" s="29" t="s">
        <v>791</v>
      </c>
      <c r="AC13" s="30"/>
      <c r="AD13" s="31" t="s">
        <v>13</v>
      </c>
      <c r="AE13" s="31" t="s">
        <v>13</v>
      </c>
      <c r="AF13" s="31" t="s">
        <v>13</v>
      </c>
      <c r="AH13" s="32" t="e">
        <v>#VALUE!</v>
      </c>
      <c r="AI13" s="32" t="e">
        <v>#VALUE!</v>
      </c>
      <c r="AK13" s="37">
        <v>0</v>
      </c>
      <c r="AL13" s="26" t="s">
        <v>789</v>
      </c>
      <c r="AM13" s="1998" t="s">
        <v>791</v>
      </c>
    </row>
    <row r="14" spans="2:39" s="26" customFormat="1" ht="12.75" hidden="1" customHeight="1" outlineLevel="1">
      <c r="B14" s="25" t="s">
        <v>791</v>
      </c>
      <c r="C14" s="26" t="s">
        <v>791</v>
      </c>
      <c r="D14" s="26" t="s">
        <v>791</v>
      </c>
      <c r="E14" s="26" t="s">
        <v>789</v>
      </c>
      <c r="F14" s="27" t="e">
        <v>#VALUE!</v>
      </c>
      <c r="G14" s="28" t="s">
        <v>791</v>
      </c>
      <c r="I14" s="29" t="s">
        <v>791</v>
      </c>
      <c r="J14" s="29" t="e">
        <v>#VALUE!</v>
      </c>
      <c r="K14" s="29" t="s">
        <v>791</v>
      </c>
      <c r="L14" s="29" t="s">
        <v>791</v>
      </c>
      <c r="M14" s="30"/>
      <c r="N14" s="29" t="s">
        <v>791</v>
      </c>
      <c r="O14" s="29" t="s">
        <v>791</v>
      </c>
      <c r="P14" s="29" t="s">
        <v>791</v>
      </c>
      <c r="Q14" s="30"/>
      <c r="R14" s="31" t="s">
        <v>13</v>
      </c>
      <c r="S14" s="31" t="s">
        <v>13</v>
      </c>
      <c r="T14" s="31" t="s">
        <v>13</v>
      </c>
      <c r="U14" s="31" t="s">
        <v>791</v>
      </c>
      <c r="V14" s="31" t="s">
        <v>791</v>
      </c>
      <c r="W14" s="30"/>
      <c r="X14" s="31"/>
      <c r="Y14" s="30"/>
      <c r="Z14" s="29" t="s">
        <v>791</v>
      </c>
      <c r="AA14" s="29" t="s">
        <v>791</v>
      </c>
      <c r="AB14" s="29" t="s">
        <v>791</v>
      </c>
      <c r="AC14" s="30"/>
      <c r="AD14" s="31" t="s">
        <v>13</v>
      </c>
      <c r="AE14" s="31" t="s">
        <v>13</v>
      </c>
      <c r="AF14" s="31" t="s">
        <v>13</v>
      </c>
      <c r="AH14" s="32" t="e">
        <v>#VALUE!</v>
      </c>
      <c r="AI14" s="32" t="e">
        <v>#VALUE!</v>
      </c>
      <c r="AK14" s="37">
        <v>0</v>
      </c>
      <c r="AL14" s="26" t="s">
        <v>789</v>
      </c>
      <c r="AM14" s="1998" t="s">
        <v>791</v>
      </c>
    </row>
    <row r="15" spans="2:39" s="26" customFormat="1" ht="12.75" hidden="1" customHeight="1" outlineLevel="1">
      <c r="B15" s="25" t="s">
        <v>791</v>
      </c>
      <c r="C15" s="26" t="s">
        <v>791</v>
      </c>
      <c r="D15" s="26" t="s">
        <v>791</v>
      </c>
      <c r="E15" s="26" t="s">
        <v>789</v>
      </c>
      <c r="F15" s="27" t="e">
        <v>#VALUE!</v>
      </c>
      <c r="G15" s="28" t="s">
        <v>791</v>
      </c>
      <c r="I15" s="29" t="s">
        <v>791</v>
      </c>
      <c r="J15" s="29" t="e">
        <v>#VALUE!</v>
      </c>
      <c r="K15" s="29" t="s">
        <v>791</v>
      </c>
      <c r="L15" s="29" t="s">
        <v>791</v>
      </c>
      <c r="M15" s="30"/>
      <c r="N15" s="29" t="s">
        <v>791</v>
      </c>
      <c r="O15" s="29" t="s">
        <v>791</v>
      </c>
      <c r="P15" s="29" t="s">
        <v>791</v>
      </c>
      <c r="Q15" s="30"/>
      <c r="R15" s="31" t="s">
        <v>13</v>
      </c>
      <c r="S15" s="31" t="s">
        <v>13</v>
      </c>
      <c r="T15" s="31" t="s">
        <v>13</v>
      </c>
      <c r="U15" s="31" t="s">
        <v>791</v>
      </c>
      <c r="V15" s="31" t="s">
        <v>791</v>
      </c>
      <c r="W15" s="30"/>
      <c r="X15" s="31"/>
      <c r="Y15" s="30"/>
      <c r="Z15" s="29" t="s">
        <v>791</v>
      </c>
      <c r="AA15" s="29" t="s">
        <v>791</v>
      </c>
      <c r="AB15" s="29" t="s">
        <v>791</v>
      </c>
      <c r="AC15" s="30"/>
      <c r="AD15" s="31" t="s">
        <v>13</v>
      </c>
      <c r="AE15" s="31" t="s">
        <v>13</v>
      </c>
      <c r="AF15" s="31" t="s">
        <v>13</v>
      </c>
      <c r="AH15" s="32" t="e">
        <v>#VALUE!</v>
      </c>
      <c r="AI15" s="32" t="e">
        <v>#VALUE!</v>
      </c>
      <c r="AK15" s="37">
        <v>0</v>
      </c>
      <c r="AL15" s="26" t="s">
        <v>789</v>
      </c>
      <c r="AM15" s="1998" t="s">
        <v>791</v>
      </c>
    </row>
    <row r="16" spans="2:39" s="26" customFormat="1" ht="12.75" hidden="1" customHeight="1" outlineLevel="1">
      <c r="B16" s="25" t="s">
        <v>791</v>
      </c>
      <c r="C16" s="26" t="s">
        <v>791</v>
      </c>
      <c r="D16" s="26" t="s">
        <v>791</v>
      </c>
      <c r="E16" s="26" t="s">
        <v>789</v>
      </c>
      <c r="F16" s="27" t="e">
        <v>#VALUE!</v>
      </c>
      <c r="G16" s="28" t="s">
        <v>791</v>
      </c>
      <c r="I16" s="29" t="s">
        <v>791</v>
      </c>
      <c r="J16" s="29" t="e">
        <v>#VALUE!</v>
      </c>
      <c r="K16" s="29" t="s">
        <v>791</v>
      </c>
      <c r="L16" s="29" t="s">
        <v>791</v>
      </c>
      <c r="M16" s="30"/>
      <c r="N16" s="29" t="s">
        <v>791</v>
      </c>
      <c r="O16" s="29" t="s">
        <v>791</v>
      </c>
      <c r="P16" s="29" t="s">
        <v>791</v>
      </c>
      <c r="Q16" s="30"/>
      <c r="R16" s="31" t="s">
        <v>13</v>
      </c>
      <c r="S16" s="31" t="s">
        <v>13</v>
      </c>
      <c r="T16" s="31" t="s">
        <v>13</v>
      </c>
      <c r="U16" s="31" t="s">
        <v>791</v>
      </c>
      <c r="V16" s="31" t="s">
        <v>791</v>
      </c>
      <c r="W16" s="30"/>
      <c r="X16" s="31"/>
      <c r="Y16" s="30"/>
      <c r="Z16" s="29" t="s">
        <v>791</v>
      </c>
      <c r="AA16" s="29" t="s">
        <v>791</v>
      </c>
      <c r="AB16" s="29" t="s">
        <v>791</v>
      </c>
      <c r="AC16" s="30"/>
      <c r="AD16" s="31" t="s">
        <v>13</v>
      </c>
      <c r="AE16" s="31" t="s">
        <v>13</v>
      </c>
      <c r="AF16" s="31" t="s">
        <v>13</v>
      </c>
      <c r="AH16" s="32" t="e">
        <v>#VALUE!</v>
      </c>
      <c r="AI16" s="32" t="e">
        <v>#VALUE!</v>
      </c>
      <c r="AK16" s="37">
        <v>0</v>
      </c>
      <c r="AL16" s="26" t="s">
        <v>789</v>
      </c>
      <c r="AM16" s="1998" t="s">
        <v>791</v>
      </c>
    </row>
    <row r="17" spans="2:38" s="26" customFormat="1" ht="12.75" hidden="1" customHeight="1" outlineLevel="1">
      <c r="B17" s="25" t="s">
        <v>791</v>
      </c>
      <c r="C17" s="26" t="s">
        <v>791</v>
      </c>
      <c r="D17" s="26" t="s">
        <v>791</v>
      </c>
      <c r="E17" s="26" t="s">
        <v>789</v>
      </c>
      <c r="F17" s="27" t="e">
        <v>#VALUE!</v>
      </c>
      <c r="G17" s="28" t="s">
        <v>791</v>
      </c>
      <c r="I17" s="29" t="s">
        <v>791</v>
      </c>
      <c r="J17" s="29" t="e">
        <v>#VALUE!</v>
      </c>
      <c r="K17" s="29" t="s">
        <v>791</v>
      </c>
      <c r="L17" s="29" t="s">
        <v>791</v>
      </c>
      <c r="M17" s="30"/>
      <c r="N17" s="29" t="s">
        <v>791</v>
      </c>
      <c r="O17" s="29" t="s">
        <v>791</v>
      </c>
      <c r="P17" s="29" t="s">
        <v>791</v>
      </c>
      <c r="Q17" s="30"/>
      <c r="R17" s="31" t="s">
        <v>13</v>
      </c>
      <c r="S17" s="31" t="s">
        <v>13</v>
      </c>
      <c r="T17" s="31" t="s">
        <v>13</v>
      </c>
      <c r="U17" s="31" t="s">
        <v>791</v>
      </c>
      <c r="V17" s="31" t="s">
        <v>791</v>
      </c>
      <c r="W17" s="30"/>
      <c r="X17" s="31"/>
      <c r="Y17" s="30"/>
      <c r="Z17" s="29" t="s">
        <v>791</v>
      </c>
      <c r="AA17" s="29" t="s">
        <v>791</v>
      </c>
      <c r="AB17" s="29" t="s">
        <v>791</v>
      </c>
      <c r="AC17" s="30"/>
      <c r="AD17" s="31" t="s">
        <v>13</v>
      </c>
      <c r="AE17" s="31" t="s">
        <v>13</v>
      </c>
      <c r="AF17" s="31" t="s">
        <v>13</v>
      </c>
      <c r="AH17" s="32" t="e">
        <v>#VALUE!</v>
      </c>
      <c r="AI17" s="32" t="e">
        <v>#VALUE!</v>
      </c>
      <c r="AK17" s="37">
        <v>0</v>
      </c>
      <c r="AL17" s="26" t="s">
        <v>789</v>
      </c>
    </row>
    <row r="18" spans="2:38" s="26" customFormat="1" ht="12.75" hidden="1" customHeight="1" outlineLevel="1">
      <c r="B18" s="25" t="s">
        <v>791</v>
      </c>
      <c r="C18" s="26" t="s">
        <v>791</v>
      </c>
      <c r="D18" s="26" t="s">
        <v>791</v>
      </c>
      <c r="E18" s="26" t="s">
        <v>789</v>
      </c>
      <c r="F18" s="27" t="e">
        <v>#VALUE!</v>
      </c>
      <c r="G18" s="28" t="s">
        <v>791</v>
      </c>
      <c r="I18" s="29" t="s">
        <v>791</v>
      </c>
      <c r="J18" s="29" t="e">
        <v>#VALUE!</v>
      </c>
      <c r="K18" s="29" t="s">
        <v>791</v>
      </c>
      <c r="L18" s="29" t="s">
        <v>791</v>
      </c>
      <c r="M18" s="30"/>
      <c r="N18" s="29" t="s">
        <v>791</v>
      </c>
      <c r="O18" s="29" t="s">
        <v>791</v>
      </c>
      <c r="P18" s="29" t="s">
        <v>791</v>
      </c>
      <c r="Q18" s="30"/>
      <c r="R18" s="31" t="s">
        <v>13</v>
      </c>
      <c r="S18" s="31" t="s">
        <v>13</v>
      </c>
      <c r="T18" s="31" t="s">
        <v>13</v>
      </c>
      <c r="U18" s="31" t="s">
        <v>791</v>
      </c>
      <c r="V18" s="31" t="s">
        <v>791</v>
      </c>
      <c r="W18" s="30"/>
      <c r="X18" s="31"/>
      <c r="Y18" s="30"/>
      <c r="Z18" s="29" t="s">
        <v>791</v>
      </c>
      <c r="AA18" s="29" t="s">
        <v>791</v>
      </c>
      <c r="AB18" s="29" t="s">
        <v>791</v>
      </c>
      <c r="AC18" s="30"/>
      <c r="AD18" s="31" t="s">
        <v>13</v>
      </c>
      <c r="AE18" s="31" t="s">
        <v>13</v>
      </c>
      <c r="AF18" s="31" t="s">
        <v>13</v>
      </c>
      <c r="AH18" s="32" t="e">
        <v>#VALUE!</v>
      </c>
      <c r="AI18" s="32" t="e">
        <v>#VALUE!</v>
      </c>
      <c r="AK18" s="37">
        <v>0</v>
      </c>
      <c r="AL18" s="26" t="s">
        <v>789</v>
      </c>
    </row>
    <row r="19" spans="2:38" s="26" customFormat="1" ht="12.75" hidden="1" customHeight="1" outlineLevel="1">
      <c r="B19" s="25" t="s">
        <v>791</v>
      </c>
      <c r="C19" s="26" t="s">
        <v>791</v>
      </c>
      <c r="D19" s="26" t="s">
        <v>791</v>
      </c>
      <c r="E19" s="26" t="s">
        <v>789</v>
      </c>
      <c r="F19" s="27" t="e">
        <v>#VALUE!</v>
      </c>
      <c r="G19" s="28" t="s">
        <v>791</v>
      </c>
      <c r="I19" s="29" t="s">
        <v>791</v>
      </c>
      <c r="J19" s="29" t="e">
        <v>#VALUE!</v>
      </c>
      <c r="K19" s="29" t="s">
        <v>791</v>
      </c>
      <c r="L19" s="29" t="s">
        <v>791</v>
      </c>
      <c r="M19" s="30"/>
      <c r="N19" s="29" t="s">
        <v>791</v>
      </c>
      <c r="O19" s="29" t="s">
        <v>791</v>
      </c>
      <c r="P19" s="29" t="s">
        <v>791</v>
      </c>
      <c r="Q19" s="30"/>
      <c r="R19" s="31" t="s">
        <v>13</v>
      </c>
      <c r="S19" s="31" t="s">
        <v>13</v>
      </c>
      <c r="T19" s="31" t="s">
        <v>13</v>
      </c>
      <c r="U19" s="31" t="s">
        <v>791</v>
      </c>
      <c r="V19" s="31" t="s">
        <v>791</v>
      </c>
      <c r="W19" s="30"/>
      <c r="X19" s="31"/>
      <c r="Y19" s="30"/>
      <c r="Z19" s="29" t="s">
        <v>791</v>
      </c>
      <c r="AA19" s="29" t="s">
        <v>791</v>
      </c>
      <c r="AB19" s="29" t="s">
        <v>791</v>
      </c>
      <c r="AC19" s="30"/>
      <c r="AD19" s="31" t="s">
        <v>13</v>
      </c>
      <c r="AE19" s="31" t="s">
        <v>13</v>
      </c>
      <c r="AF19" s="31" t="s">
        <v>13</v>
      </c>
      <c r="AH19" s="32" t="e">
        <v>#VALUE!</v>
      </c>
      <c r="AI19" s="32" t="e">
        <v>#VALUE!</v>
      </c>
      <c r="AK19" s="37">
        <v>0</v>
      </c>
      <c r="AL19" s="26" t="s">
        <v>789</v>
      </c>
    </row>
    <row r="20" spans="2:38" s="26" customFormat="1" ht="12.75" hidden="1" customHeight="1" outlineLevel="1">
      <c r="B20" s="25" t="s">
        <v>791</v>
      </c>
      <c r="C20" s="26" t="s">
        <v>791</v>
      </c>
      <c r="D20" s="26" t="s">
        <v>791</v>
      </c>
      <c r="E20" s="26" t="s">
        <v>789</v>
      </c>
      <c r="F20" s="27" t="e">
        <v>#VALUE!</v>
      </c>
      <c r="G20" s="28" t="s">
        <v>791</v>
      </c>
      <c r="I20" s="29" t="s">
        <v>791</v>
      </c>
      <c r="J20" s="29" t="e">
        <v>#VALUE!</v>
      </c>
      <c r="K20" s="29" t="s">
        <v>791</v>
      </c>
      <c r="L20" s="29" t="s">
        <v>791</v>
      </c>
      <c r="M20" s="30"/>
      <c r="N20" s="29" t="s">
        <v>791</v>
      </c>
      <c r="O20" s="29" t="s">
        <v>791</v>
      </c>
      <c r="P20" s="29" t="s">
        <v>791</v>
      </c>
      <c r="Q20" s="30"/>
      <c r="R20" s="31" t="s">
        <v>13</v>
      </c>
      <c r="S20" s="31" t="s">
        <v>13</v>
      </c>
      <c r="T20" s="31" t="s">
        <v>13</v>
      </c>
      <c r="U20" s="31" t="s">
        <v>791</v>
      </c>
      <c r="V20" s="31" t="s">
        <v>791</v>
      </c>
      <c r="W20" s="30"/>
      <c r="X20" s="31"/>
      <c r="Y20" s="30"/>
      <c r="Z20" s="29" t="s">
        <v>791</v>
      </c>
      <c r="AA20" s="29" t="s">
        <v>791</v>
      </c>
      <c r="AB20" s="29" t="s">
        <v>791</v>
      </c>
      <c r="AC20" s="30"/>
      <c r="AD20" s="31" t="s">
        <v>13</v>
      </c>
      <c r="AE20" s="31" t="s">
        <v>13</v>
      </c>
      <c r="AF20" s="31" t="s">
        <v>13</v>
      </c>
      <c r="AH20" s="32" t="e">
        <v>#VALUE!</v>
      </c>
      <c r="AI20" s="32" t="e">
        <v>#VALUE!</v>
      </c>
      <c r="AK20" s="37">
        <v>0</v>
      </c>
      <c r="AL20" s="26" t="s">
        <v>789</v>
      </c>
    </row>
    <row r="21" spans="2:38" s="26" customFormat="1" ht="12.75" hidden="1" customHeight="1" outlineLevel="1">
      <c r="B21" s="25" t="s">
        <v>791</v>
      </c>
      <c r="C21" s="26" t="s">
        <v>791</v>
      </c>
      <c r="D21" s="26" t="s">
        <v>791</v>
      </c>
      <c r="E21" s="26" t="s">
        <v>789</v>
      </c>
      <c r="F21" s="27" t="e">
        <v>#VALUE!</v>
      </c>
      <c r="G21" s="28" t="s">
        <v>791</v>
      </c>
      <c r="I21" s="29" t="s">
        <v>791</v>
      </c>
      <c r="J21" s="29" t="e">
        <v>#VALUE!</v>
      </c>
      <c r="K21" s="29" t="s">
        <v>791</v>
      </c>
      <c r="L21" s="29" t="s">
        <v>791</v>
      </c>
      <c r="M21" s="30"/>
      <c r="N21" s="29" t="s">
        <v>791</v>
      </c>
      <c r="O21" s="29" t="s">
        <v>791</v>
      </c>
      <c r="P21" s="29" t="s">
        <v>791</v>
      </c>
      <c r="Q21" s="30"/>
      <c r="R21" s="31" t="s">
        <v>13</v>
      </c>
      <c r="S21" s="31" t="s">
        <v>13</v>
      </c>
      <c r="T21" s="31" t="s">
        <v>13</v>
      </c>
      <c r="U21" s="31" t="s">
        <v>791</v>
      </c>
      <c r="V21" s="31" t="s">
        <v>791</v>
      </c>
      <c r="W21" s="30"/>
      <c r="X21" s="31"/>
      <c r="Y21" s="30"/>
      <c r="Z21" s="29" t="s">
        <v>791</v>
      </c>
      <c r="AA21" s="29" t="s">
        <v>791</v>
      </c>
      <c r="AB21" s="29" t="s">
        <v>791</v>
      </c>
      <c r="AC21" s="30"/>
      <c r="AD21" s="31" t="s">
        <v>13</v>
      </c>
      <c r="AE21" s="31" t="s">
        <v>13</v>
      </c>
      <c r="AF21" s="31" t="s">
        <v>13</v>
      </c>
      <c r="AH21" s="32" t="e">
        <v>#VALUE!</v>
      </c>
      <c r="AI21" s="32" t="e">
        <v>#VALUE!</v>
      </c>
      <c r="AK21" s="37">
        <v>0</v>
      </c>
      <c r="AL21" s="26" t="s">
        <v>789</v>
      </c>
    </row>
    <row r="22" spans="2:38" s="26" customFormat="1" ht="12.75" hidden="1" customHeight="1" outlineLevel="1">
      <c r="B22" s="25" t="s">
        <v>791</v>
      </c>
      <c r="C22" s="26" t="s">
        <v>791</v>
      </c>
      <c r="D22" s="26" t="s">
        <v>791</v>
      </c>
      <c r="E22" s="26" t="s">
        <v>789</v>
      </c>
      <c r="F22" s="27" t="e">
        <v>#VALUE!</v>
      </c>
      <c r="G22" s="28" t="s">
        <v>791</v>
      </c>
      <c r="I22" s="29" t="s">
        <v>791</v>
      </c>
      <c r="J22" s="29" t="e">
        <v>#VALUE!</v>
      </c>
      <c r="K22" s="29" t="s">
        <v>791</v>
      </c>
      <c r="L22" s="29" t="s">
        <v>791</v>
      </c>
      <c r="M22" s="30"/>
      <c r="N22" s="29" t="s">
        <v>791</v>
      </c>
      <c r="O22" s="29" t="s">
        <v>791</v>
      </c>
      <c r="P22" s="29" t="s">
        <v>791</v>
      </c>
      <c r="Q22" s="30"/>
      <c r="R22" s="31" t="s">
        <v>13</v>
      </c>
      <c r="S22" s="31" t="s">
        <v>13</v>
      </c>
      <c r="T22" s="31" t="s">
        <v>13</v>
      </c>
      <c r="U22" s="31" t="s">
        <v>791</v>
      </c>
      <c r="V22" s="31" t="s">
        <v>791</v>
      </c>
      <c r="W22" s="30"/>
      <c r="X22" s="31"/>
      <c r="Y22" s="30"/>
      <c r="Z22" s="29" t="s">
        <v>791</v>
      </c>
      <c r="AA22" s="29" t="s">
        <v>791</v>
      </c>
      <c r="AB22" s="29" t="s">
        <v>791</v>
      </c>
      <c r="AC22" s="30"/>
      <c r="AD22" s="31" t="s">
        <v>13</v>
      </c>
      <c r="AE22" s="31" t="s">
        <v>13</v>
      </c>
      <c r="AF22" s="31" t="s">
        <v>13</v>
      </c>
      <c r="AH22" s="32" t="e">
        <v>#VALUE!</v>
      </c>
      <c r="AI22" s="32" t="e">
        <v>#VALUE!</v>
      </c>
      <c r="AK22" s="37">
        <v>0</v>
      </c>
      <c r="AL22" s="26" t="s">
        <v>789</v>
      </c>
    </row>
    <row r="23" spans="2:38" s="26" customFormat="1" ht="12.75" hidden="1" customHeight="1" outlineLevel="1">
      <c r="B23" s="25" t="s">
        <v>791</v>
      </c>
      <c r="C23" s="26" t="s">
        <v>791</v>
      </c>
      <c r="D23" s="26" t="s">
        <v>791</v>
      </c>
      <c r="E23" s="26" t="s">
        <v>789</v>
      </c>
      <c r="F23" s="27" t="e">
        <v>#VALUE!</v>
      </c>
      <c r="G23" s="28" t="s">
        <v>791</v>
      </c>
      <c r="I23" s="29" t="s">
        <v>791</v>
      </c>
      <c r="J23" s="29" t="e">
        <v>#VALUE!</v>
      </c>
      <c r="K23" s="29" t="s">
        <v>791</v>
      </c>
      <c r="L23" s="29" t="s">
        <v>791</v>
      </c>
      <c r="M23" s="30"/>
      <c r="N23" s="29" t="s">
        <v>791</v>
      </c>
      <c r="O23" s="29" t="s">
        <v>791</v>
      </c>
      <c r="P23" s="29" t="s">
        <v>791</v>
      </c>
      <c r="Q23" s="30"/>
      <c r="R23" s="31" t="s">
        <v>13</v>
      </c>
      <c r="S23" s="31" t="s">
        <v>13</v>
      </c>
      <c r="T23" s="31" t="s">
        <v>13</v>
      </c>
      <c r="U23" s="31" t="s">
        <v>791</v>
      </c>
      <c r="V23" s="31" t="s">
        <v>791</v>
      </c>
      <c r="W23" s="30"/>
      <c r="X23" s="31"/>
      <c r="Y23" s="30"/>
      <c r="Z23" s="29" t="s">
        <v>791</v>
      </c>
      <c r="AA23" s="29" t="s">
        <v>791</v>
      </c>
      <c r="AB23" s="29" t="s">
        <v>791</v>
      </c>
      <c r="AC23" s="30"/>
      <c r="AD23" s="31" t="s">
        <v>13</v>
      </c>
      <c r="AE23" s="31" t="s">
        <v>13</v>
      </c>
      <c r="AF23" s="31" t="s">
        <v>13</v>
      </c>
      <c r="AH23" s="32" t="e">
        <v>#VALUE!</v>
      </c>
      <c r="AI23" s="32" t="e">
        <v>#VALUE!</v>
      </c>
      <c r="AK23" s="37">
        <v>0</v>
      </c>
      <c r="AL23" s="26" t="s">
        <v>789</v>
      </c>
    </row>
    <row r="24" spans="2:38" s="26" customFormat="1" ht="12.75" hidden="1" customHeight="1" outlineLevel="1">
      <c r="B24" s="25" t="s">
        <v>791</v>
      </c>
      <c r="C24" s="26" t="s">
        <v>791</v>
      </c>
      <c r="D24" s="26" t="s">
        <v>791</v>
      </c>
      <c r="E24" s="26" t="s">
        <v>789</v>
      </c>
      <c r="F24" s="27" t="e">
        <v>#VALUE!</v>
      </c>
      <c r="G24" s="28" t="s">
        <v>791</v>
      </c>
      <c r="I24" s="29" t="s">
        <v>791</v>
      </c>
      <c r="J24" s="29" t="e">
        <v>#VALUE!</v>
      </c>
      <c r="K24" s="29" t="s">
        <v>791</v>
      </c>
      <c r="L24" s="29" t="s">
        <v>791</v>
      </c>
      <c r="M24" s="30"/>
      <c r="N24" s="29" t="s">
        <v>791</v>
      </c>
      <c r="O24" s="29" t="s">
        <v>791</v>
      </c>
      <c r="P24" s="29" t="s">
        <v>791</v>
      </c>
      <c r="Q24" s="30"/>
      <c r="R24" s="31" t="s">
        <v>13</v>
      </c>
      <c r="S24" s="31" t="s">
        <v>13</v>
      </c>
      <c r="T24" s="31" t="s">
        <v>13</v>
      </c>
      <c r="U24" s="31" t="s">
        <v>791</v>
      </c>
      <c r="V24" s="31" t="s">
        <v>791</v>
      </c>
      <c r="W24" s="30"/>
      <c r="X24" s="31"/>
      <c r="Y24" s="30"/>
      <c r="Z24" s="29" t="s">
        <v>791</v>
      </c>
      <c r="AA24" s="29" t="s">
        <v>791</v>
      </c>
      <c r="AB24" s="29" t="s">
        <v>791</v>
      </c>
      <c r="AC24" s="30"/>
      <c r="AD24" s="31" t="s">
        <v>13</v>
      </c>
      <c r="AE24" s="31" t="s">
        <v>13</v>
      </c>
      <c r="AF24" s="31" t="s">
        <v>13</v>
      </c>
      <c r="AH24" s="32" t="e">
        <v>#VALUE!</v>
      </c>
      <c r="AI24" s="32" t="e">
        <v>#VALUE!</v>
      </c>
      <c r="AK24" s="37">
        <v>0</v>
      </c>
      <c r="AL24" s="26" t="s">
        <v>789</v>
      </c>
    </row>
    <row r="25" spans="2:38" s="26" customFormat="1" ht="12.75" hidden="1" customHeight="1" outlineLevel="1">
      <c r="B25" s="25" t="s">
        <v>791</v>
      </c>
      <c r="C25" s="26" t="s">
        <v>791</v>
      </c>
      <c r="D25" s="26" t="s">
        <v>791</v>
      </c>
      <c r="E25" s="26" t="s">
        <v>789</v>
      </c>
      <c r="F25" s="27" t="e">
        <v>#VALUE!</v>
      </c>
      <c r="G25" s="28" t="s">
        <v>791</v>
      </c>
      <c r="I25" s="29" t="s">
        <v>791</v>
      </c>
      <c r="J25" s="29" t="e">
        <v>#VALUE!</v>
      </c>
      <c r="K25" s="29" t="s">
        <v>791</v>
      </c>
      <c r="L25" s="29" t="s">
        <v>791</v>
      </c>
      <c r="M25" s="30"/>
      <c r="N25" s="29" t="s">
        <v>791</v>
      </c>
      <c r="O25" s="29" t="s">
        <v>791</v>
      </c>
      <c r="P25" s="29" t="s">
        <v>791</v>
      </c>
      <c r="Q25" s="30"/>
      <c r="R25" s="31" t="s">
        <v>13</v>
      </c>
      <c r="S25" s="31" t="s">
        <v>13</v>
      </c>
      <c r="T25" s="31" t="s">
        <v>13</v>
      </c>
      <c r="U25" s="31" t="s">
        <v>791</v>
      </c>
      <c r="V25" s="31" t="s">
        <v>791</v>
      </c>
      <c r="W25" s="30"/>
      <c r="X25" s="31"/>
      <c r="Y25" s="30"/>
      <c r="Z25" s="29" t="s">
        <v>791</v>
      </c>
      <c r="AA25" s="29" t="s">
        <v>791</v>
      </c>
      <c r="AB25" s="29" t="s">
        <v>791</v>
      </c>
      <c r="AC25" s="30"/>
      <c r="AD25" s="31" t="s">
        <v>13</v>
      </c>
      <c r="AE25" s="31" t="s">
        <v>13</v>
      </c>
      <c r="AF25" s="31" t="s">
        <v>13</v>
      </c>
      <c r="AH25" s="32" t="e">
        <v>#VALUE!</v>
      </c>
      <c r="AI25" s="32" t="e">
        <v>#VALUE!</v>
      </c>
      <c r="AK25" s="37">
        <v>0</v>
      </c>
      <c r="AL25" s="26" t="s">
        <v>789</v>
      </c>
    </row>
    <row r="26" spans="2:38" s="26" customFormat="1" ht="12.75" hidden="1" customHeight="1" outlineLevel="1">
      <c r="B26" s="25" t="s">
        <v>791</v>
      </c>
      <c r="C26" s="26" t="s">
        <v>791</v>
      </c>
      <c r="D26" s="26" t="s">
        <v>791</v>
      </c>
      <c r="E26" s="26" t="s">
        <v>789</v>
      </c>
      <c r="F26" s="27" t="e">
        <v>#VALUE!</v>
      </c>
      <c r="G26" s="28" t="s">
        <v>791</v>
      </c>
      <c r="I26" s="29" t="s">
        <v>791</v>
      </c>
      <c r="J26" s="29" t="e">
        <v>#VALUE!</v>
      </c>
      <c r="K26" s="29" t="s">
        <v>791</v>
      </c>
      <c r="L26" s="29" t="s">
        <v>791</v>
      </c>
      <c r="M26" s="30"/>
      <c r="N26" s="29" t="s">
        <v>791</v>
      </c>
      <c r="O26" s="29" t="s">
        <v>791</v>
      </c>
      <c r="P26" s="29" t="s">
        <v>791</v>
      </c>
      <c r="Q26" s="30"/>
      <c r="R26" s="31" t="s">
        <v>13</v>
      </c>
      <c r="S26" s="31" t="s">
        <v>13</v>
      </c>
      <c r="T26" s="31" t="s">
        <v>13</v>
      </c>
      <c r="U26" s="31" t="s">
        <v>791</v>
      </c>
      <c r="V26" s="31" t="s">
        <v>791</v>
      </c>
      <c r="W26" s="30"/>
      <c r="X26" s="31"/>
      <c r="Y26" s="30"/>
      <c r="Z26" s="29" t="s">
        <v>791</v>
      </c>
      <c r="AA26" s="29" t="s">
        <v>791</v>
      </c>
      <c r="AB26" s="29" t="s">
        <v>791</v>
      </c>
      <c r="AC26" s="30"/>
      <c r="AD26" s="31" t="s">
        <v>13</v>
      </c>
      <c r="AE26" s="31" t="s">
        <v>13</v>
      </c>
      <c r="AF26" s="31" t="s">
        <v>13</v>
      </c>
      <c r="AH26" s="32" t="e">
        <v>#VALUE!</v>
      </c>
      <c r="AI26" s="32" t="e">
        <v>#VALUE!</v>
      </c>
      <c r="AK26" s="37">
        <v>0</v>
      </c>
      <c r="AL26" s="26" t="s">
        <v>789</v>
      </c>
    </row>
    <row r="27" spans="2:38" s="26" customFormat="1" ht="12.75" hidden="1" customHeight="1" outlineLevel="1">
      <c r="B27" s="25" t="s">
        <v>791</v>
      </c>
      <c r="C27" s="26" t="s">
        <v>791</v>
      </c>
      <c r="D27" s="26" t="s">
        <v>791</v>
      </c>
      <c r="E27" s="26" t="s">
        <v>789</v>
      </c>
      <c r="F27" s="27" t="e">
        <v>#VALUE!</v>
      </c>
      <c r="G27" s="28" t="s">
        <v>791</v>
      </c>
      <c r="I27" s="29" t="s">
        <v>791</v>
      </c>
      <c r="J27" s="29" t="e">
        <v>#VALUE!</v>
      </c>
      <c r="K27" s="29" t="s">
        <v>791</v>
      </c>
      <c r="L27" s="29" t="s">
        <v>791</v>
      </c>
      <c r="M27" s="30"/>
      <c r="N27" s="29" t="s">
        <v>791</v>
      </c>
      <c r="O27" s="29" t="s">
        <v>791</v>
      </c>
      <c r="P27" s="29" t="s">
        <v>791</v>
      </c>
      <c r="Q27" s="30"/>
      <c r="R27" s="31" t="s">
        <v>13</v>
      </c>
      <c r="S27" s="31" t="s">
        <v>13</v>
      </c>
      <c r="T27" s="31" t="s">
        <v>13</v>
      </c>
      <c r="U27" s="31" t="s">
        <v>791</v>
      </c>
      <c r="V27" s="31" t="s">
        <v>791</v>
      </c>
      <c r="W27" s="30"/>
      <c r="X27" s="31"/>
      <c r="Y27" s="30"/>
      <c r="Z27" s="29" t="s">
        <v>791</v>
      </c>
      <c r="AA27" s="29" t="s">
        <v>791</v>
      </c>
      <c r="AB27" s="29" t="s">
        <v>791</v>
      </c>
      <c r="AC27" s="30"/>
      <c r="AD27" s="31" t="s">
        <v>13</v>
      </c>
      <c r="AE27" s="31" t="s">
        <v>13</v>
      </c>
      <c r="AF27" s="31" t="s">
        <v>13</v>
      </c>
      <c r="AH27" s="32" t="e">
        <v>#VALUE!</v>
      </c>
      <c r="AI27" s="32" t="e">
        <v>#VALUE!</v>
      </c>
      <c r="AK27" s="37">
        <v>0</v>
      </c>
      <c r="AL27" s="26" t="s">
        <v>789</v>
      </c>
    </row>
    <row r="28" spans="2:38" s="26" customFormat="1" ht="12.75" hidden="1" customHeight="1" outlineLevel="1">
      <c r="B28" s="25" t="s">
        <v>791</v>
      </c>
      <c r="C28" s="26" t="s">
        <v>791</v>
      </c>
      <c r="D28" s="26" t="s">
        <v>791</v>
      </c>
      <c r="E28" s="26" t="s">
        <v>789</v>
      </c>
      <c r="F28" s="27" t="e">
        <v>#VALUE!</v>
      </c>
      <c r="G28" s="28" t="s">
        <v>791</v>
      </c>
      <c r="I28" s="29" t="s">
        <v>791</v>
      </c>
      <c r="J28" s="29" t="e">
        <v>#VALUE!</v>
      </c>
      <c r="K28" s="29" t="s">
        <v>791</v>
      </c>
      <c r="L28" s="29" t="s">
        <v>791</v>
      </c>
      <c r="M28" s="30"/>
      <c r="N28" s="29" t="s">
        <v>791</v>
      </c>
      <c r="O28" s="29" t="s">
        <v>791</v>
      </c>
      <c r="P28" s="29" t="s">
        <v>791</v>
      </c>
      <c r="Q28" s="30"/>
      <c r="R28" s="31" t="s">
        <v>13</v>
      </c>
      <c r="S28" s="31" t="s">
        <v>13</v>
      </c>
      <c r="T28" s="31" t="s">
        <v>13</v>
      </c>
      <c r="U28" s="31" t="s">
        <v>791</v>
      </c>
      <c r="V28" s="31" t="s">
        <v>791</v>
      </c>
      <c r="W28" s="30"/>
      <c r="X28" s="31"/>
      <c r="Y28" s="30"/>
      <c r="Z28" s="29" t="s">
        <v>791</v>
      </c>
      <c r="AA28" s="29" t="s">
        <v>791</v>
      </c>
      <c r="AB28" s="29" t="s">
        <v>791</v>
      </c>
      <c r="AC28" s="30"/>
      <c r="AD28" s="31" t="s">
        <v>13</v>
      </c>
      <c r="AE28" s="31" t="s">
        <v>13</v>
      </c>
      <c r="AF28" s="31" t="s">
        <v>13</v>
      </c>
      <c r="AH28" s="32" t="e">
        <v>#VALUE!</v>
      </c>
      <c r="AI28" s="32" t="e">
        <v>#VALUE!</v>
      </c>
      <c r="AK28" s="37">
        <v>0</v>
      </c>
      <c r="AL28" s="26" t="s">
        <v>789</v>
      </c>
    </row>
    <row r="29" spans="2:38" s="26" customFormat="1" ht="12.75" hidden="1" customHeight="1" outlineLevel="1">
      <c r="B29" s="25" t="s">
        <v>791</v>
      </c>
      <c r="C29" s="26" t="s">
        <v>791</v>
      </c>
      <c r="D29" s="26" t="s">
        <v>791</v>
      </c>
      <c r="E29" s="26" t="s">
        <v>789</v>
      </c>
      <c r="F29" s="27" t="e">
        <v>#VALUE!</v>
      </c>
      <c r="G29" s="28" t="s">
        <v>791</v>
      </c>
      <c r="I29" s="29" t="s">
        <v>791</v>
      </c>
      <c r="J29" s="29" t="e">
        <v>#VALUE!</v>
      </c>
      <c r="K29" s="29" t="s">
        <v>791</v>
      </c>
      <c r="L29" s="29" t="s">
        <v>791</v>
      </c>
      <c r="M29" s="30"/>
      <c r="N29" s="29" t="s">
        <v>791</v>
      </c>
      <c r="O29" s="29" t="s">
        <v>791</v>
      </c>
      <c r="P29" s="29" t="s">
        <v>791</v>
      </c>
      <c r="Q29" s="30"/>
      <c r="R29" s="31" t="s">
        <v>13</v>
      </c>
      <c r="S29" s="31" t="s">
        <v>13</v>
      </c>
      <c r="T29" s="31" t="s">
        <v>13</v>
      </c>
      <c r="U29" s="31" t="s">
        <v>791</v>
      </c>
      <c r="V29" s="31" t="s">
        <v>791</v>
      </c>
      <c r="W29" s="30"/>
      <c r="X29" s="31"/>
      <c r="Y29" s="30"/>
      <c r="Z29" s="29" t="s">
        <v>791</v>
      </c>
      <c r="AA29" s="29" t="s">
        <v>791</v>
      </c>
      <c r="AB29" s="29" t="s">
        <v>791</v>
      </c>
      <c r="AC29" s="30"/>
      <c r="AD29" s="31" t="s">
        <v>13</v>
      </c>
      <c r="AE29" s="31" t="s">
        <v>13</v>
      </c>
      <c r="AF29" s="31" t="s">
        <v>13</v>
      </c>
      <c r="AH29" s="32" t="e">
        <v>#VALUE!</v>
      </c>
      <c r="AI29" s="32" t="e">
        <v>#VALUE!</v>
      </c>
      <c r="AK29" s="37">
        <v>0</v>
      </c>
      <c r="AL29" s="26" t="s">
        <v>789</v>
      </c>
    </row>
    <row r="30" spans="2:38" s="26" customFormat="1" ht="12.75" hidden="1" customHeight="1" outlineLevel="1">
      <c r="B30" s="25" t="s">
        <v>791</v>
      </c>
      <c r="C30" s="26" t="s">
        <v>791</v>
      </c>
      <c r="D30" s="26" t="s">
        <v>791</v>
      </c>
      <c r="E30" s="26" t="s">
        <v>789</v>
      </c>
      <c r="F30" s="27" t="e">
        <v>#VALUE!</v>
      </c>
      <c r="G30" s="28" t="s">
        <v>791</v>
      </c>
      <c r="I30" s="29" t="s">
        <v>791</v>
      </c>
      <c r="J30" s="29" t="e">
        <v>#VALUE!</v>
      </c>
      <c r="K30" s="29" t="s">
        <v>791</v>
      </c>
      <c r="L30" s="29" t="s">
        <v>791</v>
      </c>
      <c r="M30" s="30"/>
      <c r="N30" s="29" t="s">
        <v>791</v>
      </c>
      <c r="O30" s="29" t="s">
        <v>791</v>
      </c>
      <c r="P30" s="29" t="s">
        <v>791</v>
      </c>
      <c r="Q30" s="30"/>
      <c r="R30" s="31" t="s">
        <v>13</v>
      </c>
      <c r="S30" s="31" t="s">
        <v>13</v>
      </c>
      <c r="T30" s="31" t="s">
        <v>13</v>
      </c>
      <c r="U30" s="31" t="s">
        <v>791</v>
      </c>
      <c r="V30" s="31" t="s">
        <v>791</v>
      </c>
      <c r="W30" s="30"/>
      <c r="X30" s="31"/>
      <c r="Y30" s="30"/>
      <c r="Z30" s="29" t="s">
        <v>791</v>
      </c>
      <c r="AA30" s="29" t="s">
        <v>791</v>
      </c>
      <c r="AB30" s="29" t="s">
        <v>791</v>
      </c>
      <c r="AC30" s="30"/>
      <c r="AD30" s="31" t="s">
        <v>13</v>
      </c>
      <c r="AE30" s="31" t="s">
        <v>13</v>
      </c>
      <c r="AF30" s="31" t="s">
        <v>13</v>
      </c>
      <c r="AH30" s="32" t="e">
        <v>#VALUE!</v>
      </c>
      <c r="AI30" s="32" t="e">
        <v>#VALUE!</v>
      </c>
      <c r="AK30" s="37">
        <v>0</v>
      </c>
      <c r="AL30" s="26" t="s">
        <v>789</v>
      </c>
    </row>
    <row r="31" spans="2:38" s="26" customFormat="1" ht="12.75" hidden="1" customHeight="1" outlineLevel="1">
      <c r="B31" s="25" t="s">
        <v>791</v>
      </c>
      <c r="C31" s="26" t="s">
        <v>791</v>
      </c>
      <c r="D31" s="26" t="s">
        <v>791</v>
      </c>
      <c r="E31" s="26" t="s">
        <v>789</v>
      </c>
      <c r="F31" s="27" t="e">
        <v>#VALUE!</v>
      </c>
      <c r="G31" s="28" t="s">
        <v>791</v>
      </c>
      <c r="I31" s="29" t="s">
        <v>791</v>
      </c>
      <c r="J31" s="29" t="e">
        <v>#VALUE!</v>
      </c>
      <c r="K31" s="29" t="s">
        <v>791</v>
      </c>
      <c r="L31" s="29" t="s">
        <v>791</v>
      </c>
      <c r="M31" s="30"/>
      <c r="N31" s="29" t="s">
        <v>791</v>
      </c>
      <c r="O31" s="29" t="s">
        <v>791</v>
      </c>
      <c r="P31" s="29" t="s">
        <v>791</v>
      </c>
      <c r="Q31" s="30"/>
      <c r="R31" s="31" t="s">
        <v>13</v>
      </c>
      <c r="S31" s="31" t="s">
        <v>13</v>
      </c>
      <c r="T31" s="31" t="s">
        <v>13</v>
      </c>
      <c r="U31" s="31" t="s">
        <v>791</v>
      </c>
      <c r="V31" s="31" t="s">
        <v>791</v>
      </c>
      <c r="W31" s="30"/>
      <c r="X31" s="31"/>
      <c r="Y31" s="30"/>
      <c r="Z31" s="29" t="s">
        <v>791</v>
      </c>
      <c r="AA31" s="29" t="s">
        <v>791</v>
      </c>
      <c r="AB31" s="29" t="s">
        <v>791</v>
      </c>
      <c r="AC31" s="30"/>
      <c r="AD31" s="31" t="s">
        <v>13</v>
      </c>
      <c r="AE31" s="31" t="s">
        <v>13</v>
      </c>
      <c r="AF31" s="31" t="s">
        <v>13</v>
      </c>
      <c r="AH31" s="32" t="e">
        <v>#VALUE!</v>
      </c>
      <c r="AI31" s="32" t="e">
        <v>#VALUE!</v>
      </c>
      <c r="AK31" s="37">
        <v>0</v>
      </c>
      <c r="AL31" s="26" t="s">
        <v>789</v>
      </c>
    </row>
    <row r="32" spans="2:38" s="26" customFormat="1" ht="12.75" hidden="1" customHeight="1" outlineLevel="1">
      <c r="B32" s="25" t="s">
        <v>791</v>
      </c>
      <c r="C32" s="26" t="s">
        <v>791</v>
      </c>
      <c r="D32" s="26" t="s">
        <v>791</v>
      </c>
      <c r="E32" s="26" t="s">
        <v>789</v>
      </c>
      <c r="F32" s="27" t="e">
        <v>#VALUE!</v>
      </c>
      <c r="G32" s="28" t="s">
        <v>791</v>
      </c>
      <c r="I32" s="29" t="s">
        <v>791</v>
      </c>
      <c r="J32" s="29" t="e">
        <v>#VALUE!</v>
      </c>
      <c r="K32" s="29" t="s">
        <v>791</v>
      </c>
      <c r="L32" s="29" t="s">
        <v>791</v>
      </c>
      <c r="M32" s="30"/>
      <c r="N32" s="29" t="s">
        <v>791</v>
      </c>
      <c r="O32" s="29" t="s">
        <v>791</v>
      </c>
      <c r="P32" s="29" t="s">
        <v>791</v>
      </c>
      <c r="Q32" s="30"/>
      <c r="R32" s="31" t="s">
        <v>13</v>
      </c>
      <c r="S32" s="31" t="s">
        <v>13</v>
      </c>
      <c r="T32" s="31" t="s">
        <v>13</v>
      </c>
      <c r="U32" s="31" t="s">
        <v>791</v>
      </c>
      <c r="V32" s="31" t="s">
        <v>791</v>
      </c>
      <c r="W32" s="30"/>
      <c r="X32" s="31"/>
      <c r="Y32" s="30"/>
      <c r="Z32" s="29" t="s">
        <v>791</v>
      </c>
      <c r="AA32" s="29" t="s">
        <v>791</v>
      </c>
      <c r="AB32" s="29" t="s">
        <v>791</v>
      </c>
      <c r="AC32" s="30"/>
      <c r="AD32" s="31" t="s">
        <v>13</v>
      </c>
      <c r="AE32" s="31" t="s">
        <v>13</v>
      </c>
      <c r="AF32" s="31" t="s">
        <v>13</v>
      </c>
      <c r="AH32" s="32" t="e">
        <v>#VALUE!</v>
      </c>
      <c r="AI32" s="32" t="e">
        <v>#VALUE!</v>
      </c>
      <c r="AK32" s="37">
        <v>0</v>
      </c>
      <c r="AL32" s="26" t="s">
        <v>789</v>
      </c>
    </row>
    <row r="33" spans="2:38" s="26" customFormat="1" ht="12.75" hidden="1" customHeight="1" outlineLevel="1">
      <c r="B33" s="25" t="s">
        <v>791</v>
      </c>
      <c r="C33" s="26" t="s">
        <v>791</v>
      </c>
      <c r="D33" s="26" t="s">
        <v>791</v>
      </c>
      <c r="E33" s="26" t="s">
        <v>789</v>
      </c>
      <c r="F33" s="27" t="e">
        <v>#VALUE!</v>
      </c>
      <c r="G33" s="28" t="s">
        <v>791</v>
      </c>
      <c r="I33" s="29" t="s">
        <v>791</v>
      </c>
      <c r="J33" s="29" t="e">
        <v>#VALUE!</v>
      </c>
      <c r="K33" s="29" t="s">
        <v>791</v>
      </c>
      <c r="L33" s="29" t="s">
        <v>791</v>
      </c>
      <c r="M33" s="30"/>
      <c r="N33" s="29" t="s">
        <v>791</v>
      </c>
      <c r="O33" s="29" t="s">
        <v>791</v>
      </c>
      <c r="P33" s="29" t="s">
        <v>791</v>
      </c>
      <c r="Q33" s="30"/>
      <c r="R33" s="31" t="s">
        <v>13</v>
      </c>
      <c r="S33" s="31" t="s">
        <v>13</v>
      </c>
      <c r="T33" s="31" t="s">
        <v>13</v>
      </c>
      <c r="U33" s="31" t="s">
        <v>791</v>
      </c>
      <c r="V33" s="31" t="s">
        <v>791</v>
      </c>
      <c r="W33" s="30"/>
      <c r="X33" s="31"/>
      <c r="Y33" s="30"/>
      <c r="Z33" s="29" t="s">
        <v>791</v>
      </c>
      <c r="AA33" s="29" t="s">
        <v>791</v>
      </c>
      <c r="AB33" s="29" t="s">
        <v>791</v>
      </c>
      <c r="AC33" s="30"/>
      <c r="AD33" s="31" t="s">
        <v>13</v>
      </c>
      <c r="AE33" s="31" t="s">
        <v>13</v>
      </c>
      <c r="AF33" s="31" t="s">
        <v>13</v>
      </c>
      <c r="AH33" s="32" t="e">
        <v>#VALUE!</v>
      </c>
      <c r="AI33" s="32" t="e">
        <v>#VALUE!</v>
      </c>
      <c r="AK33" s="37">
        <v>0</v>
      </c>
      <c r="AL33" s="26" t="s">
        <v>789</v>
      </c>
    </row>
    <row r="34" spans="2:38" s="26" customFormat="1" ht="12.75" hidden="1" customHeight="1" outlineLevel="1">
      <c r="B34" s="25" t="s">
        <v>791</v>
      </c>
      <c r="C34" s="26" t="s">
        <v>791</v>
      </c>
      <c r="D34" s="26" t="s">
        <v>791</v>
      </c>
      <c r="E34" s="26" t="s">
        <v>789</v>
      </c>
      <c r="F34" s="27" t="e">
        <v>#VALUE!</v>
      </c>
      <c r="G34" s="28" t="s">
        <v>791</v>
      </c>
      <c r="I34" s="29" t="s">
        <v>791</v>
      </c>
      <c r="J34" s="29" t="e">
        <v>#VALUE!</v>
      </c>
      <c r="K34" s="29" t="s">
        <v>791</v>
      </c>
      <c r="L34" s="29" t="s">
        <v>791</v>
      </c>
      <c r="M34" s="30"/>
      <c r="N34" s="29" t="s">
        <v>791</v>
      </c>
      <c r="O34" s="29" t="s">
        <v>791</v>
      </c>
      <c r="P34" s="29" t="s">
        <v>791</v>
      </c>
      <c r="Q34" s="30"/>
      <c r="R34" s="31" t="s">
        <v>13</v>
      </c>
      <c r="S34" s="31" t="s">
        <v>13</v>
      </c>
      <c r="T34" s="31" t="s">
        <v>13</v>
      </c>
      <c r="U34" s="31" t="s">
        <v>791</v>
      </c>
      <c r="V34" s="31" t="s">
        <v>791</v>
      </c>
      <c r="W34" s="30"/>
      <c r="X34" s="31"/>
      <c r="Y34" s="30"/>
      <c r="Z34" s="29" t="s">
        <v>791</v>
      </c>
      <c r="AA34" s="29" t="s">
        <v>791</v>
      </c>
      <c r="AB34" s="29" t="s">
        <v>791</v>
      </c>
      <c r="AC34" s="30"/>
      <c r="AD34" s="31" t="s">
        <v>13</v>
      </c>
      <c r="AE34" s="31" t="s">
        <v>13</v>
      </c>
      <c r="AF34" s="31" t="s">
        <v>13</v>
      </c>
      <c r="AH34" s="32" t="e">
        <v>#VALUE!</v>
      </c>
      <c r="AI34" s="32" t="e">
        <v>#VALUE!</v>
      </c>
      <c r="AK34" s="37">
        <v>0</v>
      </c>
      <c r="AL34" s="26" t="s">
        <v>789</v>
      </c>
    </row>
    <row r="35" spans="2:38" s="26" customFormat="1" ht="12.75" hidden="1" customHeight="1" outlineLevel="1">
      <c r="B35" s="25" t="s">
        <v>791</v>
      </c>
      <c r="C35" s="26" t="s">
        <v>791</v>
      </c>
      <c r="D35" s="26" t="s">
        <v>791</v>
      </c>
      <c r="E35" s="26" t="s">
        <v>789</v>
      </c>
      <c r="F35" s="27" t="e">
        <v>#VALUE!</v>
      </c>
      <c r="G35" s="28" t="s">
        <v>791</v>
      </c>
      <c r="I35" s="29" t="s">
        <v>791</v>
      </c>
      <c r="J35" s="29" t="e">
        <v>#VALUE!</v>
      </c>
      <c r="K35" s="29" t="s">
        <v>791</v>
      </c>
      <c r="L35" s="29" t="s">
        <v>791</v>
      </c>
      <c r="M35" s="30"/>
      <c r="N35" s="29" t="s">
        <v>791</v>
      </c>
      <c r="O35" s="29" t="s">
        <v>791</v>
      </c>
      <c r="P35" s="29" t="s">
        <v>791</v>
      </c>
      <c r="Q35" s="30"/>
      <c r="R35" s="31" t="s">
        <v>13</v>
      </c>
      <c r="S35" s="31" t="s">
        <v>13</v>
      </c>
      <c r="T35" s="31" t="s">
        <v>13</v>
      </c>
      <c r="U35" s="31" t="s">
        <v>791</v>
      </c>
      <c r="V35" s="31" t="s">
        <v>791</v>
      </c>
      <c r="W35" s="30"/>
      <c r="X35" s="31"/>
      <c r="Y35" s="30"/>
      <c r="Z35" s="29" t="s">
        <v>791</v>
      </c>
      <c r="AA35" s="29" t="s">
        <v>791</v>
      </c>
      <c r="AB35" s="29" t="s">
        <v>791</v>
      </c>
      <c r="AC35" s="30"/>
      <c r="AD35" s="31" t="s">
        <v>13</v>
      </c>
      <c r="AE35" s="31" t="s">
        <v>13</v>
      </c>
      <c r="AF35" s="31" t="s">
        <v>13</v>
      </c>
      <c r="AH35" s="32" t="e">
        <v>#VALUE!</v>
      </c>
      <c r="AI35" s="32" t="e">
        <v>#VALUE!</v>
      </c>
      <c r="AK35" s="37">
        <v>0</v>
      </c>
      <c r="AL35" s="26" t="s">
        <v>789</v>
      </c>
    </row>
    <row r="36" spans="2:38" s="26" customFormat="1" ht="12.75" hidden="1" customHeight="1" outlineLevel="1">
      <c r="B36" s="25" t="s">
        <v>791</v>
      </c>
      <c r="C36" s="26" t="s">
        <v>791</v>
      </c>
      <c r="D36" s="26" t="s">
        <v>791</v>
      </c>
      <c r="E36" s="26" t="s">
        <v>789</v>
      </c>
      <c r="F36" s="27" t="e">
        <v>#VALUE!</v>
      </c>
      <c r="G36" s="28" t="s">
        <v>791</v>
      </c>
      <c r="I36" s="29" t="s">
        <v>791</v>
      </c>
      <c r="J36" s="29" t="e">
        <v>#VALUE!</v>
      </c>
      <c r="K36" s="29" t="s">
        <v>791</v>
      </c>
      <c r="L36" s="29" t="s">
        <v>791</v>
      </c>
      <c r="M36" s="30"/>
      <c r="N36" s="29" t="s">
        <v>791</v>
      </c>
      <c r="O36" s="29" t="s">
        <v>791</v>
      </c>
      <c r="P36" s="29" t="s">
        <v>791</v>
      </c>
      <c r="Q36" s="30"/>
      <c r="R36" s="31" t="s">
        <v>13</v>
      </c>
      <c r="S36" s="31" t="s">
        <v>13</v>
      </c>
      <c r="T36" s="31" t="s">
        <v>13</v>
      </c>
      <c r="U36" s="31" t="s">
        <v>791</v>
      </c>
      <c r="V36" s="31" t="s">
        <v>791</v>
      </c>
      <c r="W36" s="30"/>
      <c r="X36" s="31"/>
      <c r="Y36" s="30"/>
      <c r="Z36" s="29" t="s">
        <v>791</v>
      </c>
      <c r="AA36" s="29" t="s">
        <v>791</v>
      </c>
      <c r="AB36" s="29" t="s">
        <v>791</v>
      </c>
      <c r="AC36" s="30"/>
      <c r="AD36" s="31" t="s">
        <v>13</v>
      </c>
      <c r="AE36" s="31" t="s">
        <v>13</v>
      </c>
      <c r="AF36" s="31" t="s">
        <v>13</v>
      </c>
      <c r="AH36" s="32" t="e">
        <v>#VALUE!</v>
      </c>
      <c r="AI36" s="32" t="e">
        <v>#VALUE!</v>
      </c>
      <c r="AK36" s="37">
        <v>0</v>
      </c>
      <c r="AL36" s="26" t="s">
        <v>789</v>
      </c>
    </row>
    <row r="37" spans="2:38" s="26" customFormat="1" ht="12.75" hidden="1" customHeight="1" outlineLevel="1">
      <c r="B37" s="25" t="s">
        <v>791</v>
      </c>
      <c r="C37" s="26" t="s">
        <v>791</v>
      </c>
      <c r="D37" s="26" t="s">
        <v>791</v>
      </c>
      <c r="E37" s="26" t="s">
        <v>789</v>
      </c>
      <c r="F37" s="27" t="e">
        <v>#VALUE!</v>
      </c>
      <c r="G37" s="28" t="s">
        <v>791</v>
      </c>
      <c r="I37" s="29" t="s">
        <v>791</v>
      </c>
      <c r="J37" s="29" t="e">
        <v>#VALUE!</v>
      </c>
      <c r="K37" s="29" t="s">
        <v>791</v>
      </c>
      <c r="L37" s="29" t="s">
        <v>791</v>
      </c>
      <c r="M37" s="30"/>
      <c r="N37" s="29" t="s">
        <v>791</v>
      </c>
      <c r="O37" s="29" t="s">
        <v>791</v>
      </c>
      <c r="P37" s="29" t="s">
        <v>791</v>
      </c>
      <c r="Q37" s="30"/>
      <c r="R37" s="31" t="s">
        <v>13</v>
      </c>
      <c r="S37" s="31" t="s">
        <v>13</v>
      </c>
      <c r="T37" s="31" t="s">
        <v>13</v>
      </c>
      <c r="U37" s="31" t="s">
        <v>791</v>
      </c>
      <c r="V37" s="31" t="s">
        <v>791</v>
      </c>
      <c r="W37" s="30"/>
      <c r="X37" s="31"/>
      <c r="Y37" s="30"/>
      <c r="Z37" s="29" t="s">
        <v>791</v>
      </c>
      <c r="AA37" s="29" t="s">
        <v>791</v>
      </c>
      <c r="AB37" s="29" t="s">
        <v>791</v>
      </c>
      <c r="AC37" s="30"/>
      <c r="AD37" s="31" t="s">
        <v>13</v>
      </c>
      <c r="AE37" s="31" t="s">
        <v>13</v>
      </c>
      <c r="AF37" s="31" t="s">
        <v>13</v>
      </c>
      <c r="AH37" s="32" t="e">
        <v>#VALUE!</v>
      </c>
      <c r="AI37" s="32" t="e">
        <v>#VALUE!</v>
      </c>
      <c r="AK37" s="37">
        <v>0</v>
      </c>
      <c r="AL37" s="26" t="s">
        <v>789</v>
      </c>
    </row>
    <row r="38" spans="2:38" s="26" customFormat="1" ht="12.75" hidden="1" customHeight="1" outlineLevel="1">
      <c r="B38" s="25" t="s">
        <v>791</v>
      </c>
      <c r="C38" s="26" t="s">
        <v>791</v>
      </c>
      <c r="D38" s="26" t="s">
        <v>791</v>
      </c>
      <c r="E38" s="26" t="s">
        <v>789</v>
      </c>
      <c r="F38" s="27" t="e">
        <v>#VALUE!</v>
      </c>
      <c r="G38" s="28" t="s">
        <v>791</v>
      </c>
      <c r="I38" s="29" t="s">
        <v>791</v>
      </c>
      <c r="J38" s="29" t="e">
        <v>#VALUE!</v>
      </c>
      <c r="K38" s="29" t="s">
        <v>791</v>
      </c>
      <c r="L38" s="29" t="s">
        <v>791</v>
      </c>
      <c r="M38" s="30"/>
      <c r="N38" s="29" t="s">
        <v>791</v>
      </c>
      <c r="O38" s="29" t="s">
        <v>791</v>
      </c>
      <c r="P38" s="29" t="s">
        <v>791</v>
      </c>
      <c r="Q38" s="30"/>
      <c r="R38" s="31" t="s">
        <v>13</v>
      </c>
      <c r="S38" s="31" t="s">
        <v>13</v>
      </c>
      <c r="T38" s="31" t="s">
        <v>13</v>
      </c>
      <c r="U38" s="31" t="s">
        <v>791</v>
      </c>
      <c r="V38" s="31" t="s">
        <v>791</v>
      </c>
      <c r="W38" s="30"/>
      <c r="X38" s="31"/>
      <c r="Y38" s="30"/>
      <c r="Z38" s="29" t="s">
        <v>791</v>
      </c>
      <c r="AA38" s="29" t="s">
        <v>791</v>
      </c>
      <c r="AB38" s="29" t="s">
        <v>791</v>
      </c>
      <c r="AC38" s="30"/>
      <c r="AD38" s="31" t="s">
        <v>13</v>
      </c>
      <c r="AE38" s="31" t="s">
        <v>13</v>
      </c>
      <c r="AF38" s="31" t="s">
        <v>13</v>
      </c>
      <c r="AH38" s="32" t="e">
        <v>#VALUE!</v>
      </c>
      <c r="AI38" s="32" t="e">
        <v>#VALUE!</v>
      </c>
      <c r="AK38" s="37">
        <v>0</v>
      </c>
      <c r="AL38" s="26" t="s">
        <v>789</v>
      </c>
    </row>
    <row r="39" spans="2:38" s="26" customFormat="1" ht="12.75" hidden="1" customHeight="1" outlineLevel="1">
      <c r="B39" s="25" t="s">
        <v>791</v>
      </c>
      <c r="C39" s="26" t="s">
        <v>791</v>
      </c>
      <c r="D39" s="26" t="s">
        <v>791</v>
      </c>
      <c r="E39" s="26" t="s">
        <v>789</v>
      </c>
      <c r="F39" s="27" t="e">
        <v>#VALUE!</v>
      </c>
      <c r="G39" s="28" t="s">
        <v>791</v>
      </c>
      <c r="I39" s="29" t="s">
        <v>791</v>
      </c>
      <c r="J39" s="29" t="e">
        <v>#VALUE!</v>
      </c>
      <c r="K39" s="29" t="s">
        <v>791</v>
      </c>
      <c r="L39" s="29" t="s">
        <v>791</v>
      </c>
      <c r="M39" s="30"/>
      <c r="N39" s="29" t="s">
        <v>791</v>
      </c>
      <c r="O39" s="29" t="s">
        <v>791</v>
      </c>
      <c r="P39" s="29" t="s">
        <v>791</v>
      </c>
      <c r="Q39" s="30"/>
      <c r="R39" s="31" t="s">
        <v>13</v>
      </c>
      <c r="S39" s="31" t="s">
        <v>13</v>
      </c>
      <c r="T39" s="31" t="s">
        <v>13</v>
      </c>
      <c r="U39" s="31" t="s">
        <v>791</v>
      </c>
      <c r="V39" s="31" t="s">
        <v>791</v>
      </c>
      <c r="W39" s="30"/>
      <c r="X39" s="31"/>
      <c r="Y39" s="30"/>
      <c r="Z39" s="29" t="s">
        <v>791</v>
      </c>
      <c r="AA39" s="29" t="s">
        <v>791</v>
      </c>
      <c r="AB39" s="29" t="s">
        <v>791</v>
      </c>
      <c r="AC39" s="30"/>
      <c r="AD39" s="31" t="s">
        <v>13</v>
      </c>
      <c r="AE39" s="31" t="s">
        <v>13</v>
      </c>
      <c r="AF39" s="31" t="s">
        <v>13</v>
      </c>
      <c r="AH39" s="32" t="e">
        <v>#VALUE!</v>
      </c>
      <c r="AI39" s="32" t="e">
        <v>#VALUE!</v>
      </c>
      <c r="AK39" s="37">
        <v>0</v>
      </c>
      <c r="AL39" s="26" t="s">
        <v>789</v>
      </c>
    </row>
    <row r="40" spans="2:38" s="26" customFormat="1" ht="12.75" customHeight="1" collapsed="1">
      <c r="B40" s="25"/>
      <c r="F40" s="27"/>
      <c r="G40" s="28"/>
      <c r="I40" s="29"/>
      <c r="J40" s="29"/>
      <c r="K40" s="29"/>
      <c r="L40" s="29"/>
      <c r="M40" s="30"/>
      <c r="N40" s="29"/>
      <c r="O40" s="29"/>
      <c r="P40" s="29"/>
      <c r="Q40" s="30"/>
      <c r="R40" s="31"/>
      <c r="S40" s="31"/>
      <c r="T40" s="31"/>
      <c r="U40" s="31"/>
      <c r="V40" s="31"/>
      <c r="W40" s="30"/>
      <c r="X40" s="31"/>
      <c r="Y40" s="30"/>
      <c r="Z40" s="29"/>
      <c r="AA40" s="29"/>
      <c r="AB40" s="29"/>
      <c r="AC40" s="30"/>
      <c r="AD40" s="31"/>
      <c r="AE40" s="31"/>
      <c r="AF40" s="31"/>
      <c r="AH40" s="32"/>
      <c r="AI40" s="32"/>
      <c r="AK40" s="37"/>
    </row>
    <row r="41" spans="2:38" s="26" customFormat="1" ht="12.75" customHeight="1">
      <c r="B41" s="25"/>
      <c r="F41" s="27"/>
      <c r="G41" s="28"/>
      <c r="I41" s="29"/>
      <c r="J41" s="29"/>
      <c r="K41" s="29"/>
      <c r="L41" s="29"/>
      <c r="M41" s="30"/>
      <c r="N41" s="29"/>
      <c r="O41" s="29"/>
      <c r="P41" s="29"/>
      <c r="Q41" s="30"/>
      <c r="R41" s="31"/>
      <c r="S41" s="31"/>
      <c r="T41" s="31"/>
      <c r="U41" s="31"/>
      <c r="V41" s="31"/>
      <c r="W41" s="30"/>
      <c r="X41" s="31"/>
      <c r="Y41" s="30"/>
      <c r="Z41" s="29"/>
      <c r="AA41" s="29"/>
      <c r="AB41" s="29"/>
      <c r="AC41" s="30"/>
      <c r="AD41" s="31"/>
      <c r="AE41" s="31"/>
      <c r="AF41" s="31"/>
      <c r="AH41" s="32"/>
      <c r="AI41" s="32"/>
      <c r="AK41" s="37"/>
    </row>
    <row r="42" spans="2:38" s="26" customFormat="1" ht="12.75" customHeight="1">
      <c r="B42" s="25"/>
      <c r="F42" s="27"/>
      <c r="G42" s="28"/>
      <c r="I42" s="29"/>
      <c r="J42" s="29"/>
      <c r="K42" s="29"/>
      <c r="L42" s="29"/>
      <c r="M42" s="30"/>
      <c r="N42" s="29"/>
      <c r="O42" s="29"/>
      <c r="P42" s="29"/>
      <c r="Q42" s="30"/>
      <c r="R42" s="31"/>
      <c r="S42" s="31"/>
      <c r="T42" s="31"/>
      <c r="U42" s="31"/>
      <c r="V42" s="31"/>
      <c r="W42" s="30"/>
      <c r="X42" s="31"/>
      <c r="Y42" s="30"/>
      <c r="Z42" s="29"/>
      <c r="AA42" s="29"/>
      <c r="AB42" s="29"/>
      <c r="AC42" s="30"/>
      <c r="AD42" s="31"/>
      <c r="AE42" s="31"/>
      <c r="AF42" s="31"/>
      <c r="AH42" s="32"/>
      <c r="AI42" s="32"/>
      <c r="AK42" s="37"/>
    </row>
    <row r="43" spans="2:38" s="26" customFormat="1" ht="12.75" customHeight="1">
      <c r="B43" s="25"/>
      <c r="F43" s="27"/>
      <c r="G43" s="28"/>
      <c r="I43" s="29"/>
      <c r="J43" s="29"/>
      <c r="K43" s="29"/>
      <c r="L43" s="29"/>
      <c r="M43" s="30"/>
      <c r="N43" s="29"/>
      <c r="O43" s="29"/>
      <c r="P43" s="29"/>
      <c r="Q43" s="30"/>
      <c r="R43" s="31"/>
      <c r="S43" s="31"/>
      <c r="T43" s="31"/>
      <c r="U43" s="31"/>
      <c r="V43" s="31"/>
      <c r="W43" s="30"/>
      <c r="X43" s="31"/>
      <c r="Y43" s="30"/>
      <c r="Z43" s="29"/>
      <c r="AA43" s="29"/>
      <c r="AB43" s="29"/>
      <c r="AC43" s="30"/>
      <c r="AD43" s="31"/>
      <c r="AE43" s="31"/>
      <c r="AF43" s="31"/>
      <c r="AH43" s="32"/>
      <c r="AI43" s="32"/>
      <c r="AK43" s="37"/>
    </row>
    <row r="44" spans="2:38" s="26" customFormat="1" ht="12.75" customHeight="1">
      <c r="B44" s="25"/>
      <c r="F44" s="27"/>
      <c r="G44" s="28"/>
      <c r="I44" s="29"/>
      <c r="J44" s="29"/>
      <c r="K44" s="29"/>
      <c r="L44" s="29"/>
      <c r="M44" s="30"/>
      <c r="N44" s="29"/>
      <c r="O44" s="29"/>
      <c r="P44" s="29"/>
      <c r="Q44" s="30"/>
      <c r="R44" s="31"/>
      <c r="S44" s="31"/>
      <c r="T44" s="31"/>
      <c r="U44" s="31"/>
      <c r="V44" s="31"/>
      <c r="W44" s="30"/>
      <c r="X44" s="31"/>
      <c r="Y44" s="30"/>
      <c r="Z44" s="29"/>
      <c r="AA44" s="29"/>
      <c r="AB44" s="29"/>
      <c r="AC44" s="30"/>
      <c r="AD44" s="31"/>
      <c r="AE44" s="31"/>
      <c r="AF44" s="31"/>
      <c r="AH44" s="32"/>
      <c r="AI44" s="32"/>
      <c r="AK44" s="37"/>
    </row>
    <row r="45" spans="2:38" s="8" customFormat="1" ht="12.75" customHeight="1"/>
    <row r="46" spans="2:38" s="8" customFormat="1" ht="12.75" customHeight="1"/>
    <row r="47" spans="2:38" s="8" customFormat="1" ht="12.75" customHeight="1">
      <c r="B47" s="1999" t="s">
        <v>111</v>
      </c>
      <c r="C47" s="2000"/>
      <c r="D47" s="2000"/>
      <c r="E47" s="2000"/>
      <c r="F47" s="2000"/>
      <c r="G47" s="2000"/>
      <c r="H47" s="2000"/>
      <c r="I47" s="2001">
        <v>11.21428</v>
      </c>
      <c r="J47" s="2001"/>
      <c r="K47" s="2001"/>
      <c r="L47" s="2001"/>
      <c r="M47" s="2000"/>
      <c r="N47" s="2001">
        <v>0.51100000000000001</v>
      </c>
      <c r="O47" s="2001">
        <v>0</v>
      </c>
      <c r="P47" s="2001">
        <v>0</v>
      </c>
      <c r="Q47" s="2002"/>
      <c r="R47" s="2003">
        <v>21.945753424657536</v>
      </c>
      <c r="S47" s="2003">
        <v>-1.5739340350877193</v>
      </c>
      <c r="T47" s="2003">
        <v>-1.5543007623007623</v>
      </c>
      <c r="U47" s="2003">
        <v>3.1703899999999998</v>
      </c>
      <c r="V47" s="2003">
        <v>0</v>
      </c>
      <c r="W47" s="2000"/>
      <c r="X47" s="2003"/>
      <c r="Y47" s="2000"/>
      <c r="Z47" s="2001">
        <v>0.4</v>
      </c>
      <c r="AA47" s="2001">
        <v>0</v>
      </c>
      <c r="AB47" s="2001">
        <v>0</v>
      </c>
      <c r="AC47" s="2000"/>
      <c r="AD47" s="2003">
        <v>28.035699999999999</v>
      </c>
      <c r="AE47" s="2003">
        <v>0</v>
      </c>
      <c r="AF47" s="2003">
        <v>0</v>
      </c>
      <c r="AG47" s="2000"/>
      <c r="AH47" s="2004" t="e">
        <v>#VALUE!</v>
      </c>
      <c r="AI47" s="2005" t="e">
        <v>#VALUE!</v>
      </c>
    </row>
    <row r="48" spans="2:38" s="8" customFormat="1" ht="12.75" customHeight="1">
      <c r="B48" s="2006" t="s">
        <v>115</v>
      </c>
      <c r="C48" s="11"/>
      <c r="D48" s="11"/>
      <c r="E48" s="11"/>
      <c r="F48" s="11"/>
      <c r="G48" s="11"/>
      <c r="H48" s="11"/>
      <c r="I48" s="16">
        <v>8.4107099999999999</v>
      </c>
      <c r="J48" s="16"/>
      <c r="K48" s="16"/>
      <c r="L48" s="16"/>
      <c r="M48" s="11"/>
      <c r="N48" s="16">
        <v>0.38324999999999998</v>
      </c>
      <c r="O48" s="16">
        <v>-1.78125</v>
      </c>
      <c r="P48" s="16">
        <v>-1.80375</v>
      </c>
      <c r="Q48" s="12"/>
      <c r="R48" s="15">
        <v>21.945753424657536</v>
      </c>
      <c r="S48" s="15">
        <v>-1.5739340350877193</v>
      </c>
      <c r="T48" s="15">
        <v>-1.5543007623007623</v>
      </c>
      <c r="U48" s="15">
        <v>3.1703899999999998</v>
      </c>
      <c r="V48" s="15" t="e">
        <v>#NUM!</v>
      </c>
      <c r="W48" s="11"/>
      <c r="X48" s="15"/>
      <c r="Y48" s="11"/>
      <c r="Z48" s="16">
        <v>0.30000000000000004</v>
      </c>
      <c r="AA48" s="16">
        <v>0</v>
      </c>
      <c r="AB48" s="16">
        <v>0</v>
      </c>
      <c r="AC48" s="11"/>
      <c r="AD48" s="15">
        <v>28.035699999999999</v>
      </c>
      <c r="AE48" s="15" t="e">
        <v>#NUM!</v>
      </c>
      <c r="AF48" s="15" t="e">
        <v>#NUM!</v>
      </c>
      <c r="AG48" s="11"/>
      <c r="AH48" s="22" t="e">
        <v>#VALUE!</v>
      </c>
      <c r="AI48" s="23" t="e">
        <v>#VALUE!</v>
      </c>
    </row>
    <row r="49" spans="2:35" s="8" customFormat="1" ht="12.75" customHeight="1">
      <c r="B49" s="2006" t="s">
        <v>113</v>
      </c>
      <c r="C49" s="11"/>
      <c r="D49" s="11"/>
      <c r="E49" s="11"/>
      <c r="F49" s="11"/>
      <c r="G49" s="11"/>
      <c r="H49" s="11"/>
      <c r="I49" s="16">
        <v>5.6071400000000002</v>
      </c>
      <c r="J49" s="16"/>
      <c r="K49" s="16"/>
      <c r="L49" s="16"/>
      <c r="M49" s="11"/>
      <c r="N49" s="16">
        <v>0.2555</v>
      </c>
      <c r="O49" s="16">
        <v>-3.5625</v>
      </c>
      <c r="P49" s="16">
        <v>-3.6074999999999999</v>
      </c>
      <c r="Q49" s="12"/>
      <c r="R49" s="15">
        <v>21.945753424657536</v>
      </c>
      <c r="S49" s="15">
        <v>-1.5739340350877193</v>
      </c>
      <c r="T49" s="15">
        <v>-1.5543007623007623</v>
      </c>
      <c r="U49" s="15">
        <v>3.1703899999999998</v>
      </c>
      <c r="V49" s="15" t="e">
        <v>#DIV/0!</v>
      </c>
      <c r="W49" s="11"/>
      <c r="X49" s="15"/>
      <c r="Y49" s="11"/>
      <c r="Z49" s="16">
        <v>0.2</v>
      </c>
      <c r="AA49" s="16">
        <v>0</v>
      </c>
      <c r="AB49" s="16">
        <v>0</v>
      </c>
      <c r="AC49" s="11"/>
      <c r="AD49" s="15">
        <v>28.035699999999999</v>
      </c>
      <c r="AE49" s="15" t="e">
        <v>#DIV/0!</v>
      </c>
      <c r="AF49" s="15" t="e">
        <v>#DIV/0!</v>
      </c>
      <c r="AG49" s="11"/>
      <c r="AH49" s="22" t="e">
        <v>#VALUE!</v>
      </c>
      <c r="AI49" s="23" t="e">
        <v>#VALUE!</v>
      </c>
    </row>
    <row r="50" spans="2:35" s="8" customFormat="1" ht="12.75" customHeight="1">
      <c r="B50" s="2006" t="s">
        <v>44</v>
      </c>
      <c r="C50" s="11"/>
      <c r="D50" s="11"/>
      <c r="E50" s="11"/>
      <c r="F50" s="11"/>
      <c r="G50" s="11"/>
      <c r="H50" s="11"/>
      <c r="I50" s="16">
        <v>5.6071400000000002</v>
      </c>
      <c r="J50" s="16"/>
      <c r="K50" s="16"/>
      <c r="L50" s="16"/>
      <c r="M50" s="11"/>
      <c r="N50" s="16">
        <v>0.2555</v>
      </c>
      <c r="O50" s="16">
        <v>-3.5625</v>
      </c>
      <c r="P50" s="16">
        <v>-3.6074999999999999</v>
      </c>
      <c r="Q50" s="12"/>
      <c r="R50" s="15">
        <v>21.945753424657536</v>
      </c>
      <c r="S50" s="15">
        <v>-1.5739340350877193</v>
      </c>
      <c r="T50" s="15">
        <v>-1.5543007623007623</v>
      </c>
      <c r="U50" s="15">
        <v>3.1703899999999998</v>
      </c>
      <c r="V50" s="15" t="e">
        <v>#NUM!</v>
      </c>
      <c r="W50" s="11"/>
      <c r="X50" s="15"/>
      <c r="Y50" s="11"/>
      <c r="Z50" s="16">
        <v>0.2</v>
      </c>
      <c r="AA50" s="16">
        <v>0</v>
      </c>
      <c r="AB50" s="16">
        <v>0</v>
      </c>
      <c r="AC50" s="11"/>
      <c r="AD50" s="15">
        <v>28.035699999999999</v>
      </c>
      <c r="AE50" s="15" t="e">
        <v>#NUM!</v>
      </c>
      <c r="AF50" s="15" t="e">
        <v>#NUM!</v>
      </c>
      <c r="AG50" s="11"/>
      <c r="AH50" s="22" t="e">
        <v>#VALUE!</v>
      </c>
      <c r="AI50" s="23" t="e">
        <v>#VALUE!</v>
      </c>
    </row>
    <row r="51" spans="2:35" s="8" customFormat="1" ht="12.75" customHeight="1">
      <c r="B51" s="2006" t="s">
        <v>114</v>
      </c>
      <c r="C51" s="11"/>
      <c r="D51" s="11"/>
      <c r="E51" s="11"/>
      <c r="F51" s="11"/>
      <c r="G51" s="11"/>
      <c r="H51" s="11"/>
      <c r="I51" s="16">
        <v>2.8035700000000001</v>
      </c>
      <c r="J51" s="16"/>
      <c r="K51" s="16"/>
      <c r="L51" s="16"/>
      <c r="M51" s="11"/>
      <c r="N51" s="16">
        <v>0.12775</v>
      </c>
      <c r="O51" s="16">
        <v>-5.34375</v>
      </c>
      <c r="P51" s="16">
        <v>-5.4112499999999999</v>
      </c>
      <c r="Q51" s="12"/>
      <c r="R51" s="15">
        <v>21.945753424657536</v>
      </c>
      <c r="S51" s="15">
        <v>-1.5739340350877193</v>
      </c>
      <c r="T51" s="15">
        <v>-1.5543007623007623</v>
      </c>
      <c r="U51" s="15">
        <v>3.1703899999999998</v>
      </c>
      <c r="V51" s="15" t="e">
        <v>#NUM!</v>
      </c>
      <c r="W51" s="11"/>
      <c r="X51" s="15"/>
      <c r="Y51" s="11"/>
      <c r="Z51" s="16">
        <v>0.1</v>
      </c>
      <c r="AA51" s="16">
        <v>0</v>
      </c>
      <c r="AB51" s="16">
        <v>0</v>
      </c>
      <c r="AC51" s="11"/>
      <c r="AD51" s="15">
        <v>28.035699999999999</v>
      </c>
      <c r="AE51" s="15" t="e">
        <v>#NUM!</v>
      </c>
      <c r="AF51" s="15" t="e">
        <v>#NUM!</v>
      </c>
      <c r="AG51" s="11"/>
      <c r="AH51" s="22" t="e">
        <v>#VALUE!</v>
      </c>
      <c r="AI51" s="23" t="e">
        <v>#VALUE!</v>
      </c>
    </row>
    <row r="52" spans="2:35" s="8" customFormat="1" ht="12.75" customHeight="1">
      <c r="B52" s="17" t="s">
        <v>112</v>
      </c>
      <c r="C52" s="33"/>
      <c r="D52" s="33"/>
      <c r="E52" s="33"/>
      <c r="F52" s="33"/>
      <c r="G52" s="33"/>
      <c r="H52" s="33"/>
      <c r="I52" s="13">
        <v>0</v>
      </c>
      <c r="J52" s="13"/>
      <c r="K52" s="13"/>
      <c r="L52" s="13"/>
      <c r="M52" s="33"/>
      <c r="N52" s="13">
        <v>0</v>
      </c>
      <c r="O52" s="13">
        <v>-7.125</v>
      </c>
      <c r="P52" s="13">
        <v>-7.2149999999999999</v>
      </c>
      <c r="Q52" s="40"/>
      <c r="R52" s="18">
        <v>21.945753424657536</v>
      </c>
      <c r="S52" s="18">
        <v>-1.5739340350877193</v>
      </c>
      <c r="T52" s="18">
        <v>-1.5543007623007623</v>
      </c>
      <c r="U52" s="18">
        <v>3.1703899999999998</v>
      </c>
      <c r="V52" s="18">
        <v>0</v>
      </c>
      <c r="W52" s="33"/>
      <c r="X52" s="18"/>
      <c r="Y52" s="33"/>
      <c r="Z52" s="13">
        <v>0</v>
      </c>
      <c r="AA52" s="13">
        <v>0</v>
      </c>
      <c r="AB52" s="13">
        <v>0</v>
      </c>
      <c r="AC52" s="33"/>
      <c r="AD52" s="18">
        <v>28.035699999999999</v>
      </c>
      <c r="AE52" s="18">
        <v>0</v>
      </c>
      <c r="AF52" s="18">
        <v>0</v>
      </c>
      <c r="AG52" s="33"/>
      <c r="AH52" s="24" t="e">
        <v>#VALUE!</v>
      </c>
      <c r="AI52" s="2007" t="e">
        <v>#VALUE!</v>
      </c>
    </row>
    <row r="53" spans="2:35" s="8" customFormat="1" ht="12.75" customHeight="1"/>
    <row r="54" spans="2:35" s="8" customFormat="1" ht="12.75" customHeight="1"/>
    <row r="55" spans="2:35" s="8" customFormat="1" ht="12.75" customHeight="1">
      <c r="B55" s="3" t="s">
        <v>116</v>
      </c>
    </row>
    <row r="56" spans="2:35" s="8" customFormat="1" ht="12.75" customHeight="1"/>
    <row r="57" spans="2:35" s="8" customFormat="1" ht="12.75" customHeight="1"/>
  </sheetData>
  <mergeCells count="1">
    <mergeCell ref="X7:X8"/>
  </mergeCells>
  <conditionalFormatting sqref="AI4">
    <cfRule type="cellIs" dxfId="180" priority="3" stopIfTrue="1" operator="equal">
      <formula>"input"</formula>
    </cfRule>
  </conditionalFormatting>
  <conditionalFormatting sqref="R4">
    <cfRule type="cellIs" dxfId="179" priority="7" stopIfTrue="1" operator="equal">
      <formula>"input"</formula>
    </cfRule>
  </conditionalFormatting>
  <conditionalFormatting sqref="B4:M4">
    <cfRule type="cellIs" dxfId="178" priority="13" stopIfTrue="1" operator="equal">
      <formula>"input"</formula>
    </cfRule>
  </conditionalFormatting>
  <conditionalFormatting sqref="N4">
    <cfRule type="cellIs" dxfId="177" priority="11" stopIfTrue="1" operator="equal">
      <formula>"input"</formula>
    </cfRule>
  </conditionalFormatting>
  <conditionalFormatting sqref="N4">
    <cfRule type="cellIs" dxfId="176" priority="12" stopIfTrue="1" operator="equal">
      <formula>"input"</formula>
    </cfRule>
  </conditionalFormatting>
  <conditionalFormatting sqref="O4:Q4">
    <cfRule type="cellIs" dxfId="175" priority="9" stopIfTrue="1" operator="equal">
      <formula>"input"</formula>
    </cfRule>
  </conditionalFormatting>
  <conditionalFormatting sqref="O4:Q4">
    <cfRule type="cellIs" dxfId="174" priority="10" stopIfTrue="1" operator="equal">
      <formula>"input"</formula>
    </cfRule>
  </conditionalFormatting>
  <conditionalFormatting sqref="R4">
    <cfRule type="cellIs" dxfId="173" priority="8" stopIfTrue="1" operator="equal">
      <formula>"input"</formula>
    </cfRule>
  </conditionalFormatting>
  <conditionalFormatting sqref="S4:V4 X4:AH4">
    <cfRule type="cellIs" dxfId="172" priority="5" stopIfTrue="1" operator="equal">
      <formula>"input"</formula>
    </cfRule>
  </conditionalFormatting>
  <conditionalFormatting sqref="S4:V4 X4:AH4">
    <cfRule type="cellIs" dxfId="171" priority="6" stopIfTrue="1" operator="equal">
      <formula>"input"</formula>
    </cfRule>
  </conditionalFormatting>
  <conditionalFormatting sqref="AI4">
    <cfRule type="cellIs" dxfId="170" priority="4" stopIfTrue="1" operator="equal">
      <formula>"input"</formula>
    </cfRule>
  </conditionalFormatting>
  <conditionalFormatting sqref="W4">
    <cfRule type="cellIs" dxfId="169" priority="1" stopIfTrue="1" operator="equal">
      <formula>"input"</formula>
    </cfRule>
  </conditionalFormatting>
  <conditionalFormatting sqref="W4">
    <cfRule type="cellIs" dxfId="168" priority="2" stopIfTrue="1" operator="equal">
      <formula>"input"</formula>
    </cfRule>
  </conditionalFormatting>
  <pageMargins left="0.7" right="0.7" top="0.75" bottom="0.75" header="0.3" footer="0.3"/>
  <pageSetup scale="68" orientation="portrait" r:id="rId1"/>
  <colBreaks count="1" manualBreakCount="1">
    <brk id="17" max="39" man="1"/>
  </colBreaks>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dimension ref="A1:CH74"/>
  <sheetViews>
    <sheetView showGridLines="0" view="pageBreakPreview" topLeftCell="A4" zoomScaleNormal="100" zoomScaleSheetLayoutView="100" workbookViewId="0">
      <selection activeCell="D19" sqref="D19:D20"/>
    </sheetView>
  </sheetViews>
  <sheetFormatPr defaultRowHeight="11.25" outlineLevelCol="1"/>
  <cols>
    <col min="1" max="1" width="40.1640625" style="44" bestFit="1" customWidth="1"/>
    <col min="2" max="2" width="14.83203125" style="44" bestFit="1" customWidth="1"/>
    <col min="3" max="3" width="25.1640625" style="45" bestFit="1" customWidth="1"/>
    <col min="4" max="4" width="19" style="45" bestFit="1" customWidth="1"/>
    <col min="5" max="9" width="17.83203125" style="45" customWidth="1"/>
    <col min="10" max="10" width="15.33203125" style="45" customWidth="1"/>
    <col min="11" max="11" width="14" style="45" customWidth="1"/>
    <col min="12" max="12" width="15.6640625" style="45" bestFit="1" customWidth="1"/>
    <col min="13" max="13" width="16.1640625" style="45" customWidth="1"/>
    <col min="14" max="16" width="14.83203125" style="45" bestFit="1" customWidth="1"/>
    <col min="17" max="18" width="14.83203125" style="45" customWidth="1"/>
    <col min="19" max="23" width="14.83203125" style="45" bestFit="1" customWidth="1"/>
    <col min="24" max="24" width="14.83203125" style="45" customWidth="1"/>
    <col min="25" max="29" width="14.83203125" style="45" bestFit="1" customWidth="1"/>
    <col min="30" max="30" width="17" style="45" bestFit="1" customWidth="1"/>
    <col min="31" max="31" width="14.83203125" style="45" bestFit="1" customWidth="1"/>
    <col min="32" max="32" width="19.1640625" style="45" customWidth="1"/>
    <col min="33" max="33" width="19.5" style="45" customWidth="1"/>
    <col min="34" max="34" width="21.1640625" style="45" customWidth="1"/>
    <col min="35" max="35" width="19" style="45" bestFit="1" customWidth="1"/>
    <col min="36" max="36" width="12.83203125" style="45" customWidth="1"/>
    <col min="37" max="37" width="15.33203125" style="45" customWidth="1"/>
    <col min="38" max="38" width="13.1640625" style="45" customWidth="1"/>
    <col min="39" max="39" width="18.5" style="45" bestFit="1" customWidth="1"/>
    <col min="40" max="40" width="14.83203125" style="45" bestFit="1" customWidth="1"/>
    <col min="41" max="44" width="14.83203125" style="45" customWidth="1"/>
    <col min="45" max="45" width="11.1640625" style="45" customWidth="1"/>
    <col min="46" max="46" width="14.83203125" style="45" bestFit="1" customWidth="1"/>
    <col min="47" max="50" width="14.83203125" style="45" customWidth="1"/>
    <col min="51" max="51" width="16" style="45" customWidth="1"/>
    <col min="52" max="69" width="14.83203125" style="45" customWidth="1"/>
    <col min="70" max="70" width="17" style="45" customWidth="1" outlineLevel="1"/>
    <col min="71" max="78" width="9.33203125" style="45"/>
    <col min="79" max="82" width="9.33203125" style="44"/>
    <col min="83" max="83" width="9.33203125" style="52"/>
    <col min="84" max="16384" width="9.33203125" style="44"/>
  </cols>
  <sheetData>
    <row r="1" spans="1:86" s="41" customFormat="1">
      <c r="A1" s="44" t="s">
        <v>748</v>
      </c>
      <c r="B1" s="51">
        <f>'MASTER PubCo Inputs'!C6</f>
        <v>43245</v>
      </c>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2"/>
      <c r="AR1" s="45"/>
      <c r="AS1" s="43"/>
      <c r="AT1" s="45"/>
      <c r="AU1" s="42"/>
      <c r="AV1" s="42"/>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row>
    <row r="2" spans="1:86" s="41" customFormat="1">
      <c r="A2" s="44" t="s">
        <v>749</v>
      </c>
      <c r="B2" s="51" t="str">
        <f>'Capital IQ Sheet-GPC'!B2</f>
        <v>CY2016</v>
      </c>
      <c r="C2" s="45"/>
      <c r="D2" s="45"/>
      <c r="E2" s="45"/>
      <c r="F2" s="45"/>
      <c r="G2" s="45"/>
      <c r="H2" s="45"/>
      <c r="I2" s="45"/>
      <c r="J2" s="45"/>
      <c r="K2" s="78" t="s">
        <v>87</v>
      </c>
      <c r="L2" s="79">
        <f>B1</f>
        <v>43245</v>
      </c>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2"/>
      <c r="AR2" s="45"/>
      <c r="AS2" s="43"/>
      <c r="AT2" s="45"/>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row>
    <row r="3" spans="1:86" s="41" customFormat="1">
      <c r="A3" s="44" t="s">
        <v>750</v>
      </c>
      <c r="B3" s="51" t="str">
        <f>'Capital IQ Sheet-GPC'!B3</f>
        <v>CY2017</v>
      </c>
      <c r="C3" s="45"/>
      <c r="D3" s="45"/>
      <c r="E3" s="45"/>
      <c r="F3" s="45"/>
      <c r="G3" s="45"/>
      <c r="H3" s="45"/>
      <c r="I3" s="45"/>
      <c r="J3" s="45"/>
      <c r="K3" s="53" t="s">
        <v>462</v>
      </c>
      <c r="L3" s="54" t="str">
        <f>'Capital IQ Sheet-GPC'!L3</f>
        <v>F</v>
      </c>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2"/>
      <c r="AR3" s="45"/>
      <c r="AS3" s="43"/>
      <c r="AT3" s="45"/>
      <c r="AU3" s="42"/>
      <c r="AV3" s="42"/>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c r="BY3" s="42"/>
      <c r="BZ3" s="42"/>
    </row>
    <row r="4" spans="1:86" s="41" customFormat="1">
      <c r="A4" s="44" t="s">
        <v>751</v>
      </c>
      <c r="B4" s="51" t="str">
        <f>'Capital IQ Sheet-GPC'!B4</f>
        <v>CY2018</v>
      </c>
      <c r="C4" s="45"/>
      <c r="D4" s="45"/>
      <c r="E4" s="45"/>
      <c r="F4" s="45"/>
      <c r="G4" s="45"/>
      <c r="H4" s="45"/>
      <c r="I4" s="45"/>
      <c r="J4" s="45"/>
      <c r="K4" s="53" t="s">
        <v>843</v>
      </c>
      <c r="L4" s="54" t="str">
        <f>'Capital IQ Sheet-GPC'!L4</f>
        <v>LFR</v>
      </c>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2"/>
      <c r="AR4" s="45"/>
      <c r="AS4" s="42"/>
      <c r="AT4" s="45"/>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row>
    <row r="5" spans="1:86" s="41" customFormat="1">
      <c r="A5" s="44" t="s">
        <v>752</v>
      </c>
      <c r="B5" s="51" t="str">
        <f>'Capital IQ Sheet-GPC'!B5</f>
        <v>CY2019</v>
      </c>
      <c r="C5" s="45"/>
      <c r="D5" s="45"/>
      <c r="E5" s="45"/>
      <c r="F5" s="45"/>
      <c r="G5" s="45"/>
      <c r="H5" s="45"/>
      <c r="I5" s="45"/>
      <c r="J5" s="45"/>
      <c r="K5" s="53" t="s">
        <v>463</v>
      </c>
      <c r="L5" s="54" t="str">
        <f>'Capital IQ Sheet-GPC'!L5</f>
        <v>USD</v>
      </c>
      <c r="M5" s="45"/>
      <c r="N5" s="45"/>
      <c r="O5" s="45"/>
      <c r="P5" s="45"/>
      <c r="Q5" s="45"/>
      <c r="R5" s="45"/>
      <c r="S5" s="45"/>
      <c r="T5" s="45"/>
      <c r="U5" s="45"/>
      <c r="V5" s="45"/>
      <c r="W5" s="45"/>
      <c r="X5" s="45"/>
      <c r="Y5" s="45"/>
      <c r="Z5" s="45"/>
      <c r="AA5" s="45"/>
      <c r="AB5" s="45"/>
      <c r="AC5" s="45"/>
      <c r="AD5" s="45"/>
      <c r="AE5" s="45"/>
      <c r="AF5" s="45"/>
      <c r="AG5" s="45"/>
      <c r="AH5" s="45"/>
      <c r="AI5" s="45"/>
      <c r="AJ5" s="45"/>
      <c r="AK5" s="45"/>
      <c r="AL5" s="45"/>
      <c r="AM5" s="45"/>
      <c r="AN5" s="45"/>
      <c r="AO5" s="45"/>
      <c r="AP5" s="45"/>
      <c r="AQ5" s="42"/>
      <c r="AR5" s="45"/>
      <c r="AS5" s="42"/>
      <c r="AT5" s="45"/>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row>
    <row r="6" spans="1:86" s="41" customFormat="1">
      <c r="A6" s="44" t="s">
        <v>753</v>
      </c>
      <c r="B6" s="51" t="str">
        <f>'Capital IQ Sheet-GPC'!B6</f>
        <v>CY2020</v>
      </c>
      <c r="C6" s="45"/>
      <c r="D6" s="45"/>
      <c r="E6" s="45"/>
      <c r="F6" s="45"/>
      <c r="G6" s="45"/>
      <c r="H6" s="45"/>
      <c r="I6" s="45"/>
      <c r="J6" s="45"/>
      <c r="K6" s="55" t="s">
        <v>89</v>
      </c>
      <c r="L6" s="56" t="str">
        <f>'Capital IQ Sheet-GPC'!L6</f>
        <v>H</v>
      </c>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2"/>
      <c r="AR6" s="45"/>
      <c r="AS6" s="42"/>
      <c r="AT6" s="45"/>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row>
    <row r="7" spans="1:86" s="41" customFormat="1">
      <c r="A7" s="44" t="s">
        <v>845</v>
      </c>
      <c r="B7" s="51" t="str">
        <f>'Capital IQ Sheet-GPC'!B7</f>
        <v>CY2021</v>
      </c>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57"/>
      <c r="AG7" s="57"/>
      <c r="AH7" s="45"/>
      <c r="AI7" s="45"/>
      <c r="AJ7" s="45"/>
      <c r="AK7" s="45"/>
      <c r="AL7" s="45"/>
      <c r="AM7" s="45"/>
      <c r="AN7" s="45"/>
      <c r="AO7" s="45"/>
      <c r="AP7" s="45"/>
      <c r="AQ7" s="42"/>
      <c r="AR7" s="45"/>
      <c r="AS7" s="42"/>
      <c r="AT7" s="45"/>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row>
    <row r="8" spans="1:86" s="41" customFormat="1">
      <c r="A8" s="44" t="s">
        <v>754</v>
      </c>
      <c r="B8" s="51">
        <f>'Capital IQ Sheet-GPC'!B8</f>
        <v>43101</v>
      </c>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2"/>
      <c r="AR8" s="45"/>
      <c r="AS8" s="42"/>
      <c r="AT8" s="45"/>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row>
    <row r="9" spans="1:86" s="80" customFormat="1" ht="12.75">
      <c r="C9" s="81"/>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81"/>
      <c r="AI9" s="81"/>
      <c r="AJ9" s="81"/>
      <c r="AK9" s="81"/>
      <c r="AL9" s="81"/>
      <c r="AM9" s="81"/>
      <c r="AN9" s="81"/>
      <c r="AO9" s="81"/>
      <c r="AP9" s="81"/>
      <c r="AQ9" s="81"/>
      <c r="AR9" s="81"/>
      <c r="AS9" s="81"/>
      <c r="AT9" s="81"/>
      <c r="AU9" s="81"/>
      <c r="AV9" s="81"/>
      <c r="AW9" s="81"/>
      <c r="AX9" s="81"/>
      <c r="AY9" s="81"/>
      <c r="AZ9" s="81"/>
      <c r="BA9" s="81"/>
      <c r="BB9" s="81"/>
      <c r="BC9" s="81"/>
      <c r="BD9" s="81"/>
      <c r="BE9" s="81"/>
      <c r="BF9" s="81"/>
      <c r="BG9" s="81"/>
      <c r="BH9" s="81"/>
      <c r="BI9" s="81"/>
      <c r="BJ9" s="81"/>
      <c r="BK9" s="81"/>
      <c r="BL9" s="81"/>
      <c r="BM9" s="81"/>
      <c r="BN9" s="81"/>
      <c r="BO9" s="81"/>
      <c r="BP9" s="81"/>
      <c r="BQ9" s="81"/>
      <c r="BR9" s="81"/>
      <c r="BS9" s="81"/>
      <c r="BT9" s="81"/>
      <c r="BU9" s="81"/>
      <c r="BV9" s="81"/>
      <c r="BW9" s="81"/>
      <c r="BX9" s="81"/>
      <c r="BY9" s="81"/>
      <c r="BZ9" s="81"/>
    </row>
    <row r="10" spans="1:86">
      <c r="A10" s="58" t="str">
        <f>'Capital IQ Sheet-GPC'!A10</f>
        <v>Comparable Public Companies (Primary)</v>
      </c>
      <c r="W10" s="46"/>
      <c r="AF10" s="82" t="s">
        <v>330</v>
      </c>
      <c r="AG10" s="83"/>
      <c r="AH10" s="83"/>
      <c r="AI10" s="84"/>
      <c r="AJ10" s="45" t="s">
        <v>353</v>
      </c>
      <c r="AK10" s="45" t="s">
        <v>329</v>
      </c>
      <c r="AL10" s="45" t="s">
        <v>330</v>
      </c>
      <c r="AM10" s="45" t="s">
        <v>353</v>
      </c>
      <c r="AN10" s="45" t="s">
        <v>329</v>
      </c>
      <c r="AO10" s="45" t="s">
        <v>330</v>
      </c>
      <c r="AQ10" s="42">
        <v>1</v>
      </c>
      <c r="AR10" s="45">
        <v>2</v>
      </c>
      <c r="AS10" s="42">
        <v>5</v>
      </c>
      <c r="AU10" s="45" t="s">
        <v>353</v>
      </c>
      <c r="AV10" s="45" t="s">
        <v>329</v>
      </c>
      <c r="AW10" s="45" t="s">
        <v>330</v>
      </c>
      <c r="AX10" s="46" t="str">
        <f>B2</f>
        <v>CY2016</v>
      </c>
      <c r="AY10" s="46" t="str">
        <f>B3</f>
        <v>CY2017</v>
      </c>
      <c r="AZ10" s="45" t="s">
        <v>353</v>
      </c>
      <c r="BA10" s="45" t="s">
        <v>329</v>
      </c>
      <c r="BB10" s="45" t="s">
        <v>330</v>
      </c>
      <c r="BC10" s="45" t="str">
        <f>AX10</f>
        <v>CY2016</v>
      </c>
      <c r="BD10" s="45" t="str">
        <f>AY10</f>
        <v>CY2017</v>
      </c>
      <c r="BH10" s="42"/>
      <c r="BI10" s="42"/>
      <c r="BJ10" s="42"/>
      <c r="BK10" s="42"/>
      <c r="BL10" s="42"/>
      <c r="BM10" s="42"/>
      <c r="BN10" s="42"/>
      <c r="BO10" s="42"/>
      <c r="BP10" s="42"/>
      <c r="BQ10" s="42"/>
      <c r="BR10" s="42"/>
      <c r="BS10" s="42" t="s">
        <v>117</v>
      </c>
      <c r="BT10" s="42"/>
      <c r="BU10" s="42"/>
      <c r="BV10" s="42"/>
      <c r="BW10" s="42"/>
      <c r="BX10" s="42"/>
      <c r="BY10" s="42"/>
      <c r="BZ10" s="42"/>
      <c r="CA10" s="41"/>
      <c r="CB10" s="41"/>
      <c r="CC10" s="41"/>
      <c r="CD10" s="41"/>
      <c r="CE10" s="41"/>
      <c r="CF10" s="41"/>
      <c r="CG10" s="41"/>
      <c r="CH10" s="41"/>
    </row>
    <row r="11" spans="1:86" ht="12.75">
      <c r="A11" s="44" t="s">
        <v>108</v>
      </c>
      <c r="B11" s="44" t="s">
        <v>755</v>
      </c>
      <c r="C11" s="45" t="s">
        <v>756</v>
      </c>
      <c r="D11" s="45" t="s">
        <v>757</v>
      </c>
      <c r="E11" s="45" t="s">
        <v>758</v>
      </c>
      <c r="F11" s="45" t="s">
        <v>847</v>
      </c>
      <c r="G11" s="45" t="s">
        <v>759</v>
      </c>
      <c r="H11" s="45" t="s">
        <v>147</v>
      </c>
      <c r="I11" s="45" t="s">
        <v>700</v>
      </c>
      <c r="J11" s="45" t="s">
        <v>94</v>
      </c>
      <c r="K11" s="45" t="s">
        <v>95</v>
      </c>
      <c r="L11" s="45" t="s">
        <v>96</v>
      </c>
      <c r="M11" s="45" t="s">
        <v>97</v>
      </c>
      <c r="N11" s="45" t="s">
        <v>100</v>
      </c>
      <c r="O11" s="81" t="s">
        <v>803</v>
      </c>
      <c r="P11" s="45" t="s">
        <v>804</v>
      </c>
      <c r="Q11" s="45" t="s">
        <v>805</v>
      </c>
      <c r="R11" s="45" t="str">
        <f>"REV_"&amp;$B$2</f>
        <v>REV_CY2016</v>
      </c>
      <c r="S11" s="45" t="str">
        <f>"REV_"&amp;$B$3</f>
        <v>REV_CY2017</v>
      </c>
      <c r="T11" s="45" t="str">
        <f>"REV_"&amp;$B$4</f>
        <v>REV_CY2018</v>
      </c>
      <c r="U11" s="45" t="str">
        <f>"REV_"&amp;$B$5</f>
        <v>REV_CY2019</v>
      </c>
      <c r="V11" s="45" t="str">
        <f>"REV_"&amp;$B$6</f>
        <v>REV_CY2020</v>
      </c>
      <c r="W11" s="45" t="str">
        <f>"REV_"&amp;$B$7</f>
        <v>REV_CY2021</v>
      </c>
      <c r="X11" s="81" t="s">
        <v>806</v>
      </c>
      <c r="Y11" s="45" t="s">
        <v>807</v>
      </c>
      <c r="Z11" s="45" t="s">
        <v>760</v>
      </c>
      <c r="AA11" s="45" t="s">
        <v>808</v>
      </c>
      <c r="AB11" s="45" t="s">
        <v>809</v>
      </c>
      <c r="AC11" s="45" t="s">
        <v>810</v>
      </c>
      <c r="AD11" s="45" t="s">
        <v>811</v>
      </c>
      <c r="AE11" s="45" t="s">
        <v>812</v>
      </c>
      <c r="AF11" s="45" t="s">
        <v>815</v>
      </c>
      <c r="AG11" s="45" t="s">
        <v>864</v>
      </c>
      <c r="AH11" s="45" t="s">
        <v>865</v>
      </c>
      <c r="AI11" s="45" t="s">
        <v>866</v>
      </c>
      <c r="AJ11" s="45" t="s">
        <v>816</v>
      </c>
      <c r="AK11" s="45" t="s">
        <v>816</v>
      </c>
      <c r="AL11" s="45" t="s">
        <v>816</v>
      </c>
      <c r="AM11" s="45" t="s">
        <v>698</v>
      </c>
      <c r="AN11" s="45" t="s">
        <v>698</v>
      </c>
      <c r="AO11" s="45" t="s">
        <v>698</v>
      </c>
      <c r="AP11" s="45" t="s">
        <v>867</v>
      </c>
      <c r="AQ11" s="45" t="s">
        <v>763</v>
      </c>
      <c r="AR11" s="45" t="s">
        <v>762</v>
      </c>
      <c r="AS11" s="45" t="s">
        <v>761</v>
      </c>
      <c r="AT11" s="45" t="s">
        <v>73</v>
      </c>
      <c r="AU11" s="45" t="s">
        <v>624</v>
      </c>
      <c r="AV11" s="45" t="s">
        <v>624</v>
      </c>
      <c r="AW11" s="45" t="s">
        <v>624</v>
      </c>
      <c r="AX11" s="45" t="s">
        <v>624</v>
      </c>
      <c r="AY11" s="45" t="s">
        <v>624</v>
      </c>
      <c r="AZ11" s="45" t="s">
        <v>625</v>
      </c>
      <c r="BA11" s="45" t="s">
        <v>625</v>
      </c>
      <c r="BB11" s="45" t="s">
        <v>625</v>
      </c>
      <c r="BC11" s="45" t="s">
        <v>625</v>
      </c>
      <c r="BD11" s="45" t="s">
        <v>625</v>
      </c>
      <c r="BE11" s="45" t="s">
        <v>853</v>
      </c>
      <c r="BF11" s="45" t="s">
        <v>854</v>
      </c>
      <c r="BG11" s="45" t="s">
        <v>855</v>
      </c>
      <c r="BH11" s="45" t="s">
        <v>856</v>
      </c>
      <c r="BI11" s="45" t="s">
        <v>857</v>
      </c>
      <c r="BJ11" s="45" t="s">
        <v>858</v>
      </c>
      <c r="BK11" s="45" t="s">
        <v>764</v>
      </c>
      <c r="BL11" s="45" t="s">
        <v>765</v>
      </c>
      <c r="BM11" s="45" t="s">
        <v>766</v>
      </c>
      <c r="BN11" s="45" t="s">
        <v>767</v>
      </c>
      <c r="BO11" s="45" t="s">
        <v>768</v>
      </c>
      <c r="BP11" s="45" t="s">
        <v>769</v>
      </c>
      <c r="BQ11" s="45" t="s">
        <v>770</v>
      </c>
      <c r="BR11" s="45" t="s">
        <v>771</v>
      </c>
      <c r="BS11" s="46" t="str">
        <f>'Capital IQ Sheet-GPC'!BS11</f>
        <v>Year 1</v>
      </c>
      <c r="BT11" s="46" t="str">
        <f>'Capital IQ Sheet-GPC'!BT11</f>
        <v>Year 2</v>
      </c>
      <c r="BU11" s="46" t="str">
        <f>'Capital IQ Sheet-GPC'!BU11</f>
        <v>Year 3</v>
      </c>
      <c r="BV11" s="46" t="str">
        <f>'Capital IQ Sheet-GPC'!BV11</f>
        <v>Year 4</v>
      </c>
      <c r="BW11" s="46" t="str">
        <f>'Capital IQ Sheet-GPC'!BW11</f>
        <v>Year 5</v>
      </c>
      <c r="BX11" s="46" t="str">
        <f>'Capital IQ Sheet-GPC'!BX11</f>
        <v>Year 6</v>
      </c>
      <c r="BY11" s="46" t="str">
        <f>'Capital IQ Sheet-GPC'!BY11</f>
        <v>Year 7</v>
      </c>
      <c r="BZ11" s="46" t="str">
        <f>'Capital IQ Sheet-GPC'!BZ11</f>
        <v>Year 8</v>
      </c>
      <c r="CB11" s="44" t="s">
        <v>868</v>
      </c>
      <c r="CC11" s="44" t="s">
        <v>302</v>
      </c>
      <c r="CD11" s="44" t="s">
        <v>303</v>
      </c>
      <c r="CE11" s="45" t="s">
        <v>819</v>
      </c>
    </row>
    <row r="12" spans="1:86">
      <c r="CE12" s="44"/>
    </row>
    <row r="13" spans="1:86" s="45" customFormat="1" ht="12.75">
      <c r="A13" s="45" t="e">
        <f ca="1">_xll.ciqfunctions.udf.CIQ($B13,"IQ_COMPANY_TICKER")</f>
        <v>#NAME?</v>
      </c>
      <c r="B13" s="45" t="str">
        <f>'Capital IQ Sheet-GPC'!B13</f>
        <v>IQ252050056</v>
      </c>
      <c r="C13" s="45" t="e">
        <f ca="1">_xll.ciqfunctions.udf.CIQ($A13,"IQ_COMPANY_NAME")</f>
        <v>#NAME?</v>
      </c>
      <c r="D13" s="45" t="e">
        <f ca="1">_xll.ciqfunctions.udf.CIQ($A13, "IQ_EXCHANGE")</f>
        <v>#NAME?</v>
      </c>
      <c r="E13" s="46" t="e">
        <f ca="1">_xll.ciqfunctions.udf.CIQ($A13, "IQ_PERIODDATE_IS", IQ_FY)</f>
        <v>#NAME?</v>
      </c>
      <c r="F13" s="46" t="e">
        <f ca="1">_xll.ciqfunctions.udf.CIQ(A13, "IQ_PERIODDATE_IS", IQ_LTM, $B$1,$L$4,$L$3)</f>
        <v>#NAME?</v>
      </c>
      <c r="G13" s="46" t="e">
        <f ca="1">_xll.ciqfunctions.udf.CIQ($A13, "IQ_FIRSTPRICINGDATE")</f>
        <v>#NAME?</v>
      </c>
      <c r="H13" s="59" t="e">
        <f ca="1">_xll.ciqfunctions.udf.CIQ($A13, "IQ_TEV", $L$2, $L$5, $L$6)</f>
        <v>#NAME?</v>
      </c>
      <c r="I13" s="59" t="e">
        <f ca="1">_xll.ciqfunctions.udf.CIQ(A13, "IQ_LASTSALEPRICE", $B$1,$L$5)</f>
        <v>#NAME?</v>
      </c>
      <c r="J13" s="59" t="e">
        <f ca="1">_xll.ciqfunctions.udf.CIQ($A13, "IQ_MARKETCAP", $L$2, $L$5, $L$6)</f>
        <v>#NAME?</v>
      </c>
      <c r="K13" s="59" t="e">
        <f ca="1">_xll.ciqfunctions.udf.CIQ($A13, "IQ_TOTAL_DEBT", IQ_LTM, $L$2,$L$4, $L$3, $L$5, $L$6)</f>
        <v>#NAME?</v>
      </c>
      <c r="L13" s="59" t="e">
        <f ca="1">_xll.ciqfunctions.udf.CIQ($A13, "IQ_PREF_EQUITY", IQ_LTM, $L$2, $L$4, $L$3, $L$5, $L$6)</f>
        <v>#NAME?</v>
      </c>
      <c r="M13" s="59" t="e">
        <f ca="1">_xll.ciqfunctions.udf.CIQ($A13, "IQ_MINORITY_INTEREST_TOTAL", IQ_LTM, $L$2, $L$4, $L$3, $L$5, $L$6)</f>
        <v>#NAME?</v>
      </c>
      <c r="N13" s="59" t="e">
        <f ca="1">_xll.ciqfunctions.udf.CIQ($A13, "IQ_CASH_ST_INVEST", IQ_LTM, $L$2, $L$4, $L$3, $L$5, $L$6)</f>
        <v>#NAME?</v>
      </c>
      <c r="O13" s="59" t="e">
        <f ca="1">_xll.ciqfunctions.udf.CIQ($A13, "IQ_TOTAL_REV", IQ_LTM-8, $L$2, $L$4, $L$3, $L$5, $L$6)</f>
        <v>#NAME?</v>
      </c>
      <c r="P13" s="59" t="e">
        <f ca="1">_xll.ciqfunctions.udf.CIQ($A13, "IQ_TOTAL_REV", IQ_LTM - 4, $L$2, $L$4, $L$3, $L$5,$L$6)</f>
        <v>#NAME?</v>
      </c>
      <c r="Q13" s="59" t="e">
        <f ca="1">_xll.ciqfunctions.udf.CIQ($A13, "IQ_TOTAL_REV", IQ_LTM, $L$2, $L$4, $L$3, $L$5, $L$6)</f>
        <v>#NAME?</v>
      </c>
      <c r="R13" s="59" t="e">
        <f ca="1">_xll.ciqfunctions.udf.CIQ($A13, "IQ_TOTAL_REV", $B$2, $L$2, $L$4, $L$3, $L$5, $L$6)</f>
        <v>#NAME?</v>
      </c>
      <c r="S13" s="59" t="e">
        <f ca="1">IF(_xll.ciqfunctions.udf.CIQ($A13, "IQ_TOTAL_REV", $B$3, $L$2,$L$4, $L$3, $L$5, $L$6)=0,Q13,_xll.ciqfunctions.udf.CIQ($A13, "IQ_TOTAL_REV", $B$3, $L$2,$L$4, $L$3, $L$5, $L$6))</f>
        <v>#NAME?</v>
      </c>
      <c r="T13" s="59" t="e">
        <f ca="1">IF(_xll.ciqfunctions.udf.CIQ($A13, "IQ_REVENUE_EST",$B$4, $L$2, "CON", $L$3, $L$5, $L$6)=0,"n/a",_xll.ciqfunctions.udf.CIQ($A13, "IQ_REVENUE_EST",$B$4, $L$2, "CON", $L$3, $L$5, $L$6))</f>
        <v>#NAME?</v>
      </c>
      <c r="U13" s="59" t="e">
        <f ca="1">IF(_xll.ciqfunctions.udf.CIQ($A13, "IQ_REVENUE_EST",$B$5, $L$2, "CON", $L$3, $L$5, $L$6)=0,"n/a",_xll.ciqfunctions.udf.CIQ($A13, "IQ_REVENUE_EST",$B$5, $L$2, "CON", $L$3, $L$5, $L$6))</f>
        <v>#NAME?</v>
      </c>
      <c r="V13" s="59" t="e">
        <f ca="1">IF(_xll.ciqfunctions.udf.CIQ($A13, "IQ_REVENUE_EST",$B$6, $L$2, "CON", $L$3, $L$5, $L$6)=0,"n/a",_xll.ciqfunctions.udf.CIQ($A13, "IQ_REVENUE_EST",$B$6, $L$2, "CON", $L$3, $L$5, $L$6))</f>
        <v>#NAME?</v>
      </c>
      <c r="W13" s="59" t="e">
        <f ca="1">IF(_xll.ciqfunctions.udf.CIQ($A13, "IQ_REVENUE_EST", $B$7, $L$2, "CON", $L$3, $L$5, $L$6)=0,"n/a",_xll.ciqfunctions.udf.CIQ($A13, "IQ_REVENUE_EST",$B$7, $L$2, "CON", $L$3, $L$5, $L$6))</f>
        <v>#NAME?</v>
      </c>
      <c r="X13" s="59" t="e">
        <f ca="1">_xll.ciqfunctions.udf.CIQ($A13, "IQ_EBITDA", IQ_LTM-8, $L$2, $L$4, $L$3, $L$5, $L$6)</f>
        <v>#NAME?</v>
      </c>
      <c r="Y13" s="59" t="e">
        <f ca="1">_xll.ciqfunctions.udf.CIQ($A13, "IQ_EBITDA", IQ_LTM-4, $L$2,$L$4, $L$3, $L$5, $L$6)</f>
        <v>#NAME?</v>
      </c>
      <c r="Z13" s="59" t="e">
        <f ca="1">_xll.ciqfunctions.udf.CIQ($A13, "IQ_EBITDA", IQ_LTM, $L$2, $L$4, $L$3, $L$5, $L$6)</f>
        <v>#NAME?</v>
      </c>
      <c r="AA13" s="59" t="e">
        <f ca="1">_xll.ciqfunctions.udf.CIQ($A13, "IQ_EBITDA", $B$2, $L$2, $L$4, $L$3, $L$5, $L$6)</f>
        <v>#NAME?</v>
      </c>
      <c r="AB13" s="59" t="e">
        <f ca="1">IF(_xll.ciqfunctions.udf.CIQ($A13, "IQ_EBITDA", $B$3, $L$2,$L$4, $L$3, $L$5, $L$6)=0,Z13,_xll.ciqfunctions.udf.CIQ($A13, "IQ_EBITDA", $B$3, $L$2,$L$4, $L$3, $L$5, $L$6))</f>
        <v>#NAME?</v>
      </c>
      <c r="AC13" s="59" t="e">
        <f ca="1">IF(_xll.ciqfunctions.udf.CIQ($A13, "IQ_EBITDA_EST",$B$4, $L$2, "CON", $L$3, $L$5, $L$6)=0,"n/a",_xll.ciqfunctions.udf.CIQ($A13, "IQ_EBITDA_EST",$B$4, $L$2, "CON", $L$3, $L$5, $L$6))</f>
        <v>#NAME?</v>
      </c>
      <c r="AD13" s="59" t="e">
        <f ca="1">IF(_xll.ciqfunctions.udf.CIQ($A13, "IQ_EBITDA_EST",$B$5, $L$2, "CON", $L$3, $L$5, $L$6)=0,"n/a",_xll.ciqfunctions.udf.CIQ($A13, "IQ_EBITDA_EST",$B$5, $L$2, "CON", $L$3, $L$5, $L$6))</f>
        <v>#NAME?</v>
      </c>
      <c r="AE13" s="59" t="e">
        <f ca="1">IF(_xll.ciqfunctions.udf.CIQ($A13, "IQ_EBITDA_EST",$B$6, $L$2, "CON", $L$3, $L$5, $L$6)=0,"n/a",_xll.ciqfunctions.udf.CIQ($A13, "IQ_EBITDA_EST",$B$6, $L$2, "CON", $L$3, $L$5, $L$6))</f>
        <v>#NAME?</v>
      </c>
      <c r="AF13" s="47" t="str">
        <f ca="1">IF(ISERROR(_xll.ciqfunctions.udf.CIQ($A13, "IQ_GROSS_MARGIN", IQ_LTM, $L$2,$L$4, $L$3, $L$5, $L$6)/100), "n/a", _xll.ciqfunctions.udf.CIQ($A13,  "IQ_GROSS_MARGIN", IQ_LTM, $L$2, $L$4, $L$3, $L$5, $L$6)/100)</f>
        <v>n/a</v>
      </c>
      <c r="AG13" s="47" t="str">
        <f ca="1">IF(ISERROR(_xll.ciqfunctions.udf.CIQ($A13,"IQ_EBITDA_MARGIN", IQ_LTM, $L$2, $L$4, $L$3, $L$5, $L$6)/100), "n/a", _xll.ciqfunctions.udf.CIQ($A13, "IQ_EBITDA_MARGIN", IQ_LTM, $L$2, $L$4, $L$3, $L$5, $L$6)/100)</f>
        <v>n/a</v>
      </c>
      <c r="AH13" s="47" t="str">
        <f ca="1">IF(ISERROR(_xll.ciqfunctions.udf.CIQ($A13,"IQ_EBIT_MARGIN", IQ_LTM, $L$2, $L$4, $L$3, $L$5, $L$6)/100), "n/a", _xll.ciqfunctions.udf.CIQ($A13, "IQ_EBIT_MARGIN", IQ_LTM, $L$2, $L$4, $L$3, $L$5, $L$6)/100)</f>
        <v>n/a</v>
      </c>
      <c r="AI13" s="47" t="str">
        <f ca="1">IF(ISERROR(_xll.ciqfunctions.udf.CIQ($A13,"IQ_NI_MARGIN", IQ_LTM, $L$2, $L$4, $L$3, $L$5, $L$6)/100), "n/a", _xll.ciqfunctions.udf.CIQ($A13, "IQ_NI_MARGIN", IQ_LTM, $L$2, $L$4, $L$3, $L$5, $L$6)/100)</f>
        <v>n/a</v>
      </c>
      <c r="AJ13" s="59" t="str">
        <f ca="1">IF(ISERROR(_xll.ciqfunctions.udf.CIQ($A13, "IQ_NET_WORKING_CAP", IQ_LTM-8, $L$2, $L$4, $L$3, $L$5, $L$6)), "n/a", _xll.ciqfunctions.udf.CIQ($A13, "IQ_NET_WORKING_CAP", IQ_LTM-8, $L$2, $L$4, $L$3, $L$5, $L$6))</f>
        <v>n/a</v>
      </c>
      <c r="AK13" s="59" t="str">
        <f ca="1">IF(ISERROR(_xll.ciqfunctions.udf.CIQ($A13, "IQ_NET_WORKING_CAP", IQ_LTM-4, $L$2, $L$4, $L$3, $L$5, $L$6)), "n/a", _xll.ciqfunctions.udf.CIQ($A13, "IQ_NET_WORKING_CAP", IQ_LTM-4, $L$2, $L$4, $L$3, $L$5, $L$6))</f>
        <v>n/a</v>
      </c>
      <c r="AL13" s="59" t="str">
        <f ca="1">IF(ISERROR(_xll.ciqfunctions.udf.CIQ($A13, "IQ_NET_WORKING_CAP", IQ_LTM, $L$2,$L$4, $L$3, $L$5, $L$6)), "n/a", _xll.ciqfunctions.udf.CIQ($A13, "IQ_NET_WORKING_CAP", IQ_LTM, $L$2, $L$4, $L$3, $L$5, $L$6))</f>
        <v>n/a</v>
      </c>
      <c r="AM13" s="59" t="str">
        <f ca="1">IF(ISERROR(_xll.ciqfunctions.udf.CIQ($A13, "IQ_Capex", IQ_LTM-8, $L$2,$L$4, $L$3, $L$5, $L$6)), "n/a", _xll.ciqfunctions.udf.CIQ($A13, "IQ_Capex", IQ_LTM-8, $L$2, $L$4, $L$3, $L$5, $L$6))</f>
        <v>n/a</v>
      </c>
      <c r="AN13" s="59" t="str">
        <f ca="1">IF(ISERROR(_xll.ciqfunctions.udf.CIQ($A13, "IQ_Capex", IQ_LTM-4, $L$2,$L$4, $L$3, $L$5, $L$6)), "n/a", _xll.ciqfunctions.udf.CIQ($A13, "IQ_Capex", IQ_LTM-4, $L$2,$L$4, $L$3, $L$5, $L$6))</f>
        <v>n/a</v>
      </c>
      <c r="AO13" s="59" t="str">
        <f ca="1">IF(ISERROR(_xll.ciqfunctions.udf.CIQ($A13, "IQ_Capex", IQ_LTM, $L$2, $L$4, $L$3, $L$5, $L$6)), "n/a", _xll.ciqfunctions.udf.CIQ($A13, "IQ_Capex", IQ_LTM, $L$2, $L$4, $L$3, $L$5, $L$6))</f>
        <v>n/a</v>
      </c>
      <c r="AP13" s="44" t="e">
        <f ca="1">_xll.ciqfunctions.udf.CIQ(A13, "IQ_BUSINESS_DESCRIPTION")</f>
        <v>#NAME?</v>
      </c>
      <c r="AQ13" s="60" t="e">
        <f ca="1">_xll.ciqfunctions.udf.CIQ($A13, "IQ_BETA_1YR", $B$1)</f>
        <v>#NAME?</v>
      </c>
      <c r="AR13" s="60" t="e">
        <f ca="1">_xll.ciqfunctions.udf.CIQ($A13, "IQ_BETA_2YR", $B$1)</f>
        <v>#NAME?</v>
      </c>
      <c r="AS13" s="60" t="e">
        <f ca="1">_xll.ciqfunctions.udf.CIQ($A13, "IQ_BETA_5YR", $B$1)</f>
        <v>#NAME?</v>
      </c>
      <c r="AT13" s="47" t="e">
        <f ca="1">_xll.ciqfunctions.udf.CIQ($A13, "IQ_DIVIDEND_YIELD", $B$1)/100</f>
        <v>#NAME?</v>
      </c>
      <c r="AU13" s="59" t="e">
        <f ca="1">_xll.ciqfunctions.udf.CIQ($A13, "IQ_EARNING_CO", IQ_LTM-8, $L$2, $L$4, $L$3, $L$5, $L$6)</f>
        <v>#NAME?</v>
      </c>
      <c r="AV13" s="59" t="e">
        <f ca="1">_xll.ciqfunctions.udf.CIQ($A13, "IQ_EARNING_CO", IQ_LTM-4, $L$2, $L$4, $L$3, $L$5, $L$6)</f>
        <v>#NAME?</v>
      </c>
      <c r="AW13" s="59" t="e">
        <f ca="1">_xll.ciqfunctions.udf.CIQ($A13, "IQ_EARNING_CO", IQ_LTM, $L$2, $L$4, $L$3, $L$5, $L$6)</f>
        <v>#NAME?</v>
      </c>
      <c r="AX13" s="59" t="e">
        <f ca="1">_xll.ciqfunctions.udf.CIQ($A13, "IQ_EARNING_CO", $B$2, $L$2, $L$4, $L$3, $L$5, $L$6)</f>
        <v>#NAME?</v>
      </c>
      <c r="AY13" s="59" t="e">
        <f ca="1">IF(_xll.ciqfunctions.udf.CIQ($A13, "IQ_EARNING_CO", $B$3, $L$2,$L$4, $L$3, $L$5, $L$6)=0,AW13,_xll.ciqfunctions.udf.CIQ($A13, "IQ_EARNING_CO", $B$3, $L$2,$L$4, $L$3, $L$5, $L$6))</f>
        <v>#NAME?</v>
      </c>
      <c r="AZ13" s="59" t="e">
        <f ca="1">_xll.ciqfunctions.udf.CIQ($A13, "IQ_TOTAL_EQUITY", IQ_LTM-8, $L$2, $L$4, $L$3, $L$5, $L$6)</f>
        <v>#NAME?</v>
      </c>
      <c r="BA13" s="59" t="e">
        <f ca="1">_xll.ciqfunctions.udf.CIQ($A13, "IQ_TOTAL_EQUITY", IQ_LTM-4, $L$2, $L$4, $L$3, $L$5, $L$6)</f>
        <v>#NAME?</v>
      </c>
      <c r="BB13" s="59" t="e">
        <f ca="1">_xll.ciqfunctions.udf.CIQ($A13, "IQ_TOTAL_EQUITY", IQ_LTM, $L$2, $L$4, $L$3, $L$5, $L$6)</f>
        <v>#NAME?</v>
      </c>
      <c r="BC13" s="59" t="e">
        <f ca="1">_xll.ciqfunctions.udf.CIQ($A13, "IQ_TOTAL_EQUITY", $B$2, $L$2, $L$4, $L$3, $L$5, $L$6)</f>
        <v>#NAME?</v>
      </c>
      <c r="BD13" s="59" t="e">
        <f ca="1">IF(_xll.ciqfunctions.udf.CIQ($A13, "IQ_TOTAL_EQUITY", $B$3, $L$2,$L$4, $L$3, $L$5, $L$6)=0,BB13,_xll.ciqfunctions.udf.CIQ($A13, "IQ_TOTAL_EQUITY", $B$3, $L$2,$L$4, $L$3, $L$5, $L$6))</f>
        <v>#NAME?</v>
      </c>
      <c r="BE13" s="59" t="e">
        <f ca="1">_xll.ciqfunctions.udf.CIQ(A13, "IQ_LASTSALEPRICE", $B$8)</f>
        <v>#NAME?</v>
      </c>
      <c r="BF13" s="59" t="e">
        <f ca="1">_xll.ciqfunctions.udf.CIQ($A13, "IQ_MARKETCAP", $B$8, $L$5, $L$6)</f>
        <v>#NAME?</v>
      </c>
      <c r="BG13" s="59" t="e">
        <f ca="1">_xll.ciqfunctions.udf.CIQ($A13, "IQ_TOTAL_DEBT", IQ_LTM, $B$8,$L$4, $L$3, $L$5, $L$6)</f>
        <v>#NAME?</v>
      </c>
      <c r="BH13" s="45" t="e">
        <f ca="1">_xll.ciqfunctions.udf.CIQ($A13,"IQ_PREF_EQUITY",IQ_LTM,$B$8,$L$4,$L$3,$L$5,$L$6)</f>
        <v>#NAME?</v>
      </c>
      <c r="BI13" s="45" t="e">
        <f ca="1">_xll.ciqfunctions.udf.CIQ($A13, "IQ_MINORITY_INTEREST_TOTAL", IQ_LTM,$B$8,$L$4,$L$3,$L$5,$L$6)</f>
        <v>#NAME?</v>
      </c>
      <c r="BJ13" s="59" t="e">
        <f ca="1">_xll.ciqfunctions.udf.CIQ($A13, "IQ_CASH_ST_INVEST", IQ_LTM, $B$8, $L$4, $L$3, $L$5, $L$6)</f>
        <v>#NAME?</v>
      </c>
      <c r="BK13" s="45" t="e">
        <f ca="1">_xll.ciqfunctions.udf.CIQ($A13, "IQ_EFFECT_TAX_RATE")</f>
        <v>#NAME?</v>
      </c>
      <c r="BL13" s="45" t="e">
        <f ca="1">IF(_xll.ciqfunctions.udf.CIQ($A13, "IQ_TOTAL_REV_2YR_ANN_CAGR", IQ_LTM, $B$1,$L$4, $L$3, $L$5, $L$6)="NM","n/a",(_xll.ciqfunctions.udf.CIQ($A13, "IQ_TOTAL_REV_2YR_ANN_CAGR", IQ_LTM, $B$1,$L$4, $L$3, $L$5, $L$6)/100))</f>
        <v>#NAME?</v>
      </c>
      <c r="BM13" s="45" t="e">
        <f ca="1">IF(_xll.ciqfunctions.udf.CIQ($A13, "IQ_TOTAL_REV_3YR_ANN_CAGR", IQ_LTM, $B$1,$L$4, $L$3, $L$5, $L$6)="NM","n/a",(_xll.ciqfunctions.udf.CIQ($A13, "IQ_TOTAL_REV_3YR_ANN_CAGR", IQ_LTM, $B$1,$L$4, $L$3, $L$5, $L$6)/100))</f>
        <v>#NAME?</v>
      </c>
      <c r="BN13" s="45" t="e">
        <f ca="1">IF(_xll.ciqfunctions.udf.CIQ($A13, "IQ_TOTAL_REV_5YR_ANN_CAGR", IQ_LTM, $B$1,$L$4, $L$3, $L$5, $L$6)="NM","n/a",(_xll.ciqfunctions.udf.CIQ($A13, "IQ_TOTAL_REV_5YR_ANN_CAGR", IQ_LTM, $B$1,$L$4, $L$3, $L$5, $L$6)/100))</f>
        <v>#NAME?</v>
      </c>
      <c r="BO13" s="45" t="e">
        <f ca="1">IF(_xll.ciqfunctions.udf.CIQ($A13,"IQ_EBITDA_2YR_ANN_CAGR", IQ_LTM,$B$1,$L$4, $L$3, $L$5, $L$6)="NM","n/a",(_xll.ciqfunctions.udf.CIQ($A13,"IQ_EBITDA_2YR_ANN_CAGR", IQ_LTM,$B$1,$L$4, $L$3, $L$5, $L$6)/100))</f>
        <v>#NAME?</v>
      </c>
      <c r="BP13" s="45" t="e">
        <f ca="1">IF(_xll.ciqfunctions.udf.CIQ($A13,"IQ_EBITDA_3YR_ANN_CAGR", IQ_LTM,$B$1,$L$4, $L$3, $L$5, $L$6)="NM","n/a",(_xll.ciqfunctions.udf.CIQ($A13,"IQ_EBITDA_3YR_ANN_CAGR", IQ_LTM,$B$1,$L$4, $L$3, $L$5, $L$6)/100))</f>
        <v>#NAME?</v>
      </c>
      <c r="BQ13" s="45" t="e">
        <f ca="1">IF(_xll.ciqfunctions.udf.CIQ($A13,"IQ_EBITDA_5YR_ANN_CAGR", IQ_LTM,$B$1,$L$4, $L$3, $L$5, $L$6)="NM","n/a",(_xll.ciqfunctions.udf.CIQ($A13,"IQ_EBITDA_5YR_ANN_CAGR", IQ_LTM,$B$1,$L$4, $L$3, $L$5, $L$6)/100))</f>
        <v>#NAME?</v>
      </c>
      <c r="BR13" s="47" t="str">
        <f ca="1">IFERROR((_xll.ciqfunctions.udf.CIQ($A13, "IQ_DA_CF", IQ_LTM, $B$1, $L$4, $L$3, $L$5, $L$6)/Q13),"NM")</f>
        <v>NM</v>
      </c>
      <c r="BS13" s="61">
        <f>'Capital IQ Sheet-GPC'!BS13</f>
        <v>0.68420713810904565</v>
      </c>
      <c r="BT13" s="61">
        <f>'Capital IQ Sheet-GPC'!BT13</f>
        <v>0.69214889061457208</v>
      </c>
      <c r="BU13" s="61">
        <f>'Capital IQ Sheet-GPC'!BU13</f>
        <v>0.78204917356370451</v>
      </c>
      <c r="BV13" s="61" t="str">
        <f>'Capital IQ Sheet-GPC'!BV13</f>
        <v>n/a</v>
      </c>
      <c r="BW13" s="61" t="str">
        <f>'Capital IQ Sheet-GPC'!BW13</f>
        <v>n/a</v>
      </c>
      <c r="BX13" s="61" t="str">
        <f>'Capital IQ Sheet-GPC'!BX13</f>
        <v>n/a</v>
      </c>
      <c r="BY13" s="61" t="str">
        <f>'Capital IQ Sheet-GPC'!BY13</f>
        <v>n/a</v>
      </c>
      <c r="BZ13" s="61" t="str">
        <f>'Capital IQ Sheet-GPC'!BZ13</f>
        <v>n/a</v>
      </c>
      <c r="CB13" s="45">
        <v>2</v>
      </c>
      <c r="CC13" s="85" t="s">
        <v>306</v>
      </c>
      <c r="CD13" s="85" t="s">
        <v>305</v>
      </c>
      <c r="CE13" s="46">
        <f>$B$1-365*CB13</f>
        <v>42515</v>
      </c>
    </row>
    <row r="14" spans="1:86" s="45" customFormat="1" ht="12.75">
      <c r="A14" s="45" t="e">
        <f ca="1">_xll.ciqfunctions.udf.CIQ($B14,"IQ_COMPANY_TICKER")</f>
        <v>#NAME?</v>
      </c>
      <c r="B14" s="45" t="str">
        <f>'Capital IQ Sheet-GPC'!B14</f>
        <v>IQ613227</v>
      </c>
      <c r="C14" s="45" t="e">
        <f ca="1">_xll.ciqfunctions.udf.CIQ($A14,"IQ_COMPANY_NAME")</f>
        <v>#NAME?</v>
      </c>
      <c r="D14" s="45" t="e">
        <f ca="1">_xll.ciqfunctions.udf.CIQ($A14, "IQ_EXCHANGE")</f>
        <v>#NAME?</v>
      </c>
      <c r="E14" s="46" t="e">
        <f ca="1">_xll.ciqfunctions.udf.CIQ($A14, "IQ_PERIODDATE_IS", IQ_FY)</f>
        <v>#NAME?</v>
      </c>
      <c r="F14" s="46" t="e">
        <f ca="1">_xll.ciqfunctions.udf.CIQ(A14, "IQ_PERIODDATE_IS", IQ_LTM, $B$1,$L$4,$L$3)</f>
        <v>#NAME?</v>
      </c>
      <c r="G14" s="46" t="e">
        <f ca="1">_xll.ciqfunctions.udf.CIQ($A14, "IQ_FIRSTPRICINGDATE")</f>
        <v>#NAME?</v>
      </c>
      <c r="H14" s="59" t="e">
        <f ca="1">_xll.ciqfunctions.udf.CIQ($A14, "IQ_TEV", $L$2, $L$5, $L$6)</f>
        <v>#NAME?</v>
      </c>
      <c r="I14" s="59" t="e">
        <f ca="1">_xll.ciqfunctions.udf.CIQ(A14, "IQ_LASTSALEPRICE", $B$1,$L$5)</f>
        <v>#NAME?</v>
      </c>
      <c r="J14" s="59" t="e">
        <f ca="1">_xll.ciqfunctions.udf.CIQ($A14, "IQ_MARKETCAP", $L$2, $L$5, $L$6)</f>
        <v>#NAME?</v>
      </c>
      <c r="K14" s="59" t="e">
        <f ca="1">_xll.ciqfunctions.udf.CIQ($A14, "IQ_TOTAL_DEBT", IQ_LTM, $L$2,$L$4, $L$3, $L$5, $L$6)</f>
        <v>#NAME?</v>
      </c>
      <c r="L14" s="59" t="e">
        <f ca="1">_xll.ciqfunctions.udf.CIQ($A14, "IQ_PREF_EQUITY", IQ_LTM, $L$2, $L$4, $L$3, $L$5, $L$6)</f>
        <v>#NAME?</v>
      </c>
      <c r="M14" s="59" t="e">
        <f ca="1">_xll.ciqfunctions.udf.CIQ($A14, "IQ_MINORITY_INTEREST_TOTAL", IQ_LTM, $L$2, $L$4, $L$3, $L$5, $L$6)</f>
        <v>#NAME?</v>
      </c>
      <c r="N14" s="59" t="e">
        <f ca="1">_xll.ciqfunctions.udf.CIQ($A14, "IQ_CASH_ST_INVEST", IQ_LTM, $L$2, $L$4, $L$3, $L$5, $L$6)</f>
        <v>#NAME?</v>
      </c>
      <c r="O14" s="59" t="e">
        <f ca="1">_xll.ciqfunctions.udf.CIQ($A14, "IQ_TOTAL_REV", IQ_LTM-8, $L$2, $L$4, $L$3, $L$5, $L$6)</f>
        <v>#NAME?</v>
      </c>
      <c r="P14" s="59" t="e">
        <f ca="1">_xll.ciqfunctions.udf.CIQ($A14, "IQ_TOTAL_REV", IQ_LTM - 4, $L$2, $L$4, $L$3, $L$5,$L$6)</f>
        <v>#NAME?</v>
      </c>
      <c r="Q14" s="59" t="e">
        <f ca="1">_xll.ciqfunctions.udf.CIQ($A14, "IQ_TOTAL_REV", IQ_LTM, $L$2, $L$4, $L$3, $L$5, $L$6)</f>
        <v>#NAME?</v>
      </c>
      <c r="R14" s="59" t="e">
        <f ca="1">_xll.ciqfunctions.udf.CIQ($A14, "IQ_TOTAL_REV", $B$2, $L$2, $L$4, $L$3, $L$5, $L$6)</f>
        <v>#NAME?</v>
      </c>
      <c r="S14" s="59" t="e">
        <f ca="1">IF(_xll.ciqfunctions.udf.CIQ($A14, "IQ_TOTAL_REV", $B$3, $L$2,$L$4, $L$3, $L$5, $L$6)=0,Q14,_xll.ciqfunctions.udf.CIQ($A14, "IQ_TOTAL_REV", $B$3, $L$2,$L$4, $L$3, $L$5, $L$6))</f>
        <v>#NAME?</v>
      </c>
      <c r="T14" s="59" t="e">
        <f ca="1">IF(_xll.ciqfunctions.udf.CIQ($A14, "IQ_REVENUE_EST",$B$4, $L$2, "CON", $L$3, $L$5, $L$6)=0,"n/a",_xll.ciqfunctions.udf.CIQ($A14, "IQ_REVENUE_EST",$B$4, $L$2, "CON", $L$3, $L$5, $L$6))</f>
        <v>#NAME?</v>
      </c>
      <c r="U14" s="59" t="e">
        <f ca="1">IF(_xll.ciqfunctions.udf.CIQ($A14, "IQ_REVENUE_EST",$B$5, $L$2, "CON", $L$3, $L$5, $L$6)=0,"n/a",_xll.ciqfunctions.udf.CIQ($A14, "IQ_REVENUE_EST",$B$5, $L$2, "CON", $L$3, $L$5, $L$6))</f>
        <v>#NAME?</v>
      </c>
      <c r="V14" s="59" t="e">
        <f ca="1">IF(_xll.ciqfunctions.udf.CIQ($A14, "IQ_REVENUE_EST",$B$6, $L$2, "CON", $L$3, $L$5, $L$6)=0,"n/a",_xll.ciqfunctions.udf.CIQ($A14, "IQ_REVENUE_EST",$B$6, $L$2, "CON", $L$3, $L$5, $L$6))</f>
        <v>#NAME?</v>
      </c>
      <c r="W14" s="59" t="e">
        <f ca="1">IF(_xll.ciqfunctions.udf.CIQ($A14, "IQ_REVENUE_EST", $B$7, $L$2, "CON", $L$3, $L$5, $L$6)=0,"n/a",_xll.ciqfunctions.udf.CIQ($A14, "IQ_REVENUE_EST",$B$7, $L$2, "CON", $L$3, $L$5, $L$6))</f>
        <v>#NAME?</v>
      </c>
      <c r="X14" s="59" t="e">
        <f ca="1">_xll.ciqfunctions.udf.CIQ($A14, "IQ_EBITDA", IQ_LTM-8, $L$2, $L$4, $L$3, $L$5, $L$6)</f>
        <v>#NAME?</v>
      </c>
      <c r="Y14" s="59" t="e">
        <f ca="1">_xll.ciqfunctions.udf.CIQ($A14, "IQ_EBITDA", IQ_LTM-4, $L$2,$L$4, $L$3, $L$5, $L$6)</f>
        <v>#NAME?</v>
      </c>
      <c r="Z14" s="59" t="e">
        <f ca="1">_xll.ciqfunctions.udf.CIQ($A14, "IQ_EBITDA", IQ_LTM, $L$2, $L$4, $L$3, $L$5, $L$6)</f>
        <v>#NAME?</v>
      </c>
      <c r="AA14" s="59" t="e">
        <f ca="1">_xll.ciqfunctions.udf.CIQ($A14, "IQ_EBITDA", $B$2, $L$2, $L$4, $L$3, $L$5, $L$6)</f>
        <v>#NAME?</v>
      </c>
      <c r="AB14" s="59" t="e">
        <f ca="1">IF(_xll.ciqfunctions.udf.CIQ($A14, "IQ_EBITDA", $B$3, $L$2,$L$4, $L$3, $L$5, $L$6)=0,Z14,_xll.ciqfunctions.udf.CIQ($A14, "IQ_EBITDA", $B$3, $L$2,$L$4, $L$3, $L$5, $L$6))</f>
        <v>#NAME?</v>
      </c>
      <c r="AC14" s="59" t="e">
        <f ca="1">IF(_xll.ciqfunctions.udf.CIQ($A14, "IQ_EBITDA_EST",$B$4, $L$2, "CON", $L$3, $L$5, $L$6)=0,"n/a",_xll.ciqfunctions.udf.CIQ($A14, "IQ_EBITDA_EST",$B$4, $L$2, "CON", $L$3, $L$5, $L$6))</f>
        <v>#NAME?</v>
      </c>
      <c r="AD14" s="59" t="e">
        <f ca="1">IF(_xll.ciqfunctions.udf.CIQ($A14, "IQ_EBITDA_EST",$B$5, $L$2, "CON", $L$3, $L$5, $L$6)=0,"n/a",_xll.ciqfunctions.udf.CIQ($A14, "IQ_EBITDA_EST",$B$5, $L$2, "CON", $L$3, $L$5, $L$6))</f>
        <v>#NAME?</v>
      </c>
      <c r="AE14" s="59" t="e">
        <f ca="1">IF(_xll.ciqfunctions.udf.CIQ($A14, "IQ_EBITDA_EST",$B$6, $L$2, "CON", $L$3, $L$5, $L$6)=0,"n/a",_xll.ciqfunctions.udf.CIQ($A14, "IQ_EBITDA_EST",$B$6, $L$2, "CON", $L$3, $L$5, $L$6))</f>
        <v>#NAME?</v>
      </c>
      <c r="AF14" s="47" t="str">
        <f ca="1">IF(ISERROR(_xll.ciqfunctions.udf.CIQ($A14, "IQ_GROSS_MARGIN", IQ_LTM, $L$2,$L$4, $L$3, $L$5, $L$6)/100), "n/a", _xll.ciqfunctions.udf.CIQ($A14,  "IQ_GROSS_MARGIN", IQ_LTM, $L$2, $L$4, $L$3, $L$5, $L$6)/100)</f>
        <v>n/a</v>
      </c>
      <c r="AG14" s="47" t="str">
        <f ca="1">IF(ISERROR(_xll.ciqfunctions.udf.CIQ($A14,"IQ_EBITDA_MARGIN", IQ_LTM, $L$2, $L$4, $L$3, $L$5, $L$6)/100), "n/a", _xll.ciqfunctions.udf.CIQ($A14, "IQ_EBITDA_MARGIN", IQ_LTM, $L$2, $L$4, $L$3, $L$5, $L$6)/100)</f>
        <v>n/a</v>
      </c>
      <c r="AH14" s="47" t="str">
        <f ca="1">IF(ISERROR(_xll.ciqfunctions.udf.CIQ($A14,"IQ_EBIT_MARGIN", IQ_LTM, $L$2, $L$4, $L$3, $L$5, $L$6)/100), "n/a", _xll.ciqfunctions.udf.CIQ($A14, "IQ_EBIT_MARGIN", IQ_LTM, $L$2, $L$4, $L$3, $L$5, $L$6)/100)</f>
        <v>n/a</v>
      </c>
      <c r="AI14" s="47" t="str">
        <f ca="1">IF(ISERROR(_xll.ciqfunctions.udf.CIQ($A14,"IQ_NI_MARGIN", IQ_LTM, $L$2, $L$4, $L$3, $L$5, $L$6)/100), "n/a", _xll.ciqfunctions.udf.CIQ($A14, "IQ_NI_MARGIN", IQ_LTM, $L$2, $L$4, $L$3, $L$5, $L$6)/100)</f>
        <v>n/a</v>
      </c>
      <c r="AJ14" s="59" t="str">
        <f ca="1">IF(ISERROR(_xll.ciqfunctions.udf.CIQ($A14, "IQ_NET_WORKING_CAP", IQ_LTM-8, $L$2, $L$4, $L$3, $L$5, $L$6)), "n/a", _xll.ciqfunctions.udf.CIQ($A14, "IQ_NET_WORKING_CAP", IQ_LTM-8, $L$2, $L$4, $L$3, $L$5, $L$6))</f>
        <v>n/a</v>
      </c>
      <c r="AK14" s="59" t="str">
        <f ca="1">IF(ISERROR(_xll.ciqfunctions.udf.CIQ($A14, "IQ_NET_WORKING_CAP", IQ_LTM-4, $L$2, $L$4, $L$3, $L$5, $L$6)), "n/a", _xll.ciqfunctions.udf.CIQ($A14, "IQ_NET_WORKING_CAP", IQ_LTM-4, $L$2, $L$4, $L$3, $L$5, $L$6))</f>
        <v>n/a</v>
      </c>
      <c r="AL14" s="59" t="str">
        <f ca="1">IF(ISERROR(_xll.ciqfunctions.udf.CIQ($A14, "IQ_NET_WORKING_CAP", IQ_LTM, $L$2,$L$4, $L$3, $L$5, $L$6)), "n/a", _xll.ciqfunctions.udf.CIQ($A14, "IQ_NET_WORKING_CAP", IQ_LTM, $L$2, $L$4, $L$3, $L$5, $L$6))</f>
        <v>n/a</v>
      </c>
      <c r="AM14" s="59" t="str">
        <f ca="1">IF(ISERROR(_xll.ciqfunctions.udf.CIQ($A14, "IQ_Capex", IQ_LTM-8, $L$2,$L$4, $L$3, $L$5, $L$6)), "n/a", _xll.ciqfunctions.udf.CIQ($A14, "IQ_Capex", IQ_LTM-8, $L$2, $L$4, $L$3, $L$5, $L$6))</f>
        <v>n/a</v>
      </c>
      <c r="AN14" s="59" t="str">
        <f ca="1">IF(ISERROR(_xll.ciqfunctions.udf.CIQ($A14, "IQ_Capex", IQ_LTM-4, $L$2,$L$4, $L$3, $L$5, $L$6)), "n/a", _xll.ciqfunctions.udf.CIQ($A14, "IQ_Capex", IQ_LTM-4, $L$2,$L$4, $L$3, $L$5, $L$6))</f>
        <v>n/a</v>
      </c>
      <c r="AO14" s="59" t="str">
        <f ca="1">IF(ISERROR(_xll.ciqfunctions.udf.CIQ($A14, "IQ_Capex", IQ_LTM, $L$2, $L$4, $L$3, $L$5, $L$6)), "n/a", _xll.ciqfunctions.udf.CIQ($A14, "IQ_Capex", IQ_LTM, $L$2, $L$4, $L$3, $L$5, $L$6))</f>
        <v>n/a</v>
      </c>
      <c r="AP14" s="44" t="e">
        <f ca="1">_xll.ciqfunctions.udf.CIQ(A14, "IQ_BUSINESS_DESCRIPTION")</f>
        <v>#NAME?</v>
      </c>
      <c r="AQ14" s="60" t="e">
        <f ca="1">_xll.ciqfunctions.udf.CIQ($A14, "IQ_BETA_1YR", $B$1)</f>
        <v>#NAME?</v>
      </c>
      <c r="AR14" s="60" t="e">
        <f ca="1">_xll.ciqfunctions.udf.CIQ($A14, "IQ_BETA_2YR", $B$1)</f>
        <v>#NAME?</v>
      </c>
      <c r="AS14" s="60" t="e">
        <f ca="1">_xll.ciqfunctions.udf.CIQ($A14, "IQ_BETA_5YR", $B$1)</f>
        <v>#NAME?</v>
      </c>
      <c r="AT14" s="47" t="e">
        <f ca="1">_xll.ciqfunctions.udf.CIQ($A14, "IQ_DIVIDEND_YIELD", $B$1)/100</f>
        <v>#NAME?</v>
      </c>
      <c r="AU14" s="59" t="e">
        <f ca="1">_xll.ciqfunctions.udf.CIQ($A14, "IQ_EARNING_CO", IQ_LTM-8, $L$2, $L$4, $L$3, $L$5, $L$6)</f>
        <v>#NAME?</v>
      </c>
      <c r="AV14" s="59" t="e">
        <f ca="1">_xll.ciqfunctions.udf.CIQ($A14, "IQ_EARNING_CO", IQ_LTM-4, $L$2, $L$4, $L$3, $L$5, $L$6)</f>
        <v>#NAME?</v>
      </c>
      <c r="AW14" s="59" t="e">
        <f ca="1">_xll.ciqfunctions.udf.CIQ($A14, "IQ_EARNING_CO", IQ_LTM, $L$2, $L$4, $L$3, $L$5, $L$6)</f>
        <v>#NAME?</v>
      </c>
      <c r="AX14" s="59" t="e">
        <f ca="1">_xll.ciqfunctions.udf.CIQ($A14, "IQ_EARNING_CO", $B$2, $L$2, $L$4, $L$3, $L$5, $L$6)</f>
        <v>#NAME?</v>
      </c>
      <c r="AY14" s="59" t="e">
        <f ca="1">IF(_xll.ciqfunctions.udf.CIQ($A14, "IQ_EARNING_CO", $B$3, $L$2,$L$4, $L$3, $L$5, $L$6)=0,AW14,_xll.ciqfunctions.udf.CIQ($A14, "IQ_EARNING_CO", $B$3, $L$2,$L$4, $L$3, $L$5, $L$6))</f>
        <v>#NAME?</v>
      </c>
      <c r="AZ14" s="59" t="e">
        <f ca="1">_xll.ciqfunctions.udf.CIQ($A14, "IQ_TOTAL_EQUITY", IQ_LTM-8, $L$2, $L$4, $L$3, $L$5, $L$6)</f>
        <v>#NAME?</v>
      </c>
      <c r="BA14" s="59" t="e">
        <f ca="1">_xll.ciqfunctions.udf.CIQ($A14, "IQ_TOTAL_EQUITY", IQ_LTM-4, $L$2, $L$4, $L$3, $L$5, $L$6)</f>
        <v>#NAME?</v>
      </c>
      <c r="BB14" s="59" t="e">
        <f ca="1">_xll.ciqfunctions.udf.CIQ($A14, "IQ_TOTAL_EQUITY", IQ_LTM, $L$2, $L$4, $L$3, $L$5, $L$6)</f>
        <v>#NAME?</v>
      </c>
      <c r="BC14" s="59" t="e">
        <f ca="1">_xll.ciqfunctions.udf.CIQ($A14, "IQ_TOTAL_EQUITY", $B$2, $L$2, $L$4, $L$3, $L$5, $L$6)</f>
        <v>#NAME?</v>
      </c>
      <c r="BD14" s="59" t="e">
        <f ca="1">IF(_xll.ciqfunctions.udf.CIQ($A14, "IQ_TOTAL_EQUITY", $B$3, $L$2,$L$4, $L$3, $L$5, $L$6)=0,BB14,_xll.ciqfunctions.udf.CIQ($A14, "IQ_TOTAL_EQUITY", $B$3, $L$2,$L$4, $L$3, $L$5, $L$6))</f>
        <v>#NAME?</v>
      </c>
      <c r="BE14" s="59" t="e">
        <f ca="1">_xll.ciqfunctions.udf.CIQ(A14, "IQ_LASTSALEPRICE", $B$8)</f>
        <v>#NAME?</v>
      </c>
      <c r="BF14" s="59" t="e">
        <f ca="1">_xll.ciqfunctions.udf.CIQ($A14, "IQ_MARKETCAP", $B$8, $L$5, $L$6)</f>
        <v>#NAME?</v>
      </c>
      <c r="BG14" s="59" t="e">
        <f ca="1">_xll.ciqfunctions.udf.CIQ($A14, "IQ_TOTAL_DEBT", IQ_LTM, $B$8,$L$4, $L$3, $L$5, $L$6)</f>
        <v>#NAME?</v>
      </c>
      <c r="BH14" s="45" t="e">
        <f ca="1">_xll.ciqfunctions.udf.CIQ($A14,"IQ_PREF_EQUITY",IQ_LTM,$B$8,$L$4,$L$3,$L$5,$L$6)</f>
        <v>#NAME?</v>
      </c>
      <c r="BI14" s="45" t="e">
        <f ca="1">_xll.ciqfunctions.udf.CIQ($A14, "IQ_MINORITY_INTEREST_TOTAL", IQ_LTM,$B$8,$L$4,$L$3,$L$5,$L$6)</f>
        <v>#NAME?</v>
      </c>
      <c r="BJ14" s="59" t="e">
        <f ca="1">_xll.ciqfunctions.udf.CIQ($A14, "IQ_CASH_ST_INVEST", IQ_LTM, $B$8, $L$4, $L$3, $L$5, $L$6)</f>
        <v>#NAME?</v>
      </c>
      <c r="BK14" s="45" t="e">
        <f ca="1">_xll.ciqfunctions.udf.CIQ($A14, "IQ_EFFECT_TAX_RATE")</f>
        <v>#NAME?</v>
      </c>
      <c r="BL14" s="45" t="e">
        <f ca="1">IF(_xll.ciqfunctions.udf.CIQ($A14, "IQ_TOTAL_REV_2YR_ANN_CAGR", IQ_LTM, $B$1,$L$4, $L$3, $L$5, $L$6)="NM","n/a",(_xll.ciqfunctions.udf.CIQ($A14, "IQ_TOTAL_REV_2YR_ANN_CAGR", IQ_LTM, $B$1,$L$4, $L$3, $L$5, $L$6)/100))</f>
        <v>#NAME?</v>
      </c>
      <c r="BM14" s="45" t="e">
        <f ca="1">IF(_xll.ciqfunctions.udf.CIQ($A14, "IQ_TOTAL_REV_3YR_ANN_CAGR", IQ_LTM, $B$1,$L$4, $L$3, $L$5, $L$6)="NM","n/a",(_xll.ciqfunctions.udf.CIQ($A14, "IQ_TOTAL_REV_3YR_ANN_CAGR", IQ_LTM, $B$1,$L$4, $L$3, $L$5, $L$6)/100))</f>
        <v>#NAME?</v>
      </c>
      <c r="BN14" s="45" t="e">
        <f ca="1">IF(_xll.ciqfunctions.udf.CIQ($A14, "IQ_TOTAL_REV_5YR_ANN_CAGR", IQ_LTM, $B$1,$L$4, $L$3, $L$5, $L$6)="NM","n/a",(_xll.ciqfunctions.udf.CIQ($A14, "IQ_TOTAL_REV_5YR_ANN_CAGR", IQ_LTM, $B$1,$L$4, $L$3, $L$5, $L$6)/100))</f>
        <v>#NAME?</v>
      </c>
      <c r="BO14" s="45" t="e">
        <f ca="1">IF(_xll.ciqfunctions.udf.CIQ($A14,"IQ_EBITDA_2YR_ANN_CAGR", IQ_LTM,$B$1,$L$4, $L$3, $L$5, $L$6)="NM","n/a",(_xll.ciqfunctions.udf.CIQ($A14,"IQ_EBITDA_2YR_ANN_CAGR", IQ_LTM,$B$1,$L$4, $L$3, $L$5, $L$6)/100))</f>
        <v>#NAME?</v>
      </c>
      <c r="BP14" s="45" t="e">
        <f ca="1">IF(_xll.ciqfunctions.udf.CIQ($A14,"IQ_EBITDA_3YR_ANN_CAGR", IQ_LTM,$B$1,$L$4, $L$3, $L$5, $L$6)="NM","n/a",(_xll.ciqfunctions.udf.CIQ($A14,"IQ_EBITDA_3YR_ANN_CAGR", IQ_LTM,$B$1,$L$4, $L$3, $L$5, $L$6)/100))</f>
        <v>#NAME?</v>
      </c>
      <c r="BQ14" s="45" t="e">
        <f ca="1">IF(_xll.ciqfunctions.udf.CIQ($A14,"IQ_EBITDA_5YR_ANN_CAGR", IQ_LTM,$B$1,$L$4, $L$3, $L$5, $L$6)="NM","n/a",(_xll.ciqfunctions.udf.CIQ($A14,"IQ_EBITDA_5YR_ANN_CAGR", IQ_LTM,$B$1,$L$4, $L$3, $L$5, $L$6)/100))</f>
        <v>#NAME?</v>
      </c>
      <c r="BR14" s="47" t="str">
        <f ca="1">IFERROR((_xll.ciqfunctions.udf.CIQ($A14, "IQ_DA_CF", IQ_LTM, $B$1, $L$4, $L$3, $L$5, $L$6)/Q14),"NM")</f>
        <v>NM</v>
      </c>
      <c r="BS14" s="61">
        <f>'Capital IQ Sheet-GPC'!BS14</f>
        <v>0.5603531593131208</v>
      </c>
      <c r="BT14" s="61">
        <f>'Capital IQ Sheet-GPC'!BT14</f>
        <v>0.57607610452320634</v>
      </c>
      <c r="BU14" s="61">
        <f>'Capital IQ Sheet-GPC'!BU14</f>
        <v>0.59784182919662132</v>
      </c>
      <c r="BV14" s="61">
        <f>'Capital IQ Sheet-GPC'!BV14</f>
        <v>0.61274111093250305</v>
      </c>
      <c r="BW14" s="61">
        <f>'Capital IQ Sheet-GPC'!BW14</f>
        <v>0.63632834239686409</v>
      </c>
      <c r="BX14" s="61">
        <f>'Capital IQ Sheet-GPC'!BX14</f>
        <v>0.62533370945119748</v>
      </c>
      <c r="BY14" s="61">
        <f>'Capital IQ Sheet-GPC'!BY14</f>
        <v>0.65140789100476826</v>
      </c>
      <c r="BZ14" s="61">
        <f>'Capital IQ Sheet-GPC'!BZ14</f>
        <v>0.63994985116925596</v>
      </c>
      <c r="CB14" s="45">
        <v>2</v>
      </c>
      <c r="CC14" s="85" t="s">
        <v>306</v>
      </c>
      <c r="CD14" s="85" t="s">
        <v>305</v>
      </c>
      <c r="CE14" s="46">
        <f t="shared" ref="CE14:CE42" si="0">$B$1-365*CB14</f>
        <v>42515</v>
      </c>
    </row>
    <row r="15" spans="1:86" s="45" customFormat="1" ht="12.75">
      <c r="A15" s="45" t="e">
        <f ca="1">_xll.ciqfunctions.udf.CIQ($B15,"IQ_COMPANY_TICKER")</f>
        <v>#NAME?</v>
      </c>
      <c r="B15" s="45" t="str">
        <f>'Capital IQ Sheet-GPC'!B15</f>
        <v>IQ1455350</v>
      </c>
      <c r="C15" s="45" t="e">
        <f ca="1">_xll.ciqfunctions.udf.CIQ($A15,"IQ_COMPANY_NAME")</f>
        <v>#NAME?</v>
      </c>
      <c r="D15" s="45" t="e">
        <f ca="1">_xll.ciqfunctions.udf.CIQ($A15, "IQ_EXCHANGE")</f>
        <v>#NAME?</v>
      </c>
      <c r="E15" s="46" t="e">
        <f ca="1">_xll.ciqfunctions.udf.CIQ($A15, "IQ_PERIODDATE_IS", IQ_FY)</f>
        <v>#NAME?</v>
      </c>
      <c r="F15" s="46" t="e">
        <f ca="1">_xll.ciqfunctions.udf.CIQ(A15, "IQ_PERIODDATE_IS", IQ_LTM, $B$1,$L$4,$L$3)</f>
        <v>#NAME?</v>
      </c>
      <c r="G15" s="46" t="e">
        <f ca="1">_xll.ciqfunctions.udf.CIQ($A15, "IQ_FIRSTPRICINGDATE")</f>
        <v>#NAME?</v>
      </c>
      <c r="H15" s="59" t="e">
        <f ca="1">_xll.ciqfunctions.udf.CIQ($A15, "IQ_TEV", $L$2, $L$5, $L$6)</f>
        <v>#NAME?</v>
      </c>
      <c r="I15" s="59" t="e">
        <f ca="1">_xll.ciqfunctions.udf.CIQ(A15, "IQ_LASTSALEPRICE", $B$1,$L$5)</f>
        <v>#NAME?</v>
      </c>
      <c r="J15" s="59" t="e">
        <f ca="1">_xll.ciqfunctions.udf.CIQ($A15, "IQ_MARKETCAP", $L$2, $L$5, $L$6)</f>
        <v>#NAME?</v>
      </c>
      <c r="K15" s="59" t="e">
        <f ca="1">_xll.ciqfunctions.udf.CIQ($A15, "IQ_TOTAL_DEBT", IQ_LTM, $L$2,$L$4, $L$3, $L$5, $L$6)</f>
        <v>#NAME?</v>
      </c>
      <c r="L15" s="59" t="e">
        <f ca="1">_xll.ciqfunctions.udf.CIQ($A15, "IQ_PREF_EQUITY", IQ_LTM, $L$2, $L$4, $L$3, $L$5, $L$6)</f>
        <v>#NAME?</v>
      </c>
      <c r="M15" s="59" t="e">
        <f ca="1">_xll.ciqfunctions.udf.CIQ($A15, "IQ_MINORITY_INTEREST_TOTAL", IQ_LTM, $L$2, $L$4, $L$3, $L$5, $L$6)</f>
        <v>#NAME?</v>
      </c>
      <c r="N15" s="59" t="e">
        <f ca="1">_xll.ciqfunctions.udf.CIQ($A15, "IQ_CASH_ST_INVEST", IQ_LTM, $L$2, $L$4, $L$3, $L$5, $L$6)</f>
        <v>#NAME?</v>
      </c>
      <c r="O15" s="59" t="e">
        <f ca="1">_xll.ciqfunctions.udf.CIQ($A15, "IQ_TOTAL_REV", IQ_LTM-8, $L$2, $L$4, $L$3, $L$5, $L$6)</f>
        <v>#NAME?</v>
      </c>
      <c r="P15" s="59" t="e">
        <f ca="1">_xll.ciqfunctions.udf.CIQ($A15, "IQ_TOTAL_REV", IQ_LTM - 4, $L$2, $L$4, $L$3, $L$5,$L$6)</f>
        <v>#NAME?</v>
      </c>
      <c r="Q15" s="59" t="e">
        <f ca="1">_xll.ciqfunctions.udf.CIQ($A15, "IQ_TOTAL_REV", IQ_LTM, $L$2, $L$4, $L$3, $L$5, $L$6)</f>
        <v>#NAME?</v>
      </c>
      <c r="R15" s="59" t="e">
        <f ca="1">_xll.ciqfunctions.udf.CIQ($A15, "IQ_TOTAL_REV", $B$2, $L$2, $L$4, $L$3, $L$5, $L$6)</f>
        <v>#NAME?</v>
      </c>
      <c r="S15" s="59" t="e">
        <f ca="1">IF(_xll.ciqfunctions.udf.CIQ($A15, "IQ_TOTAL_REV", $B$3, $L$2,$L$4, $L$3, $L$5, $L$6)=0,Q15,_xll.ciqfunctions.udf.CIQ($A15, "IQ_TOTAL_REV", $B$3, $L$2,$L$4, $L$3, $L$5, $L$6))</f>
        <v>#NAME?</v>
      </c>
      <c r="T15" s="59" t="e">
        <f ca="1">IF(_xll.ciqfunctions.udf.CIQ($A15, "IQ_REVENUE_EST",$B$4, $L$2, "CON", $L$3, $L$5, $L$6)=0,"n/a",_xll.ciqfunctions.udf.CIQ($A15, "IQ_REVENUE_EST",$B$4, $L$2, "CON", $L$3, $L$5, $L$6))</f>
        <v>#NAME?</v>
      </c>
      <c r="U15" s="59" t="e">
        <f ca="1">IF(_xll.ciqfunctions.udf.CIQ($A15, "IQ_REVENUE_EST",$B$5, $L$2, "CON", $L$3, $L$5, $L$6)=0,"n/a",_xll.ciqfunctions.udf.CIQ($A15, "IQ_REVENUE_EST",$B$5, $L$2, "CON", $L$3, $L$5, $L$6))</f>
        <v>#NAME?</v>
      </c>
      <c r="V15" s="59" t="e">
        <f ca="1">IF(_xll.ciqfunctions.udf.CIQ($A15, "IQ_REVENUE_EST",$B$6, $L$2, "CON", $L$3, $L$5, $L$6)=0,"n/a",_xll.ciqfunctions.udf.CIQ($A15, "IQ_REVENUE_EST",$B$6, $L$2, "CON", $L$3, $L$5, $L$6))</f>
        <v>#NAME?</v>
      </c>
      <c r="W15" s="59" t="e">
        <f ca="1">IF(_xll.ciqfunctions.udf.CIQ($A15, "IQ_REVENUE_EST", $B$7, $L$2, "CON", $L$3, $L$5, $L$6)=0,"n/a",_xll.ciqfunctions.udf.CIQ($A15, "IQ_REVENUE_EST",$B$7, $L$2, "CON", $L$3, $L$5, $L$6))</f>
        <v>#NAME?</v>
      </c>
      <c r="X15" s="59" t="e">
        <f ca="1">_xll.ciqfunctions.udf.CIQ($A15, "IQ_EBITDA", IQ_LTM-8, $L$2, $L$4, $L$3, $L$5, $L$6)</f>
        <v>#NAME?</v>
      </c>
      <c r="Y15" s="59" t="e">
        <f ca="1">_xll.ciqfunctions.udf.CIQ($A15, "IQ_EBITDA", IQ_LTM-4, $L$2,$L$4, $L$3, $L$5, $L$6)</f>
        <v>#NAME?</v>
      </c>
      <c r="Z15" s="59" t="e">
        <f ca="1">_xll.ciqfunctions.udf.CIQ($A15, "IQ_EBITDA", IQ_LTM, $L$2, $L$4, $L$3, $L$5, $L$6)</f>
        <v>#NAME?</v>
      </c>
      <c r="AA15" s="59" t="e">
        <f ca="1">_xll.ciqfunctions.udf.CIQ($A15, "IQ_EBITDA", $B$2, $L$2, $L$4, $L$3, $L$5, $L$6)</f>
        <v>#NAME?</v>
      </c>
      <c r="AB15" s="59" t="e">
        <f ca="1">IF(_xll.ciqfunctions.udf.CIQ($A15, "IQ_EBITDA", $B$3, $L$2,$L$4, $L$3, $L$5, $L$6)=0,Z15,_xll.ciqfunctions.udf.CIQ($A15, "IQ_EBITDA", $B$3, $L$2,$L$4, $L$3, $L$5, $L$6))</f>
        <v>#NAME?</v>
      </c>
      <c r="AC15" s="59" t="e">
        <f ca="1">IF(_xll.ciqfunctions.udf.CIQ($A15, "IQ_EBITDA_EST",$B$4, $L$2, "CON", $L$3, $L$5, $L$6)=0,"n/a",_xll.ciqfunctions.udf.CIQ($A15, "IQ_EBITDA_EST",$B$4, $L$2, "CON", $L$3, $L$5, $L$6))</f>
        <v>#NAME?</v>
      </c>
      <c r="AD15" s="59" t="e">
        <f ca="1">IF(_xll.ciqfunctions.udf.CIQ($A15, "IQ_EBITDA_EST",$B$5, $L$2, "CON", $L$3, $L$5, $L$6)=0,"n/a",_xll.ciqfunctions.udf.CIQ($A15, "IQ_EBITDA_EST",$B$5, $L$2, "CON", $L$3, $L$5, $L$6))</f>
        <v>#NAME?</v>
      </c>
      <c r="AE15" s="59" t="e">
        <f ca="1">IF(_xll.ciqfunctions.udf.CIQ($A15, "IQ_EBITDA_EST",$B$6, $L$2, "CON", $L$3, $L$5, $L$6)=0,"n/a",_xll.ciqfunctions.udf.CIQ($A15, "IQ_EBITDA_EST",$B$6, $L$2, "CON", $L$3, $L$5, $L$6))</f>
        <v>#NAME?</v>
      </c>
      <c r="AF15" s="47" t="str">
        <f ca="1">IF(ISERROR(_xll.ciqfunctions.udf.CIQ($A15, "IQ_GROSS_MARGIN", IQ_LTM, $L$2,$L$4, $L$3, $L$5, $L$6)/100), "n/a", _xll.ciqfunctions.udf.CIQ($A15,  "IQ_GROSS_MARGIN", IQ_LTM, $L$2, $L$4, $L$3, $L$5, $L$6)/100)</f>
        <v>n/a</v>
      </c>
      <c r="AG15" s="47" t="str">
        <f ca="1">IF(ISERROR(_xll.ciqfunctions.udf.CIQ($A15,"IQ_EBITDA_MARGIN", IQ_LTM, $L$2, $L$4, $L$3, $L$5, $L$6)/100), "n/a", _xll.ciqfunctions.udf.CIQ($A15, "IQ_EBITDA_MARGIN", IQ_LTM, $L$2, $L$4, $L$3, $L$5, $L$6)/100)</f>
        <v>n/a</v>
      </c>
      <c r="AH15" s="47" t="str">
        <f ca="1">IF(ISERROR(_xll.ciqfunctions.udf.CIQ($A15,"IQ_EBIT_MARGIN", IQ_LTM, $L$2, $L$4, $L$3, $L$5, $L$6)/100), "n/a", _xll.ciqfunctions.udf.CIQ($A15, "IQ_EBIT_MARGIN", IQ_LTM, $L$2, $L$4, $L$3, $L$5, $L$6)/100)</f>
        <v>n/a</v>
      </c>
      <c r="AI15" s="47" t="str">
        <f ca="1">IF(ISERROR(_xll.ciqfunctions.udf.CIQ($A15,"IQ_NI_MARGIN", IQ_LTM, $L$2, $L$4, $L$3, $L$5, $L$6)/100), "n/a", _xll.ciqfunctions.udf.CIQ($A15, "IQ_NI_MARGIN", IQ_LTM, $L$2, $L$4, $L$3, $L$5, $L$6)/100)</f>
        <v>n/a</v>
      </c>
      <c r="AJ15" s="59" t="str">
        <f ca="1">IF(ISERROR(_xll.ciqfunctions.udf.CIQ($A15, "IQ_NET_WORKING_CAP", IQ_LTM-8, $L$2, $L$4, $L$3, $L$5, $L$6)), "n/a", _xll.ciqfunctions.udf.CIQ($A15, "IQ_NET_WORKING_CAP", IQ_LTM-8, $L$2, $L$4, $L$3, $L$5, $L$6))</f>
        <v>n/a</v>
      </c>
      <c r="AK15" s="59" t="str">
        <f ca="1">IF(ISERROR(_xll.ciqfunctions.udf.CIQ($A15, "IQ_NET_WORKING_CAP", IQ_LTM-4, $L$2, $L$4, $L$3, $L$5, $L$6)), "n/a", _xll.ciqfunctions.udf.CIQ($A15, "IQ_NET_WORKING_CAP", IQ_LTM-4, $L$2, $L$4, $L$3, $L$5, $L$6))</f>
        <v>n/a</v>
      </c>
      <c r="AL15" s="59" t="str">
        <f ca="1">IF(ISERROR(_xll.ciqfunctions.udf.CIQ($A15, "IQ_NET_WORKING_CAP", IQ_LTM, $L$2,$L$4, $L$3, $L$5, $L$6)), "n/a", _xll.ciqfunctions.udf.CIQ($A15, "IQ_NET_WORKING_CAP", IQ_LTM, $L$2, $L$4, $L$3, $L$5, $L$6))</f>
        <v>n/a</v>
      </c>
      <c r="AM15" s="59" t="str">
        <f ca="1">IF(ISERROR(_xll.ciqfunctions.udf.CIQ($A15, "IQ_Capex", IQ_LTM-8, $L$2,$L$4, $L$3, $L$5, $L$6)), "n/a", _xll.ciqfunctions.udf.CIQ($A15, "IQ_Capex", IQ_LTM-8, $L$2, $L$4, $L$3, $L$5, $L$6))</f>
        <v>n/a</v>
      </c>
      <c r="AN15" s="59" t="str">
        <f ca="1">IF(ISERROR(_xll.ciqfunctions.udf.CIQ($A15, "IQ_Capex", IQ_LTM-4, $L$2,$L$4, $L$3, $L$5, $L$6)), "n/a", _xll.ciqfunctions.udf.CIQ($A15, "IQ_Capex", IQ_LTM-4, $L$2,$L$4, $L$3, $L$5, $L$6))</f>
        <v>n/a</v>
      </c>
      <c r="AO15" s="59" t="str">
        <f ca="1">IF(ISERROR(_xll.ciqfunctions.udf.CIQ($A15, "IQ_Capex", IQ_LTM, $L$2, $L$4, $L$3, $L$5, $L$6)), "n/a", _xll.ciqfunctions.udf.CIQ($A15, "IQ_Capex", IQ_LTM, $L$2, $L$4, $L$3, $L$5, $L$6))</f>
        <v>n/a</v>
      </c>
      <c r="AP15" s="44" t="e">
        <f ca="1">_xll.ciqfunctions.udf.CIQ(A15, "IQ_BUSINESS_DESCRIPTION")</f>
        <v>#NAME?</v>
      </c>
      <c r="AQ15" s="60" t="e">
        <f ca="1">_xll.ciqfunctions.udf.CIQ($A15, "IQ_BETA_1YR", $B$1)</f>
        <v>#NAME?</v>
      </c>
      <c r="AR15" s="60" t="e">
        <f ca="1">_xll.ciqfunctions.udf.CIQ($A15, "IQ_BETA_2YR", $B$1)</f>
        <v>#NAME?</v>
      </c>
      <c r="AS15" s="60" t="e">
        <f ca="1">_xll.ciqfunctions.udf.CIQ($A15, "IQ_BETA_5YR", $B$1)</f>
        <v>#NAME?</v>
      </c>
      <c r="AT15" s="47" t="e">
        <f ca="1">_xll.ciqfunctions.udf.CIQ($A15, "IQ_DIVIDEND_YIELD", $B$1)/100</f>
        <v>#NAME?</v>
      </c>
      <c r="AU15" s="59" t="e">
        <f ca="1">_xll.ciqfunctions.udf.CIQ($A15, "IQ_EARNING_CO", IQ_LTM-8, $L$2, $L$4, $L$3, $L$5, $L$6)</f>
        <v>#NAME?</v>
      </c>
      <c r="AV15" s="59" t="e">
        <f ca="1">_xll.ciqfunctions.udf.CIQ($A15, "IQ_EARNING_CO", IQ_LTM-4, $L$2, $L$4, $L$3, $L$5, $L$6)</f>
        <v>#NAME?</v>
      </c>
      <c r="AW15" s="59" t="e">
        <f ca="1">_xll.ciqfunctions.udf.CIQ($A15, "IQ_EARNING_CO", IQ_LTM, $L$2, $L$4, $L$3, $L$5, $L$6)</f>
        <v>#NAME?</v>
      </c>
      <c r="AX15" s="59" t="e">
        <f ca="1">_xll.ciqfunctions.udf.CIQ($A15, "IQ_EARNING_CO", $B$2, $L$2, $L$4, $L$3, $L$5, $L$6)</f>
        <v>#NAME?</v>
      </c>
      <c r="AY15" s="59" t="e">
        <f ca="1">IF(_xll.ciqfunctions.udf.CIQ($A15, "IQ_EARNING_CO", $B$3, $L$2,$L$4, $L$3, $L$5, $L$6)=0,AW15,_xll.ciqfunctions.udf.CIQ($A15, "IQ_EARNING_CO", $B$3, $L$2,$L$4, $L$3, $L$5, $L$6))</f>
        <v>#NAME?</v>
      </c>
      <c r="AZ15" s="59" t="e">
        <f ca="1">_xll.ciqfunctions.udf.CIQ($A15, "IQ_TOTAL_EQUITY", IQ_LTM-8, $L$2, $L$4, $L$3, $L$5, $L$6)</f>
        <v>#NAME?</v>
      </c>
      <c r="BA15" s="59" t="e">
        <f ca="1">_xll.ciqfunctions.udf.CIQ($A15, "IQ_TOTAL_EQUITY", IQ_LTM-4, $L$2, $L$4, $L$3, $L$5, $L$6)</f>
        <v>#NAME?</v>
      </c>
      <c r="BB15" s="59" t="e">
        <f ca="1">_xll.ciqfunctions.udf.CIQ($A15, "IQ_TOTAL_EQUITY", IQ_LTM, $L$2, $L$4, $L$3, $L$5, $L$6)</f>
        <v>#NAME?</v>
      </c>
      <c r="BC15" s="59" t="e">
        <f ca="1">_xll.ciqfunctions.udf.CIQ($A15, "IQ_TOTAL_EQUITY", $B$2, $L$2, $L$4, $L$3, $L$5, $L$6)</f>
        <v>#NAME?</v>
      </c>
      <c r="BD15" s="59" t="e">
        <f ca="1">IF(_xll.ciqfunctions.udf.CIQ($A15, "IQ_TOTAL_EQUITY", $B$3, $L$2,$L$4, $L$3, $L$5, $L$6)=0,BB15,_xll.ciqfunctions.udf.CIQ($A15, "IQ_TOTAL_EQUITY", $B$3, $L$2,$L$4, $L$3, $L$5, $L$6))</f>
        <v>#NAME?</v>
      </c>
      <c r="BE15" s="59" t="e">
        <f ca="1">_xll.ciqfunctions.udf.CIQ(A15, "IQ_LASTSALEPRICE", $B$8)</f>
        <v>#NAME?</v>
      </c>
      <c r="BF15" s="59" t="e">
        <f ca="1">_xll.ciqfunctions.udf.CIQ($A15, "IQ_MARKETCAP", $B$8, $L$5, $L$6)</f>
        <v>#NAME?</v>
      </c>
      <c r="BG15" s="59" t="e">
        <f ca="1">_xll.ciqfunctions.udf.CIQ($A15, "IQ_TOTAL_DEBT", IQ_LTM, $B$8,$L$4, $L$3, $L$5, $L$6)</f>
        <v>#NAME?</v>
      </c>
      <c r="BH15" s="45" t="e">
        <f ca="1">_xll.ciqfunctions.udf.CIQ($A15,"IQ_PREF_EQUITY",IQ_LTM,$B$8,$L$4,$L$3,$L$5,$L$6)</f>
        <v>#NAME?</v>
      </c>
      <c r="BI15" s="45" t="e">
        <f ca="1">_xll.ciqfunctions.udf.CIQ($A15, "IQ_MINORITY_INTEREST_TOTAL", IQ_LTM,$B$8,$L$4,$L$3,$L$5,$L$6)</f>
        <v>#NAME?</v>
      </c>
      <c r="BJ15" s="59" t="e">
        <f ca="1">_xll.ciqfunctions.udf.CIQ($A15, "IQ_CASH_ST_INVEST", IQ_LTM, $B$8, $L$4, $L$3, $L$5, $L$6)</f>
        <v>#NAME?</v>
      </c>
      <c r="BK15" s="45" t="e">
        <f ca="1">_xll.ciqfunctions.udf.CIQ($A15, "IQ_EFFECT_TAX_RATE")</f>
        <v>#NAME?</v>
      </c>
      <c r="BL15" s="45" t="e">
        <f ca="1">IF(_xll.ciqfunctions.udf.CIQ($A15, "IQ_TOTAL_REV_2YR_ANN_CAGR", IQ_LTM, $B$1,$L$4, $L$3, $L$5, $L$6)="NM","n/a",(_xll.ciqfunctions.udf.CIQ($A15, "IQ_TOTAL_REV_2YR_ANN_CAGR", IQ_LTM, $B$1,$L$4, $L$3, $L$5, $L$6)/100))</f>
        <v>#NAME?</v>
      </c>
      <c r="BM15" s="45" t="e">
        <f ca="1">IF(_xll.ciqfunctions.udf.CIQ($A15, "IQ_TOTAL_REV_3YR_ANN_CAGR", IQ_LTM, $B$1,$L$4, $L$3, $L$5, $L$6)="NM","n/a",(_xll.ciqfunctions.udf.CIQ($A15, "IQ_TOTAL_REV_3YR_ANN_CAGR", IQ_LTM, $B$1,$L$4, $L$3, $L$5, $L$6)/100))</f>
        <v>#NAME?</v>
      </c>
      <c r="BN15" s="45" t="e">
        <f ca="1">IF(_xll.ciqfunctions.udf.CIQ($A15, "IQ_TOTAL_REV_5YR_ANN_CAGR", IQ_LTM, $B$1,$L$4, $L$3, $L$5, $L$6)="NM","n/a",(_xll.ciqfunctions.udf.CIQ($A15, "IQ_TOTAL_REV_5YR_ANN_CAGR", IQ_LTM, $B$1,$L$4, $L$3, $L$5, $L$6)/100))</f>
        <v>#NAME?</v>
      </c>
      <c r="BO15" s="45" t="e">
        <f ca="1">IF(_xll.ciqfunctions.udf.CIQ($A15,"IQ_EBITDA_2YR_ANN_CAGR", IQ_LTM,$B$1,$L$4, $L$3, $L$5, $L$6)="NM","n/a",(_xll.ciqfunctions.udf.CIQ($A15,"IQ_EBITDA_2YR_ANN_CAGR", IQ_LTM,$B$1,$L$4, $L$3, $L$5, $L$6)/100))</f>
        <v>#NAME?</v>
      </c>
      <c r="BP15" s="45" t="e">
        <f ca="1">IF(_xll.ciqfunctions.udf.CIQ($A15,"IQ_EBITDA_3YR_ANN_CAGR", IQ_LTM,$B$1,$L$4, $L$3, $L$5, $L$6)="NM","n/a",(_xll.ciqfunctions.udf.CIQ($A15,"IQ_EBITDA_3YR_ANN_CAGR", IQ_LTM,$B$1,$L$4, $L$3, $L$5, $L$6)/100))</f>
        <v>#NAME?</v>
      </c>
      <c r="BQ15" s="45" t="e">
        <f ca="1">IF(_xll.ciqfunctions.udf.CIQ($A15,"IQ_EBITDA_5YR_ANN_CAGR", IQ_LTM,$B$1,$L$4, $L$3, $L$5, $L$6)="NM","n/a",(_xll.ciqfunctions.udf.CIQ($A15,"IQ_EBITDA_5YR_ANN_CAGR", IQ_LTM,$B$1,$L$4, $L$3, $L$5, $L$6)/100))</f>
        <v>#NAME?</v>
      </c>
      <c r="BR15" s="47" t="str">
        <f ca="1">IFERROR((_xll.ciqfunctions.udf.CIQ($A15, "IQ_DA_CF", IQ_LTM, $B$1, $L$4, $L$3, $L$5, $L$6)/Q15),"NM")</f>
        <v>NM</v>
      </c>
      <c r="BS15" s="61">
        <f>'Capital IQ Sheet-GPC'!BS15</f>
        <v>0.61663073099445531</v>
      </c>
      <c r="BT15" s="61">
        <f>'Capital IQ Sheet-GPC'!BT15</f>
        <v>0.79865401640422862</v>
      </c>
      <c r="BU15" s="61">
        <f>'Capital IQ Sheet-GPC'!BU15</f>
        <v>1.387449122489415</v>
      </c>
      <c r="BV15" s="61">
        <f>'Capital IQ Sheet-GPC'!BV15</f>
        <v>1.3197878729406225</v>
      </c>
      <c r="BW15" s="61">
        <f>'Capital IQ Sheet-GPC'!BW15</f>
        <v>1.3589197558534298</v>
      </c>
      <c r="BX15" s="61">
        <f>'Capital IQ Sheet-GPC'!BX15</f>
        <v>1.4882408010406987</v>
      </c>
      <c r="BY15" s="61">
        <f>'Capital IQ Sheet-GPC'!BY15</f>
        <v>1.4826134715797739</v>
      </c>
      <c r="BZ15" s="61">
        <f>'Capital IQ Sheet-GPC'!BZ15</f>
        <v>1.6309253171626295</v>
      </c>
      <c r="CB15" s="45">
        <v>2</v>
      </c>
      <c r="CC15" s="85" t="s">
        <v>306</v>
      </c>
      <c r="CD15" s="85" t="s">
        <v>305</v>
      </c>
      <c r="CE15" s="46">
        <f t="shared" si="0"/>
        <v>42515</v>
      </c>
    </row>
    <row r="16" spans="1:86" s="45" customFormat="1" ht="12.75">
      <c r="A16" s="45" t="e">
        <f ca="1">_xll.ciqfunctions.udf.CIQ($B16,"IQ_COMPANY_TICKER")</f>
        <v>#NAME?</v>
      </c>
      <c r="B16" s="45" t="str">
        <f>'Capital IQ Sheet-GPC'!B16</f>
        <v>IQ224193775</v>
      </c>
      <c r="C16" s="45" t="e">
        <f ca="1">_xll.ciqfunctions.udf.CIQ($A16,"IQ_COMPANY_NAME")</f>
        <v>#NAME?</v>
      </c>
      <c r="D16" s="45" t="e">
        <f ca="1">_xll.ciqfunctions.udf.CIQ($A16, "IQ_EXCHANGE")</f>
        <v>#NAME?</v>
      </c>
      <c r="E16" s="46" t="e">
        <f ca="1">_xll.ciqfunctions.udf.CIQ($A16, "IQ_PERIODDATE_IS", IQ_FY)</f>
        <v>#NAME?</v>
      </c>
      <c r="F16" s="46" t="e">
        <f ca="1">_xll.ciqfunctions.udf.CIQ(A16, "IQ_PERIODDATE_IS", IQ_LTM, $B$1,$L$4,$L$3)</f>
        <v>#NAME?</v>
      </c>
      <c r="G16" s="46" t="e">
        <f ca="1">_xll.ciqfunctions.udf.CIQ($A16, "IQ_FIRSTPRICINGDATE")</f>
        <v>#NAME?</v>
      </c>
      <c r="H16" s="59" t="e">
        <f ca="1">_xll.ciqfunctions.udf.CIQ($A16, "IQ_TEV", $L$2, $L$5, $L$6)</f>
        <v>#NAME?</v>
      </c>
      <c r="I16" s="59" t="e">
        <f ca="1">_xll.ciqfunctions.udf.CIQ(A16, "IQ_LASTSALEPRICE", $B$1,$L$5)</f>
        <v>#NAME?</v>
      </c>
      <c r="J16" s="59" t="e">
        <f ca="1">_xll.ciqfunctions.udf.CIQ($A16, "IQ_MARKETCAP", $L$2, $L$5, $L$6)</f>
        <v>#NAME?</v>
      </c>
      <c r="K16" s="59" t="e">
        <f ca="1">_xll.ciqfunctions.udf.CIQ($A16, "IQ_TOTAL_DEBT", IQ_LTM, $L$2,$L$4, $L$3, $L$5, $L$6)</f>
        <v>#NAME?</v>
      </c>
      <c r="L16" s="59" t="e">
        <f ca="1">_xll.ciqfunctions.udf.CIQ($A16, "IQ_PREF_EQUITY", IQ_LTM, $L$2, $L$4, $L$3, $L$5, $L$6)</f>
        <v>#NAME?</v>
      </c>
      <c r="M16" s="59" t="e">
        <f ca="1">_xll.ciqfunctions.udf.CIQ($A16, "IQ_MINORITY_INTEREST_TOTAL", IQ_LTM, $L$2, $L$4, $L$3, $L$5, $L$6)</f>
        <v>#NAME?</v>
      </c>
      <c r="N16" s="59" t="e">
        <f ca="1">_xll.ciqfunctions.udf.CIQ($A16, "IQ_CASH_ST_INVEST", IQ_LTM, $L$2, $L$4, $L$3, $L$5, $L$6)</f>
        <v>#NAME?</v>
      </c>
      <c r="O16" s="59" t="e">
        <f ca="1">_xll.ciqfunctions.udf.CIQ($A16, "IQ_TOTAL_REV", IQ_LTM-8, $L$2, $L$4, $L$3, $L$5, $L$6)</f>
        <v>#NAME?</v>
      </c>
      <c r="P16" s="59" t="e">
        <f ca="1">_xll.ciqfunctions.udf.CIQ($A16, "IQ_TOTAL_REV", IQ_LTM - 4, $L$2, $L$4, $L$3, $L$5,$L$6)</f>
        <v>#NAME?</v>
      </c>
      <c r="Q16" s="59" t="e">
        <f ca="1">_xll.ciqfunctions.udf.CIQ($A16, "IQ_TOTAL_REV", IQ_LTM, $L$2, $L$4, $L$3, $L$5, $L$6)</f>
        <v>#NAME?</v>
      </c>
      <c r="R16" s="59" t="e">
        <f ca="1">_xll.ciqfunctions.udf.CIQ($A16, "IQ_TOTAL_REV", $B$2, $L$2, $L$4, $L$3, $L$5, $L$6)</f>
        <v>#NAME?</v>
      </c>
      <c r="S16" s="59" t="e">
        <f ca="1">IF(_xll.ciqfunctions.udf.CIQ($A16, "IQ_TOTAL_REV", $B$3, $L$2,$L$4, $L$3, $L$5, $L$6)=0,Q16,_xll.ciqfunctions.udf.CIQ($A16, "IQ_TOTAL_REV", $B$3, $L$2,$L$4, $L$3, $L$5, $L$6))</f>
        <v>#NAME?</v>
      </c>
      <c r="T16" s="59" t="e">
        <f ca="1">IF(_xll.ciqfunctions.udf.CIQ($A16, "IQ_REVENUE_EST",$B$4, $L$2, "CON", $L$3, $L$5, $L$6)=0,"n/a",_xll.ciqfunctions.udf.CIQ($A16, "IQ_REVENUE_EST",$B$4, $L$2, "CON", $L$3, $L$5, $L$6))</f>
        <v>#NAME?</v>
      </c>
      <c r="U16" s="59" t="e">
        <f ca="1">IF(_xll.ciqfunctions.udf.CIQ($A16, "IQ_REVENUE_EST",$B$5, $L$2, "CON", $L$3, $L$5, $L$6)=0,"n/a",_xll.ciqfunctions.udf.CIQ($A16, "IQ_REVENUE_EST",$B$5, $L$2, "CON", $L$3, $L$5, $L$6))</f>
        <v>#NAME?</v>
      </c>
      <c r="V16" s="59" t="e">
        <f ca="1">IF(_xll.ciqfunctions.udf.CIQ($A16, "IQ_REVENUE_EST",$B$6, $L$2, "CON", $L$3, $L$5, $L$6)=0,"n/a",_xll.ciqfunctions.udf.CIQ($A16, "IQ_REVENUE_EST",$B$6, $L$2, "CON", $L$3, $L$5, $L$6))</f>
        <v>#NAME?</v>
      </c>
      <c r="W16" s="59" t="e">
        <f ca="1">IF(_xll.ciqfunctions.udf.CIQ($A16, "IQ_REVENUE_EST", $B$7, $L$2, "CON", $L$3, $L$5, $L$6)=0,"n/a",_xll.ciqfunctions.udf.CIQ($A16, "IQ_REVENUE_EST",$B$7, $L$2, "CON", $L$3, $L$5, $L$6))</f>
        <v>#NAME?</v>
      </c>
      <c r="X16" s="59" t="e">
        <f ca="1">_xll.ciqfunctions.udf.CIQ($A16, "IQ_EBITDA", IQ_LTM-8, $L$2, $L$4, $L$3, $L$5, $L$6)</f>
        <v>#NAME?</v>
      </c>
      <c r="Y16" s="59" t="e">
        <f ca="1">_xll.ciqfunctions.udf.CIQ($A16, "IQ_EBITDA", IQ_LTM-4, $L$2,$L$4, $L$3, $L$5, $L$6)</f>
        <v>#NAME?</v>
      </c>
      <c r="Z16" s="59" t="e">
        <f ca="1">_xll.ciqfunctions.udf.CIQ($A16, "IQ_EBITDA", IQ_LTM, $L$2, $L$4, $L$3, $L$5, $L$6)</f>
        <v>#NAME?</v>
      </c>
      <c r="AA16" s="59" t="e">
        <f ca="1">_xll.ciqfunctions.udf.CIQ($A16, "IQ_EBITDA", $B$2, $L$2, $L$4, $L$3, $L$5, $L$6)</f>
        <v>#NAME?</v>
      </c>
      <c r="AB16" s="59" t="e">
        <f ca="1">IF(_xll.ciqfunctions.udf.CIQ($A16, "IQ_EBITDA", $B$3, $L$2,$L$4, $L$3, $L$5, $L$6)=0,Z16,_xll.ciqfunctions.udf.CIQ($A16, "IQ_EBITDA", $B$3, $L$2,$L$4, $L$3, $L$5, $L$6))</f>
        <v>#NAME?</v>
      </c>
      <c r="AC16" s="59" t="e">
        <f ca="1">IF(_xll.ciqfunctions.udf.CIQ($A16, "IQ_EBITDA_EST",$B$4, $L$2, "CON", $L$3, $L$5, $L$6)=0,"n/a",_xll.ciqfunctions.udf.CIQ($A16, "IQ_EBITDA_EST",$B$4, $L$2, "CON", $L$3, $L$5, $L$6))</f>
        <v>#NAME?</v>
      </c>
      <c r="AD16" s="59" t="e">
        <f ca="1">IF(_xll.ciqfunctions.udf.CIQ($A16, "IQ_EBITDA_EST",$B$5, $L$2, "CON", $L$3, $L$5, $L$6)=0,"n/a",_xll.ciqfunctions.udf.CIQ($A16, "IQ_EBITDA_EST",$B$5, $L$2, "CON", $L$3, $L$5, $L$6))</f>
        <v>#NAME?</v>
      </c>
      <c r="AE16" s="59" t="e">
        <f ca="1">IF(_xll.ciqfunctions.udf.CIQ($A16, "IQ_EBITDA_EST",$B$6, $L$2, "CON", $L$3, $L$5, $L$6)=0,"n/a",_xll.ciqfunctions.udf.CIQ($A16, "IQ_EBITDA_EST",$B$6, $L$2, "CON", $L$3, $L$5, $L$6))</f>
        <v>#NAME?</v>
      </c>
      <c r="AF16" s="47" t="str">
        <f ca="1">IF(ISERROR(_xll.ciqfunctions.udf.CIQ($A16, "IQ_GROSS_MARGIN", IQ_LTM, $L$2,$L$4, $L$3, $L$5, $L$6)/100), "n/a", _xll.ciqfunctions.udf.CIQ($A16,  "IQ_GROSS_MARGIN", IQ_LTM, $L$2, $L$4, $L$3, $L$5, $L$6)/100)</f>
        <v>n/a</v>
      </c>
      <c r="AG16" s="47" t="str">
        <f ca="1">IF(ISERROR(_xll.ciqfunctions.udf.CIQ($A16,"IQ_EBITDA_MARGIN", IQ_LTM, $L$2, $L$4, $L$3, $L$5, $L$6)/100), "n/a", _xll.ciqfunctions.udf.CIQ($A16, "IQ_EBITDA_MARGIN", IQ_LTM, $L$2, $L$4, $L$3, $L$5, $L$6)/100)</f>
        <v>n/a</v>
      </c>
      <c r="AH16" s="47" t="str">
        <f ca="1">IF(ISERROR(_xll.ciqfunctions.udf.CIQ($A16,"IQ_EBIT_MARGIN", IQ_LTM, $L$2, $L$4, $L$3, $L$5, $L$6)/100), "n/a", _xll.ciqfunctions.udf.CIQ($A16, "IQ_EBIT_MARGIN", IQ_LTM, $L$2, $L$4, $L$3, $L$5, $L$6)/100)</f>
        <v>n/a</v>
      </c>
      <c r="AI16" s="47" t="str">
        <f ca="1">IF(ISERROR(_xll.ciqfunctions.udf.CIQ($A16,"IQ_NI_MARGIN", IQ_LTM, $L$2, $L$4, $L$3, $L$5, $L$6)/100), "n/a", _xll.ciqfunctions.udf.CIQ($A16, "IQ_NI_MARGIN", IQ_LTM, $L$2, $L$4, $L$3, $L$5, $L$6)/100)</f>
        <v>n/a</v>
      </c>
      <c r="AJ16" s="59" t="str">
        <f ca="1">IF(ISERROR(_xll.ciqfunctions.udf.CIQ($A16, "IQ_NET_WORKING_CAP", IQ_LTM-8, $L$2, $L$4, $L$3, $L$5, $L$6)), "n/a", _xll.ciqfunctions.udf.CIQ($A16, "IQ_NET_WORKING_CAP", IQ_LTM-8, $L$2, $L$4, $L$3, $L$5, $L$6))</f>
        <v>n/a</v>
      </c>
      <c r="AK16" s="59" t="str">
        <f ca="1">IF(ISERROR(_xll.ciqfunctions.udf.CIQ($A16, "IQ_NET_WORKING_CAP", IQ_LTM-4, $L$2, $L$4, $L$3, $L$5, $L$6)), "n/a", _xll.ciqfunctions.udf.CIQ($A16, "IQ_NET_WORKING_CAP", IQ_LTM-4, $L$2, $L$4, $L$3, $L$5, $L$6))</f>
        <v>n/a</v>
      </c>
      <c r="AL16" s="59" t="str">
        <f ca="1">IF(ISERROR(_xll.ciqfunctions.udf.CIQ($A16, "IQ_NET_WORKING_CAP", IQ_LTM, $L$2,$L$4, $L$3, $L$5, $L$6)), "n/a", _xll.ciqfunctions.udf.CIQ($A16, "IQ_NET_WORKING_CAP", IQ_LTM, $L$2, $L$4, $L$3, $L$5, $L$6))</f>
        <v>n/a</v>
      </c>
      <c r="AM16" s="59" t="str">
        <f ca="1">IF(ISERROR(_xll.ciqfunctions.udf.CIQ($A16, "IQ_Capex", IQ_LTM-8, $L$2,$L$4, $L$3, $L$5, $L$6)), "n/a", _xll.ciqfunctions.udf.CIQ($A16, "IQ_Capex", IQ_LTM-8, $L$2, $L$4, $L$3, $L$5, $L$6))</f>
        <v>n/a</v>
      </c>
      <c r="AN16" s="59" t="str">
        <f ca="1">IF(ISERROR(_xll.ciqfunctions.udf.CIQ($A16, "IQ_Capex", IQ_LTM-4, $L$2,$L$4, $L$3, $L$5, $L$6)), "n/a", _xll.ciqfunctions.udf.CIQ($A16, "IQ_Capex", IQ_LTM-4, $L$2,$L$4, $L$3, $L$5, $L$6))</f>
        <v>n/a</v>
      </c>
      <c r="AO16" s="59" t="str">
        <f ca="1">IF(ISERROR(_xll.ciqfunctions.udf.CIQ($A16, "IQ_Capex", IQ_LTM, $L$2, $L$4, $L$3, $L$5, $L$6)), "n/a", _xll.ciqfunctions.udf.CIQ($A16, "IQ_Capex", IQ_LTM, $L$2, $L$4, $L$3, $L$5, $L$6))</f>
        <v>n/a</v>
      </c>
      <c r="AP16" s="44" t="e">
        <f ca="1">_xll.ciqfunctions.udf.CIQ(A16, "IQ_BUSINESS_DESCRIPTION")</f>
        <v>#NAME?</v>
      </c>
      <c r="AQ16" s="60" t="e">
        <f ca="1">_xll.ciqfunctions.udf.CIQ($A16, "IQ_BETA_1YR", $B$1)</f>
        <v>#NAME?</v>
      </c>
      <c r="AR16" s="60" t="e">
        <f ca="1">_xll.ciqfunctions.udf.CIQ($A16, "IQ_BETA_2YR", $B$1)</f>
        <v>#NAME?</v>
      </c>
      <c r="AS16" s="60" t="e">
        <f ca="1">_xll.ciqfunctions.udf.CIQ($A16, "IQ_BETA_5YR", $B$1)</f>
        <v>#NAME?</v>
      </c>
      <c r="AT16" s="47" t="e">
        <f ca="1">_xll.ciqfunctions.udf.CIQ($A16, "IQ_DIVIDEND_YIELD", $B$1)/100</f>
        <v>#NAME?</v>
      </c>
      <c r="AU16" s="59" t="e">
        <f ca="1">_xll.ciqfunctions.udf.CIQ($A16, "IQ_EARNING_CO", IQ_LTM-8, $L$2, $L$4, $L$3, $L$5, $L$6)</f>
        <v>#NAME?</v>
      </c>
      <c r="AV16" s="59" t="e">
        <f ca="1">_xll.ciqfunctions.udf.CIQ($A16, "IQ_EARNING_CO", IQ_LTM-4, $L$2, $L$4, $L$3, $L$5, $L$6)</f>
        <v>#NAME?</v>
      </c>
      <c r="AW16" s="59" t="e">
        <f ca="1">_xll.ciqfunctions.udf.CIQ($A16, "IQ_EARNING_CO", IQ_LTM, $L$2, $L$4, $L$3, $L$5, $L$6)</f>
        <v>#NAME?</v>
      </c>
      <c r="AX16" s="59" t="e">
        <f ca="1">_xll.ciqfunctions.udf.CIQ($A16, "IQ_EARNING_CO", $B$2, $L$2, $L$4, $L$3, $L$5, $L$6)</f>
        <v>#NAME?</v>
      </c>
      <c r="AY16" s="59" t="e">
        <f ca="1">IF(_xll.ciqfunctions.udf.CIQ($A16, "IQ_EARNING_CO", $B$3, $L$2,$L$4, $L$3, $L$5, $L$6)=0,AW16,_xll.ciqfunctions.udf.CIQ($A16, "IQ_EARNING_CO", $B$3, $L$2,$L$4, $L$3, $L$5, $L$6))</f>
        <v>#NAME?</v>
      </c>
      <c r="AZ16" s="59" t="e">
        <f ca="1">_xll.ciqfunctions.udf.CIQ($A16, "IQ_TOTAL_EQUITY", IQ_LTM-8, $L$2, $L$4, $L$3, $L$5, $L$6)</f>
        <v>#NAME?</v>
      </c>
      <c r="BA16" s="59" t="e">
        <f ca="1">_xll.ciqfunctions.udf.CIQ($A16, "IQ_TOTAL_EQUITY", IQ_LTM-4, $L$2, $L$4, $L$3, $L$5, $L$6)</f>
        <v>#NAME?</v>
      </c>
      <c r="BB16" s="59" t="e">
        <f ca="1">_xll.ciqfunctions.udf.CIQ($A16, "IQ_TOTAL_EQUITY", IQ_LTM, $L$2, $L$4, $L$3, $L$5, $L$6)</f>
        <v>#NAME?</v>
      </c>
      <c r="BC16" s="59" t="e">
        <f ca="1">_xll.ciqfunctions.udf.CIQ($A16, "IQ_TOTAL_EQUITY", $B$2, $L$2, $L$4, $L$3, $L$5, $L$6)</f>
        <v>#NAME?</v>
      </c>
      <c r="BD16" s="59" t="e">
        <f ca="1">IF(_xll.ciqfunctions.udf.CIQ($A16, "IQ_TOTAL_EQUITY", $B$3, $L$2,$L$4, $L$3, $L$5, $L$6)=0,BB16,_xll.ciqfunctions.udf.CIQ($A16, "IQ_TOTAL_EQUITY", $B$3, $L$2,$L$4, $L$3, $L$5, $L$6))</f>
        <v>#NAME?</v>
      </c>
      <c r="BE16" s="59" t="e">
        <f ca="1">_xll.ciqfunctions.udf.CIQ(A16, "IQ_LASTSALEPRICE", $B$8)</f>
        <v>#NAME?</v>
      </c>
      <c r="BF16" s="59" t="e">
        <f ca="1">_xll.ciqfunctions.udf.CIQ($A16, "IQ_MARKETCAP", $B$8, $L$5, $L$6)</f>
        <v>#NAME?</v>
      </c>
      <c r="BG16" s="59" t="e">
        <f ca="1">_xll.ciqfunctions.udf.CIQ($A16, "IQ_TOTAL_DEBT", IQ_LTM, $B$8,$L$4, $L$3, $L$5, $L$6)</f>
        <v>#NAME?</v>
      </c>
      <c r="BH16" s="45" t="e">
        <f ca="1">_xll.ciqfunctions.udf.CIQ($A16,"IQ_PREF_EQUITY",IQ_LTM,$B$8,$L$4,$L$3,$L$5,$L$6)</f>
        <v>#NAME?</v>
      </c>
      <c r="BI16" s="45" t="e">
        <f ca="1">_xll.ciqfunctions.udf.CIQ($A16, "IQ_MINORITY_INTEREST_TOTAL", IQ_LTM,$B$8,$L$4,$L$3,$L$5,$L$6)</f>
        <v>#NAME?</v>
      </c>
      <c r="BJ16" s="59" t="e">
        <f ca="1">_xll.ciqfunctions.udf.CIQ($A16, "IQ_CASH_ST_INVEST", IQ_LTM, $B$8, $L$4, $L$3, $L$5, $L$6)</f>
        <v>#NAME?</v>
      </c>
      <c r="BK16" s="45" t="e">
        <f ca="1">_xll.ciqfunctions.udf.CIQ($A16, "IQ_EFFECT_TAX_RATE")</f>
        <v>#NAME?</v>
      </c>
      <c r="BL16" s="45" t="e">
        <f ca="1">IF(_xll.ciqfunctions.udf.CIQ($A16, "IQ_TOTAL_REV_2YR_ANN_CAGR", IQ_LTM, $B$1,$L$4, $L$3, $L$5, $L$6)="NM","n/a",(_xll.ciqfunctions.udf.CIQ($A16, "IQ_TOTAL_REV_2YR_ANN_CAGR", IQ_LTM, $B$1,$L$4, $L$3, $L$5, $L$6)/100))</f>
        <v>#NAME?</v>
      </c>
      <c r="BM16" s="45" t="e">
        <f ca="1">IF(_xll.ciqfunctions.udf.CIQ($A16, "IQ_TOTAL_REV_3YR_ANN_CAGR", IQ_LTM, $B$1,$L$4, $L$3, $L$5, $L$6)="NM","n/a",(_xll.ciqfunctions.udf.CIQ($A16, "IQ_TOTAL_REV_3YR_ANN_CAGR", IQ_LTM, $B$1,$L$4, $L$3, $L$5, $L$6)/100))</f>
        <v>#NAME?</v>
      </c>
      <c r="BN16" s="45" t="e">
        <f ca="1">IF(_xll.ciqfunctions.udf.CIQ($A16, "IQ_TOTAL_REV_5YR_ANN_CAGR", IQ_LTM, $B$1,$L$4, $L$3, $L$5, $L$6)="NM","n/a",(_xll.ciqfunctions.udf.CIQ($A16, "IQ_TOTAL_REV_5YR_ANN_CAGR", IQ_LTM, $B$1,$L$4, $L$3, $L$5, $L$6)/100))</f>
        <v>#NAME?</v>
      </c>
      <c r="BO16" s="45" t="e">
        <f ca="1">IF(_xll.ciqfunctions.udf.CIQ($A16,"IQ_EBITDA_2YR_ANN_CAGR", IQ_LTM,$B$1,$L$4, $L$3, $L$5, $L$6)="NM","n/a",(_xll.ciqfunctions.udf.CIQ($A16,"IQ_EBITDA_2YR_ANN_CAGR", IQ_LTM,$B$1,$L$4, $L$3, $L$5, $L$6)/100))</f>
        <v>#NAME?</v>
      </c>
      <c r="BP16" s="45" t="e">
        <f ca="1">IF(_xll.ciqfunctions.udf.CIQ($A16,"IQ_EBITDA_3YR_ANN_CAGR", IQ_LTM,$B$1,$L$4, $L$3, $L$5, $L$6)="NM","n/a",(_xll.ciqfunctions.udf.CIQ($A16,"IQ_EBITDA_3YR_ANN_CAGR", IQ_LTM,$B$1,$L$4, $L$3, $L$5, $L$6)/100))</f>
        <v>#NAME?</v>
      </c>
      <c r="BQ16" s="45" t="e">
        <f ca="1">IF(_xll.ciqfunctions.udf.CIQ($A16,"IQ_EBITDA_5YR_ANN_CAGR", IQ_LTM,$B$1,$L$4, $L$3, $L$5, $L$6)="NM","n/a",(_xll.ciqfunctions.udf.CIQ($A16,"IQ_EBITDA_5YR_ANN_CAGR", IQ_LTM,$B$1,$L$4, $L$3, $L$5, $L$6)/100))</f>
        <v>#NAME?</v>
      </c>
      <c r="BR16" s="47" t="str">
        <f ca="1">IFERROR((_xll.ciqfunctions.udf.CIQ($A16, "IQ_DA_CF", IQ_LTM, $B$1, $L$4, $L$3, $L$5, $L$6)/Q16),"NM")</f>
        <v>NM</v>
      </c>
      <c r="BS16" s="61">
        <f>'Capital IQ Sheet-GPC'!BS16</f>
        <v>0.59854106983801758</v>
      </c>
      <c r="BT16" s="61">
        <f>'Capital IQ Sheet-GPC'!BT16</f>
        <v>0.57008982105712236</v>
      </c>
      <c r="BU16" s="61">
        <f>'Capital IQ Sheet-GPC'!BU16</f>
        <v>0.73107336829310765</v>
      </c>
      <c r="BV16" s="61">
        <f>'Capital IQ Sheet-GPC'!BV16</f>
        <v>0.7169041230096167</v>
      </c>
      <c r="BW16" s="61" t="str">
        <f>'Capital IQ Sheet-GPC'!BW16</f>
        <v>n/a</v>
      </c>
      <c r="BX16" s="61" t="str">
        <f>'Capital IQ Sheet-GPC'!BX16</f>
        <v>n/a</v>
      </c>
      <c r="BY16" s="61" t="str">
        <f>'Capital IQ Sheet-GPC'!BY16</f>
        <v>n/a</v>
      </c>
      <c r="BZ16" s="61" t="str">
        <f>'Capital IQ Sheet-GPC'!BZ16</f>
        <v>n/a</v>
      </c>
      <c r="CB16" s="45">
        <v>2</v>
      </c>
      <c r="CC16" s="85" t="s">
        <v>306</v>
      </c>
      <c r="CD16" s="85" t="s">
        <v>305</v>
      </c>
      <c r="CE16" s="46">
        <f t="shared" si="0"/>
        <v>42515</v>
      </c>
    </row>
    <row r="17" spans="1:83" s="45" customFormat="1" ht="12.75">
      <c r="A17" s="45" t="e">
        <f ca="1">_xll.ciqfunctions.udf.CIQ($B17,"IQ_COMPANY_TICKER")</f>
        <v>#NAME?</v>
      </c>
      <c r="B17" s="45" t="str">
        <f>'Capital IQ Sheet-GPC'!B17</f>
        <v>IQ25750031</v>
      </c>
      <c r="C17" s="45" t="e">
        <f ca="1">_xll.ciqfunctions.udf.CIQ($A17,"IQ_COMPANY_NAME")</f>
        <v>#NAME?</v>
      </c>
      <c r="D17" s="45" t="e">
        <f ca="1">_xll.ciqfunctions.udf.CIQ($A17, "IQ_EXCHANGE")</f>
        <v>#NAME?</v>
      </c>
      <c r="E17" s="46" t="e">
        <f ca="1">_xll.ciqfunctions.udf.CIQ($A17, "IQ_PERIODDATE_IS", IQ_FY)</f>
        <v>#NAME?</v>
      </c>
      <c r="F17" s="46" t="e">
        <f ca="1">_xll.ciqfunctions.udf.CIQ(A17, "IQ_PERIODDATE_IS", IQ_LTM, $B$1,$L$4,$L$3)</f>
        <v>#NAME?</v>
      </c>
      <c r="G17" s="46" t="e">
        <f ca="1">_xll.ciqfunctions.udf.CIQ($A17, "IQ_FIRSTPRICINGDATE")</f>
        <v>#NAME?</v>
      </c>
      <c r="H17" s="59" t="e">
        <f ca="1">_xll.ciqfunctions.udf.CIQ($A17, "IQ_TEV", $L$2, $L$5, $L$6)</f>
        <v>#NAME?</v>
      </c>
      <c r="I17" s="59" t="e">
        <f ca="1">_xll.ciqfunctions.udf.CIQ(A17, "IQ_LASTSALEPRICE", $B$1,$L$5)</f>
        <v>#NAME?</v>
      </c>
      <c r="J17" s="59" t="e">
        <f ca="1">_xll.ciqfunctions.udf.CIQ($A17, "IQ_MARKETCAP", $L$2, $L$5, $L$6)</f>
        <v>#NAME?</v>
      </c>
      <c r="K17" s="59" t="e">
        <f ca="1">_xll.ciqfunctions.udf.CIQ($A17, "IQ_TOTAL_DEBT", IQ_LTM, $L$2,$L$4, $L$3, $L$5, $L$6)</f>
        <v>#NAME?</v>
      </c>
      <c r="L17" s="59" t="e">
        <f ca="1">_xll.ciqfunctions.udf.CIQ($A17, "IQ_PREF_EQUITY", IQ_LTM, $L$2, $L$4, $L$3, $L$5, $L$6)</f>
        <v>#NAME?</v>
      </c>
      <c r="M17" s="59" t="e">
        <f ca="1">_xll.ciqfunctions.udf.CIQ($A17, "IQ_MINORITY_INTEREST_TOTAL", IQ_LTM, $L$2, $L$4, $L$3, $L$5, $L$6)</f>
        <v>#NAME?</v>
      </c>
      <c r="N17" s="59" t="e">
        <f ca="1">_xll.ciqfunctions.udf.CIQ($A17, "IQ_CASH_ST_INVEST", IQ_LTM, $L$2, $L$4, $L$3, $L$5, $L$6)</f>
        <v>#NAME?</v>
      </c>
      <c r="O17" s="59" t="e">
        <f ca="1">_xll.ciqfunctions.udf.CIQ($A17, "IQ_TOTAL_REV", IQ_LTM-8, $L$2, $L$4, $L$3, $L$5, $L$6)</f>
        <v>#NAME?</v>
      </c>
      <c r="P17" s="59" t="e">
        <f ca="1">_xll.ciqfunctions.udf.CIQ($A17, "IQ_TOTAL_REV", IQ_LTM - 4, $L$2, $L$4, $L$3, $L$5,$L$6)</f>
        <v>#NAME?</v>
      </c>
      <c r="Q17" s="59" t="e">
        <f ca="1">_xll.ciqfunctions.udf.CIQ($A17, "IQ_TOTAL_REV", IQ_LTM, $L$2, $L$4, $L$3, $L$5, $L$6)</f>
        <v>#NAME?</v>
      </c>
      <c r="R17" s="59" t="e">
        <f ca="1">_xll.ciqfunctions.udf.CIQ($A17, "IQ_TOTAL_REV", $B$2, $L$2, $L$4, $L$3, $L$5, $L$6)</f>
        <v>#NAME?</v>
      </c>
      <c r="S17" s="59" t="e">
        <f ca="1">IF(_xll.ciqfunctions.udf.CIQ($A17, "IQ_TOTAL_REV", $B$3, $L$2,$L$4, $L$3, $L$5, $L$6)=0,Q17,_xll.ciqfunctions.udf.CIQ($A17, "IQ_TOTAL_REV", $B$3, $L$2,$L$4, $L$3, $L$5, $L$6))</f>
        <v>#NAME?</v>
      </c>
      <c r="T17" s="59" t="e">
        <f ca="1">IF(_xll.ciqfunctions.udf.CIQ($A17, "IQ_REVENUE_EST",$B$4, $L$2, "CON", $L$3, $L$5, $L$6)=0,"n/a",_xll.ciqfunctions.udf.CIQ($A17, "IQ_REVENUE_EST",$B$4, $L$2, "CON", $L$3, $L$5, $L$6))</f>
        <v>#NAME?</v>
      </c>
      <c r="U17" s="59" t="e">
        <f ca="1">IF(_xll.ciqfunctions.udf.CIQ($A17, "IQ_REVENUE_EST",$B$5, $L$2, "CON", $L$3, $L$5, $L$6)=0,"n/a",_xll.ciqfunctions.udf.CIQ($A17, "IQ_REVENUE_EST",$B$5, $L$2, "CON", $L$3, $L$5, $L$6))</f>
        <v>#NAME?</v>
      </c>
      <c r="V17" s="59" t="e">
        <f ca="1">IF(_xll.ciqfunctions.udf.CIQ($A17, "IQ_REVENUE_EST",$B$6, $L$2, "CON", $L$3, $L$5, $L$6)=0,"n/a",_xll.ciqfunctions.udf.CIQ($A17, "IQ_REVENUE_EST",$B$6, $L$2, "CON", $L$3, $L$5, $L$6))</f>
        <v>#NAME?</v>
      </c>
      <c r="W17" s="59" t="e">
        <f ca="1">IF(_xll.ciqfunctions.udf.CIQ($A17, "IQ_REVENUE_EST", $B$7, $L$2, "CON", $L$3, $L$5, $L$6)=0,"n/a",_xll.ciqfunctions.udf.CIQ($A17, "IQ_REVENUE_EST",$B$7, $L$2, "CON", $L$3, $L$5, $L$6))</f>
        <v>#NAME?</v>
      </c>
      <c r="X17" s="59" t="e">
        <f ca="1">_xll.ciqfunctions.udf.CIQ($A17, "IQ_EBITDA", IQ_LTM-8, $L$2, $L$4, $L$3, $L$5, $L$6)</f>
        <v>#NAME?</v>
      </c>
      <c r="Y17" s="59" t="e">
        <f ca="1">_xll.ciqfunctions.udf.CIQ($A17, "IQ_EBITDA", IQ_LTM-4, $L$2,$L$4, $L$3, $L$5, $L$6)</f>
        <v>#NAME?</v>
      </c>
      <c r="Z17" s="59" t="e">
        <f ca="1">_xll.ciqfunctions.udf.CIQ($A17, "IQ_EBITDA", IQ_LTM, $L$2, $L$4, $L$3, $L$5, $L$6)</f>
        <v>#NAME?</v>
      </c>
      <c r="AA17" s="59" t="e">
        <f ca="1">_xll.ciqfunctions.udf.CIQ($A17, "IQ_EBITDA", $B$2, $L$2, $L$4, $L$3, $L$5, $L$6)</f>
        <v>#NAME?</v>
      </c>
      <c r="AB17" s="59" t="e">
        <f ca="1">IF(_xll.ciqfunctions.udf.CIQ($A17, "IQ_EBITDA", $B$3, $L$2,$L$4, $L$3, $L$5, $L$6)=0,Z17,_xll.ciqfunctions.udf.CIQ($A17, "IQ_EBITDA", $B$3, $L$2,$L$4, $L$3, $L$5, $L$6))</f>
        <v>#NAME?</v>
      </c>
      <c r="AC17" s="59" t="e">
        <f ca="1">IF(_xll.ciqfunctions.udf.CIQ($A17, "IQ_EBITDA_EST",$B$4, $L$2, "CON", $L$3, $L$5, $L$6)=0,"n/a",_xll.ciqfunctions.udf.CIQ($A17, "IQ_EBITDA_EST",$B$4, $L$2, "CON", $L$3, $L$5, $L$6))</f>
        <v>#NAME?</v>
      </c>
      <c r="AD17" s="59" t="e">
        <f ca="1">IF(_xll.ciqfunctions.udf.CIQ($A17, "IQ_EBITDA_EST",$B$5, $L$2, "CON", $L$3, $L$5, $L$6)=0,"n/a",_xll.ciqfunctions.udf.CIQ($A17, "IQ_EBITDA_EST",$B$5, $L$2, "CON", $L$3, $L$5, $L$6))</f>
        <v>#NAME?</v>
      </c>
      <c r="AE17" s="59" t="e">
        <f ca="1">IF(_xll.ciqfunctions.udf.CIQ($A17, "IQ_EBITDA_EST",$B$6, $L$2, "CON", $L$3, $L$5, $L$6)=0,"n/a",_xll.ciqfunctions.udf.CIQ($A17, "IQ_EBITDA_EST",$B$6, $L$2, "CON", $L$3, $L$5, $L$6))</f>
        <v>#NAME?</v>
      </c>
      <c r="AF17" s="47" t="str">
        <f ca="1">IF(ISERROR(_xll.ciqfunctions.udf.CIQ($A17, "IQ_GROSS_MARGIN", IQ_LTM, $L$2,$L$4, $L$3, $L$5, $L$6)/100), "n/a", _xll.ciqfunctions.udf.CIQ($A17,  "IQ_GROSS_MARGIN", IQ_LTM, $L$2, $L$4, $L$3, $L$5, $L$6)/100)</f>
        <v>n/a</v>
      </c>
      <c r="AG17" s="47" t="str">
        <f ca="1">IF(ISERROR(_xll.ciqfunctions.udf.CIQ($A17,"IQ_EBITDA_MARGIN", IQ_LTM, $L$2, $L$4, $L$3, $L$5, $L$6)/100), "n/a", _xll.ciqfunctions.udf.CIQ($A17, "IQ_EBITDA_MARGIN", IQ_LTM, $L$2, $L$4, $L$3, $L$5, $L$6)/100)</f>
        <v>n/a</v>
      </c>
      <c r="AH17" s="47" t="str">
        <f ca="1">IF(ISERROR(_xll.ciqfunctions.udf.CIQ($A17,"IQ_EBIT_MARGIN", IQ_LTM, $L$2, $L$4, $L$3, $L$5, $L$6)/100), "n/a", _xll.ciqfunctions.udf.CIQ($A17, "IQ_EBIT_MARGIN", IQ_LTM, $L$2, $L$4, $L$3, $L$5, $L$6)/100)</f>
        <v>n/a</v>
      </c>
      <c r="AI17" s="47" t="str">
        <f ca="1">IF(ISERROR(_xll.ciqfunctions.udf.CIQ($A17,"IQ_NI_MARGIN", IQ_LTM, $L$2, $L$4, $L$3, $L$5, $L$6)/100), "n/a", _xll.ciqfunctions.udf.CIQ($A17, "IQ_NI_MARGIN", IQ_LTM, $L$2, $L$4, $L$3, $L$5, $L$6)/100)</f>
        <v>n/a</v>
      </c>
      <c r="AJ17" s="59" t="str">
        <f ca="1">IF(ISERROR(_xll.ciqfunctions.udf.CIQ($A17, "IQ_NET_WORKING_CAP", IQ_LTM-8, $L$2, $L$4, $L$3, $L$5, $L$6)), "n/a", _xll.ciqfunctions.udf.CIQ($A17, "IQ_NET_WORKING_CAP", IQ_LTM-8, $L$2, $L$4, $L$3, $L$5, $L$6))</f>
        <v>n/a</v>
      </c>
      <c r="AK17" s="59" t="str">
        <f ca="1">IF(ISERROR(_xll.ciqfunctions.udf.CIQ($A17, "IQ_NET_WORKING_CAP", IQ_LTM-4, $L$2, $L$4, $L$3, $L$5, $L$6)), "n/a", _xll.ciqfunctions.udf.CIQ($A17, "IQ_NET_WORKING_CAP", IQ_LTM-4, $L$2, $L$4, $L$3, $L$5, $L$6))</f>
        <v>n/a</v>
      </c>
      <c r="AL17" s="59" t="str">
        <f ca="1">IF(ISERROR(_xll.ciqfunctions.udf.CIQ($A17, "IQ_NET_WORKING_CAP", IQ_LTM, $L$2,$L$4, $L$3, $L$5, $L$6)), "n/a", _xll.ciqfunctions.udf.CIQ($A17, "IQ_NET_WORKING_CAP", IQ_LTM, $L$2, $L$4, $L$3, $L$5, $L$6))</f>
        <v>n/a</v>
      </c>
      <c r="AM17" s="59" t="str">
        <f ca="1">IF(ISERROR(_xll.ciqfunctions.udf.CIQ($A17, "IQ_Capex", IQ_LTM-8, $L$2,$L$4, $L$3, $L$5, $L$6)), "n/a", _xll.ciqfunctions.udf.CIQ($A17, "IQ_Capex", IQ_LTM-8, $L$2, $L$4, $L$3, $L$5, $L$6))</f>
        <v>n/a</v>
      </c>
      <c r="AN17" s="59" t="str">
        <f ca="1">IF(ISERROR(_xll.ciqfunctions.udf.CIQ($A17, "IQ_Capex", IQ_LTM-4, $L$2,$L$4, $L$3, $L$5, $L$6)), "n/a", _xll.ciqfunctions.udf.CIQ($A17, "IQ_Capex", IQ_LTM-4, $L$2,$L$4, $L$3, $L$5, $L$6))</f>
        <v>n/a</v>
      </c>
      <c r="AO17" s="59" t="str">
        <f ca="1">IF(ISERROR(_xll.ciqfunctions.udf.CIQ($A17, "IQ_Capex", IQ_LTM, $L$2, $L$4, $L$3, $L$5, $L$6)), "n/a", _xll.ciqfunctions.udf.CIQ($A17, "IQ_Capex", IQ_LTM, $L$2, $L$4, $L$3, $L$5, $L$6))</f>
        <v>n/a</v>
      </c>
      <c r="AP17" s="44" t="e">
        <f ca="1">_xll.ciqfunctions.udf.CIQ(A17, "IQ_BUSINESS_DESCRIPTION")</f>
        <v>#NAME?</v>
      </c>
      <c r="AQ17" s="60" t="e">
        <f ca="1">_xll.ciqfunctions.udf.CIQ($A17, "IQ_BETA_1YR", $B$1)</f>
        <v>#NAME?</v>
      </c>
      <c r="AR17" s="60" t="e">
        <f ca="1">_xll.ciqfunctions.udf.CIQ($A17, "IQ_BETA_2YR", $B$1)</f>
        <v>#NAME?</v>
      </c>
      <c r="AS17" s="60" t="e">
        <f ca="1">_xll.ciqfunctions.udf.CIQ($A17, "IQ_BETA_5YR", $B$1)</f>
        <v>#NAME?</v>
      </c>
      <c r="AT17" s="47" t="e">
        <f ca="1">_xll.ciqfunctions.udf.CIQ($A17, "IQ_DIVIDEND_YIELD", $B$1)/100</f>
        <v>#NAME?</v>
      </c>
      <c r="AU17" s="59" t="e">
        <f ca="1">_xll.ciqfunctions.udf.CIQ($A17, "IQ_EARNING_CO", IQ_LTM-8, $L$2, $L$4, $L$3, $L$5, $L$6)</f>
        <v>#NAME?</v>
      </c>
      <c r="AV17" s="59" t="e">
        <f ca="1">_xll.ciqfunctions.udf.CIQ($A17, "IQ_EARNING_CO", IQ_LTM-4, $L$2, $L$4, $L$3, $L$5, $L$6)</f>
        <v>#NAME?</v>
      </c>
      <c r="AW17" s="59" t="e">
        <f ca="1">_xll.ciqfunctions.udf.CIQ($A17, "IQ_EARNING_CO", IQ_LTM, $L$2, $L$4, $L$3, $L$5, $L$6)</f>
        <v>#NAME?</v>
      </c>
      <c r="AX17" s="59" t="e">
        <f ca="1">_xll.ciqfunctions.udf.CIQ($A17, "IQ_EARNING_CO", $B$2, $L$2, $L$4, $L$3, $L$5, $L$6)</f>
        <v>#NAME?</v>
      </c>
      <c r="AY17" s="59" t="e">
        <f ca="1">IF(_xll.ciqfunctions.udf.CIQ($A17, "IQ_EARNING_CO", $B$3, $L$2,$L$4, $L$3, $L$5, $L$6)=0,AW17,_xll.ciqfunctions.udf.CIQ($A17, "IQ_EARNING_CO", $B$3, $L$2,$L$4, $L$3, $L$5, $L$6))</f>
        <v>#NAME?</v>
      </c>
      <c r="AZ17" s="59" t="e">
        <f ca="1">_xll.ciqfunctions.udf.CIQ($A17, "IQ_TOTAL_EQUITY", IQ_LTM-8, $L$2, $L$4, $L$3, $L$5, $L$6)</f>
        <v>#NAME?</v>
      </c>
      <c r="BA17" s="59" t="e">
        <f ca="1">_xll.ciqfunctions.udf.CIQ($A17, "IQ_TOTAL_EQUITY", IQ_LTM-4, $L$2, $L$4, $L$3, $L$5, $L$6)</f>
        <v>#NAME?</v>
      </c>
      <c r="BB17" s="59" t="e">
        <f ca="1">_xll.ciqfunctions.udf.CIQ($A17, "IQ_TOTAL_EQUITY", IQ_LTM, $L$2, $L$4, $L$3, $L$5, $L$6)</f>
        <v>#NAME?</v>
      </c>
      <c r="BC17" s="59" t="e">
        <f ca="1">_xll.ciqfunctions.udf.CIQ($A17, "IQ_TOTAL_EQUITY", $B$2, $L$2, $L$4, $L$3, $L$5, $L$6)</f>
        <v>#NAME?</v>
      </c>
      <c r="BD17" s="59" t="e">
        <f ca="1">IF(_xll.ciqfunctions.udf.CIQ($A17, "IQ_TOTAL_EQUITY", $B$3, $L$2,$L$4, $L$3, $L$5, $L$6)=0,BB17,_xll.ciqfunctions.udf.CIQ($A17, "IQ_TOTAL_EQUITY", $B$3, $L$2,$L$4, $L$3, $L$5, $L$6))</f>
        <v>#NAME?</v>
      </c>
      <c r="BE17" s="59" t="e">
        <f ca="1">_xll.ciqfunctions.udf.CIQ(A17, "IQ_LASTSALEPRICE", $B$8)</f>
        <v>#NAME?</v>
      </c>
      <c r="BF17" s="59" t="e">
        <f ca="1">_xll.ciqfunctions.udf.CIQ($A17, "IQ_MARKETCAP", $B$8, $L$5, $L$6)</f>
        <v>#NAME?</v>
      </c>
      <c r="BG17" s="59" t="e">
        <f ca="1">_xll.ciqfunctions.udf.CIQ($A17, "IQ_TOTAL_DEBT", IQ_LTM, $B$8,$L$4, $L$3, $L$5, $L$6)</f>
        <v>#NAME?</v>
      </c>
      <c r="BH17" s="45" t="e">
        <f ca="1">_xll.ciqfunctions.udf.CIQ($A17,"IQ_PREF_EQUITY",IQ_LTM,$B$8,$L$4,$L$3,$L$5,$L$6)</f>
        <v>#NAME?</v>
      </c>
      <c r="BI17" s="45" t="e">
        <f ca="1">_xll.ciqfunctions.udf.CIQ($A17, "IQ_MINORITY_INTEREST_TOTAL", IQ_LTM,$B$8,$L$4,$L$3,$L$5,$L$6)</f>
        <v>#NAME?</v>
      </c>
      <c r="BJ17" s="59" t="e">
        <f ca="1">_xll.ciqfunctions.udf.CIQ($A17, "IQ_CASH_ST_INVEST", IQ_LTM, $B$8, $L$4, $L$3, $L$5, $L$6)</f>
        <v>#NAME?</v>
      </c>
      <c r="BK17" s="45" t="e">
        <f ca="1">_xll.ciqfunctions.udf.CIQ($A17, "IQ_EFFECT_TAX_RATE")</f>
        <v>#NAME?</v>
      </c>
      <c r="BL17" s="45" t="e">
        <f ca="1">IF(_xll.ciqfunctions.udf.CIQ($A17, "IQ_TOTAL_REV_2YR_ANN_CAGR", IQ_LTM, $B$1,$L$4, $L$3, $L$5, $L$6)="NM","n/a",(_xll.ciqfunctions.udf.CIQ($A17, "IQ_TOTAL_REV_2YR_ANN_CAGR", IQ_LTM, $B$1,$L$4, $L$3, $L$5, $L$6)/100))</f>
        <v>#NAME?</v>
      </c>
      <c r="BM17" s="45" t="e">
        <f ca="1">IF(_xll.ciqfunctions.udf.CIQ($A17, "IQ_TOTAL_REV_3YR_ANN_CAGR", IQ_LTM, $B$1,$L$4, $L$3, $L$5, $L$6)="NM","n/a",(_xll.ciqfunctions.udf.CIQ($A17, "IQ_TOTAL_REV_3YR_ANN_CAGR", IQ_LTM, $B$1,$L$4, $L$3, $L$5, $L$6)/100))</f>
        <v>#NAME?</v>
      </c>
      <c r="BN17" s="45" t="e">
        <f ca="1">IF(_xll.ciqfunctions.udf.CIQ($A17, "IQ_TOTAL_REV_5YR_ANN_CAGR", IQ_LTM, $B$1,$L$4, $L$3, $L$5, $L$6)="NM","n/a",(_xll.ciqfunctions.udf.CIQ($A17, "IQ_TOTAL_REV_5YR_ANN_CAGR", IQ_LTM, $B$1,$L$4, $L$3, $L$5, $L$6)/100))</f>
        <v>#NAME?</v>
      </c>
      <c r="BO17" s="45" t="e">
        <f ca="1">IF(_xll.ciqfunctions.udf.CIQ($A17,"IQ_EBITDA_2YR_ANN_CAGR", IQ_LTM,$B$1,$L$4, $L$3, $L$5, $L$6)="NM","n/a",(_xll.ciqfunctions.udf.CIQ($A17,"IQ_EBITDA_2YR_ANN_CAGR", IQ_LTM,$B$1,$L$4, $L$3, $L$5, $L$6)/100))</f>
        <v>#NAME?</v>
      </c>
      <c r="BP17" s="45" t="e">
        <f ca="1">IF(_xll.ciqfunctions.udf.CIQ($A17,"IQ_EBITDA_3YR_ANN_CAGR", IQ_LTM,$B$1,$L$4, $L$3, $L$5, $L$6)="NM","n/a",(_xll.ciqfunctions.udf.CIQ($A17,"IQ_EBITDA_3YR_ANN_CAGR", IQ_LTM,$B$1,$L$4, $L$3, $L$5, $L$6)/100))</f>
        <v>#NAME?</v>
      </c>
      <c r="BQ17" s="45" t="e">
        <f ca="1">IF(_xll.ciqfunctions.udf.CIQ($A17,"IQ_EBITDA_5YR_ANN_CAGR", IQ_LTM,$B$1,$L$4, $L$3, $L$5, $L$6)="NM","n/a",(_xll.ciqfunctions.udf.CIQ($A17,"IQ_EBITDA_5YR_ANN_CAGR", IQ_LTM,$B$1,$L$4, $L$3, $L$5, $L$6)/100))</f>
        <v>#NAME?</v>
      </c>
      <c r="BR17" s="47" t="str">
        <f ca="1">IFERROR((_xll.ciqfunctions.udf.CIQ($A17, "IQ_DA_CF", IQ_LTM, $B$1, $L$4, $L$3, $L$5, $L$6)/Q17),"NM")</f>
        <v>NM</v>
      </c>
      <c r="BS17" s="61">
        <f>'Capital IQ Sheet-GPC'!BS17</f>
        <v>0.36538207852256455</v>
      </c>
      <c r="BT17" s="61">
        <f>'Capital IQ Sheet-GPC'!BT17</f>
        <v>0.3917886476836604</v>
      </c>
      <c r="BU17" s="61" t="str">
        <f>'Capital IQ Sheet-GPC'!BU17</f>
        <v>n/a</v>
      </c>
      <c r="BV17" s="61" t="str">
        <f>'Capital IQ Sheet-GPC'!BV17</f>
        <v>n/a</v>
      </c>
      <c r="BW17" s="61" t="str">
        <f>'Capital IQ Sheet-GPC'!BW17</f>
        <v>n/a</v>
      </c>
      <c r="BX17" s="61" t="str">
        <f>'Capital IQ Sheet-GPC'!BX17</f>
        <v>n/a</v>
      </c>
      <c r="BY17" s="61" t="str">
        <f>'Capital IQ Sheet-GPC'!BY17</f>
        <v>n/a</v>
      </c>
      <c r="BZ17" s="61" t="str">
        <f>'Capital IQ Sheet-GPC'!BZ17</f>
        <v>n/a</v>
      </c>
      <c r="CB17" s="45">
        <v>2</v>
      </c>
      <c r="CC17" s="85" t="s">
        <v>306</v>
      </c>
      <c r="CD17" s="85" t="s">
        <v>305</v>
      </c>
      <c r="CE17" s="46">
        <f t="shared" si="0"/>
        <v>42515</v>
      </c>
    </row>
    <row r="18" spans="1:83" s="45" customFormat="1" ht="12.75">
      <c r="A18" s="45" t="e">
        <f ca="1">_xll.ciqfunctions.udf.CIQ($B18,"IQ_COMPANY_TICKER")</f>
        <v>#NAME?</v>
      </c>
      <c r="B18" s="45" t="str">
        <f>'Capital IQ Sheet-GPC'!B18</f>
        <v>IQ62494905</v>
      </c>
      <c r="C18" s="45" t="e">
        <f ca="1">_xll.ciqfunctions.udf.CIQ($A18,"IQ_COMPANY_NAME")</f>
        <v>#NAME?</v>
      </c>
      <c r="D18" s="45" t="e">
        <f ca="1">_xll.ciqfunctions.udf.CIQ($A18, "IQ_EXCHANGE")</f>
        <v>#NAME?</v>
      </c>
      <c r="E18" s="46" t="e">
        <f ca="1">_xll.ciqfunctions.udf.CIQ($A18, "IQ_PERIODDATE_IS", IQ_FY)</f>
        <v>#NAME?</v>
      </c>
      <c r="F18" s="46" t="e">
        <f ca="1">_xll.ciqfunctions.udf.CIQ(A18, "IQ_PERIODDATE_IS", IQ_LTM, $B$1,$L$4,$L$3)</f>
        <v>#NAME?</v>
      </c>
      <c r="G18" s="46" t="e">
        <f ca="1">_xll.ciqfunctions.udf.CIQ($A18, "IQ_FIRSTPRICINGDATE")</f>
        <v>#NAME?</v>
      </c>
      <c r="H18" s="59" t="e">
        <f ca="1">_xll.ciqfunctions.udf.CIQ($A18, "IQ_TEV", $L$2, $L$5, $L$6)</f>
        <v>#NAME?</v>
      </c>
      <c r="I18" s="59" t="e">
        <f ca="1">_xll.ciqfunctions.udf.CIQ(A18, "IQ_LASTSALEPRICE", $B$1,$L$5)</f>
        <v>#NAME?</v>
      </c>
      <c r="J18" s="59" t="e">
        <f ca="1">_xll.ciqfunctions.udf.CIQ($A18, "IQ_MARKETCAP", $L$2, $L$5, $L$6)</f>
        <v>#NAME?</v>
      </c>
      <c r="K18" s="59" t="e">
        <f ca="1">_xll.ciqfunctions.udf.CIQ($A18, "IQ_TOTAL_DEBT", IQ_LTM, $L$2,$L$4, $L$3, $L$5, $L$6)</f>
        <v>#NAME?</v>
      </c>
      <c r="L18" s="59" t="e">
        <f ca="1">_xll.ciqfunctions.udf.CIQ($A18, "IQ_PREF_EQUITY", IQ_LTM, $L$2, $L$4, $L$3, $L$5, $L$6)</f>
        <v>#NAME?</v>
      </c>
      <c r="M18" s="59" t="e">
        <f ca="1">_xll.ciqfunctions.udf.CIQ($A18, "IQ_MINORITY_INTEREST_TOTAL", IQ_LTM, $L$2, $L$4, $L$3, $L$5, $L$6)</f>
        <v>#NAME?</v>
      </c>
      <c r="N18" s="59" t="e">
        <f ca="1">_xll.ciqfunctions.udf.CIQ($A18, "IQ_CASH_ST_INVEST", IQ_LTM, $L$2, $L$4, $L$3, $L$5, $L$6)</f>
        <v>#NAME?</v>
      </c>
      <c r="O18" s="59" t="e">
        <f ca="1">_xll.ciqfunctions.udf.CIQ($A18, "IQ_TOTAL_REV", IQ_LTM-8, $L$2, $L$4, $L$3, $L$5, $L$6)</f>
        <v>#NAME?</v>
      </c>
      <c r="P18" s="59" t="e">
        <f ca="1">_xll.ciqfunctions.udf.CIQ($A18, "IQ_TOTAL_REV", IQ_LTM - 4, $L$2, $L$4, $L$3, $L$5,$L$6)</f>
        <v>#NAME?</v>
      </c>
      <c r="Q18" s="59" t="e">
        <f ca="1">_xll.ciqfunctions.udf.CIQ($A18, "IQ_TOTAL_REV", IQ_LTM, $L$2, $L$4, $L$3, $L$5, $L$6)</f>
        <v>#NAME?</v>
      </c>
      <c r="R18" s="59" t="e">
        <f ca="1">_xll.ciqfunctions.udf.CIQ($A18, "IQ_TOTAL_REV", $B$2, $L$2, $L$4, $L$3, $L$5, $L$6)</f>
        <v>#NAME?</v>
      </c>
      <c r="S18" s="59" t="e">
        <f ca="1">IF(_xll.ciqfunctions.udf.CIQ($A18, "IQ_TOTAL_REV", $B$3, $L$2,$L$4, $L$3, $L$5, $L$6)=0,Q18,_xll.ciqfunctions.udf.CIQ($A18, "IQ_TOTAL_REV", $B$3, $L$2,$L$4, $L$3, $L$5, $L$6))</f>
        <v>#NAME?</v>
      </c>
      <c r="T18" s="59" t="e">
        <f ca="1">IF(_xll.ciqfunctions.udf.CIQ($A18, "IQ_REVENUE_EST",$B$4, $L$2, "CON", $L$3, $L$5, $L$6)=0,"n/a",_xll.ciqfunctions.udf.CIQ($A18, "IQ_REVENUE_EST",$B$4, $L$2, "CON", $L$3, $L$5, $L$6))</f>
        <v>#NAME?</v>
      </c>
      <c r="U18" s="59" t="e">
        <f ca="1">IF(_xll.ciqfunctions.udf.CIQ($A18, "IQ_REVENUE_EST",$B$5, $L$2, "CON", $L$3, $L$5, $L$6)=0,"n/a",_xll.ciqfunctions.udf.CIQ($A18, "IQ_REVENUE_EST",$B$5, $L$2, "CON", $L$3, $L$5, $L$6))</f>
        <v>#NAME?</v>
      </c>
      <c r="V18" s="59" t="e">
        <f ca="1">IF(_xll.ciqfunctions.udf.CIQ($A18, "IQ_REVENUE_EST",$B$6, $L$2, "CON", $L$3, $L$5, $L$6)=0,"n/a",_xll.ciqfunctions.udf.CIQ($A18, "IQ_REVENUE_EST",$B$6, $L$2, "CON", $L$3, $L$5, $L$6))</f>
        <v>#NAME?</v>
      </c>
      <c r="W18" s="59" t="e">
        <f ca="1">IF(_xll.ciqfunctions.udf.CIQ($A18, "IQ_REVENUE_EST", $B$7, $L$2, "CON", $L$3, $L$5, $L$6)=0,"n/a",_xll.ciqfunctions.udf.CIQ($A18, "IQ_REVENUE_EST",$B$7, $L$2, "CON", $L$3, $L$5, $L$6))</f>
        <v>#NAME?</v>
      </c>
      <c r="X18" s="59" t="e">
        <f ca="1">_xll.ciqfunctions.udf.CIQ($A18, "IQ_EBITDA", IQ_LTM-8, $L$2, $L$4, $L$3, $L$5, $L$6)</f>
        <v>#NAME?</v>
      </c>
      <c r="Y18" s="59" t="e">
        <f ca="1">_xll.ciqfunctions.udf.CIQ($A18, "IQ_EBITDA", IQ_LTM-4, $L$2,$L$4, $L$3, $L$5, $L$6)</f>
        <v>#NAME?</v>
      </c>
      <c r="Z18" s="59" t="e">
        <f ca="1">_xll.ciqfunctions.udf.CIQ($A18, "IQ_EBITDA", IQ_LTM, $L$2, $L$4, $L$3, $L$5, $L$6)</f>
        <v>#NAME?</v>
      </c>
      <c r="AA18" s="59" t="e">
        <f ca="1">_xll.ciqfunctions.udf.CIQ($A18, "IQ_EBITDA", $B$2, $L$2, $L$4, $L$3, $L$5, $L$6)</f>
        <v>#NAME?</v>
      </c>
      <c r="AB18" s="59" t="e">
        <f ca="1">IF(_xll.ciqfunctions.udf.CIQ($A18, "IQ_EBITDA", $B$3, $L$2,$L$4, $L$3, $L$5, $L$6)=0,Z18,_xll.ciqfunctions.udf.CIQ($A18, "IQ_EBITDA", $B$3, $L$2,$L$4, $L$3, $L$5, $L$6))</f>
        <v>#NAME?</v>
      </c>
      <c r="AC18" s="59" t="e">
        <f ca="1">IF(_xll.ciqfunctions.udf.CIQ($A18, "IQ_EBITDA_EST",$B$4, $L$2, "CON", $L$3, $L$5, $L$6)=0,"n/a",_xll.ciqfunctions.udf.CIQ($A18, "IQ_EBITDA_EST",$B$4, $L$2, "CON", $L$3, $L$5, $L$6))</f>
        <v>#NAME?</v>
      </c>
      <c r="AD18" s="59" t="e">
        <f ca="1">IF(_xll.ciqfunctions.udf.CIQ($A18, "IQ_EBITDA_EST",$B$5, $L$2, "CON", $L$3, $L$5, $L$6)=0,"n/a",_xll.ciqfunctions.udf.CIQ($A18, "IQ_EBITDA_EST",$B$5, $L$2, "CON", $L$3, $L$5, $L$6))</f>
        <v>#NAME?</v>
      </c>
      <c r="AE18" s="59" t="e">
        <f ca="1">IF(_xll.ciqfunctions.udf.CIQ($A18, "IQ_EBITDA_EST",$B$6, $L$2, "CON", $L$3, $L$5, $L$6)=0,"n/a",_xll.ciqfunctions.udf.CIQ($A18, "IQ_EBITDA_EST",$B$6, $L$2, "CON", $L$3, $L$5, $L$6))</f>
        <v>#NAME?</v>
      </c>
      <c r="AF18" s="47" t="str">
        <f ca="1">IF(ISERROR(_xll.ciqfunctions.udf.CIQ($A18, "IQ_GROSS_MARGIN", IQ_LTM, $L$2,$L$4, $L$3, $L$5, $L$6)/100), "n/a", _xll.ciqfunctions.udf.CIQ($A18,  "IQ_GROSS_MARGIN", IQ_LTM, $L$2, $L$4, $L$3, $L$5, $L$6)/100)</f>
        <v>n/a</v>
      </c>
      <c r="AG18" s="47" t="str">
        <f ca="1">IF(ISERROR(_xll.ciqfunctions.udf.CIQ($A18,"IQ_EBITDA_MARGIN", IQ_LTM, $L$2, $L$4, $L$3, $L$5, $L$6)/100), "n/a", _xll.ciqfunctions.udf.CIQ($A18, "IQ_EBITDA_MARGIN", IQ_LTM, $L$2, $L$4, $L$3, $L$5, $L$6)/100)</f>
        <v>n/a</v>
      </c>
      <c r="AH18" s="47" t="str">
        <f ca="1">IF(ISERROR(_xll.ciqfunctions.udf.CIQ($A18,"IQ_EBIT_MARGIN", IQ_LTM, $L$2, $L$4, $L$3, $L$5, $L$6)/100), "n/a", _xll.ciqfunctions.udf.CIQ($A18, "IQ_EBIT_MARGIN", IQ_LTM, $L$2, $L$4, $L$3, $L$5, $L$6)/100)</f>
        <v>n/a</v>
      </c>
      <c r="AI18" s="47" t="str">
        <f ca="1">IF(ISERROR(_xll.ciqfunctions.udf.CIQ($A18,"IQ_NI_MARGIN", IQ_LTM, $L$2, $L$4, $L$3, $L$5, $L$6)/100), "n/a", _xll.ciqfunctions.udf.CIQ($A18, "IQ_NI_MARGIN", IQ_LTM, $L$2, $L$4, $L$3, $L$5, $L$6)/100)</f>
        <v>n/a</v>
      </c>
      <c r="AJ18" s="59" t="str">
        <f ca="1">IF(ISERROR(_xll.ciqfunctions.udf.CIQ($A18, "IQ_NET_WORKING_CAP", IQ_LTM-8, $L$2, $L$4, $L$3, $L$5, $L$6)), "n/a", _xll.ciqfunctions.udf.CIQ($A18, "IQ_NET_WORKING_CAP", IQ_LTM-8, $L$2, $L$4, $L$3, $L$5, $L$6))</f>
        <v>n/a</v>
      </c>
      <c r="AK18" s="59" t="str">
        <f ca="1">IF(ISERROR(_xll.ciqfunctions.udf.CIQ($A18, "IQ_NET_WORKING_CAP", IQ_LTM-4, $L$2, $L$4, $L$3, $L$5, $L$6)), "n/a", _xll.ciqfunctions.udf.CIQ($A18, "IQ_NET_WORKING_CAP", IQ_LTM-4, $L$2, $L$4, $L$3, $L$5, $L$6))</f>
        <v>n/a</v>
      </c>
      <c r="AL18" s="59" t="str">
        <f ca="1">IF(ISERROR(_xll.ciqfunctions.udf.CIQ($A18, "IQ_NET_WORKING_CAP", IQ_LTM, $L$2,$L$4, $L$3, $L$5, $L$6)), "n/a", _xll.ciqfunctions.udf.CIQ($A18, "IQ_NET_WORKING_CAP", IQ_LTM, $L$2, $L$4, $L$3, $L$5, $L$6))</f>
        <v>n/a</v>
      </c>
      <c r="AM18" s="59" t="str">
        <f ca="1">IF(ISERROR(_xll.ciqfunctions.udf.CIQ($A18, "IQ_Capex", IQ_LTM-8, $L$2,$L$4, $L$3, $L$5, $L$6)), "n/a", _xll.ciqfunctions.udf.CIQ($A18, "IQ_Capex", IQ_LTM-8, $L$2, $L$4, $L$3, $L$5, $L$6))</f>
        <v>n/a</v>
      </c>
      <c r="AN18" s="59" t="str">
        <f ca="1">IF(ISERROR(_xll.ciqfunctions.udf.CIQ($A18, "IQ_Capex", IQ_LTM-4, $L$2,$L$4, $L$3, $L$5, $L$6)), "n/a", _xll.ciqfunctions.udf.CIQ($A18, "IQ_Capex", IQ_LTM-4, $L$2,$L$4, $L$3, $L$5, $L$6))</f>
        <v>n/a</v>
      </c>
      <c r="AO18" s="59" t="str">
        <f ca="1">IF(ISERROR(_xll.ciqfunctions.udf.CIQ($A18, "IQ_Capex", IQ_LTM, $L$2, $L$4, $L$3, $L$5, $L$6)), "n/a", _xll.ciqfunctions.udf.CIQ($A18, "IQ_Capex", IQ_LTM, $L$2, $L$4, $L$3, $L$5, $L$6))</f>
        <v>n/a</v>
      </c>
      <c r="AP18" s="44" t="e">
        <f ca="1">_xll.ciqfunctions.udf.CIQ(A18, "IQ_BUSINESS_DESCRIPTION")</f>
        <v>#NAME?</v>
      </c>
      <c r="AQ18" s="60" t="e">
        <f ca="1">_xll.ciqfunctions.udf.CIQ($A18, "IQ_BETA_1YR", $B$1)</f>
        <v>#NAME?</v>
      </c>
      <c r="AR18" s="60" t="e">
        <f ca="1">_xll.ciqfunctions.udf.CIQ($A18, "IQ_BETA_2YR", $B$1)</f>
        <v>#NAME?</v>
      </c>
      <c r="AS18" s="60" t="e">
        <f ca="1">_xll.ciqfunctions.udf.CIQ($A18, "IQ_BETA_5YR", $B$1)</f>
        <v>#NAME?</v>
      </c>
      <c r="AT18" s="47" t="e">
        <f ca="1">_xll.ciqfunctions.udf.CIQ($A18, "IQ_DIVIDEND_YIELD", $B$1)/100</f>
        <v>#NAME?</v>
      </c>
      <c r="AU18" s="59" t="e">
        <f ca="1">_xll.ciqfunctions.udf.CIQ($A18, "IQ_EARNING_CO", IQ_LTM-8, $L$2, $L$4, $L$3, $L$5, $L$6)</f>
        <v>#NAME?</v>
      </c>
      <c r="AV18" s="59" t="e">
        <f ca="1">_xll.ciqfunctions.udf.CIQ($A18, "IQ_EARNING_CO", IQ_LTM-4, $L$2, $L$4, $L$3, $L$5, $L$6)</f>
        <v>#NAME?</v>
      </c>
      <c r="AW18" s="59" t="e">
        <f ca="1">_xll.ciqfunctions.udf.CIQ($A18, "IQ_EARNING_CO", IQ_LTM, $L$2, $L$4, $L$3, $L$5, $L$6)</f>
        <v>#NAME?</v>
      </c>
      <c r="AX18" s="59" t="e">
        <f ca="1">_xll.ciqfunctions.udf.CIQ($A18, "IQ_EARNING_CO", $B$2, $L$2, $L$4, $L$3, $L$5, $L$6)</f>
        <v>#NAME?</v>
      </c>
      <c r="AY18" s="59" t="e">
        <f ca="1">IF(_xll.ciqfunctions.udf.CIQ($A18, "IQ_EARNING_CO", $B$3, $L$2,$L$4, $L$3, $L$5, $L$6)=0,AW18,_xll.ciqfunctions.udf.CIQ($A18, "IQ_EARNING_CO", $B$3, $L$2,$L$4, $L$3, $L$5, $L$6))</f>
        <v>#NAME?</v>
      </c>
      <c r="AZ18" s="59" t="e">
        <f ca="1">_xll.ciqfunctions.udf.CIQ($A18, "IQ_TOTAL_EQUITY", IQ_LTM-8, $L$2, $L$4, $L$3, $L$5, $L$6)</f>
        <v>#NAME?</v>
      </c>
      <c r="BA18" s="59" t="e">
        <f ca="1">_xll.ciqfunctions.udf.CIQ($A18, "IQ_TOTAL_EQUITY", IQ_LTM-4, $L$2, $L$4, $L$3, $L$5, $L$6)</f>
        <v>#NAME?</v>
      </c>
      <c r="BB18" s="59" t="e">
        <f ca="1">_xll.ciqfunctions.udf.CIQ($A18, "IQ_TOTAL_EQUITY", IQ_LTM, $L$2, $L$4, $L$3, $L$5, $L$6)</f>
        <v>#NAME?</v>
      </c>
      <c r="BC18" s="59" t="e">
        <f ca="1">_xll.ciqfunctions.udf.CIQ($A18, "IQ_TOTAL_EQUITY", $B$2, $L$2, $L$4, $L$3, $L$5, $L$6)</f>
        <v>#NAME?</v>
      </c>
      <c r="BD18" s="59" t="e">
        <f ca="1">IF(_xll.ciqfunctions.udf.CIQ($A18, "IQ_TOTAL_EQUITY", $B$3, $L$2,$L$4, $L$3, $L$5, $L$6)=0,BB18,_xll.ciqfunctions.udf.CIQ($A18, "IQ_TOTAL_EQUITY", $B$3, $L$2,$L$4, $L$3, $L$5, $L$6))</f>
        <v>#NAME?</v>
      </c>
      <c r="BE18" s="59" t="e">
        <f ca="1">_xll.ciqfunctions.udf.CIQ(A18, "IQ_LASTSALEPRICE", $B$8)</f>
        <v>#NAME?</v>
      </c>
      <c r="BF18" s="59" t="e">
        <f ca="1">_xll.ciqfunctions.udf.CIQ($A18, "IQ_MARKETCAP", $B$8, $L$5, $L$6)</f>
        <v>#NAME?</v>
      </c>
      <c r="BG18" s="59" t="e">
        <f ca="1">_xll.ciqfunctions.udf.CIQ($A18, "IQ_TOTAL_DEBT", IQ_LTM, $B$8,$L$4, $L$3, $L$5, $L$6)</f>
        <v>#NAME?</v>
      </c>
      <c r="BH18" s="45" t="e">
        <f ca="1">_xll.ciqfunctions.udf.CIQ($A18,"IQ_PREF_EQUITY",IQ_LTM,$B$8,$L$4,$L$3,$L$5,$L$6)</f>
        <v>#NAME?</v>
      </c>
      <c r="BI18" s="45" t="e">
        <f ca="1">_xll.ciqfunctions.udf.CIQ($A18, "IQ_MINORITY_INTEREST_TOTAL", IQ_LTM,$B$8,$L$4,$L$3,$L$5,$L$6)</f>
        <v>#NAME?</v>
      </c>
      <c r="BJ18" s="59" t="e">
        <f ca="1">_xll.ciqfunctions.udf.CIQ($A18, "IQ_CASH_ST_INVEST", IQ_LTM, $B$8, $L$4, $L$3, $L$5, $L$6)</f>
        <v>#NAME?</v>
      </c>
      <c r="BK18" s="45" t="e">
        <f ca="1">_xll.ciqfunctions.udf.CIQ($A18, "IQ_EFFECT_TAX_RATE")</f>
        <v>#NAME?</v>
      </c>
      <c r="BL18" s="45" t="e">
        <f ca="1">IF(_xll.ciqfunctions.udf.CIQ($A18, "IQ_TOTAL_REV_2YR_ANN_CAGR", IQ_LTM, $B$1,$L$4, $L$3, $L$5, $L$6)="NM","n/a",(_xll.ciqfunctions.udf.CIQ($A18, "IQ_TOTAL_REV_2YR_ANN_CAGR", IQ_LTM, $B$1,$L$4, $L$3, $L$5, $L$6)/100))</f>
        <v>#NAME?</v>
      </c>
      <c r="BM18" s="45" t="e">
        <f ca="1">IF(_xll.ciqfunctions.udf.CIQ($A18, "IQ_TOTAL_REV_3YR_ANN_CAGR", IQ_LTM, $B$1,$L$4, $L$3, $L$5, $L$6)="NM","n/a",(_xll.ciqfunctions.udf.CIQ($A18, "IQ_TOTAL_REV_3YR_ANN_CAGR", IQ_LTM, $B$1,$L$4, $L$3, $L$5, $L$6)/100))</f>
        <v>#NAME?</v>
      </c>
      <c r="BN18" s="45" t="e">
        <f ca="1">IF(_xll.ciqfunctions.udf.CIQ($A18, "IQ_TOTAL_REV_5YR_ANN_CAGR", IQ_LTM, $B$1,$L$4, $L$3, $L$5, $L$6)="NM","n/a",(_xll.ciqfunctions.udf.CIQ($A18, "IQ_TOTAL_REV_5YR_ANN_CAGR", IQ_LTM, $B$1,$L$4, $L$3, $L$5, $L$6)/100))</f>
        <v>#NAME?</v>
      </c>
      <c r="BO18" s="45" t="e">
        <f ca="1">IF(_xll.ciqfunctions.udf.CIQ($A18,"IQ_EBITDA_2YR_ANN_CAGR", IQ_LTM,$B$1,$L$4, $L$3, $L$5, $L$6)="NM","n/a",(_xll.ciqfunctions.udf.CIQ($A18,"IQ_EBITDA_2YR_ANN_CAGR", IQ_LTM,$B$1,$L$4, $L$3, $L$5, $L$6)/100))</f>
        <v>#NAME?</v>
      </c>
      <c r="BP18" s="45" t="e">
        <f ca="1">IF(_xll.ciqfunctions.udf.CIQ($A18,"IQ_EBITDA_3YR_ANN_CAGR", IQ_LTM,$B$1,$L$4, $L$3, $L$5, $L$6)="NM","n/a",(_xll.ciqfunctions.udf.CIQ($A18,"IQ_EBITDA_3YR_ANN_CAGR", IQ_LTM,$B$1,$L$4, $L$3, $L$5, $L$6)/100))</f>
        <v>#NAME?</v>
      </c>
      <c r="BQ18" s="45" t="e">
        <f ca="1">IF(_xll.ciqfunctions.udf.CIQ($A18,"IQ_EBITDA_5YR_ANN_CAGR", IQ_LTM,$B$1,$L$4, $L$3, $L$5, $L$6)="NM","n/a",(_xll.ciqfunctions.udf.CIQ($A18,"IQ_EBITDA_5YR_ANN_CAGR", IQ_LTM,$B$1,$L$4, $L$3, $L$5, $L$6)/100))</f>
        <v>#NAME?</v>
      </c>
      <c r="BR18" s="47" t="str">
        <f ca="1">IFERROR((_xll.ciqfunctions.udf.CIQ($A18, "IQ_DA_CF", IQ_LTM, $B$1, $L$4, $L$3, $L$5, $L$6)/Q18),"NM")</f>
        <v>NM</v>
      </c>
      <c r="BS18" s="61">
        <f>'Capital IQ Sheet-GPC'!BS18</f>
        <v>0.70291215677055674</v>
      </c>
      <c r="BT18" s="61">
        <f>'Capital IQ Sheet-GPC'!BT18</f>
        <v>0.69646624513060806</v>
      </c>
      <c r="BU18" s="61" t="str">
        <f>'Capital IQ Sheet-GPC'!BU18</f>
        <v>n/a</v>
      </c>
      <c r="BV18" s="61" t="str">
        <f>'Capital IQ Sheet-GPC'!BV18</f>
        <v>n/a</v>
      </c>
      <c r="BW18" s="61" t="str">
        <f>'Capital IQ Sheet-GPC'!BW18</f>
        <v>n/a</v>
      </c>
      <c r="BX18" s="61" t="str">
        <f>'Capital IQ Sheet-GPC'!BX18</f>
        <v>n/a</v>
      </c>
      <c r="BY18" s="61" t="str">
        <f>'Capital IQ Sheet-GPC'!BY18</f>
        <v>n/a</v>
      </c>
      <c r="BZ18" s="61" t="str">
        <f>'Capital IQ Sheet-GPC'!BZ18</f>
        <v>n/a</v>
      </c>
      <c r="CB18" s="45">
        <v>2</v>
      </c>
      <c r="CC18" s="85" t="s">
        <v>306</v>
      </c>
      <c r="CD18" s="85" t="s">
        <v>305</v>
      </c>
      <c r="CE18" s="46">
        <f t="shared" si="0"/>
        <v>42515</v>
      </c>
    </row>
    <row r="19" spans="1:83" s="45" customFormat="1" ht="12.75">
      <c r="A19" s="45" t="e">
        <f ca="1">_xll.ciqfunctions.udf.CIQ($B19,"IQ_COMPANY_TICKER")</f>
        <v>#NAME?</v>
      </c>
      <c r="B19" s="45" t="str">
        <f>'Capital IQ Sheet-GPC'!B19</f>
        <v>IQ201049094</v>
      </c>
      <c r="C19" s="45" t="e">
        <f ca="1">_xll.ciqfunctions.udf.CIQ($A19,"IQ_COMPANY_NAME")</f>
        <v>#NAME?</v>
      </c>
      <c r="D19" s="45" t="e">
        <f ca="1">_xll.ciqfunctions.udf.CIQ($A19, "IQ_EXCHANGE")</f>
        <v>#NAME?</v>
      </c>
      <c r="E19" s="46" t="e">
        <f ca="1">_xll.ciqfunctions.udf.CIQ($A19, "IQ_PERIODDATE_IS", IQ_FY)</f>
        <v>#NAME?</v>
      </c>
      <c r="F19" s="46" t="e">
        <f ca="1">_xll.ciqfunctions.udf.CIQ(A19, "IQ_PERIODDATE_IS", IQ_LTM, $B$1,$L$4,$L$3)</f>
        <v>#NAME?</v>
      </c>
      <c r="G19" s="46" t="e">
        <f ca="1">_xll.ciqfunctions.udf.CIQ($A19, "IQ_FIRSTPRICINGDATE")</f>
        <v>#NAME?</v>
      </c>
      <c r="H19" s="59" t="e">
        <f ca="1">_xll.ciqfunctions.udf.CIQ($A19, "IQ_TEV", $L$2, $L$5, $L$6)</f>
        <v>#NAME?</v>
      </c>
      <c r="I19" s="59" t="e">
        <f ca="1">_xll.ciqfunctions.udf.CIQ(A19, "IQ_LASTSALEPRICE", $B$1,$L$5)</f>
        <v>#NAME?</v>
      </c>
      <c r="J19" s="59" t="e">
        <f ca="1">_xll.ciqfunctions.udf.CIQ($A19, "IQ_MARKETCAP", $L$2, $L$5, $L$6)</f>
        <v>#NAME?</v>
      </c>
      <c r="K19" s="59" t="e">
        <f ca="1">_xll.ciqfunctions.udf.CIQ($A19, "IQ_TOTAL_DEBT", IQ_LTM, $L$2,$L$4, $L$3, $L$5, $L$6)</f>
        <v>#NAME?</v>
      </c>
      <c r="L19" s="59" t="e">
        <f ca="1">_xll.ciqfunctions.udf.CIQ($A19, "IQ_PREF_EQUITY", IQ_LTM, $L$2, $L$4, $L$3, $L$5, $L$6)</f>
        <v>#NAME?</v>
      </c>
      <c r="M19" s="59" t="e">
        <f ca="1">_xll.ciqfunctions.udf.CIQ($A19, "IQ_MINORITY_INTEREST_TOTAL", IQ_LTM, $L$2, $L$4, $L$3, $L$5, $L$6)</f>
        <v>#NAME?</v>
      </c>
      <c r="N19" s="59" t="e">
        <f ca="1">_xll.ciqfunctions.udf.CIQ($A19, "IQ_CASH_ST_INVEST", IQ_LTM, $L$2, $L$4, $L$3, $L$5, $L$6)</f>
        <v>#NAME?</v>
      </c>
      <c r="O19" s="59" t="e">
        <f ca="1">_xll.ciqfunctions.udf.CIQ($A19, "IQ_TOTAL_REV", IQ_LTM-8, $L$2, $L$4, $L$3, $L$5, $L$6)</f>
        <v>#NAME?</v>
      </c>
      <c r="P19" s="59" t="e">
        <f ca="1">_xll.ciqfunctions.udf.CIQ($A19, "IQ_TOTAL_REV", IQ_LTM - 4, $L$2, $L$4, $L$3, $L$5,$L$6)</f>
        <v>#NAME?</v>
      </c>
      <c r="Q19" s="59" t="e">
        <f ca="1">_xll.ciqfunctions.udf.CIQ($A19, "IQ_TOTAL_REV", IQ_LTM, $L$2, $L$4, $L$3, $L$5, $L$6)</f>
        <v>#NAME?</v>
      </c>
      <c r="R19" s="59" t="e">
        <f ca="1">_xll.ciqfunctions.udf.CIQ($A19, "IQ_TOTAL_REV", $B$2, $L$2, $L$4, $L$3, $L$5, $L$6)</f>
        <v>#NAME?</v>
      </c>
      <c r="S19" s="59" t="e">
        <f ca="1">IF(_xll.ciqfunctions.udf.CIQ($A19, "IQ_TOTAL_REV", $B$3, $L$2,$L$4, $L$3, $L$5, $L$6)=0,Q19,_xll.ciqfunctions.udf.CIQ($A19, "IQ_TOTAL_REV", $B$3, $L$2,$L$4, $L$3, $L$5, $L$6))</f>
        <v>#NAME?</v>
      </c>
      <c r="T19" s="59" t="e">
        <f ca="1">IF(_xll.ciqfunctions.udf.CIQ($A19, "IQ_REVENUE_EST",$B$4, $L$2, "CON", $L$3, $L$5, $L$6)=0,"n/a",_xll.ciqfunctions.udf.CIQ($A19, "IQ_REVENUE_EST",$B$4, $L$2, "CON", $L$3, $L$5, $L$6))</f>
        <v>#NAME?</v>
      </c>
      <c r="U19" s="59" t="e">
        <f ca="1">IF(_xll.ciqfunctions.udf.CIQ($A19, "IQ_REVENUE_EST",$B$5, $L$2, "CON", $L$3, $L$5, $L$6)=0,"n/a",_xll.ciqfunctions.udf.CIQ($A19, "IQ_REVENUE_EST",$B$5, $L$2, "CON", $L$3, $L$5, $L$6))</f>
        <v>#NAME?</v>
      </c>
      <c r="V19" s="59" t="e">
        <f ca="1">IF(_xll.ciqfunctions.udf.CIQ($A19, "IQ_REVENUE_EST",$B$6, $L$2, "CON", $L$3, $L$5, $L$6)=0,"n/a",_xll.ciqfunctions.udf.CIQ($A19, "IQ_REVENUE_EST",$B$6, $L$2, "CON", $L$3, $L$5, $L$6))</f>
        <v>#NAME?</v>
      </c>
      <c r="W19" s="59" t="e">
        <f ca="1">IF(_xll.ciqfunctions.udf.CIQ($A19, "IQ_REVENUE_EST", $B$7, $L$2, "CON", $L$3, $L$5, $L$6)=0,"n/a",_xll.ciqfunctions.udf.CIQ($A19, "IQ_REVENUE_EST",$B$7, $L$2, "CON", $L$3, $L$5, $L$6))</f>
        <v>#NAME?</v>
      </c>
      <c r="X19" s="59" t="e">
        <f ca="1">_xll.ciqfunctions.udf.CIQ($A19, "IQ_EBITDA", IQ_LTM-8, $L$2, $L$4, $L$3, $L$5, $L$6)</f>
        <v>#NAME?</v>
      </c>
      <c r="Y19" s="59" t="e">
        <f ca="1">_xll.ciqfunctions.udf.CIQ($A19, "IQ_EBITDA", IQ_LTM-4, $L$2,$L$4, $L$3, $L$5, $L$6)</f>
        <v>#NAME?</v>
      </c>
      <c r="Z19" s="59" t="e">
        <f ca="1">_xll.ciqfunctions.udf.CIQ($A19, "IQ_EBITDA", IQ_LTM, $L$2, $L$4, $L$3, $L$5, $L$6)</f>
        <v>#NAME?</v>
      </c>
      <c r="AA19" s="59" t="e">
        <f ca="1">_xll.ciqfunctions.udf.CIQ($A19, "IQ_EBITDA", $B$2, $L$2, $L$4, $L$3, $L$5, $L$6)</f>
        <v>#NAME?</v>
      </c>
      <c r="AB19" s="59" t="e">
        <f ca="1">IF(_xll.ciqfunctions.udf.CIQ($A19, "IQ_EBITDA", $B$3, $L$2,$L$4, $L$3, $L$5, $L$6)=0,Z19,_xll.ciqfunctions.udf.CIQ($A19, "IQ_EBITDA", $B$3, $L$2,$L$4, $L$3, $L$5, $L$6))</f>
        <v>#NAME?</v>
      </c>
      <c r="AC19" s="59" t="e">
        <f ca="1">IF(_xll.ciqfunctions.udf.CIQ($A19, "IQ_EBITDA_EST",$B$4, $L$2, "CON", $L$3, $L$5, $L$6)=0,"n/a",_xll.ciqfunctions.udf.CIQ($A19, "IQ_EBITDA_EST",$B$4, $L$2, "CON", $L$3, $L$5, $L$6))</f>
        <v>#NAME?</v>
      </c>
      <c r="AD19" s="59" t="e">
        <f ca="1">IF(_xll.ciqfunctions.udf.CIQ($A19, "IQ_EBITDA_EST",$B$5, $L$2, "CON", $L$3, $L$5, $L$6)=0,"n/a",_xll.ciqfunctions.udf.CIQ($A19, "IQ_EBITDA_EST",$B$5, $L$2, "CON", $L$3, $L$5, $L$6))</f>
        <v>#NAME?</v>
      </c>
      <c r="AE19" s="59" t="e">
        <f ca="1">IF(_xll.ciqfunctions.udf.CIQ($A19, "IQ_EBITDA_EST",$B$6, $L$2, "CON", $L$3, $L$5, $L$6)=0,"n/a",_xll.ciqfunctions.udf.CIQ($A19, "IQ_EBITDA_EST",$B$6, $L$2, "CON", $L$3, $L$5, $L$6))</f>
        <v>#NAME?</v>
      </c>
      <c r="AF19" s="47" t="str">
        <f ca="1">IF(ISERROR(_xll.ciqfunctions.udf.CIQ($A19, "IQ_GROSS_MARGIN", IQ_LTM, $L$2,$L$4, $L$3, $L$5, $L$6)/100), "n/a", _xll.ciqfunctions.udf.CIQ($A19,  "IQ_GROSS_MARGIN", IQ_LTM, $L$2, $L$4, $L$3, $L$5, $L$6)/100)</f>
        <v>n/a</v>
      </c>
      <c r="AG19" s="47" t="str">
        <f ca="1">IF(ISERROR(_xll.ciqfunctions.udf.CIQ($A19,"IQ_EBITDA_MARGIN", IQ_LTM, $L$2, $L$4, $L$3, $L$5, $L$6)/100), "n/a", _xll.ciqfunctions.udf.CIQ($A19, "IQ_EBITDA_MARGIN", IQ_LTM, $L$2, $L$4, $L$3, $L$5, $L$6)/100)</f>
        <v>n/a</v>
      </c>
      <c r="AH19" s="47" t="str">
        <f ca="1">IF(ISERROR(_xll.ciqfunctions.udf.CIQ($A19,"IQ_EBIT_MARGIN", IQ_LTM, $L$2, $L$4, $L$3, $L$5, $L$6)/100), "n/a", _xll.ciqfunctions.udf.CIQ($A19, "IQ_EBIT_MARGIN", IQ_LTM, $L$2, $L$4, $L$3, $L$5, $L$6)/100)</f>
        <v>n/a</v>
      </c>
      <c r="AI19" s="47" t="str">
        <f ca="1">IF(ISERROR(_xll.ciqfunctions.udf.CIQ($A19,"IQ_NI_MARGIN", IQ_LTM, $L$2, $L$4, $L$3, $L$5, $L$6)/100), "n/a", _xll.ciqfunctions.udf.CIQ($A19, "IQ_NI_MARGIN", IQ_LTM, $L$2, $L$4, $L$3, $L$5, $L$6)/100)</f>
        <v>n/a</v>
      </c>
      <c r="AJ19" s="59" t="str">
        <f ca="1">IF(ISERROR(_xll.ciqfunctions.udf.CIQ($A19, "IQ_NET_WORKING_CAP", IQ_LTM-8, $L$2, $L$4, $L$3, $L$5, $L$6)), "n/a", _xll.ciqfunctions.udf.CIQ($A19, "IQ_NET_WORKING_CAP", IQ_LTM-8, $L$2, $L$4, $L$3, $L$5, $L$6))</f>
        <v>n/a</v>
      </c>
      <c r="AK19" s="59" t="str">
        <f ca="1">IF(ISERROR(_xll.ciqfunctions.udf.CIQ($A19, "IQ_NET_WORKING_CAP", IQ_LTM-4, $L$2, $L$4, $L$3, $L$5, $L$6)), "n/a", _xll.ciqfunctions.udf.CIQ($A19, "IQ_NET_WORKING_CAP", IQ_LTM-4, $L$2, $L$4, $L$3, $L$5, $L$6))</f>
        <v>n/a</v>
      </c>
      <c r="AL19" s="59" t="str">
        <f ca="1">IF(ISERROR(_xll.ciqfunctions.udf.CIQ($A19, "IQ_NET_WORKING_CAP", IQ_LTM, $L$2,$L$4, $L$3, $L$5, $L$6)), "n/a", _xll.ciqfunctions.udf.CIQ($A19, "IQ_NET_WORKING_CAP", IQ_LTM, $L$2, $L$4, $L$3, $L$5, $L$6))</f>
        <v>n/a</v>
      </c>
      <c r="AM19" s="59" t="str">
        <f ca="1">IF(ISERROR(_xll.ciqfunctions.udf.CIQ($A19, "IQ_Capex", IQ_LTM-8, $L$2,$L$4, $L$3, $L$5, $L$6)), "n/a", _xll.ciqfunctions.udf.CIQ($A19, "IQ_Capex", IQ_LTM-8, $L$2, $L$4, $L$3, $L$5, $L$6))</f>
        <v>n/a</v>
      </c>
      <c r="AN19" s="59" t="str">
        <f ca="1">IF(ISERROR(_xll.ciqfunctions.udf.CIQ($A19, "IQ_Capex", IQ_LTM-4, $L$2,$L$4, $L$3, $L$5, $L$6)), "n/a", _xll.ciqfunctions.udf.CIQ($A19, "IQ_Capex", IQ_LTM-4, $L$2,$L$4, $L$3, $L$5, $L$6))</f>
        <v>n/a</v>
      </c>
      <c r="AO19" s="59" t="str">
        <f ca="1">IF(ISERROR(_xll.ciqfunctions.udf.CIQ($A19, "IQ_Capex", IQ_LTM, $L$2, $L$4, $L$3, $L$5, $L$6)), "n/a", _xll.ciqfunctions.udf.CIQ($A19, "IQ_Capex", IQ_LTM, $L$2, $L$4, $L$3, $L$5, $L$6))</f>
        <v>n/a</v>
      </c>
      <c r="AP19" s="44" t="e">
        <f ca="1">_xll.ciqfunctions.udf.CIQ(A19, "IQ_BUSINESS_DESCRIPTION")</f>
        <v>#NAME?</v>
      </c>
      <c r="AQ19" s="60" t="e">
        <f ca="1">_xll.ciqfunctions.udf.CIQ($A19, "IQ_BETA_1YR", $B$1)</f>
        <v>#NAME?</v>
      </c>
      <c r="AR19" s="60" t="e">
        <f ca="1">_xll.ciqfunctions.udf.CIQ($A19, "IQ_BETA_2YR", $B$1)</f>
        <v>#NAME?</v>
      </c>
      <c r="AS19" s="60" t="e">
        <f ca="1">_xll.ciqfunctions.udf.CIQ($A19, "IQ_BETA_5YR", $B$1)</f>
        <v>#NAME?</v>
      </c>
      <c r="AT19" s="47" t="e">
        <f ca="1">_xll.ciqfunctions.udf.CIQ($A19, "IQ_DIVIDEND_YIELD", $B$1)/100</f>
        <v>#NAME?</v>
      </c>
      <c r="AU19" s="59" t="e">
        <f ca="1">_xll.ciqfunctions.udf.CIQ($A19, "IQ_EARNING_CO", IQ_LTM-8, $L$2, $L$4, $L$3, $L$5, $L$6)</f>
        <v>#NAME?</v>
      </c>
      <c r="AV19" s="59" t="e">
        <f ca="1">_xll.ciqfunctions.udf.CIQ($A19, "IQ_EARNING_CO", IQ_LTM-4, $L$2, $L$4, $L$3, $L$5, $L$6)</f>
        <v>#NAME?</v>
      </c>
      <c r="AW19" s="59" t="e">
        <f ca="1">_xll.ciqfunctions.udf.CIQ($A19, "IQ_EARNING_CO", IQ_LTM, $L$2, $L$4, $L$3, $L$5, $L$6)</f>
        <v>#NAME?</v>
      </c>
      <c r="AX19" s="59" t="e">
        <f ca="1">_xll.ciqfunctions.udf.CIQ($A19, "IQ_EARNING_CO", $B$2, $L$2, $L$4, $L$3, $L$5, $L$6)</f>
        <v>#NAME?</v>
      </c>
      <c r="AY19" s="59" t="e">
        <f ca="1">IF(_xll.ciqfunctions.udf.CIQ($A19, "IQ_EARNING_CO", $B$3, $L$2,$L$4, $L$3, $L$5, $L$6)=0,AW19,_xll.ciqfunctions.udf.CIQ($A19, "IQ_EARNING_CO", $B$3, $L$2,$L$4, $L$3, $L$5, $L$6))</f>
        <v>#NAME?</v>
      </c>
      <c r="AZ19" s="59" t="e">
        <f ca="1">_xll.ciqfunctions.udf.CIQ($A19, "IQ_TOTAL_EQUITY", IQ_LTM-8, $L$2, $L$4, $L$3, $L$5, $L$6)</f>
        <v>#NAME?</v>
      </c>
      <c r="BA19" s="59" t="e">
        <f ca="1">_xll.ciqfunctions.udf.CIQ($A19, "IQ_TOTAL_EQUITY", IQ_LTM-4, $L$2, $L$4, $L$3, $L$5, $L$6)</f>
        <v>#NAME?</v>
      </c>
      <c r="BB19" s="59" t="e">
        <f ca="1">_xll.ciqfunctions.udf.CIQ($A19, "IQ_TOTAL_EQUITY", IQ_LTM, $L$2, $L$4, $L$3, $L$5, $L$6)</f>
        <v>#NAME?</v>
      </c>
      <c r="BC19" s="59" t="e">
        <f ca="1">_xll.ciqfunctions.udf.CIQ($A19, "IQ_TOTAL_EQUITY", $B$2, $L$2, $L$4, $L$3, $L$5, $L$6)</f>
        <v>#NAME?</v>
      </c>
      <c r="BD19" s="59" t="e">
        <f ca="1">IF(_xll.ciqfunctions.udf.CIQ($A19, "IQ_TOTAL_EQUITY", $B$3, $L$2,$L$4, $L$3, $L$5, $L$6)=0,BB19,_xll.ciqfunctions.udf.CIQ($A19, "IQ_TOTAL_EQUITY", $B$3, $L$2,$L$4, $L$3, $L$5, $L$6))</f>
        <v>#NAME?</v>
      </c>
      <c r="BE19" s="59" t="e">
        <f ca="1">_xll.ciqfunctions.udf.CIQ(A19, "IQ_LASTSALEPRICE", $B$8)</f>
        <v>#NAME?</v>
      </c>
      <c r="BF19" s="59" t="e">
        <f ca="1">_xll.ciqfunctions.udf.CIQ($A19, "IQ_MARKETCAP", $B$8, $L$5, $L$6)</f>
        <v>#NAME?</v>
      </c>
      <c r="BG19" s="59" t="e">
        <f ca="1">_xll.ciqfunctions.udf.CIQ($A19, "IQ_TOTAL_DEBT", IQ_LTM, $B$8,$L$4, $L$3, $L$5, $L$6)</f>
        <v>#NAME?</v>
      </c>
      <c r="BH19" s="45" t="e">
        <f ca="1">_xll.ciqfunctions.udf.CIQ($A19,"IQ_PREF_EQUITY",IQ_LTM,$B$8,$L$4,$L$3,$L$5,$L$6)</f>
        <v>#NAME?</v>
      </c>
      <c r="BI19" s="45" t="e">
        <f ca="1">_xll.ciqfunctions.udf.CIQ($A19, "IQ_MINORITY_INTEREST_TOTAL", IQ_LTM,$B$8,$L$4,$L$3,$L$5,$L$6)</f>
        <v>#NAME?</v>
      </c>
      <c r="BJ19" s="59" t="e">
        <f ca="1">_xll.ciqfunctions.udf.CIQ($A19, "IQ_CASH_ST_INVEST", IQ_LTM, $B$8, $L$4, $L$3, $L$5, $L$6)</f>
        <v>#NAME?</v>
      </c>
      <c r="BK19" s="45" t="e">
        <f ca="1">_xll.ciqfunctions.udf.CIQ($A19, "IQ_EFFECT_TAX_RATE")</f>
        <v>#NAME?</v>
      </c>
      <c r="BL19" s="45" t="e">
        <f ca="1">IF(_xll.ciqfunctions.udf.CIQ($A19, "IQ_TOTAL_REV_2YR_ANN_CAGR", IQ_LTM, $B$1,$L$4, $L$3, $L$5, $L$6)="NM","n/a",(_xll.ciqfunctions.udf.CIQ($A19, "IQ_TOTAL_REV_2YR_ANN_CAGR", IQ_LTM, $B$1,$L$4, $L$3, $L$5, $L$6)/100))</f>
        <v>#NAME?</v>
      </c>
      <c r="BM19" s="45" t="e">
        <f ca="1">IF(_xll.ciqfunctions.udf.CIQ($A19, "IQ_TOTAL_REV_3YR_ANN_CAGR", IQ_LTM, $B$1,$L$4, $L$3, $L$5, $L$6)="NM","n/a",(_xll.ciqfunctions.udf.CIQ($A19, "IQ_TOTAL_REV_3YR_ANN_CAGR", IQ_LTM, $B$1,$L$4, $L$3, $L$5, $L$6)/100))</f>
        <v>#NAME?</v>
      </c>
      <c r="BN19" s="45" t="e">
        <f ca="1">IF(_xll.ciqfunctions.udf.CIQ($A19, "IQ_TOTAL_REV_5YR_ANN_CAGR", IQ_LTM, $B$1,$L$4, $L$3, $L$5, $L$6)="NM","n/a",(_xll.ciqfunctions.udf.CIQ($A19, "IQ_TOTAL_REV_5YR_ANN_CAGR", IQ_LTM, $B$1,$L$4, $L$3, $L$5, $L$6)/100))</f>
        <v>#NAME?</v>
      </c>
      <c r="BO19" s="45" t="e">
        <f ca="1">IF(_xll.ciqfunctions.udf.CIQ($A19,"IQ_EBITDA_2YR_ANN_CAGR", IQ_LTM,$B$1,$L$4, $L$3, $L$5, $L$6)="NM","n/a",(_xll.ciqfunctions.udf.CIQ($A19,"IQ_EBITDA_2YR_ANN_CAGR", IQ_LTM,$B$1,$L$4, $L$3, $L$5, $L$6)/100))</f>
        <v>#NAME?</v>
      </c>
      <c r="BP19" s="45" t="e">
        <f ca="1">IF(_xll.ciqfunctions.udf.CIQ($A19,"IQ_EBITDA_3YR_ANN_CAGR", IQ_LTM,$B$1,$L$4, $L$3, $L$5, $L$6)="NM","n/a",(_xll.ciqfunctions.udf.CIQ($A19,"IQ_EBITDA_3YR_ANN_CAGR", IQ_LTM,$B$1,$L$4, $L$3, $L$5, $L$6)/100))</f>
        <v>#NAME?</v>
      </c>
      <c r="BQ19" s="45" t="e">
        <f ca="1">IF(_xll.ciqfunctions.udf.CIQ($A19,"IQ_EBITDA_5YR_ANN_CAGR", IQ_LTM,$B$1,$L$4, $L$3, $L$5, $L$6)="NM","n/a",(_xll.ciqfunctions.udf.CIQ($A19,"IQ_EBITDA_5YR_ANN_CAGR", IQ_LTM,$B$1,$L$4, $L$3, $L$5, $L$6)/100))</f>
        <v>#NAME?</v>
      </c>
      <c r="BR19" s="47" t="str">
        <f ca="1">IFERROR((_xll.ciqfunctions.udf.CIQ($A19, "IQ_DA_CF", IQ_LTM, $B$1, $L$4, $L$3, $L$5, $L$6)/Q19),"NM")</f>
        <v>NM</v>
      </c>
      <c r="BS19" s="61">
        <f>'Capital IQ Sheet-GPC'!BS19</f>
        <v>0.50333768928955025</v>
      </c>
      <c r="BT19" s="61">
        <f>'Capital IQ Sheet-GPC'!BT19</f>
        <v>0.54786642126005347</v>
      </c>
      <c r="BU19" s="61">
        <f>'Capital IQ Sheet-GPC'!BU19</f>
        <v>0.63297354727902455</v>
      </c>
      <c r="BV19" s="61">
        <f>'Capital IQ Sheet-GPC'!BV19</f>
        <v>0.68884036657096237</v>
      </c>
      <c r="BW19" s="61" t="str">
        <f>'Capital IQ Sheet-GPC'!BW19</f>
        <v>n/a</v>
      </c>
      <c r="BX19" s="61" t="str">
        <f>'Capital IQ Sheet-GPC'!BX19</f>
        <v>n/a</v>
      </c>
      <c r="BY19" s="61" t="str">
        <f>'Capital IQ Sheet-GPC'!BY19</f>
        <v>n/a</v>
      </c>
      <c r="BZ19" s="61" t="str">
        <f>'Capital IQ Sheet-GPC'!BZ19</f>
        <v>n/a</v>
      </c>
      <c r="CB19" s="45">
        <v>2</v>
      </c>
      <c r="CC19" s="85" t="s">
        <v>306</v>
      </c>
      <c r="CD19" s="85" t="s">
        <v>305</v>
      </c>
      <c r="CE19" s="46">
        <f t="shared" si="0"/>
        <v>42515</v>
      </c>
    </row>
    <row r="20" spans="1:83" s="45" customFormat="1" ht="12.75">
      <c r="A20" s="45" t="e">
        <f ca="1">_xll.ciqfunctions.udf.CIQ($B20,"IQ_COMPANY_TICKER")</f>
        <v>#NAME?</v>
      </c>
      <c r="B20" s="45" t="str">
        <f>'Capital IQ Sheet-GPC'!B20</f>
        <v>IQ60978778</v>
      </c>
      <c r="C20" s="45" t="e">
        <f ca="1">_xll.ciqfunctions.udf.CIQ($A20,"IQ_COMPANY_NAME")</f>
        <v>#NAME?</v>
      </c>
      <c r="D20" s="45" t="e">
        <f ca="1">_xll.ciqfunctions.udf.CIQ($A20, "IQ_EXCHANGE")</f>
        <v>#NAME?</v>
      </c>
      <c r="E20" s="46" t="e">
        <f ca="1">_xll.ciqfunctions.udf.CIQ($A20, "IQ_PERIODDATE_IS", IQ_FY)</f>
        <v>#NAME?</v>
      </c>
      <c r="F20" s="46" t="e">
        <f ca="1">_xll.ciqfunctions.udf.CIQ(A20, "IQ_PERIODDATE_IS", IQ_LTM, $B$1,$L$4,$L$3)</f>
        <v>#NAME?</v>
      </c>
      <c r="G20" s="46" t="e">
        <f ca="1">_xll.ciqfunctions.udf.CIQ($A20, "IQ_FIRSTPRICINGDATE")</f>
        <v>#NAME?</v>
      </c>
      <c r="H20" s="59" t="e">
        <f ca="1">_xll.ciqfunctions.udf.CIQ($A20, "IQ_TEV", $L$2, $L$5, $L$6)</f>
        <v>#NAME?</v>
      </c>
      <c r="I20" s="59" t="e">
        <f ca="1">_xll.ciqfunctions.udf.CIQ(A20, "IQ_LASTSALEPRICE", $B$1,$L$5)</f>
        <v>#NAME?</v>
      </c>
      <c r="J20" s="59" t="e">
        <f ca="1">_xll.ciqfunctions.udf.CIQ($A20, "IQ_MARKETCAP", $L$2, $L$5, $L$6)</f>
        <v>#NAME?</v>
      </c>
      <c r="K20" s="59" t="e">
        <f ca="1">_xll.ciqfunctions.udf.CIQ($A20, "IQ_TOTAL_DEBT", IQ_LTM, $L$2,$L$4, $L$3, $L$5, $L$6)</f>
        <v>#NAME?</v>
      </c>
      <c r="L20" s="59" t="e">
        <f ca="1">_xll.ciqfunctions.udf.CIQ($A20, "IQ_PREF_EQUITY", IQ_LTM, $L$2, $L$4, $L$3, $L$5, $L$6)</f>
        <v>#NAME?</v>
      </c>
      <c r="M20" s="59" t="e">
        <f ca="1">_xll.ciqfunctions.udf.CIQ($A20, "IQ_MINORITY_INTEREST_TOTAL", IQ_LTM, $L$2, $L$4, $L$3, $L$5, $L$6)</f>
        <v>#NAME?</v>
      </c>
      <c r="N20" s="59" t="e">
        <f ca="1">_xll.ciqfunctions.udf.CIQ($A20, "IQ_CASH_ST_INVEST", IQ_LTM, $L$2, $L$4, $L$3, $L$5, $L$6)</f>
        <v>#NAME?</v>
      </c>
      <c r="O20" s="59" t="e">
        <f ca="1">_xll.ciqfunctions.udf.CIQ($A20, "IQ_TOTAL_REV", IQ_LTM-8, $L$2, $L$4, $L$3, $L$5, $L$6)</f>
        <v>#NAME?</v>
      </c>
      <c r="P20" s="59" t="e">
        <f ca="1">_xll.ciqfunctions.udf.CIQ($A20, "IQ_TOTAL_REV", IQ_LTM - 4, $L$2, $L$4, $L$3, $L$5,$L$6)</f>
        <v>#NAME?</v>
      </c>
      <c r="Q20" s="59" t="e">
        <f ca="1">_xll.ciqfunctions.udf.CIQ($A20, "IQ_TOTAL_REV", IQ_LTM, $L$2, $L$4, $L$3, $L$5, $L$6)</f>
        <v>#NAME?</v>
      </c>
      <c r="R20" s="59" t="e">
        <f ca="1">_xll.ciqfunctions.udf.CIQ($A20, "IQ_TOTAL_REV", $B$2, $L$2, $L$4, $L$3, $L$5, $L$6)</f>
        <v>#NAME?</v>
      </c>
      <c r="S20" s="59" t="e">
        <f ca="1">IF(_xll.ciqfunctions.udf.CIQ($A20, "IQ_TOTAL_REV", $B$3, $L$2,$L$4, $L$3, $L$5, $L$6)=0,Q20,_xll.ciqfunctions.udf.CIQ($A20, "IQ_TOTAL_REV", $B$3, $L$2,$L$4, $L$3, $L$5, $L$6))</f>
        <v>#NAME?</v>
      </c>
      <c r="T20" s="59" t="e">
        <f ca="1">IF(_xll.ciqfunctions.udf.CIQ($A20, "IQ_REVENUE_EST",$B$4, $L$2, "CON", $L$3, $L$5, $L$6)=0,"n/a",_xll.ciqfunctions.udf.CIQ($A20, "IQ_REVENUE_EST",$B$4, $L$2, "CON", $L$3, $L$5, $L$6))</f>
        <v>#NAME?</v>
      </c>
      <c r="U20" s="59" t="e">
        <f ca="1">IF(_xll.ciqfunctions.udf.CIQ($A20, "IQ_REVENUE_EST",$B$5, $L$2, "CON", $L$3, $L$5, $L$6)=0,"n/a",_xll.ciqfunctions.udf.CIQ($A20, "IQ_REVENUE_EST",$B$5, $L$2, "CON", $L$3, $L$5, $L$6))</f>
        <v>#NAME?</v>
      </c>
      <c r="V20" s="59" t="e">
        <f ca="1">IF(_xll.ciqfunctions.udf.CIQ($A20, "IQ_REVENUE_EST",$B$6, $L$2, "CON", $L$3, $L$5, $L$6)=0,"n/a",_xll.ciqfunctions.udf.CIQ($A20, "IQ_REVENUE_EST",$B$6, $L$2, "CON", $L$3, $L$5, $L$6))</f>
        <v>#NAME?</v>
      </c>
      <c r="W20" s="59" t="e">
        <f ca="1">IF(_xll.ciqfunctions.udf.CIQ($A20, "IQ_REVENUE_EST", $B$7, $L$2, "CON", $L$3, $L$5, $L$6)=0,"n/a",_xll.ciqfunctions.udf.CIQ($A20, "IQ_REVENUE_EST",$B$7, $L$2, "CON", $L$3, $L$5, $L$6))</f>
        <v>#NAME?</v>
      </c>
      <c r="X20" s="59" t="e">
        <f ca="1">_xll.ciqfunctions.udf.CIQ($A20, "IQ_EBITDA", IQ_LTM-8, $L$2, $L$4, $L$3, $L$5, $L$6)</f>
        <v>#NAME?</v>
      </c>
      <c r="Y20" s="59" t="e">
        <f ca="1">_xll.ciqfunctions.udf.CIQ($A20, "IQ_EBITDA", IQ_LTM-4, $L$2,$L$4, $L$3, $L$5, $L$6)</f>
        <v>#NAME?</v>
      </c>
      <c r="Z20" s="59" t="e">
        <f ca="1">_xll.ciqfunctions.udf.CIQ($A20, "IQ_EBITDA", IQ_LTM, $L$2, $L$4, $L$3, $L$5, $L$6)</f>
        <v>#NAME?</v>
      </c>
      <c r="AA20" s="59" t="e">
        <f ca="1">_xll.ciqfunctions.udf.CIQ($A20, "IQ_EBITDA", $B$2, $L$2, $L$4, $L$3, $L$5, $L$6)</f>
        <v>#NAME?</v>
      </c>
      <c r="AB20" s="59" t="e">
        <f ca="1">IF(_xll.ciqfunctions.udf.CIQ($A20, "IQ_EBITDA", $B$3, $L$2,$L$4, $L$3, $L$5, $L$6)=0,Z20,_xll.ciqfunctions.udf.CIQ($A20, "IQ_EBITDA", $B$3, $L$2,$L$4, $L$3, $L$5, $L$6))</f>
        <v>#NAME?</v>
      </c>
      <c r="AC20" s="59" t="e">
        <f ca="1">IF(_xll.ciqfunctions.udf.CIQ($A20, "IQ_EBITDA_EST",$B$4, $L$2, "CON", $L$3, $L$5, $L$6)=0,"n/a",_xll.ciqfunctions.udf.CIQ($A20, "IQ_EBITDA_EST",$B$4, $L$2, "CON", $L$3, $L$5, $L$6))</f>
        <v>#NAME?</v>
      </c>
      <c r="AD20" s="59" t="e">
        <f ca="1">IF(_xll.ciqfunctions.udf.CIQ($A20, "IQ_EBITDA_EST",$B$5, $L$2, "CON", $L$3, $L$5, $L$6)=0,"n/a",_xll.ciqfunctions.udf.CIQ($A20, "IQ_EBITDA_EST",$B$5, $L$2, "CON", $L$3, $L$5, $L$6))</f>
        <v>#NAME?</v>
      </c>
      <c r="AE20" s="59" t="e">
        <f ca="1">IF(_xll.ciqfunctions.udf.CIQ($A20, "IQ_EBITDA_EST",$B$6, $L$2, "CON", $L$3, $L$5, $L$6)=0,"n/a",_xll.ciqfunctions.udf.CIQ($A20, "IQ_EBITDA_EST",$B$6, $L$2, "CON", $L$3, $L$5, $L$6))</f>
        <v>#NAME?</v>
      </c>
      <c r="AF20" s="47" t="str">
        <f ca="1">IF(ISERROR(_xll.ciqfunctions.udf.CIQ($A20, "IQ_GROSS_MARGIN", IQ_LTM, $L$2,$L$4, $L$3, $L$5, $L$6)/100), "n/a", _xll.ciqfunctions.udf.CIQ($A20,  "IQ_GROSS_MARGIN", IQ_LTM, $L$2, $L$4, $L$3, $L$5, $L$6)/100)</f>
        <v>n/a</v>
      </c>
      <c r="AG20" s="47" t="str">
        <f ca="1">IF(ISERROR(_xll.ciqfunctions.udf.CIQ($A20,"IQ_EBITDA_MARGIN", IQ_LTM, $L$2, $L$4, $L$3, $L$5, $L$6)/100), "n/a", _xll.ciqfunctions.udf.CIQ($A20, "IQ_EBITDA_MARGIN", IQ_LTM, $L$2, $L$4, $L$3, $L$5, $L$6)/100)</f>
        <v>n/a</v>
      </c>
      <c r="AH20" s="47" t="str">
        <f ca="1">IF(ISERROR(_xll.ciqfunctions.udf.CIQ($A20,"IQ_EBIT_MARGIN", IQ_LTM, $L$2, $L$4, $L$3, $L$5, $L$6)/100), "n/a", _xll.ciqfunctions.udf.CIQ($A20, "IQ_EBIT_MARGIN", IQ_LTM, $L$2, $L$4, $L$3, $L$5, $L$6)/100)</f>
        <v>n/a</v>
      </c>
      <c r="AI20" s="47" t="str">
        <f ca="1">IF(ISERROR(_xll.ciqfunctions.udf.CIQ($A20,"IQ_NI_MARGIN", IQ_LTM, $L$2, $L$4, $L$3, $L$5, $L$6)/100), "n/a", _xll.ciqfunctions.udf.CIQ($A20, "IQ_NI_MARGIN", IQ_LTM, $L$2, $L$4, $L$3, $L$5, $L$6)/100)</f>
        <v>n/a</v>
      </c>
      <c r="AJ20" s="59" t="str">
        <f ca="1">IF(ISERROR(_xll.ciqfunctions.udf.CIQ($A20, "IQ_NET_WORKING_CAP", IQ_LTM-8, $L$2, $L$4, $L$3, $L$5, $L$6)), "n/a", _xll.ciqfunctions.udf.CIQ($A20, "IQ_NET_WORKING_CAP", IQ_LTM-8, $L$2, $L$4, $L$3, $L$5, $L$6))</f>
        <v>n/a</v>
      </c>
      <c r="AK20" s="59" t="str">
        <f ca="1">IF(ISERROR(_xll.ciqfunctions.udf.CIQ($A20, "IQ_NET_WORKING_CAP", IQ_LTM-4, $L$2, $L$4, $L$3, $L$5, $L$6)), "n/a", _xll.ciqfunctions.udf.CIQ($A20, "IQ_NET_WORKING_CAP", IQ_LTM-4, $L$2, $L$4, $L$3, $L$5, $L$6))</f>
        <v>n/a</v>
      </c>
      <c r="AL20" s="59" t="str">
        <f ca="1">IF(ISERROR(_xll.ciqfunctions.udf.CIQ($A20, "IQ_NET_WORKING_CAP", IQ_LTM, $L$2,$L$4, $L$3, $L$5, $L$6)), "n/a", _xll.ciqfunctions.udf.CIQ($A20, "IQ_NET_WORKING_CAP", IQ_LTM, $L$2, $L$4, $L$3, $L$5, $L$6))</f>
        <v>n/a</v>
      </c>
      <c r="AM20" s="59" t="str">
        <f ca="1">IF(ISERROR(_xll.ciqfunctions.udf.CIQ($A20, "IQ_Capex", IQ_LTM-8, $L$2,$L$4, $L$3, $L$5, $L$6)), "n/a", _xll.ciqfunctions.udf.CIQ($A20, "IQ_Capex", IQ_LTM-8, $L$2, $L$4, $L$3, $L$5, $L$6))</f>
        <v>n/a</v>
      </c>
      <c r="AN20" s="59" t="str">
        <f ca="1">IF(ISERROR(_xll.ciqfunctions.udf.CIQ($A20, "IQ_Capex", IQ_LTM-4, $L$2,$L$4, $L$3, $L$5, $L$6)), "n/a", _xll.ciqfunctions.udf.CIQ($A20, "IQ_Capex", IQ_LTM-4, $L$2,$L$4, $L$3, $L$5, $L$6))</f>
        <v>n/a</v>
      </c>
      <c r="AO20" s="59" t="str">
        <f ca="1">IF(ISERROR(_xll.ciqfunctions.udf.CIQ($A20, "IQ_Capex", IQ_LTM, $L$2, $L$4, $L$3, $L$5, $L$6)), "n/a", _xll.ciqfunctions.udf.CIQ($A20, "IQ_Capex", IQ_LTM, $L$2, $L$4, $L$3, $L$5, $L$6))</f>
        <v>n/a</v>
      </c>
      <c r="AP20" s="44" t="e">
        <f ca="1">_xll.ciqfunctions.udf.CIQ(A20, "IQ_BUSINESS_DESCRIPTION")</f>
        <v>#NAME?</v>
      </c>
      <c r="AQ20" s="60" t="e">
        <f ca="1">_xll.ciqfunctions.udf.CIQ($A20, "IQ_BETA_1YR", $B$1)</f>
        <v>#NAME?</v>
      </c>
      <c r="AR20" s="60" t="e">
        <f ca="1">_xll.ciqfunctions.udf.CIQ($A20, "IQ_BETA_2YR", $B$1)</f>
        <v>#NAME?</v>
      </c>
      <c r="AS20" s="60" t="e">
        <f ca="1">_xll.ciqfunctions.udf.CIQ($A20, "IQ_BETA_5YR", $B$1)</f>
        <v>#NAME?</v>
      </c>
      <c r="AT20" s="47" t="e">
        <f ca="1">_xll.ciqfunctions.udf.CIQ($A20, "IQ_DIVIDEND_YIELD", $B$1)/100</f>
        <v>#NAME?</v>
      </c>
      <c r="AU20" s="59" t="e">
        <f ca="1">_xll.ciqfunctions.udf.CIQ($A20, "IQ_EARNING_CO", IQ_LTM-8, $L$2, $L$4, $L$3, $L$5, $L$6)</f>
        <v>#NAME?</v>
      </c>
      <c r="AV20" s="59" t="e">
        <f ca="1">_xll.ciqfunctions.udf.CIQ($A20, "IQ_EARNING_CO", IQ_LTM-4, $L$2, $L$4, $L$3, $L$5, $L$6)</f>
        <v>#NAME?</v>
      </c>
      <c r="AW20" s="59" t="e">
        <f ca="1">_xll.ciqfunctions.udf.CIQ($A20, "IQ_EARNING_CO", IQ_LTM, $L$2, $L$4, $L$3, $L$5, $L$6)</f>
        <v>#NAME?</v>
      </c>
      <c r="AX20" s="59" t="e">
        <f ca="1">_xll.ciqfunctions.udf.CIQ($A20, "IQ_EARNING_CO", $B$2, $L$2, $L$4, $L$3, $L$5, $L$6)</f>
        <v>#NAME?</v>
      </c>
      <c r="AY20" s="59" t="e">
        <f ca="1">IF(_xll.ciqfunctions.udf.CIQ($A20, "IQ_EARNING_CO", $B$3, $L$2,$L$4, $L$3, $L$5, $L$6)=0,AW20,_xll.ciqfunctions.udf.CIQ($A20, "IQ_EARNING_CO", $B$3, $L$2,$L$4, $L$3, $L$5, $L$6))</f>
        <v>#NAME?</v>
      </c>
      <c r="AZ20" s="59" t="e">
        <f ca="1">_xll.ciqfunctions.udf.CIQ($A20, "IQ_TOTAL_EQUITY", IQ_LTM-8, $L$2, $L$4, $L$3, $L$5, $L$6)</f>
        <v>#NAME?</v>
      </c>
      <c r="BA20" s="59" t="e">
        <f ca="1">_xll.ciqfunctions.udf.CIQ($A20, "IQ_TOTAL_EQUITY", IQ_LTM-4, $L$2, $L$4, $L$3, $L$5, $L$6)</f>
        <v>#NAME?</v>
      </c>
      <c r="BB20" s="59" t="e">
        <f ca="1">_xll.ciqfunctions.udf.CIQ($A20, "IQ_TOTAL_EQUITY", IQ_LTM, $L$2, $L$4, $L$3, $L$5, $L$6)</f>
        <v>#NAME?</v>
      </c>
      <c r="BC20" s="59" t="e">
        <f ca="1">_xll.ciqfunctions.udf.CIQ($A20, "IQ_TOTAL_EQUITY", $B$2, $L$2, $L$4, $L$3, $L$5, $L$6)</f>
        <v>#NAME?</v>
      </c>
      <c r="BD20" s="59" t="e">
        <f ca="1">IF(_xll.ciqfunctions.udf.CIQ($A20, "IQ_TOTAL_EQUITY", $B$3, $L$2,$L$4, $L$3, $L$5, $L$6)=0,BB20,_xll.ciqfunctions.udf.CIQ($A20, "IQ_TOTAL_EQUITY", $B$3, $L$2,$L$4, $L$3, $L$5, $L$6))</f>
        <v>#NAME?</v>
      </c>
      <c r="BE20" s="59" t="e">
        <f ca="1">_xll.ciqfunctions.udf.CIQ(A20, "IQ_LASTSALEPRICE", $B$8)</f>
        <v>#NAME?</v>
      </c>
      <c r="BF20" s="59" t="e">
        <f ca="1">_xll.ciqfunctions.udf.CIQ($A20, "IQ_MARKETCAP", $B$8, $L$5, $L$6)</f>
        <v>#NAME?</v>
      </c>
      <c r="BG20" s="59" t="e">
        <f ca="1">_xll.ciqfunctions.udf.CIQ($A20, "IQ_TOTAL_DEBT", IQ_LTM, $B$8,$L$4, $L$3, $L$5, $L$6)</f>
        <v>#NAME?</v>
      </c>
      <c r="BH20" s="45" t="e">
        <f ca="1">_xll.ciqfunctions.udf.CIQ($A20,"IQ_PREF_EQUITY",IQ_LTM,$B$8,$L$4,$L$3,$L$5,$L$6)</f>
        <v>#NAME?</v>
      </c>
      <c r="BI20" s="45" t="e">
        <f ca="1">_xll.ciqfunctions.udf.CIQ($A20, "IQ_MINORITY_INTEREST_TOTAL", IQ_LTM,$B$8,$L$4,$L$3,$L$5,$L$6)</f>
        <v>#NAME?</v>
      </c>
      <c r="BJ20" s="59" t="e">
        <f ca="1">_xll.ciqfunctions.udf.CIQ($A20, "IQ_CASH_ST_INVEST", IQ_LTM, $B$8, $L$4, $L$3, $L$5, $L$6)</f>
        <v>#NAME?</v>
      </c>
      <c r="BK20" s="45" t="e">
        <f ca="1">_xll.ciqfunctions.udf.CIQ($A20, "IQ_EFFECT_TAX_RATE")</f>
        <v>#NAME?</v>
      </c>
      <c r="BL20" s="45" t="e">
        <f ca="1">IF(_xll.ciqfunctions.udf.CIQ($A20, "IQ_TOTAL_REV_2YR_ANN_CAGR", IQ_LTM, $B$1,$L$4, $L$3, $L$5, $L$6)="NM","n/a",(_xll.ciqfunctions.udf.CIQ($A20, "IQ_TOTAL_REV_2YR_ANN_CAGR", IQ_LTM, $B$1,$L$4, $L$3, $L$5, $L$6)/100))</f>
        <v>#NAME?</v>
      </c>
      <c r="BM20" s="45" t="e">
        <f ca="1">IF(_xll.ciqfunctions.udf.CIQ($A20, "IQ_TOTAL_REV_3YR_ANN_CAGR", IQ_LTM, $B$1,$L$4, $L$3, $L$5, $L$6)="NM","n/a",(_xll.ciqfunctions.udf.CIQ($A20, "IQ_TOTAL_REV_3YR_ANN_CAGR", IQ_LTM, $B$1,$L$4, $L$3, $L$5, $L$6)/100))</f>
        <v>#NAME?</v>
      </c>
      <c r="BN20" s="45" t="e">
        <f ca="1">IF(_xll.ciqfunctions.udf.CIQ($A20, "IQ_TOTAL_REV_5YR_ANN_CAGR", IQ_LTM, $B$1,$L$4, $L$3, $L$5, $L$6)="NM","n/a",(_xll.ciqfunctions.udf.CIQ($A20, "IQ_TOTAL_REV_5YR_ANN_CAGR", IQ_LTM, $B$1,$L$4, $L$3, $L$5, $L$6)/100))</f>
        <v>#NAME?</v>
      </c>
      <c r="BO20" s="45" t="e">
        <f ca="1">IF(_xll.ciqfunctions.udf.CIQ($A20,"IQ_EBITDA_2YR_ANN_CAGR", IQ_LTM,$B$1,$L$4, $L$3, $L$5, $L$6)="NM","n/a",(_xll.ciqfunctions.udf.CIQ($A20,"IQ_EBITDA_2YR_ANN_CAGR", IQ_LTM,$B$1,$L$4, $L$3, $L$5, $L$6)/100))</f>
        <v>#NAME?</v>
      </c>
      <c r="BP20" s="45" t="e">
        <f ca="1">IF(_xll.ciqfunctions.udf.CIQ($A20,"IQ_EBITDA_3YR_ANN_CAGR", IQ_LTM,$B$1,$L$4, $L$3, $L$5, $L$6)="NM","n/a",(_xll.ciqfunctions.udf.CIQ($A20,"IQ_EBITDA_3YR_ANN_CAGR", IQ_LTM,$B$1,$L$4, $L$3, $L$5, $L$6)/100))</f>
        <v>#NAME?</v>
      </c>
      <c r="BQ20" s="45" t="e">
        <f ca="1">IF(_xll.ciqfunctions.udf.CIQ($A20,"IQ_EBITDA_5YR_ANN_CAGR", IQ_LTM,$B$1,$L$4, $L$3, $L$5, $L$6)="NM","n/a",(_xll.ciqfunctions.udf.CIQ($A20,"IQ_EBITDA_5YR_ANN_CAGR", IQ_LTM,$B$1,$L$4, $L$3, $L$5, $L$6)/100))</f>
        <v>#NAME?</v>
      </c>
      <c r="BR20" s="47" t="str">
        <f ca="1">IFERROR((_xll.ciqfunctions.udf.CIQ($A20, "IQ_DA_CF", IQ_LTM, $B$1, $L$4, $L$3, $L$5, $L$6)/Q20),"NM")</f>
        <v>NM</v>
      </c>
      <c r="BS20" s="61">
        <f>'Capital IQ Sheet-GPC'!BS20</f>
        <v>1.9365890761833764</v>
      </c>
      <c r="BT20" s="61">
        <f>'Capital IQ Sheet-GPC'!BT20</f>
        <v>1.4180730299832749</v>
      </c>
      <c r="BU20" s="61">
        <f>'Capital IQ Sheet-GPC'!BU20</f>
        <v>1.2276350327527208</v>
      </c>
      <c r="BV20" s="61">
        <f>'Capital IQ Sheet-GPC'!BV20</f>
        <v>1.1474404313943027</v>
      </c>
      <c r="BW20" s="61" t="str">
        <f>'Capital IQ Sheet-GPC'!BW20</f>
        <v>n/a</v>
      </c>
      <c r="BX20" s="61" t="str">
        <f>'Capital IQ Sheet-GPC'!BX20</f>
        <v>n/a</v>
      </c>
      <c r="BY20" s="61" t="str">
        <f>'Capital IQ Sheet-GPC'!BY20</f>
        <v>n/a</v>
      </c>
      <c r="BZ20" s="61" t="str">
        <f>'Capital IQ Sheet-GPC'!BZ20</f>
        <v>n/a</v>
      </c>
      <c r="CB20" s="45">
        <v>2</v>
      </c>
      <c r="CC20" s="85" t="s">
        <v>306</v>
      </c>
      <c r="CD20" s="85" t="s">
        <v>305</v>
      </c>
      <c r="CE20" s="46">
        <f t="shared" si="0"/>
        <v>42515</v>
      </c>
    </row>
    <row r="21" spans="1:83" s="45" customFormat="1" ht="12.75">
      <c r="A21" s="45" t="e">
        <f ca="1">_xll.ciqfunctions.udf.CIQ($B21,"IQ_COMPANY_TICKER")</f>
        <v>#NAME?</v>
      </c>
      <c r="B21" s="45" t="str">
        <f>'Capital IQ Sheet-GPC'!B21</f>
        <v>IQ42726152</v>
      </c>
      <c r="C21" s="45" t="e">
        <f ca="1">_xll.ciqfunctions.udf.CIQ($A21,"IQ_COMPANY_NAME")</f>
        <v>#NAME?</v>
      </c>
      <c r="D21" s="45" t="e">
        <f ca="1">_xll.ciqfunctions.udf.CIQ($A21, "IQ_EXCHANGE")</f>
        <v>#NAME?</v>
      </c>
      <c r="E21" s="46" t="e">
        <f ca="1">_xll.ciqfunctions.udf.CIQ($A21, "IQ_PERIODDATE_IS", IQ_FY)</f>
        <v>#NAME?</v>
      </c>
      <c r="F21" s="46" t="e">
        <f ca="1">_xll.ciqfunctions.udf.CIQ(A21, "IQ_PERIODDATE_IS", IQ_LTM, $B$1,$L$4,$L$3)</f>
        <v>#NAME?</v>
      </c>
      <c r="G21" s="46" t="e">
        <f ca="1">_xll.ciqfunctions.udf.CIQ($A21, "IQ_FIRSTPRICINGDATE")</f>
        <v>#NAME?</v>
      </c>
      <c r="H21" s="59" t="e">
        <f ca="1">_xll.ciqfunctions.udf.CIQ($A21, "IQ_TEV", $L$2, $L$5, $L$6)</f>
        <v>#NAME?</v>
      </c>
      <c r="I21" s="59" t="e">
        <f ca="1">_xll.ciqfunctions.udf.CIQ(A21, "IQ_LASTSALEPRICE", $B$1,$L$5)</f>
        <v>#NAME?</v>
      </c>
      <c r="J21" s="59" t="e">
        <f ca="1">_xll.ciqfunctions.udf.CIQ($A21, "IQ_MARKETCAP", $L$2, $L$5, $L$6)</f>
        <v>#NAME?</v>
      </c>
      <c r="K21" s="59" t="e">
        <f ca="1">_xll.ciqfunctions.udf.CIQ($A21, "IQ_TOTAL_DEBT", IQ_LTM, $L$2,$L$4, $L$3, $L$5, $L$6)</f>
        <v>#NAME?</v>
      </c>
      <c r="L21" s="59" t="e">
        <f ca="1">_xll.ciqfunctions.udf.CIQ($A21, "IQ_PREF_EQUITY", IQ_LTM, $L$2, $L$4, $L$3, $L$5, $L$6)</f>
        <v>#NAME?</v>
      </c>
      <c r="M21" s="59" t="e">
        <f ca="1">_xll.ciqfunctions.udf.CIQ($A21, "IQ_MINORITY_INTEREST_TOTAL", IQ_LTM, $L$2, $L$4, $L$3, $L$5, $L$6)</f>
        <v>#NAME?</v>
      </c>
      <c r="N21" s="59" t="e">
        <f ca="1">_xll.ciqfunctions.udf.CIQ($A21, "IQ_CASH_ST_INVEST", IQ_LTM, $L$2, $L$4, $L$3, $L$5, $L$6)</f>
        <v>#NAME?</v>
      </c>
      <c r="O21" s="59" t="e">
        <f ca="1">_xll.ciqfunctions.udf.CIQ($A21, "IQ_TOTAL_REV", IQ_LTM-8, $L$2, $L$4, $L$3, $L$5, $L$6)</f>
        <v>#NAME?</v>
      </c>
      <c r="P21" s="59" t="e">
        <f ca="1">_xll.ciqfunctions.udf.CIQ($A21, "IQ_TOTAL_REV", IQ_LTM - 4, $L$2, $L$4, $L$3, $L$5,$L$6)</f>
        <v>#NAME?</v>
      </c>
      <c r="Q21" s="59" t="e">
        <f ca="1">_xll.ciqfunctions.udf.CIQ($A21, "IQ_TOTAL_REV", IQ_LTM, $L$2, $L$4, $L$3, $L$5, $L$6)</f>
        <v>#NAME?</v>
      </c>
      <c r="R21" s="59" t="e">
        <f ca="1">_xll.ciqfunctions.udf.CIQ($A21, "IQ_TOTAL_REV", $B$2, $L$2, $L$4, $L$3, $L$5, $L$6)</f>
        <v>#NAME?</v>
      </c>
      <c r="S21" s="59" t="e">
        <f ca="1">IF(_xll.ciqfunctions.udf.CIQ($A21, "IQ_TOTAL_REV", $B$3, $L$2,$L$4, $L$3, $L$5, $L$6)=0,Q21,_xll.ciqfunctions.udf.CIQ($A21, "IQ_TOTAL_REV", $B$3, $L$2,$L$4, $L$3, $L$5, $L$6))</f>
        <v>#NAME?</v>
      </c>
      <c r="T21" s="59" t="e">
        <f ca="1">IF(_xll.ciqfunctions.udf.CIQ($A21, "IQ_REVENUE_EST",$B$4, $L$2, "CON", $L$3, $L$5, $L$6)=0,"n/a",_xll.ciqfunctions.udf.CIQ($A21, "IQ_REVENUE_EST",$B$4, $L$2, "CON", $L$3, $L$5, $L$6))</f>
        <v>#NAME?</v>
      </c>
      <c r="U21" s="59" t="e">
        <f ca="1">IF(_xll.ciqfunctions.udf.CIQ($A21, "IQ_REVENUE_EST",$B$5, $L$2, "CON", $L$3, $L$5, $L$6)=0,"n/a",_xll.ciqfunctions.udf.CIQ($A21, "IQ_REVENUE_EST",$B$5, $L$2, "CON", $L$3, $L$5, $L$6))</f>
        <v>#NAME?</v>
      </c>
      <c r="V21" s="59" t="e">
        <f ca="1">IF(_xll.ciqfunctions.udf.CIQ($A21, "IQ_REVENUE_EST",$B$6, $L$2, "CON", $L$3, $L$5, $L$6)=0,"n/a",_xll.ciqfunctions.udf.CIQ($A21, "IQ_REVENUE_EST",$B$6, $L$2, "CON", $L$3, $L$5, $L$6))</f>
        <v>#NAME?</v>
      </c>
      <c r="W21" s="59" t="e">
        <f ca="1">IF(_xll.ciqfunctions.udf.CIQ($A21, "IQ_REVENUE_EST", $B$7, $L$2, "CON", $L$3, $L$5, $L$6)=0,"n/a",_xll.ciqfunctions.udf.CIQ($A21, "IQ_REVENUE_EST",$B$7, $L$2, "CON", $L$3, $L$5, $L$6))</f>
        <v>#NAME?</v>
      </c>
      <c r="X21" s="59" t="e">
        <f ca="1">_xll.ciqfunctions.udf.CIQ($A21, "IQ_EBITDA", IQ_LTM-8, $L$2, $L$4, $L$3, $L$5, $L$6)</f>
        <v>#NAME?</v>
      </c>
      <c r="Y21" s="59" t="e">
        <f ca="1">_xll.ciqfunctions.udf.CIQ($A21, "IQ_EBITDA", IQ_LTM-4, $L$2,$L$4, $L$3, $L$5, $L$6)</f>
        <v>#NAME?</v>
      </c>
      <c r="Z21" s="59" t="e">
        <f ca="1">_xll.ciqfunctions.udf.CIQ($A21, "IQ_EBITDA", IQ_LTM, $L$2, $L$4, $L$3, $L$5, $L$6)</f>
        <v>#NAME?</v>
      </c>
      <c r="AA21" s="59" t="e">
        <f ca="1">_xll.ciqfunctions.udf.CIQ($A21, "IQ_EBITDA", $B$2, $L$2, $L$4, $L$3, $L$5, $L$6)</f>
        <v>#NAME?</v>
      </c>
      <c r="AB21" s="59" t="e">
        <f ca="1">IF(_xll.ciqfunctions.udf.CIQ($A21, "IQ_EBITDA", $B$3, $L$2,$L$4, $L$3, $L$5, $L$6)=0,Z21,_xll.ciqfunctions.udf.CIQ($A21, "IQ_EBITDA", $B$3, $L$2,$L$4, $L$3, $L$5, $L$6))</f>
        <v>#NAME?</v>
      </c>
      <c r="AC21" s="59" t="e">
        <f ca="1">IF(_xll.ciqfunctions.udf.CIQ($A21, "IQ_EBITDA_EST",$B$4, $L$2, "CON", $L$3, $L$5, $L$6)=0,"n/a",_xll.ciqfunctions.udf.CIQ($A21, "IQ_EBITDA_EST",$B$4, $L$2, "CON", $L$3, $L$5, $L$6))</f>
        <v>#NAME?</v>
      </c>
      <c r="AD21" s="59" t="e">
        <f ca="1">IF(_xll.ciqfunctions.udf.CIQ($A21, "IQ_EBITDA_EST",$B$5, $L$2, "CON", $L$3, $L$5, $L$6)=0,"n/a",_xll.ciqfunctions.udf.CIQ($A21, "IQ_EBITDA_EST",$B$5, $L$2, "CON", $L$3, $L$5, $L$6))</f>
        <v>#NAME?</v>
      </c>
      <c r="AE21" s="59" t="e">
        <f ca="1">IF(_xll.ciqfunctions.udf.CIQ($A21, "IQ_EBITDA_EST",$B$6, $L$2, "CON", $L$3, $L$5, $L$6)=0,"n/a",_xll.ciqfunctions.udf.CIQ($A21, "IQ_EBITDA_EST",$B$6, $L$2, "CON", $L$3, $L$5, $L$6))</f>
        <v>#NAME?</v>
      </c>
      <c r="AF21" s="47" t="str">
        <f ca="1">IF(ISERROR(_xll.ciqfunctions.udf.CIQ($A21, "IQ_GROSS_MARGIN", IQ_LTM, $L$2,$L$4, $L$3, $L$5, $L$6)/100), "n/a", _xll.ciqfunctions.udf.CIQ($A21,  "IQ_GROSS_MARGIN", IQ_LTM, $L$2, $L$4, $L$3, $L$5, $L$6)/100)</f>
        <v>n/a</v>
      </c>
      <c r="AG21" s="47" t="str">
        <f ca="1">IF(ISERROR(_xll.ciqfunctions.udf.CIQ($A21,"IQ_EBITDA_MARGIN", IQ_LTM, $L$2, $L$4, $L$3, $L$5, $L$6)/100), "n/a", _xll.ciqfunctions.udf.CIQ($A21, "IQ_EBITDA_MARGIN", IQ_LTM, $L$2, $L$4, $L$3, $L$5, $L$6)/100)</f>
        <v>n/a</v>
      </c>
      <c r="AH21" s="47" t="str">
        <f ca="1">IF(ISERROR(_xll.ciqfunctions.udf.CIQ($A21,"IQ_EBIT_MARGIN", IQ_LTM, $L$2, $L$4, $L$3, $L$5, $L$6)/100), "n/a", _xll.ciqfunctions.udf.CIQ($A21, "IQ_EBIT_MARGIN", IQ_LTM, $L$2, $L$4, $L$3, $L$5, $L$6)/100)</f>
        <v>n/a</v>
      </c>
      <c r="AI21" s="47" t="str">
        <f ca="1">IF(ISERROR(_xll.ciqfunctions.udf.CIQ($A21,"IQ_NI_MARGIN", IQ_LTM, $L$2, $L$4, $L$3, $L$5, $L$6)/100), "n/a", _xll.ciqfunctions.udf.CIQ($A21, "IQ_NI_MARGIN", IQ_LTM, $L$2, $L$4, $L$3, $L$5, $L$6)/100)</f>
        <v>n/a</v>
      </c>
      <c r="AJ21" s="59" t="str">
        <f ca="1">IF(ISERROR(_xll.ciqfunctions.udf.CIQ($A21, "IQ_NET_WORKING_CAP", IQ_LTM-8, $L$2, $L$4, $L$3, $L$5, $L$6)), "n/a", _xll.ciqfunctions.udf.CIQ($A21, "IQ_NET_WORKING_CAP", IQ_LTM-8, $L$2, $L$4, $L$3, $L$5, $L$6))</f>
        <v>n/a</v>
      </c>
      <c r="AK21" s="59" t="str">
        <f ca="1">IF(ISERROR(_xll.ciqfunctions.udf.CIQ($A21, "IQ_NET_WORKING_CAP", IQ_LTM-4, $L$2, $L$4, $L$3, $L$5, $L$6)), "n/a", _xll.ciqfunctions.udf.CIQ($A21, "IQ_NET_WORKING_CAP", IQ_LTM-4, $L$2, $L$4, $L$3, $L$5, $L$6))</f>
        <v>n/a</v>
      </c>
      <c r="AL21" s="59" t="str">
        <f ca="1">IF(ISERROR(_xll.ciqfunctions.udf.CIQ($A21, "IQ_NET_WORKING_CAP", IQ_LTM, $L$2,$L$4, $L$3, $L$5, $L$6)), "n/a", _xll.ciqfunctions.udf.CIQ($A21, "IQ_NET_WORKING_CAP", IQ_LTM, $L$2, $L$4, $L$3, $L$5, $L$6))</f>
        <v>n/a</v>
      </c>
      <c r="AM21" s="59" t="str">
        <f ca="1">IF(ISERROR(_xll.ciqfunctions.udf.CIQ($A21, "IQ_Capex", IQ_LTM-8, $L$2,$L$4, $L$3, $L$5, $L$6)), "n/a", _xll.ciqfunctions.udf.CIQ($A21, "IQ_Capex", IQ_LTM-8, $L$2, $L$4, $L$3, $L$5, $L$6))</f>
        <v>n/a</v>
      </c>
      <c r="AN21" s="59" t="str">
        <f ca="1">IF(ISERROR(_xll.ciqfunctions.udf.CIQ($A21, "IQ_Capex", IQ_LTM-4, $L$2,$L$4, $L$3, $L$5, $L$6)), "n/a", _xll.ciqfunctions.udf.CIQ($A21, "IQ_Capex", IQ_LTM-4, $L$2,$L$4, $L$3, $L$5, $L$6))</f>
        <v>n/a</v>
      </c>
      <c r="AO21" s="59" t="str">
        <f ca="1">IF(ISERROR(_xll.ciqfunctions.udf.CIQ($A21, "IQ_Capex", IQ_LTM, $L$2, $L$4, $L$3, $L$5, $L$6)), "n/a", _xll.ciqfunctions.udf.CIQ($A21, "IQ_Capex", IQ_LTM, $L$2, $L$4, $L$3, $L$5, $L$6))</f>
        <v>n/a</v>
      </c>
      <c r="AP21" s="44" t="e">
        <f ca="1">_xll.ciqfunctions.udf.CIQ(A21, "IQ_BUSINESS_DESCRIPTION")</f>
        <v>#NAME?</v>
      </c>
      <c r="AQ21" s="60" t="e">
        <f ca="1">_xll.ciqfunctions.udf.CIQ($A21, "IQ_BETA_1YR", $B$1)</f>
        <v>#NAME?</v>
      </c>
      <c r="AR21" s="60" t="e">
        <f ca="1">_xll.ciqfunctions.udf.CIQ($A21, "IQ_BETA_2YR", $B$1)</f>
        <v>#NAME?</v>
      </c>
      <c r="AS21" s="60" t="e">
        <f ca="1">_xll.ciqfunctions.udf.CIQ($A21, "IQ_BETA_5YR", $B$1)</f>
        <v>#NAME?</v>
      </c>
      <c r="AT21" s="47" t="e">
        <f ca="1">_xll.ciqfunctions.udf.CIQ($A21, "IQ_DIVIDEND_YIELD", $B$1)/100</f>
        <v>#NAME?</v>
      </c>
      <c r="AU21" s="59" t="e">
        <f ca="1">_xll.ciqfunctions.udf.CIQ($A21, "IQ_EARNING_CO", IQ_LTM-8, $L$2, $L$4, $L$3, $L$5, $L$6)</f>
        <v>#NAME?</v>
      </c>
      <c r="AV21" s="59" t="e">
        <f ca="1">_xll.ciqfunctions.udf.CIQ($A21, "IQ_EARNING_CO", IQ_LTM-4, $L$2, $L$4, $L$3, $L$5, $L$6)</f>
        <v>#NAME?</v>
      </c>
      <c r="AW21" s="59" t="e">
        <f ca="1">_xll.ciqfunctions.udf.CIQ($A21, "IQ_EARNING_CO", IQ_LTM, $L$2, $L$4, $L$3, $L$5, $L$6)</f>
        <v>#NAME?</v>
      </c>
      <c r="AX21" s="59" t="e">
        <f ca="1">_xll.ciqfunctions.udf.CIQ($A21, "IQ_EARNING_CO", $B$2, $L$2, $L$4, $L$3, $L$5, $L$6)</f>
        <v>#NAME?</v>
      </c>
      <c r="AY21" s="59" t="e">
        <f ca="1">IF(_xll.ciqfunctions.udf.CIQ($A21, "IQ_EARNING_CO", $B$3, $L$2,$L$4, $L$3, $L$5, $L$6)=0,AW21,_xll.ciqfunctions.udf.CIQ($A21, "IQ_EARNING_CO", $B$3, $L$2,$L$4, $L$3, $L$5, $L$6))</f>
        <v>#NAME?</v>
      </c>
      <c r="AZ21" s="59" t="e">
        <f ca="1">_xll.ciqfunctions.udf.CIQ($A21, "IQ_TOTAL_EQUITY", IQ_LTM-8, $L$2, $L$4, $L$3, $L$5, $L$6)</f>
        <v>#NAME?</v>
      </c>
      <c r="BA21" s="59" t="e">
        <f ca="1">_xll.ciqfunctions.udf.CIQ($A21, "IQ_TOTAL_EQUITY", IQ_LTM-4, $L$2, $L$4, $L$3, $L$5, $L$6)</f>
        <v>#NAME?</v>
      </c>
      <c r="BB21" s="59" t="e">
        <f ca="1">_xll.ciqfunctions.udf.CIQ($A21, "IQ_TOTAL_EQUITY", IQ_LTM, $L$2, $L$4, $L$3, $L$5, $L$6)</f>
        <v>#NAME?</v>
      </c>
      <c r="BC21" s="59" t="e">
        <f ca="1">_xll.ciqfunctions.udf.CIQ($A21, "IQ_TOTAL_EQUITY", $B$2, $L$2, $L$4, $L$3, $L$5, $L$6)</f>
        <v>#NAME?</v>
      </c>
      <c r="BD21" s="59" t="e">
        <f ca="1">IF(_xll.ciqfunctions.udf.CIQ($A21, "IQ_TOTAL_EQUITY", $B$3, $L$2,$L$4, $L$3, $L$5, $L$6)=0,BB21,_xll.ciqfunctions.udf.CIQ($A21, "IQ_TOTAL_EQUITY", $B$3, $L$2,$L$4, $L$3, $L$5, $L$6))</f>
        <v>#NAME?</v>
      </c>
      <c r="BE21" s="59" t="e">
        <f ca="1">_xll.ciqfunctions.udf.CIQ(A21, "IQ_LASTSALEPRICE", $B$8)</f>
        <v>#NAME?</v>
      </c>
      <c r="BF21" s="59" t="e">
        <f ca="1">_xll.ciqfunctions.udf.CIQ($A21, "IQ_MARKETCAP", $B$8, $L$5, $L$6)</f>
        <v>#NAME?</v>
      </c>
      <c r="BG21" s="59" t="e">
        <f ca="1">_xll.ciqfunctions.udf.CIQ($A21, "IQ_TOTAL_DEBT", IQ_LTM, $B$8,$L$4, $L$3, $L$5, $L$6)</f>
        <v>#NAME?</v>
      </c>
      <c r="BH21" s="45" t="e">
        <f ca="1">_xll.ciqfunctions.udf.CIQ($A21,"IQ_PREF_EQUITY",IQ_LTM,$B$8,$L$4,$L$3,$L$5,$L$6)</f>
        <v>#NAME?</v>
      </c>
      <c r="BI21" s="45" t="e">
        <f ca="1">_xll.ciqfunctions.udf.CIQ($A21, "IQ_MINORITY_INTEREST_TOTAL", IQ_LTM,$B$8,$L$4,$L$3,$L$5,$L$6)</f>
        <v>#NAME?</v>
      </c>
      <c r="BJ21" s="59" t="e">
        <f ca="1">_xll.ciqfunctions.udf.CIQ($A21, "IQ_CASH_ST_INVEST", IQ_LTM, $B$8, $L$4, $L$3, $L$5, $L$6)</f>
        <v>#NAME?</v>
      </c>
      <c r="BK21" s="45" t="e">
        <f ca="1">_xll.ciqfunctions.udf.CIQ($A21, "IQ_EFFECT_TAX_RATE")</f>
        <v>#NAME?</v>
      </c>
      <c r="BL21" s="45" t="e">
        <f ca="1">IF(_xll.ciqfunctions.udf.CIQ($A21, "IQ_TOTAL_REV_2YR_ANN_CAGR", IQ_LTM, $B$1,$L$4, $L$3, $L$5, $L$6)="NM","n/a",(_xll.ciqfunctions.udf.CIQ($A21, "IQ_TOTAL_REV_2YR_ANN_CAGR", IQ_LTM, $B$1,$L$4, $L$3, $L$5, $L$6)/100))</f>
        <v>#NAME?</v>
      </c>
      <c r="BM21" s="45" t="e">
        <f ca="1">IF(_xll.ciqfunctions.udf.CIQ($A21, "IQ_TOTAL_REV_3YR_ANN_CAGR", IQ_LTM, $B$1,$L$4, $L$3, $L$5, $L$6)="NM","n/a",(_xll.ciqfunctions.udf.CIQ($A21, "IQ_TOTAL_REV_3YR_ANN_CAGR", IQ_LTM, $B$1,$L$4, $L$3, $L$5, $L$6)/100))</f>
        <v>#NAME?</v>
      </c>
      <c r="BN21" s="45" t="e">
        <f ca="1">IF(_xll.ciqfunctions.udf.CIQ($A21, "IQ_TOTAL_REV_5YR_ANN_CAGR", IQ_LTM, $B$1,$L$4, $L$3, $L$5, $L$6)="NM","n/a",(_xll.ciqfunctions.udf.CIQ($A21, "IQ_TOTAL_REV_5YR_ANN_CAGR", IQ_LTM, $B$1,$L$4, $L$3, $L$5, $L$6)/100))</f>
        <v>#NAME?</v>
      </c>
      <c r="BO21" s="45" t="e">
        <f ca="1">IF(_xll.ciqfunctions.udf.CIQ($A21,"IQ_EBITDA_2YR_ANN_CAGR", IQ_LTM,$B$1,$L$4, $L$3, $L$5, $L$6)="NM","n/a",(_xll.ciqfunctions.udf.CIQ($A21,"IQ_EBITDA_2YR_ANN_CAGR", IQ_LTM,$B$1,$L$4, $L$3, $L$5, $L$6)/100))</f>
        <v>#NAME?</v>
      </c>
      <c r="BP21" s="45" t="e">
        <f ca="1">IF(_xll.ciqfunctions.udf.CIQ($A21,"IQ_EBITDA_3YR_ANN_CAGR", IQ_LTM,$B$1,$L$4, $L$3, $L$5, $L$6)="NM","n/a",(_xll.ciqfunctions.udf.CIQ($A21,"IQ_EBITDA_3YR_ANN_CAGR", IQ_LTM,$B$1,$L$4, $L$3, $L$5, $L$6)/100))</f>
        <v>#NAME?</v>
      </c>
      <c r="BQ21" s="45" t="e">
        <f ca="1">IF(_xll.ciqfunctions.udf.CIQ($A21,"IQ_EBITDA_5YR_ANN_CAGR", IQ_LTM,$B$1,$L$4, $L$3, $L$5, $L$6)="NM","n/a",(_xll.ciqfunctions.udf.CIQ($A21,"IQ_EBITDA_5YR_ANN_CAGR", IQ_LTM,$B$1,$L$4, $L$3, $L$5, $L$6)/100))</f>
        <v>#NAME?</v>
      </c>
      <c r="BR21" s="47" t="str">
        <f ca="1">IFERROR((_xll.ciqfunctions.udf.CIQ($A21, "IQ_DA_CF", IQ_LTM, $B$1, $L$4, $L$3, $L$5, $L$6)/Q21),"NM")</f>
        <v>NM</v>
      </c>
      <c r="BS21" s="61">
        <f>'Capital IQ Sheet-GPC'!BS21</f>
        <v>1.1936997390359998</v>
      </c>
      <c r="BT21" s="61">
        <f>'Capital IQ Sheet-GPC'!BT21</f>
        <v>1.2017249743157488</v>
      </c>
      <c r="BU21" s="61">
        <f>'Capital IQ Sheet-GPC'!BU21</f>
        <v>1.0906921239872702</v>
      </c>
      <c r="BV21" s="61">
        <f>'Capital IQ Sheet-GPC'!BV21</f>
        <v>1.0309921222499077</v>
      </c>
      <c r="BW21" s="61" t="str">
        <f>'Capital IQ Sheet-GPC'!BW21</f>
        <v>n/a</v>
      </c>
      <c r="BX21" s="61" t="str">
        <f>'Capital IQ Sheet-GPC'!BX21</f>
        <v>n/a</v>
      </c>
      <c r="BY21" s="61" t="str">
        <f>'Capital IQ Sheet-GPC'!BY21</f>
        <v>n/a</v>
      </c>
      <c r="BZ21" s="61" t="str">
        <f>'Capital IQ Sheet-GPC'!BZ21</f>
        <v>n/a</v>
      </c>
      <c r="CB21" s="45">
        <v>2</v>
      </c>
      <c r="CC21" s="85" t="s">
        <v>306</v>
      </c>
      <c r="CD21" s="85" t="s">
        <v>305</v>
      </c>
      <c r="CE21" s="46">
        <f t="shared" si="0"/>
        <v>42515</v>
      </c>
    </row>
    <row r="22" spans="1:83" s="45" customFormat="1" ht="12.75">
      <c r="A22" s="45" t="e">
        <f ca="1">_xll.ciqfunctions.udf.CIQ($B22,"IQ_COMPANY_TICKER")</f>
        <v>#NAME?</v>
      </c>
      <c r="B22" s="45" t="str">
        <f>'Capital IQ Sheet-GPC'!B22</f>
        <v>(Invalid Identifier)</v>
      </c>
      <c r="C22" s="45" t="e">
        <f ca="1">_xll.ciqfunctions.udf.CIQ($A22,"IQ_COMPANY_NAME")</f>
        <v>#NAME?</v>
      </c>
      <c r="D22" s="45" t="e">
        <f ca="1">_xll.ciqfunctions.udf.CIQ($A22, "IQ_EXCHANGE")</f>
        <v>#NAME?</v>
      </c>
      <c r="E22" s="46" t="e">
        <f ca="1">_xll.ciqfunctions.udf.CIQ($A22, "IQ_PERIODDATE_IS", IQ_FY)</f>
        <v>#NAME?</v>
      </c>
      <c r="F22" s="46" t="e">
        <f ca="1">_xll.ciqfunctions.udf.CIQ(A22, "IQ_PERIODDATE_IS", IQ_LTM, $B$1,$L$4,$L$3)</f>
        <v>#NAME?</v>
      </c>
      <c r="G22" s="46" t="e">
        <f ca="1">_xll.ciqfunctions.udf.CIQ($A22, "IQ_FIRSTPRICINGDATE")</f>
        <v>#NAME?</v>
      </c>
      <c r="H22" s="59" t="e">
        <f ca="1">_xll.ciqfunctions.udf.CIQ($A22, "IQ_TEV", $L$2, $L$5, $L$6)</f>
        <v>#NAME?</v>
      </c>
      <c r="I22" s="59" t="e">
        <f ca="1">_xll.ciqfunctions.udf.CIQ(A22, "IQ_LASTSALEPRICE", $B$1,$L$5)</f>
        <v>#NAME?</v>
      </c>
      <c r="J22" s="59" t="e">
        <f ca="1">_xll.ciqfunctions.udf.CIQ($A22, "IQ_MARKETCAP", $L$2, $L$5, $L$6)</f>
        <v>#NAME?</v>
      </c>
      <c r="K22" s="59" t="e">
        <f ca="1">_xll.ciqfunctions.udf.CIQ($A22, "IQ_TOTAL_DEBT", IQ_LTM, $L$2,$L$4, $L$3, $L$5, $L$6)</f>
        <v>#NAME?</v>
      </c>
      <c r="L22" s="59" t="e">
        <f ca="1">_xll.ciqfunctions.udf.CIQ($A22, "IQ_PREF_EQUITY", IQ_LTM, $L$2, $L$4, $L$3, $L$5, $L$6)</f>
        <v>#NAME?</v>
      </c>
      <c r="M22" s="59" t="e">
        <f ca="1">_xll.ciqfunctions.udf.CIQ($A22, "IQ_MINORITY_INTEREST_TOTAL", IQ_LTM, $L$2, $L$4, $L$3, $L$5, $L$6)</f>
        <v>#NAME?</v>
      </c>
      <c r="N22" s="59" t="e">
        <f ca="1">_xll.ciqfunctions.udf.CIQ($A22, "IQ_CASH_ST_INVEST", IQ_LTM, $L$2, $L$4, $L$3, $L$5, $L$6)</f>
        <v>#NAME?</v>
      </c>
      <c r="O22" s="59" t="e">
        <f ca="1">_xll.ciqfunctions.udf.CIQ($A22, "IQ_TOTAL_REV", IQ_LTM-8, $L$2, $L$4, $L$3, $L$5, $L$6)</f>
        <v>#NAME?</v>
      </c>
      <c r="P22" s="59" t="e">
        <f ca="1">_xll.ciqfunctions.udf.CIQ($A22, "IQ_TOTAL_REV", IQ_LTM - 4, $L$2, $L$4, $L$3, $L$5,$L$6)</f>
        <v>#NAME?</v>
      </c>
      <c r="Q22" s="59" t="e">
        <f ca="1">_xll.ciqfunctions.udf.CIQ($A22, "IQ_TOTAL_REV", IQ_LTM, $L$2, $L$4, $L$3, $L$5, $L$6)</f>
        <v>#NAME?</v>
      </c>
      <c r="R22" s="59" t="e">
        <f ca="1">_xll.ciqfunctions.udf.CIQ($A22, "IQ_TOTAL_REV", $B$2, $L$2, $L$4, $L$3, $L$5, $L$6)</f>
        <v>#NAME?</v>
      </c>
      <c r="S22" s="59" t="e">
        <f ca="1">IF(_xll.ciqfunctions.udf.CIQ($A22, "IQ_TOTAL_REV", $B$3, $L$2,$L$4, $L$3, $L$5, $L$6)=0,Q22,_xll.ciqfunctions.udf.CIQ($A22, "IQ_TOTAL_REV", $B$3, $L$2,$L$4, $L$3, $L$5, $L$6))</f>
        <v>#NAME?</v>
      </c>
      <c r="T22" s="59" t="e">
        <f ca="1">IF(_xll.ciqfunctions.udf.CIQ($A22, "IQ_REVENUE_EST",$B$4, $L$2, "CON", $L$3, $L$5, $L$6)=0,"n/a",_xll.ciqfunctions.udf.CIQ($A22, "IQ_REVENUE_EST",$B$4, $L$2, "CON", $L$3, $L$5, $L$6))</f>
        <v>#NAME?</v>
      </c>
      <c r="U22" s="59" t="e">
        <f ca="1">IF(_xll.ciqfunctions.udf.CIQ($A22, "IQ_REVENUE_EST",$B$5, $L$2, "CON", $L$3, $L$5, $L$6)=0,"n/a",_xll.ciqfunctions.udf.CIQ($A22, "IQ_REVENUE_EST",$B$5, $L$2, "CON", $L$3, $L$5, $L$6))</f>
        <v>#NAME?</v>
      </c>
      <c r="V22" s="59" t="e">
        <f ca="1">IF(_xll.ciqfunctions.udf.CIQ($A22, "IQ_REVENUE_EST",$B$6, $L$2, "CON", $L$3, $L$5, $L$6)=0,"n/a",_xll.ciqfunctions.udf.CIQ($A22, "IQ_REVENUE_EST",$B$6, $L$2, "CON", $L$3, $L$5, $L$6))</f>
        <v>#NAME?</v>
      </c>
      <c r="W22" s="59" t="e">
        <f ca="1">IF(_xll.ciqfunctions.udf.CIQ($A22, "IQ_REVENUE_EST", $B$7, $L$2, "CON", $L$3, $L$5, $L$6)=0,"n/a",_xll.ciqfunctions.udf.CIQ($A22, "IQ_REVENUE_EST",$B$7, $L$2, "CON", $L$3, $L$5, $L$6))</f>
        <v>#NAME?</v>
      </c>
      <c r="X22" s="59" t="e">
        <f ca="1">_xll.ciqfunctions.udf.CIQ($A22, "IQ_EBITDA", IQ_LTM-8, $L$2, $L$4, $L$3, $L$5, $L$6)</f>
        <v>#NAME?</v>
      </c>
      <c r="Y22" s="59" t="e">
        <f ca="1">_xll.ciqfunctions.udf.CIQ($A22, "IQ_EBITDA", IQ_LTM-4, $L$2,$L$4, $L$3, $L$5, $L$6)</f>
        <v>#NAME?</v>
      </c>
      <c r="Z22" s="59" t="e">
        <f ca="1">_xll.ciqfunctions.udf.CIQ($A22, "IQ_EBITDA", IQ_LTM, $L$2, $L$4, $L$3, $L$5, $L$6)</f>
        <v>#NAME?</v>
      </c>
      <c r="AA22" s="59" t="e">
        <f ca="1">_xll.ciqfunctions.udf.CIQ($A22, "IQ_EBITDA", $B$2, $L$2, $L$4, $L$3, $L$5, $L$6)</f>
        <v>#NAME?</v>
      </c>
      <c r="AB22" s="59" t="e">
        <f ca="1">IF(_xll.ciqfunctions.udf.CIQ($A22, "IQ_EBITDA", $B$3, $L$2,$L$4, $L$3, $L$5, $L$6)=0,Z22,_xll.ciqfunctions.udf.CIQ($A22, "IQ_EBITDA", $B$3, $L$2,$L$4, $L$3, $L$5, $L$6))</f>
        <v>#NAME?</v>
      </c>
      <c r="AC22" s="59" t="e">
        <f ca="1">IF(_xll.ciqfunctions.udf.CIQ($A22, "IQ_EBITDA_EST",$B$4, $L$2, "CON", $L$3, $L$5, $L$6)=0,"n/a",_xll.ciqfunctions.udf.CIQ($A22, "IQ_EBITDA_EST",$B$4, $L$2, "CON", $L$3, $L$5, $L$6))</f>
        <v>#NAME?</v>
      </c>
      <c r="AD22" s="59" t="e">
        <f ca="1">IF(_xll.ciqfunctions.udf.CIQ($A22, "IQ_EBITDA_EST",$B$5, $L$2, "CON", $L$3, $L$5, $L$6)=0,"n/a",_xll.ciqfunctions.udf.CIQ($A22, "IQ_EBITDA_EST",$B$5, $L$2, "CON", $L$3, $L$5, $L$6))</f>
        <v>#NAME?</v>
      </c>
      <c r="AE22" s="59" t="e">
        <f ca="1">IF(_xll.ciqfunctions.udf.CIQ($A22, "IQ_EBITDA_EST",$B$6, $L$2, "CON", $L$3, $L$5, $L$6)=0,"n/a",_xll.ciqfunctions.udf.CIQ($A22, "IQ_EBITDA_EST",$B$6, $L$2, "CON", $L$3, $L$5, $L$6))</f>
        <v>#NAME?</v>
      </c>
      <c r="AF22" s="47" t="str">
        <f ca="1">IF(ISERROR(_xll.ciqfunctions.udf.CIQ($A22, "IQ_GROSS_MARGIN", IQ_LTM, $L$2,$L$4, $L$3, $L$5, $L$6)/100), "n/a", _xll.ciqfunctions.udf.CIQ($A22,  "IQ_GROSS_MARGIN", IQ_LTM, $L$2, $L$4, $L$3, $L$5, $L$6)/100)</f>
        <v>n/a</v>
      </c>
      <c r="AG22" s="47" t="str">
        <f ca="1">IF(ISERROR(_xll.ciqfunctions.udf.CIQ($A22,"IQ_EBITDA_MARGIN", IQ_LTM, $L$2, $L$4, $L$3, $L$5, $L$6)/100), "n/a", _xll.ciqfunctions.udf.CIQ($A22, "IQ_EBITDA_MARGIN", IQ_LTM, $L$2, $L$4, $L$3, $L$5, $L$6)/100)</f>
        <v>n/a</v>
      </c>
      <c r="AH22" s="47" t="str">
        <f ca="1">IF(ISERROR(_xll.ciqfunctions.udf.CIQ($A22,"IQ_EBIT_MARGIN", IQ_LTM, $L$2, $L$4, $L$3, $L$5, $L$6)/100), "n/a", _xll.ciqfunctions.udf.CIQ($A22, "IQ_EBIT_MARGIN", IQ_LTM, $L$2, $L$4, $L$3, $L$5, $L$6)/100)</f>
        <v>n/a</v>
      </c>
      <c r="AI22" s="47" t="str">
        <f ca="1">IF(ISERROR(_xll.ciqfunctions.udf.CIQ($A22,"IQ_NI_MARGIN", IQ_LTM, $L$2, $L$4, $L$3, $L$5, $L$6)/100), "n/a", _xll.ciqfunctions.udf.CIQ($A22, "IQ_NI_MARGIN", IQ_LTM, $L$2, $L$4, $L$3, $L$5, $L$6)/100)</f>
        <v>n/a</v>
      </c>
      <c r="AJ22" s="59" t="str">
        <f ca="1">IF(ISERROR(_xll.ciqfunctions.udf.CIQ($A22, "IQ_NET_WORKING_CAP", IQ_LTM-8, $L$2, $L$4, $L$3, $L$5, $L$6)), "n/a", _xll.ciqfunctions.udf.CIQ($A22, "IQ_NET_WORKING_CAP", IQ_LTM-8, $L$2, $L$4, $L$3, $L$5, $L$6))</f>
        <v>n/a</v>
      </c>
      <c r="AK22" s="59" t="str">
        <f ca="1">IF(ISERROR(_xll.ciqfunctions.udf.CIQ($A22, "IQ_NET_WORKING_CAP", IQ_LTM-4, $L$2, $L$4, $L$3, $L$5, $L$6)), "n/a", _xll.ciqfunctions.udf.CIQ($A22, "IQ_NET_WORKING_CAP", IQ_LTM-4, $L$2, $L$4, $L$3, $L$5, $L$6))</f>
        <v>n/a</v>
      </c>
      <c r="AL22" s="59" t="str">
        <f ca="1">IF(ISERROR(_xll.ciqfunctions.udf.CIQ($A22, "IQ_NET_WORKING_CAP", IQ_LTM, $L$2,$L$4, $L$3, $L$5, $L$6)), "n/a", _xll.ciqfunctions.udf.CIQ($A22, "IQ_NET_WORKING_CAP", IQ_LTM, $L$2, $L$4, $L$3, $L$5, $L$6))</f>
        <v>n/a</v>
      </c>
      <c r="AM22" s="59" t="str">
        <f ca="1">IF(ISERROR(_xll.ciqfunctions.udf.CIQ($A22, "IQ_Capex", IQ_LTM-8, $L$2,$L$4, $L$3, $L$5, $L$6)), "n/a", _xll.ciqfunctions.udf.CIQ($A22, "IQ_Capex", IQ_LTM-8, $L$2, $L$4, $L$3, $L$5, $L$6))</f>
        <v>n/a</v>
      </c>
      <c r="AN22" s="59" t="str">
        <f ca="1">IF(ISERROR(_xll.ciqfunctions.udf.CIQ($A22, "IQ_Capex", IQ_LTM-4, $L$2,$L$4, $L$3, $L$5, $L$6)), "n/a", _xll.ciqfunctions.udf.CIQ($A22, "IQ_Capex", IQ_LTM-4, $L$2,$L$4, $L$3, $L$5, $L$6))</f>
        <v>n/a</v>
      </c>
      <c r="AO22" s="59" t="str">
        <f ca="1">IF(ISERROR(_xll.ciqfunctions.udf.CIQ($A22, "IQ_Capex", IQ_LTM, $L$2, $L$4, $L$3, $L$5, $L$6)), "n/a", _xll.ciqfunctions.udf.CIQ($A22, "IQ_Capex", IQ_LTM, $L$2, $L$4, $L$3, $L$5, $L$6))</f>
        <v>n/a</v>
      </c>
      <c r="AP22" s="44" t="e">
        <f ca="1">_xll.ciqfunctions.udf.CIQ(A22, "IQ_BUSINESS_DESCRIPTION")</f>
        <v>#NAME?</v>
      </c>
      <c r="AQ22" s="60" t="e">
        <f ca="1">_xll.ciqfunctions.udf.CIQ($A22, "IQ_BETA_1YR", $B$1)</f>
        <v>#NAME?</v>
      </c>
      <c r="AR22" s="60" t="e">
        <f ca="1">_xll.ciqfunctions.udf.CIQ($A22, "IQ_BETA_2YR", $B$1)</f>
        <v>#NAME?</v>
      </c>
      <c r="AS22" s="60" t="e">
        <f ca="1">_xll.ciqfunctions.udf.CIQ($A22, "IQ_BETA_5YR", $B$1)</f>
        <v>#NAME?</v>
      </c>
      <c r="AT22" s="47" t="e">
        <f ca="1">_xll.ciqfunctions.udf.CIQ($A22, "IQ_DIVIDEND_YIELD", $B$1)/100</f>
        <v>#NAME?</v>
      </c>
      <c r="AU22" s="59" t="e">
        <f ca="1">_xll.ciqfunctions.udf.CIQ($A22, "IQ_EARNING_CO", IQ_LTM-8, $L$2, $L$4, $L$3, $L$5, $L$6)</f>
        <v>#NAME?</v>
      </c>
      <c r="AV22" s="59" t="e">
        <f ca="1">_xll.ciqfunctions.udf.CIQ($A22, "IQ_EARNING_CO", IQ_LTM-4, $L$2, $L$4, $L$3, $L$5, $L$6)</f>
        <v>#NAME?</v>
      </c>
      <c r="AW22" s="59" t="e">
        <f ca="1">_xll.ciqfunctions.udf.CIQ($A22, "IQ_EARNING_CO", IQ_LTM, $L$2, $L$4, $L$3, $L$5, $L$6)</f>
        <v>#NAME?</v>
      </c>
      <c r="AX22" s="59" t="e">
        <f ca="1">_xll.ciqfunctions.udf.CIQ($A22, "IQ_EARNING_CO", $B$2, $L$2, $L$4, $L$3, $L$5, $L$6)</f>
        <v>#NAME?</v>
      </c>
      <c r="AY22" s="59" t="e">
        <f ca="1">IF(_xll.ciqfunctions.udf.CIQ($A22, "IQ_EARNING_CO", $B$3, $L$2,$L$4, $L$3, $L$5, $L$6)=0,AW22,_xll.ciqfunctions.udf.CIQ($A22, "IQ_EARNING_CO", $B$3, $L$2,$L$4, $L$3, $L$5, $L$6))</f>
        <v>#NAME?</v>
      </c>
      <c r="AZ22" s="59" t="e">
        <f ca="1">_xll.ciqfunctions.udf.CIQ($A22, "IQ_TOTAL_EQUITY", IQ_LTM-8, $L$2, $L$4, $L$3, $L$5, $L$6)</f>
        <v>#NAME?</v>
      </c>
      <c r="BA22" s="59" t="e">
        <f ca="1">_xll.ciqfunctions.udf.CIQ($A22, "IQ_TOTAL_EQUITY", IQ_LTM-4, $L$2, $L$4, $L$3, $L$5, $L$6)</f>
        <v>#NAME?</v>
      </c>
      <c r="BB22" s="59" t="e">
        <f ca="1">_xll.ciqfunctions.udf.CIQ($A22, "IQ_TOTAL_EQUITY", IQ_LTM, $L$2, $L$4, $L$3, $L$5, $L$6)</f>
        <v>#NAME?</v>
      </c>
      <c r="BC22" s="59" t="e">
        <f ca="1">_xll.ciqfunctions.udf.CIQ($A22, "IQ_TOTAL_EQUITY", $B$2, $L$2, $L$4, $L$3, $L$5, $L$6)</f>
        <v>#NAME?</v>
      </c>
      <c r="BD22" s="59" t="e">
        <f ca="1">IF(_xll.ciqfunctions.udf.CIQ($A22, "IQ_TOTAL_EQUITY", $B$3, $L$2,$L$4, $L$3, $L$5, $L$6)=0,BB22,_xll.ciqfunctions.udf.CIQ($A22, "IQ_TOTAL_EQUITY", $B$3, $L$2,$L$4, $L$3, $L$5, $L$6))</f>
        <v>#NAME?</v>
      </c>
      <c r="BE22" s="59" t="e">
        <f ca="1">_xll.ciqfunctions.udf.CIQ(A22, "IQ_LASTSALEPRICE", $B$8)</f>
        <v>#NAME?</v>
      </c>
      <c r="BF22" s="59" t="e">
        <f ca="1">_xll.ciqfunctions.udf.CIQ($A22, "IQ_MARKETCAP", $B$8, $L$5, $L$6)</f>
        <v>#NAME?</v>
      </c>
      <c r="BG22" s="59" t="e">
        <f ca="1">_xll.ciqfunctions.udf.CIQ($A22, "IQ_TOTAL_DEBT", IQ_LTM, $B$8,$L$4, $L$3, $L$5, $L$6)</f>
        <v>#NAME?</v>
      </c>
      <c r="BH22" s="45" t="e">
        <f ca="1">_xll.ciqfunctions.udf.CIQ($A22,"IQ_PREF_EQUITY",IQ_LTM,$B$8,$L$4,$L$3,$L$5,$L$6)</f>
        <v>#NAME?</v>
      </c>
      <c r="BI22" s="45" t="e">
        <f ca="1">_xll.ciqfunctions.udf.CIQ($A22, "IQ_MINORITY_INTEREST_TOTAL", IQ_LTM,$B$8,$L$4,$L$3,$L$5,$L$6)</f>
        <v>#NAME?</v>
      </c>
      <c r="BJ22" s="59" t="e">
        <f ca="1">_xll.ciqfunctions.udf.CIQ($A22, "IQ_CASH_ST_INVEST", IQ_LTM, $B$8, $L$4, $L$3, $L$5, $L$6)</f>
        <v>#NAME?</v>
      </c>
      <c r="BK22" s="45" t="e">
        <f ca="1">_xll.ciqfunctions.udf.CIQ($A22, "IQ_EFFECT_TAX_RATE")</f>
        <v>#NAME?</v>
      </c>
      <c r="BL22" s="45" t="e">
        <f ca="1">IF(_xll.ciqfunctions.udf.CIQ($A22, "IQ_TOTAL_REV_2YR_ANN_CAGR", IQ_LTM, $B$1,$L$4, $L$3, $L$5, $L$6)="NM","n/a",(_xll.ciqfunctions.udf.CIQ($A22, "IQ_TOTAL_REV_2YR_ANN_CAGR", IQ_LTM, $B$1,$L$4, $L$3, $L$5, $L$6)/100))</f>
        <v>#NAME?</v>
      </c>
      <c r="BM22" s="45" t="e">
        <f ca="1">IF(_xll.ciqfunctions.udf.CIQ($A22, "IQ_TOTAL_REV_3YR_ANN_CAGR", IQ_LTM, $B$1,$L$4, $L$3, $L$5, $L$6)="NM","n/a",(_xll.ciqfunctions.udf.CIQ($A22, "IQ_TOTAL_REV_3YR_ANN_CAGR", IQ_LTM, $B$1,$L$4, $L$3, $L$5, $L$6)/100))</f>
        <v>#NAME?</v>
      </c>
      <c r="BN22" s="45" t="e">
        <f ca="1">IF(_xll.ciqfunctions.udf.CIQ($A22, "IQ_TOTAL_REV_5YR_ANN_CAGR", IQ_LTM, $B$1,$L$4, $L$3, $L$5, $L$6)="NM","n/a",(_xll.ciqfunctions.udf.CIQ($A22, "IQ_TOTAL_REV_5YR_ANN_CAGR", IQ_LTM, $B$1,$L$4, $L$3, $L$5, $L$6)/100))</f>
        <v>#NAME?</v>
      </c>
      <c r="BO22" s="45" t="e">
        <f ca="1">IF(_xll.ciqfunctions.udf.CIQ($A22,"IQ_EBITDA_2YR_ANN_CAGR", IQ_LTM,$B$1,$L$4, $L$3, $L$5, $L$6)="NM","n/a",(_xll.ciqfunctions.udf.CIQ($A22,"IQ_EBITDA_2YR_ANN_CAGR", IQ_LTM,$B$1,$L$4, $L$3, $L$5, $L$6)/100))</f>
        <v>#NAME?</v>
      </c>
      <c r="BP22" s="45" t="e">
        <f ca="1">IF(_xll.ciqfunctions.udf.CIQ($A22,"IQ_EBITDA_3YR_ANN_CAGR", IQ_LTM,$B$1,$L$4, $L$3, $L$5, $L$6)="NM","n/a",(_xll.ciqfunctions.udf.CIQ($A22,"IQ_EBITDA_3YR_ANN_CAGR", IQ_LTM,$B$1,$L$4, $L$3, $L$5, $L$6)/100))</f>
        <v>#NAME?</v>
      </c>
      <c r="BQ22" s="45" t="e">
        <f ca="1">IF(_xll.ciqfunctions.udf.CIQ($A22,"IQ_EBITDA_5YR_ANN_CAGR", IQ_LTM,$B$1,$L$4, $L$3, $L$5, $L$6)="NM","n/a",(_xll.ciqfunctions.udf.CIQ($A22,"IQ_EBITDA_5YR_ANN_CAGR", IQ_LTM,$B$1,$L$4, $L$3, $L$5, $L$6)/100))</f>
        <v>#NAME?</v>
      </c>
      <c r="BR22" s="47" t="str">
        <f ca="1">IFERROR((_xll.ciqfunctions.udf.CIQ($A22, "IQ_DA_CF", IQ_LTM, $B$1, $L$4, $L$3, $L$5, $L$6)/Q22),"NM")</f>
        <v>NM</v>
      </c>
      <c r="BS22" s="61" t="e">
        <f>'Capital IQ Sheet-GPC'!BS22</f>
        <v>#VALUE!</v>
      </c>
      <c r="BT22" s="61" t="e">
        <f>'Capital IQ Sheet-GPC'!BT22</f>
        <v>#VALUE!</v>
      </c>
      <c r="BU22" s="61" t="e">
        <f>'Capital IQ Sheet-GPC'!BU22</f>
        <v>#VALUE!</v>
      </c>
      <c r="BV22" s="61" t="e">
        <f>'Capital IQ Sheet-GPC'!BV22</f>
        <v>#VALUE!</v>
      </c>
      <c r="BW22" s="61" t="e">
        <f>'Capital IQ Sheet-GPC'!BW22</f>
        <v>#VALUE!</v>
      </c>
      <c r="BX22" s="61" t="e">
        <f>'Capital IQ Sheet-GPC'!BX22</f>
        <v>#VALUE!</v>
      </c>
      <c r="BY22" s="61" t="e">
        <f>'Capital IQ Sheet-GPC'!BY22</f>
        <v>#VALUE!</v>
      </c>
      <c r="BZ22" s="61" t="e">
        <f>'Capital IQ Sheet-GPC'!BZ22</f>
        <v>#VALUE!</v>
      </c>
      <c r="CB22" s="45">
        <v>2</v>
      </c>
      <c r="CC22" s="85" t="s">
        <v>306</v>
      </c>
      <c r="CD22" s="85" t="s">
        <v>305</v>
      </c>
      <c r="CE22" s="46">
        <f t="shared" si="0"/>
        <v>42515</v>
      </c>
    </row>
    <row r="23" spans="1:83" s="45" customFormat="1" ht="12.75">
      <c r="A23" s="45" t="e">
        <f ca="1">_xll.ciqfunctions.udf.CIQ($B23,"IQ_COMPANY_TICKER")</f>
        <v>#NAME?</v>
      </c>
      <c r="B23" s="45" t="str">
        <f>'Capital IQ Sheet-GPC'!B23</f>
        <v>(Invalid Identifier)</v>
      </c>
      <c r="C23" s="45" t="e">
        <f ca="1">_xll.ciqfunctions.udf.CIQ($A23,"IQ_COMPANY_NAME")</f>
        <v>#NAME?</v>
      </c>
      <c r="D23" s="45" t="e">
        <f ca="1">_xll.ciqfunctions.udf.CIQ($A23, "IQ_EXCHANGE")</f>
        <v>#NAME?</v>
      </c>
      <c r="E23" s="46" t="e">
        <f ca="1">_xll.ciqfunctions.udf.CIQ($A23, "IQ_PERIODDATE_IS", IQ_FY)</f>
        <v>#NAME?</v>
      </c>
      <c r="F23" s="46" t="e">
        <f ca="1">_xll.ciqfunctions.udf.CIQ(A23, "IQ_PERIODDATE_IS", IQ_LTM, $B$1,$L$4,$L$3)</f>
        <v>#NAME?</v>
      </c>
      <c r="G23" s="46" t="e">
        <f ca="1">_xll.ciqfunctions.udf.CIQ($A23, "IQ_FIRSTPRICINGDATE")</f>
        <v>#NAME?</v>
      </c>
      <c r="H23" s="59" t="e">
        <f ca="1">_xll.ciqfunctions.udf.CIQ($A23, "IQ_TEV", $L$2, $L$5, $L$6)</f>
        <v>#NAME?</v>
      </c>
      <c r="I23" s="59" t="e">
        <f ca="1">_xll.ciqfunctions.udf.CIQ(A23, "IQ_LASTSALEPRICE", $B$1,$L$5)</f>
        <v>#NAME?</v>
      </c>
      <c r="J23" s="59" t="e">
        <f ca="1">_xll.ciqfunctions.udf.CIQ($A23, "IQ_MARKETCAP", $L$2, $L$5, $L$6)</f>
        <v>#NAME?</v>
      </c>
      <c r="K23" s="59" t="e">
        <f ca="1">_xll.ciqfunctions.udf.CIQ($A23, "IQ_TOTAL_DEBT", IQ_LTM, $L$2,$L$4, $L$3, $L$5, $L$6)</f>
        <v>#NAME?</v>
      </c>
      <c r="L23" s="59" t="e">
        <f ca="1">_xll.ciqfunctions.udf.CIQ($A23, "IQ_PREF_EQUITY", IQ_LTM, $L$2, $L$4, $L$3, $L$5, $L$6)</f>
        <v>#NAME?</v>
      </c>
      <c r="M23" s="59" t="e">
        <f ca="1">_xll.ciqfunctions.udf.CIQ($A23, "IQ_MINORITY_INTEREST_TOTAL", IQ_LTM, $L$2, $L$4, $L$3, $L$5, $L$6)</f>
        <v>#NAME?</v>
      </c>
      <c r="N23" s="59" t="e">
        <f ca="1">_xll.ciqfunctions.udf.CIQ($A23, "IQ_CASH_ST_INVEST", IQ_LTM, $L$2, $L$4, $L$3, $L$5, $L$6)</f>
        <v>#NAME?</v>
      </c>
      <c r="O23" s="59" t="e">
        <f ca="1">_xll.ciqfunctions.udf.CIQ($A23, "IQ_TOTAL_REV", IQ_LTM-8, $L$2, $L$4, $L$3, $L$5, $L$6)</f>
        <v>#NAME?</v>
      </c>
      <c r="P23" s="59" t="e">
        <f ca="1">_xll.ciqfunctions.udf.CIQ($A23, "IQ_TOTAL_REV", IQ_LTM - 4, $L$2, $L$4, $L$3, $L$5,$L$6)</f>
        <v>#NAME?</v>
      </c>
      <c r="Q23" s="59" t="e">
        <f ca="1">_xll.ciqfunctions.udf.CIQ($A23, "IQ_TOTAL_REV", IQ_LTM, $L$2, $L$4, $L$3, $L$5, $L$6)</f>
        <v>#NAME?</v>
      </c>
      <c r="R23" s="59" t="e">
        <f ca="1">_xll.ciqfunctions.udf.CIQ($A23, "IQ_TOTAL_REV", $B$2, $L$2, $L$4, $L$3, $L$5, $L$6)</f>
        <v>#NAME?</v>
      </c>
      <c r="S23" s="59" t="e">
        <f ca="1">IF(_xll.ciqfunctions.udf.CIQ($A23, "IQ_TOTAL_REV", $B$3, $L$2,$L$4, $L$3, $L$5, $L$6)=0,Q23,_xll.ciqfunctions.udf.CIQ($A23, "IQ_TOTAL_REV", $B$3, $L$2,$L$4, $L$3, $L$5, $L$6))</f>
        <v>#NAME?</v>
      </c>
      <c r="T23" s="59" t="e">
        <f ca="1">IF(_xll.ciqfunctions.udf.CIQ($A23, "IQ_REVENUE_EST",$B$4, $L$2, "CON", $L$3, $L$5, $L$6)=0,"n/a",_xll.ciqfunctions.udf.CIQ($A23, "IQ_REVENUE_EST",$B$4, $L$2, "CON", $L$3, $L$5, $L$6))</f>
        <v>#NAME?</v>
      </c>
      <c r="U23" s="59" t="e">
        <f ca="1">IF(_xll.ciqfunctions.udf.CIQ($A23, "IQ_REVENUE_EST",$B$5, $L$2, "CON", $L$3, $L$5, $L$6)=0,"n/a",_xll.ciqfunctions.udf.CIQ($A23, "IQ_REVENUE_EST",$B$5, $L$2, "CON", $L$3, $L$5, $L$6))</f>
        <v>#NAME?</v>
      </c>
      <c r="V23" s="59" t="e">
        <f ca="1">IF(_xll.ciqfunctions.udf.CIQ($A23, "IQ_REVENUE_EST",$B$6, $L$2, "CON", $L$3, $L$5, $L$6)=0,"n/a",_xll.ciqfunctions.udf.CIQ($A23, "IQ_REVENUE_EST",$B$6, $L$2, "CON", $L$3, $L$5, $L$6))</f>
        <v>#NAME?</v>
      </c>
      <c r="W23" s="59" t="e">
        <f ca="1">IF(_xll.ciqfunctions.udf.CIQ($A23, "IQ_REVENUE_EST", $B$7, $L$2, "CON", $L$3, $L$5, $L$6)=0,"n/a",_xll.ciqfunctions.udf.CIQ($A23, "IQ_REVENUE_EST",$B$7, $L$2, "CON", $L$3, $L$5, $L$6))</f>
        <v>#NAME?</v>
      </c>
      <c r="X23" s="59" t="e">
        <f ca="1">_xll.ciqfunctions.udf.CIQ($A23, "IQ_EBITDA", IQ_LTM-8, $L$2, $L$4, $L$3, $L$5, $L$6)</f>
        <v>#NAME?</v>
      </c>
      <c r="Y23" s="59" t="e">
        <f ca="1">_xll.ciqfunctions.udf.CIQ($A23, "IQ_EBITDA", IQ_LTM-4, $L$2,$L$4, $L$3, $L$5, $L$6)</f>
        <v>#NAME?</v>
      </c>
      <c r="Z23" s="59" t="e">
        <f ca="1">_xll.ciqfunctions.udf.CIQ($A23, "IQ_EBITDA", IQ_LTM, $L$2, $L$4, $L$3, $L$5, $L$6)</f>
        <v>#NAME?</v>
      </c>
      <c r="AA23" s="59" t="e">
        <f ca="1">_xll.ciqfunctions.udf.CIQ($A23, "IQ_EBITDA", $B$2, $L$2, $L$4, $L$3, $L$5, $L$6)</f>
        <v>#NAME?</v>
      </c>
      <c r="AB23" s="59" t="e">
        <f ca="1">IF(_xll.ciqfunctions.udf.CIQ($A23, "IQ_EBITDA", $B$3, $L$2,$L$4, $L$3, $L$5, $L$6)=0,Z23,_xll.ciqfunctions.udf.CIQ($A23, "IQ_EBITDA", $B$3, $L$2,$L$4, $L$3, $L$5, $L$6))</f>
        <v>#NAME?</v>
      </c>
      <c r="AC23" s="59" t="e">
        <f ca="1">IF(_xll.ciqfunctions.udf.CIQ($A23, "IQ_EBITDA_EST",$B$4, $L$2, "CON", $L$3, $L$5, $L$6)=0,"n/a",_xll.ciqfunctions.udf.CIQ($A23, "IQ_EBITDA_EST",$B$4, $L$2, "CON", $L$3, $L$5, $L$6))</f>
        <v>#NAME?</v>
      </c>
      <c r="AD23" s="59" t="e">
        <f ca="1">IF(_xll.ciqfunctions.udf.CIQ($A23, "IQ_EBITDA_EST",$B$5, $L$2, "CON", $L$3, $L$5, $L$6)=0,"n/a",_xll.ciqfunctions.udf.CIQ($A23, "IQ_EBITDA_EST",$B$5, $L$2, "CON", $L$3, $L$5, $L$6))</f>
        <v>#NAME?</v>
      </c>
      <c r="AE23" s="59" t="e">
        <f ca="1">IF(_xll.ciqfunctions.udf.CIQ($A23, "IQ_EBITDA_EST",$B$6, $L$2, "CON", $L$3, $L$5, $L$6)=0,"n/a",_xll.ciqfunctions.udf.CIQ($A23, "IQ_EBITDA_EST",$B$6, $L$2, "CON", $L$3, $L$5, $L$6))</f>
        <v>#NAME?</v>
      </c>
      <c r="AF23" s="47" t="str">
        <f ca="1">IF(ISERROR(_xll.ciqfunctions.udf.CIQ($A23, "IQ_GROSS_MARGIN", IQ_LTM, $L$2,$L$4, $L$3, $L$5, $L$6)/100), "n/a", _xll.ciqfunctions.udf.CIQ($A23,  "IQ_GROSS_MARGIN", IQ_LTM, $L$2, $L$4, $L$3, $L$5, $L$6)/100)</f>
        <v>n/a</v>
      </c>
      <c r="AG23" s="47" t="str">
        <f ca="1">IF(ISERROR(_xll.ciqfunctions.udf.CIQ($A23,"IQ_EBITDA_MARGIN", IQ_LTM, $L$2, $L$4, $L$3, $L$5, $L$6)/100), "n/a", _xll.ciqfunctions.udf.CIQ($A23, "IQ_EBITDA_MARGIN", IQ_LTM, $L$2, $L$4, $L$3, $L$5, $L$6)/100)</f>
        <v>n/a</v>
      </c>
      <c r="AH23" s="47" t="str">
        <f ca="1">IF(ISERROR(_xll.ciqfunctions.udf.CIQ($A23,"IQ_EBIT_MARGIN", IQ_LTM, $L$2, $L$4, $L$3, $L$5, $L$6)/100), "n/a", _xll.ciqfunctions.udf.CIQ($A23, "IQ_EBIT_MARGIN", IQ_LTM, $L$2, $L$4, $L$3, $L$5, $L$6)/100)</f>
        <v>n/a</v>
      </c>
      <c r="AI23" s="47" t="str">
        <f ca="1">IF(ISERROR(_xll.ciqfunctions.udf.CIQ($A23,"IQ_NI_MARGIN", IQ_LTM, $L$2, $L$4, $L$3, $L$5, $L$6)/100), "n/a", _xll.ciqfunctions.udf.CIQ($A23, "IQ_NI_MARGIN", IQ_LTM, $L$2, $L$4, $L$3, $L$5, $L$6)/100)</f>
        <v>n/a</v>
      </c>
      <c r="AJ23" s="59" t="str">
        <f ca="1">IF(ISERROR(_xll.ciqfunctions.udf.CIQ($A23, "IQ_NET_WORKING_CAP", IQ_LTM-8, $L$2, $L$4, $L$3, $L$5, $L$6)), "n/a", _xll.ciqfunctions.udf.CIQ($A23, "IQ_NET_WORKING_CAP", IQ_LTM-8, $L$2, $L$4, $L$3, $L$5, $L$6))</f>
        <v>n/a</v>
      </c>
      <c r="AK23" s="59" t="str">
        <f ca="1">IF(ISERROR(_xll.ciqfunctions.udf.CIQ($A23, "IQ_NET_WORKING_CAP", IQ_LTM-4, $L$2, $L$4, $L$3, $L$5, $L$6)), "n/a", _xll.ciqfunctions.udf.CIQ($A23, "IQ_NET_WORKING_CAP", IQ_LTM-4, $L$2, $L$4, $L$3, $L$5, $L$6))</f>
        <v>n/a</v>
      </c>
      <c r="AL23" s="59" t="str">
        <f ca="1">IF(ISERROR(_xll.ciqfunctions.udf.CIQ($A23, "IQ_NET_WORKING_CAP", IQ_LTM, $L$2,$L$4, $L$3, $L$5, $L$6)), "n/a", _xll.ciqfunctions.udf.CIQ($A23, "IQ_NET_WORKING_CAP", IQ_LTM, $L$2, $L$4, $L$3, $L$5, $L$6))</f>
        <v>n/a</v>
      </c>
      <c r="AM23" s="59" t="str">
        <f ca="1">IF(ISERROR(_xll.ciqfunctions.udf.CIQ($A23, "IQ_Capex", IQ_LTM-8, $L$2,$L$4, $L$3, $L$5, $L$6)), "n/a", _xll.ciqfunctions.udf.CIQ($A23, "IQ_Capex", IQ_LTM-8, $L$2, $L$4, $L$3, $L$5, $L$6))</f>
        <v>n/a</v>
      </c>
      <c r="AN23" s="59" t="str">
        <f ca="1">IF(ISERROR(_xll.ciqfunctions.udf.CIQ($A23, "IQ_Capex", IQ_LTM-4, $L$2,$L$4, $L$3, $L$5, $L$6)), "n/a", _xll.ciqfunctions.udf.CIQ($A23, "IQ_Capex", IQ_LTM-4, $L$2,$L$4, $L$3, $L$5, $L$6))</f>
        <v>n/a</v>
      </c>
      <c r="AO23" s="59" t="str">
        <f ca="1">IF(ISERROR(_xll.ciqfunctions.udf.CIQ($A23, "IQ_Capex", IQ_LTM, $L$2, $L$4, $L$3, $L$5, $L$6)), "n/a", _xll.ciqfunctions.udf.CIQ($A23, "IQ_Capex", IQ_LTM, $L$2, $L$4, $L$3, $L$5, $L$6))</f>
        <v>n/a</v>
      </c>
      <c r="AP23" s="44" t="e">
        <f ca="1">_xll.ciqfunctions.udf.CIQ(A23, "IQ_BUSINESS_DESCRIPTION")</f>
        <v>#NAME?</v>
      </c>
      <c r="AQ23" s="60" t="e">
        <f ca="1">_xll.ciqfunctions.udf.CIQ($A23, "IQ_BETA_1YR", $B$1)</f>
        <v>#NAME?</v>
      </c>
      <c r="AR23" s="60" t="e">
        <f ca="1">_xll.ciqfunctions.udf.CIQ($A23, "IQ_BETA_2YR", $B$1)</f>
        <v>#NAME?</v>
      </c>
      <c r="AS23" s="60" t="e">
        <f ca="1">_xll.ciqfunctions.udf.CIQ($A23, "IQ_BETA_5YR", $B$1)</f>
        <v>#NAME?</v>
      </c>
      <c r="AT23" s="47" t="e">
        <f ca="1">_xll.ciqfunctions.udf.CIQ($A23, "IQ_DIVIDEND_YIELD", $B$1)/100</f>
        <v>#NAME?</v>
      </c>
      <c r="AU23" s="59" t="e">
        <f ca="1">_xll.ciqfunctions.udf.CIQ($A23, "IQ_EARNING_CO", IQ_LTM-8, $L$2, $L$4, $L$3, $L$5, $L$6)</f>
        <v>#NAME?</v>
      </c>
      <c r="AV23" s="59" t="e">
        <f ca="1">_xll.ciqfunctions.udf.CIQ($A23, "IQ_EARNING_CO", IQ_LTM-4, $L$2, $L$4, $L$3, $L$5, $L$6)</f>
        <v>#NAME?</v>
      </c>
      <c r="AW23" s="59" t="e">
        <f ca="1">_xll.ciqfunctions.udf.CIQ($A23, "IQ_EARNING_CO", IQ_LTM, $L$2, $L$4, $L$3, $L$5, $L$6)</f>
        <v>#NAME?</v>
      </c>
      <c r="AX23" s="59" t="e">
        <f ca="1">_xll.ciqfunctions.udf.CIQ($A23, "IQ_EARNING_CO", $B$2, $L$2, $L$4, $L$3, $L$5, $L$6)</f>
        <v>#NAME?</v>
      </c>
      <c r="AY23" s="59" t="e">
        <f ca="1">IF(_xll.ciqfunctions.udf.CIQ($A23, "IQ_EARNING_CO", $B$3, $L$2,$L$4, $L$3, $L$5, $L$6)=0,AW23,_xll.ciqfunctions.udf.CIQ($A23, "IQ_EARNING_CO", $B$3, $L$2,$L$4, $L$3, $L$5, $L$6))</f>
        <v>#NAME?</v>
      </c>
      <c r="AZ23" s="59" t="e">
        <f ca="1">_xll.ciqfunctions.udf.CIQ($A23, "IQ_TOTAL_EQUITY", IQ_LTM-8, $L$2, $L$4, $L$3, $L$5, $L$6)</f>
        <v>#NAME?</v>
      </c>
      <c r="BA23" s="59" t="e">
        <f ca="1">_xll.ciqfunctions.udf.CIQ($A23, "IQ_TOTAL_EQUITY", IQ_LTM-4, $L$2, $L$4, $L$3, $L$5, $L$6)</f>
        <v>#NAME?</v>
      </c>
      <c r="BB23" s="59" t="e">
        <f ca="1">_xll.ciqfunctions.udf.CIQ($A23, "IQ_TOTAL_EQUITY", IQ_LTM, $L$2, $L$4, $L$3, $L$5, $L$6)</f>
        <v>#NAME?</v>
      </c>
      <c r="BC23" s="59" t="e">
        <f ca="1">_xll.ciqfunctions.udf.CIQ($A23, "IQ_TOTAL_EQUITY", $B$2, $L$2, $L$4, $L$3, $L$5, $L$6)</f>
        <v>#NAME?</v>
      </c>
      <c r="BD23" s="59" t="e">
        <f ca="1">IF(_xll.ciqfunctions.udf.CIQ($A23, "IQ_TOTAL_EQUITY", $B$3, $L$2,$L$4, $L$3, $L$5, $L$6)=0,BB23,_xll.ciqfunctions.udf.CIQ($A23, "IQ_TOTAL_EQUITY", $B$3, $L$2,$L$4, $L$3, $L$5, $L$6))</f>
        <v>#NAME?</v>
      </c>
      <c r="BE23" s="59" t="e">
        <f ca="1">_xll.ciqfunctions.udf.CIQ(A23, "IQ_LASTSALEPRICE", $B$8)</f>
        <v>#NAME?</v>
      </c>
      <c r="BF23" s="59" t="e">
        <f ca="1">_xll.ciqfunctions.udf.CIQ($A23, "IQ_MARKETCAP", $B$8, $L$5, $L$6)</f>
        <v>#NAME?</v>
      </c>
      <c r="BG23" s="59" t="e">
        <f ca="1">_xll.ciqfunctions.udf.CIQ($A23, "IQ_TOTAL_DEBT", IQ_LTM, $B$8,$L$4, $L$3, $L$5, $L$6)</f>
        <v>#NAME?</v>
      </c>
      <c r="BH23" s="45" t="e">
        <f ca="1">_xll.ciqfunctions.udf.CIQ($A23,"IQ_PREF_EQUITY",IQ_LTM,$B$8,$L$4,$L$3,$L$5,$L$6)</f>
        <v>#NAME?</v>
      </c>
      <c r="BI23" s="45" t="e">
        <f ca="1">_xll.ciqfunctions.udf.CIQ($A23, "IQ_MINORITY_INTEREST_TOTAL", IQ_LTM,$B$8,$L$4,$L$3,$L$5,$L$6)</f>
        <v>#NAME?</v>
      </c>
      <c r="BJ23" s="59" t="e">
        <f ca="1">_xll.ciqfunctions.udf.CIQ($A23, "IQ_CASH_ST_INVEST", IQ_LTM, $B$8, $L$4, $L$3, $L$5, $L$6)</f>
        <v>#NAME?</v>
      </c>
      <c r="BK23" s="45" t="e">
        <f ca="1">_xll.ciqfunctions.udf.CIQ($A23, "IQ_EFFECT_TAX_RATE")</f>
        <v>#NAME?</v>
      </c>
      <c r="BL23" s="45" t="e">
        <f ca="1">IF(_xll.ciqfunctions.udf.CIQ($A23, "IQ_TOTAL_REV_2YR_ANN_CAGR", IQ_LTM, $B$1,$L$4, $L$3, $L$5, $L$6)="NM","n/a",(_xll.ciqfunctions.udf.CIQ($A23, "IQ_TOTAL_REV_2YR_ANN_CAGR", IQ_LTM, $B$1,$L$4, $L$3, $L$5, $L$6)/100))</f>
        <v>#NAME?</v>
      </c>
      <c r="BM23" s="45" t="e">
        <f ca="1">IF(_xll.ciqfunctions.udf.CIQ($A23, "IQ_TOTAL_REV_3YR_ANN_CAGR", IQ_LTM, $B$1,$L$4, $L$3, $L$5, $L$6)="NM","n/a",(_xll.ciqfunctions.udf.CIQ($A23, "IQ_TOTAL_REV_3YR_ANN_CAGR", IQ_LTM, $B$1,$L$4, $L$3, $L$5, $L$6)/100))</f>
        <v>#NAME?</v>
      </c>
      <c r="BN23" s="45" t="e">
        <f ca="1">IF(_xll.ciqfunctions.udf.CIQ($A23, "IQ_TOTAL_REV_5YR_ANN_CAGR", IQ_LTM, $B$1,$L$4, $L$3, $L$5, $L$6)="NM","n/a",(_xll.ciqfunctions.udf.CIQ($A23, "IQ_TOTAL_REV_5YR_ANN_CAGR", IQ_LTM, $B$1,$L$4, $L$3, $L$5, $L$6)/100))</f>
        <v>#NAME?</v>
      </c>
      <c r="BO23" s="45" t="e">
        <f ca="1">IF(_xll.ciqfunctions.udf.CIQ($A23,"IQ_EBITDA_2YR_ANN_CAGR", IQ_LTM,$B$1,$L$4, $L$3, $L$5, $L$6)="NM","n/a",(_xll.ciqfunctions.udf.CIQ($A23,"IQ_EBITDA_2YR_ANN_CAGR", IQ_LTM,$B$1,$L$4, $L$3, $L$5, $L$6)/100))</f>
        <v>#NAME?</v>
      </c>
      <c r="BP23" s="45" t="e">
        <f ca="1">IF(_xll.ciqfunctions.udf.CIQ($A23,"IQ_EBITDA_3YR_ANN_CAGR", IQ_LTM,$B$1,$L$4, $L$3, $L$5, $L$6)="NM","n/a",(_xll.ciqfunctions.udf.CIQ($A23,"IQ_EBITDA_3YR_ANN_CAGR", IQ_LTM,$B$1,$L$4, $L$3, $L$5, $L$6)/100))</f>
        <v>#NAME?</v>
      </c>
      <c r="BQ23" s="45" t="e">
        <f ca="1">IF(_xll.ciqfunctions.udf.CIQ($A23,"IQ_EBITDA_5YR_ANN_CAGR", IQ_LTM,$B$1,$L$4, $L$3, $L$5, $L$6)="NM","n/a",(_xll.ciqfunctions.udf.CIQ($A23,"IQ_EBITDA_5YR_ANN_CAGR", IQ_LTM,$B$1,$L$4, $L$3, $L$5, $L$6)/100))</f>
        <v>#NAME?</v>
      </c>
      <c r="BR23" s="47" t="str">
        <f ca="1">IFERROR((_xll.ciqfunctions.udf.CIQ($A23, "IQ_DA_CF", IQ_LTM, $B$1, $L$4, $L$3, $L$5, $L$6)/Q23),"NM")</f>
        <v>NM</v>
      </c>
      <c r="BS23" s="61" t="e">
        <f>'Capital IQ Sheet-GPC'!BS23</f>
        <v>#VALUE!</v>
      </c>
      <c r="BT23" s="61" t="e">
        <f>'Capital IQ Sheet-GPC'!BT23</f>
        <v>#VALUE!</v>
      </c>
      <c r="BU23" s="61" t="e">
        <f>'Capital IQ Sheet-GPC'!BU23</f>
        <v>#VALUE!</v>
      </c>
      <c r="BV23" s="61" t="e">
        <f>'Capital IQ Sheet-GPC'!BV23</f>
        <v>#VALUE!</v>
      </c>
      <c r="BW23" s="61" t="e">
        <f>'Capital IQ Sheet-GPC'!BW23</f>
        <v>#VALUE!</v>
      </c>
      <c r="BX23" s="61" t="e">
        <f>'Capital IQ Sheet-GPC'!BX23</f>
        <v>#VALUE!</v>
      </c>
      <c r="BY23" s="61" t="e">
        <f>'Capital IQ Sheet-GPC'!BY23</f>
        <v>#VALUE!</v>
      </c>
      <c r="BZ23" s="61" t="e">
        <f>'Capital IQ Sheet-GPC'!BZ23</f>
        <v>#VALUE!</v>
      </c>
      <c r="CB23" s="45">
        <v>2</v>
      </c>
      <c r="CC23" s="85" t="s">
        <v>306</v>
      </c>
      <c r="CD23" s="85" t="s">
        <v>305</v>
      </c>
      <c r="CE23" s="46">
        <f t="shared" si="0"/>
        <v>42515</v>
      </c>
    </row>
    <row r="24" spans="1:83" s="45" customFormat="1" ht="12.75">
      <c r="A24" s="45" t="e">
        <f ca="1">_xll.ciqfunctions.udf.CIQ($B24,"IQ_COMPANY_TICKER")</f>
        <v>#NAME?</v>
      </c>
      <c r="B24" s="45" t="str">
        <f>'Capital IQ Sheet-GPC'!B24</f>
        <v>(Invalid Identifier)</v>
      </c>
      <c r="C24" s="45" t="e">
        <f ca="1">_xll.ciqfunctions.udf.CIQ($A24,"IQ_COMPANY_NAME")</f>
        <v>#NAME?</v>
      </c>
      <c r="D24" s="45" t="e">
        <f ca="1">_xll.ciqfunctions.udf.CIQ($A24, "IQ_EXCHANGE")</f>
        <v>#NAME?</v>
      </c>
      <c r="E24" s="46" t="e">
        <f ca="1">_xll.ciqfunctions.udf.CIQ($A24, "IQ_PERIODDATE_IS", IQ_FY)</f>
        <v>#NAME?</v>
      </c>
      <c r="F24" s="46" t="e">
        <f ca="1">_xll.ciqfunctions.udf.CIQ(A24, "IQ_PERIODDATE_IS", IQ_LTM, $B$1,$L$4,$L$3)</f>
        <v>#NAME?</v>
      </c>
      <c r="G24" s="46" t="e">
        <f ca="1">_xll.ciqfunctions.udf.CIQ($A24, "IQ_FIRSTPRICINGDATE")</f>
        <v>#NAME?</v>
      </c>
      <c r="H24" s="59" t="e">
        <f ca="1">_xll.ciqfunctions.udf.CIQ($A24, "IQ_TEV", $L$2, $L$5, $L$6)</f>
        <v>#NAME?</v>
      </c>
      <c r="I24" s="59" t="e">
        <f ca="1">_xll.ciqfunctions.udf.CIQ(A24, "IQ_LASTSALEPRICE", $B$1,$L$5)</f>
        <v>#NAME?</v>
      </c>
      <c r="J24" s="59" t="e">
        <f ca="1">_xll.ciqfunctions.udf.CIQ($A24, "IQ_MARKETCAP", $L$2, $L$5, $L$6)</f>
        <v>#NAME?</v>
      </c>
      <c r="K24" s="59" t="e">
        <f ca="1">_xll.ciqfunctions.udf.CIQ($A24, "IQ_TOTAL_DEBT", IQ_LTM, $L$2,$L$4, $L$3, $L$5, $L$6)</f>
        <v>#NAME?</v>
      </c>
      <c r="L24" s="59" t="e">
        <f ca="1">_xll.ciqfunctions.udf.CIQ($A24, "IQ_PREF_EQUITY", IQ_LTM, $L$2, $L$4, $L$3, $L$5, $L$6)</f>
        <v>#NAME?</v>
      </c>
      <c r="M24" s="59" t="e">
        <f ca="1">_xll.ciqfunctions.udf.CIQ($A24, "IQ_MINORITY_INTEREST_TOTAL", IQ_LTM, $L$2, $L$4, $L$3, $L$5, $L$6)</f>
        <v>#NAME?</v>
      </c>
      <c r="N24" s="59" t="e">
        <f ca="1">_xll.ciqfunctions.udf.CIQ($A24, "IQ_CASH_ST_INVEST", IQ_LTM, $L$2, $L$4, $L$3, $L$5, $L$6)</f>
        <v>#NAME?</v>
      </c>
      <c r="O24" s="59" t="e">
        <f ca="1">_xll.ciqfunctions.udf.CIQ($A24, "IQ_TOTAL_REV", IQ_LTM-8, $L$2, $L$4, $L$3, $L$5, $L$6)</f>
        <v>#NAME?</v>
      </c>
      <c r="P24" s="59" t="e">
        <f ca="1">_xll.ciqfunctions.udf.CIQ($A24, "IQ_TOTAL_REV", IQ_LTM - 4, $L$2, $L$4, $L$3, $L$5,$L$6)</f>
        <v>#NAME?</v>
      </c>
      <c r="Q24" s="59" t="e">
        <f ca="1">_xll.ciqfunctions.udf.CIQ($A24, "IQ_TOTAL_REV", IQ_LTM, $L$2, $L$4, $L$3, $L$5, $L$6)</f>
        <v>#NAME?</v>
      </c>
      <c r="R24" s="59" t="e">
        <f ca="1">_xll.ciqfunctions.udf.CIQ($A24, "IQ_TOTAL_REV", $B$2, $L$2, $L$4, $L$3, $L$5, $L$6)</f>
        <v>#NAME?</v>
      </c>
      <c r="S24" s="59" t="e">
        <f ca="1">IF(_xll.ciqfunctions.udf.CIQ($A24, "IQ_TOTAL_REV", $B$3, $L$2,$L$4, $L$3, $L$5, $L$6)=0,Q24,_xll.ciqfunctions.udf.CIQ($A24, "IQ_TOTAL_REV", $B$3, $L$2,$L$4, $L$3, $L$5, $L$6))</f>
        <v>#NAME?</v>
      </c>
      <c r="T24" s="59" t="e">
        <f ca="1">IF(_xll.ciqfunctions.udf.CIQ($A24, "IQ_REVENUE_EST",$B$4, $L$2, "CON", $L$3, $L$5, $L$6)=0,"n/a",_xll.ciqfunctions.udf.CIQ($A24, "IQ_REVENUE_EST",$B$4, $L$2, "CON", $L$3, $L$5, $L$6))</f>
        <v>#NAME?</v>
      </c>
      <c r="U24" s="59" t="e">
        <f ca="1">IF(_xll.ciqfunctions.udf.CIQ($A24, "IQ_REVENUE_EST",$B$5, $L$2, "CON", $L$3, $L$5, $L$6)=0,"n/a",_xll.ciqfunctions.udf.CIQ($A24, "IQ_REVENUE_EST",$B$5, $L$2, "CON", $L$3, $L$5, $L$6))</f>
        <v>#NAME?</v>
      </c>
      <c r="V24" s="59" t="e">
        <f ca="1">IF(_xll.ciqfunctions.udf.CIQ($A24, "IQ_REVENUE_EST",$B$6, $L$2, "CON", $L$3, $L$5, $L$6)=0,"n/a",_xll.ciqfunctions.udf.CIQ($A24, "IQ_REVENUE_EST",$B$6, $L$2, "CON", $L$3, $L$5, $L$6))</f>
        <v>#NAME?</v>
      </c>
      <c r="W24" s="59" t="e">
        <f ca="1">IF(_xll.ciqfunctions.udf.CIQ($A24, "IQ_REVENUE_EST", $B$7, $L$2, "CON", $L$3, $L$5, $L$6)=0,"n/a",_xll.ciqfunctions.udf.CIQ($A24, "IQ_REVENUE_EST",$B$7, $L$2, "CON", $L$3, $L$5, $L$6))</f>
        <v>#NAME?</v>
      </c>
      <c r="X24" s="59" t="e">
        <f ca="1">_xll.ciqfunctions.udf.CIQ($A24, "IQ_EBITDA", IQ_LTM-8, $L$2, $L$4, $L$3, $L$5, $L$6)</f>
        <v>#NAME?</v>
      </c>
      <c r="Y24" s="59" t="e">
        <f ca="1">_xll.ciqfunctions.udf.CIQ($A24, "IQ_EBITDA", IQ_LTM-4, $L$2,$L$4, $L$3, $L$5, $L$6)</f>
        <v>#NAME?</v>
      </c>
      <c r="Z24" s="59" t="e">
        <f ca="1">_xll.ciqfunctions.udf.CIQ($A24, "IQ_EBITDA", IQ_LTM, $L$2, $L$4, $L$3, $L$5, $L$6)</f>
        <v>#NAME?</v>
      </c>
      <c r="AA24" s="59" t="e">
        <f ca="1">_xll.ciqfunctions.udf.CIQ($A24, "IQ_EBITDA", $B$2, $L$2, $L$4, $L$3, $L$5, $L$6)</f>
        <v>#NAME?</v>
      </c>
      <c r="AB24" s="59" t="e">
        <f ca="1">IF(_xll.ciqfunctions.udf.CIQ($A24, "IQ_EBITDA", $B$3, $L$2,$L$4, $L$3, $L$5, $L$6)=0,Z24,_xll.ciqfunctions.udf.CIQ($A24, "IQ_EBITDA", $B$3, $L$2,$L$4, $L$3, $L$5, $L$6))</f>
        <v>#NAME?</v>
      </c>
      <c r="AC24" s="59" t="e">
        <f ca="1">IF(_xll.ciqfunctions.udf.CIQ($A24, "IQ_EBITDA_EST",$B$4, $L$2, "CON", $L$3, $L$5, $L$6)=0,"n/a",_xll.ciqfunctions.udf.CIQ($A24, "IQ_EBITDA_EST",$B$4, $L$2, "CON", $L$3, $L$5, $L$6))</f>
        <v>#NAME?</v>
      </c>
      <c r="AD24" s="59" t="e">
        <f ca="1">IF(_xll.ciqfunctions.udf.CIQ($A24, "IQ_EBITDA_EST",$B$5, $L$2, "CON", $L$3, $L$5, $L$6)=0,"n/a",_xll.ciqfunctions.udf.CIQ($A24, "IQ_EBITDA_EST",$B$5, $L$2, "CON", $L$3, $L$5, $L$6))</f>
        <v>#NAME?</v>
      </c>
      <c r="AE24" s="59" t="e">
        <f ca="1">IF(_xll.ciqfunctions.udf.CIQ($A24, "IQ_EBITDA_EST",$B$6, $L$2, "CON", $L$3, $L$5, $L$6)=0,"n/a",_xll.ciqfunctions.udf.CIQ($A24, "IQ_EBITDA_EST",$B$6, $L$2, "CON", $L$3, $L$5, $L$6))</f>
        <v>#NAME?</v>
      </c>
      <c r="AF24" s="47" t="str">
        <f ca="1">IF(ISERROR(_xll.ciqfunctions.udf.CIQ($A24, "IQ_GROSS_MARGIN", IQ_LTM, $L$2,$L$4, $L$3, $L$5, $L$6)/100), "n/a", _xll.ciqfunctions.udf.CIQ($A24,  "IQ_GROSS_MARGIN", IQ_LTM, $L$2, $L$4, $L$3, $L$5, $L$6)/100)</f>
        <v>n/a</v>
      </c>
      <c r="AG24" s="47" t="str">
        <f ca="1">IF(ISERROR(_xll.ciqfunctions.udf.CIQ($A24,"IQ_EBITDA_MARGIN", IQ_LTM, $L$2, $L$4, $L$3, $L$5, $L$6)/100), "n/a", _xll.ciqfunctions.udf.CIQ($A24, "IQ_EBITDA_MARGIN", IQ_LTM, $L$2, $L$4, $L$3, $L$5, $L$6)/100)</f>
        <v>n/a</v>
      </c>
      <c r="AH24" s="47" t="str">
        <f ca="1">IF(ISERROR(_xll.ciqfunctions.udf.CIQ($A24,"IQ_EBIT_MARGIN", IQ_LTM, $L$2, $L$4, $L$3, $L$5, $L$6)/100), "n/a", _xll.ciqfunctions.udf.CIQ($A24, "IQ_EBIT_MARGIN", IQ_LTM, $L$2, $L$4, $L$3, $L$5, $L$6)/100)</f>
        <v>n/a</v>
      </c>
      <c r="AI24" s="47" t="str">
        <f ca="1">IF(ISERROR(_xll.ciqfunctions.udf.CIQ($A24,"IQ_NI_MARGIN", IQ_LTM, $L$2, $L$4, $L$3, $L$5, $L$6)/100), "n/a", _xll.ciqfunctions.udf.CIQ($A24, "IQ_NI_MARGIN", IQ_LTM, $L$2, $L$4, $L$3, $L$5, $L$6)/100)</f>
        <v>n/a</v>
      </c>
      <c r="AJ24" s="59" t="str">
        <f ca="1">IF(ISERROR(_xll.ciqfunctions.udf.CIQ($A24, "IQ_NET_WORKING_CAP", IQ_LTM-8, $L$2, $L$4, $L$3, $L$5, $L$6)), "n/a", _xll.ciqfunctions.udf.CIQ($A24, "IQ_NET_WORKING_CAP", IQ_LTM-8, $L$2, $L$4, $L$3, $L$5, $L$6))</f>
        <v>n/a</v>
      </c>
      <c r="AK24" s="59" t="str">
        <f ca="1">IF(ISERROR(_xll.ciqfunctions.udf.CIQ($A24, "IQ_NET_WORKING_CAP", IQ_LTM-4, $L$2, $L$4, $L$3, $L$5, $L$6)), "n/a", _xll.ciqfunctions.udf.CIQ($A24, "IQ_NET_WORKING_CAP", IQ_LTM-4, $L$2, $L$4, $L$3, $L$5, $L$6))</f>
        <v>n/a</v>
      </c>
      <c r="AL24" s="59" t="str">
        <f ca="1">IF(ISERROR(_xll.ciqfunctions.udf.CIQ($A24, "IQ_NET_WORKING_CAP", IQ_LTM, $L$2,$L$4, $L$3, $L$5, $L$6)), "n/a", _xll.ciqfunctions.udf.CIQ($A24, "IQ_NET_WORKING_CAP", IQ_LTM, $L$2, $L$4, $L$3, $L$5, $L$6))</f>
        <v>n/a</v>
      </c>
      <c r="AM24" s="59" t="str">
        <f ca="1">IF(ISERROR(_xll.ciqfunctions.udf.CIQ($A24, "IQ_Capex", IQ_LTM-8, $L$2,$L$4, $L$3, $L$5, $L$6)), "n/a", _xll.ciqfunctions.udf.CIQ($A24, "IQ_Capex", IQ_LTM-8, $L$2, $L$4, $L$3, $L$5, $L$6))</f>
        <v>n/a</v>
      </c>
      <c r="AN24" s="59" t="str">
        <f ca="1">IF(ISERROR(_xll.ciqfunctions.udf.CIQ($A24, "IQ_Capex", IQ_LTM-4, $L$2,$L$4, $L$3, $L$5, $L$6)), "n/a", _xll.ciqfunctions.udf.CIQ($A24, "IQ_Capex", IQ_LTM-4, $L$2,$L$4, $L$3, $L$5, $L$6))</f>
        <v>n/a</v>
      </c>
      <c r="AO24" s="59" t="str">
        <f ca="1">IF(ISERROR(_xll.ciqfunctions.udf.CIQ($A24, "IQ_Capex", IQ_LTM, $L$2, $L$4, $L$3, $L$5, $L$6)), "n/a", _xll.ciqfunctions.udf.CIQ($A24, "IQ_Capex", IQ_LTM, $L$2, $L$4, $L$3, $L$5, $L$6))</f>
        <v>n/a</v>
      </c>
      <c r="AP24" s="44" t="e">
        <f ca="1">_xll.ciqfunctions.udf.CIQ(A24, "IQ_BUSINESS_DESCRIPTION")</f>
        <v>#NAME?</v>
      </c>
      <c r="AQ24" s="60" t="e">
        <f ca="1">_xll.ciqfunctions.udf.CIQ($A24, "IQ_BETA_1YR", $B$1)</f>
        <v>#NAME?</v>
      </c>
      <c r="AR24" s="60" t="e">
        <f ca="1">_xll.ciqfunctions.udf.CIQ($A24, "IQ_BETA_2YR", $B$1)</f>
        <v>#NAME?</v>
      </c>
      <c r="AS24" s="60" t="e">
        <f ca="1">_xll.ciqfunctions.udf.CIQ($A24, "IQ_BETA_5YR", $B$1)</f>
        <v>#NAME?</v>
      </c>
      <c r="AT24" s="47" t="e">
        <f ca="1">_xll.ciqfunctions.udf.CIQ($A24, "IQ_DIVIDEND_YIELD", $B$1)/100</f>
        <v>#NAME?</v>
      </c>
      <c r="AU24" s="59" t="e">
        <f ca="1">_xll.ciqfunctions.udf.CIQ($A24, "IQ_EARNING_CO", IQ_LTM-8, $L$2, $L$4, $L$3, $L$5, $L$6)</f>
        <v>#NAME?</v>
      </c>
      <c r="AV24" s="59" t="e">
        <f ca="1">_xll.ciqfunctions.udf.CIQ($A24, "IQ_EARNING_CO", IQ_LTM-4, $L$2, $L$4, $L$3, $L$5, $L$6)</f>
        <v>#NAME?</v>
      </c>
      <c r="AW24" s="59" t="e">
        <f ca="1">_xll.ciqfunctions.udf.CIQ($A24, "IQ_EARNING_CO", IQ_LTM, $L$2, $L$4, $L$3, $L$5, $L$6)</f>
        <v>#NAME?</v>
      </c>
      <c r="AX24" s="59" t="e">
        <f ca="1">_xll.ciqfunctions.udf.CIQ($A24, "IQ_EARNING_CO", $B$2, $L$2, $L$4, $L$3, $L$5, $L$6)</f>
        <v>#NAME?</v>
      </c>
      <c r="AY24" s="59" t="e">
        <f ca="1">IF(_xll.ciqfunctions.udf.CIQ($A24, "IQ_EARNING_CO", $B$3, $L$2,$L$4, $L$3, $L$5, $L$6)=0,AW24,_xll.ciqfunctions.udf.CIQ($A24, "IQ_EARNING_CO", $B$3, $L$2,$L$4, $L$3, $L$5, $L$6))</f>
        <v>#NAME?</v>
      </c>
      <c r="AZ24" s="59" t="e">
        <f ca="1">_xll.ciqfunctions.udf.CIQ($A24, "IQ_TOTAL_EQUITY", IQ_LTM-8, $L$2, $L$4, $L$3, $L$5, $L$6)</f>
        <v>#NAME?</v>
      </c>
      <c r="BA24" s="59" t="e">
        <f ca="1">_xll.ciqfunctions.udf.CIQ($A24, "IQ_TOTAL_EQUITY", IQ_LTM-4, $L$2, $L$4, $L$3, $L$5, $L$6)</f>
        <v>#NAME?</v>
      </c>
      <c r="BB24" s="59" t="e">
        <f ca="1">_xll.ciqfunctions.udf.CIQ($A24, "IQ_TOTAL_EQUITY", IQ_LTM, $L$2, $L$4, $L$3, $L$5, $L$6)</f>
        <v>#NAME?</v>
      </c>
      <c r="BC24" s="59" t="e">
        <f ca="1">_xll.ciqfunctions.udf.CIQ($A24, "IQ_TOTAL_EQUITY", $B$2, $L$2, $L$4, $L$3, $L$5, $L$6)</f>
        <v>#NAME?</v>
      </c>
      <c r="BD24" s="59" t="e">
        <f ca="1">IF(_xll.ciqfunctions.udf.CIQ($A24, "IQ_TOTAL_EQUITY", $B$3, $L$2,$L$4, $L$3, $L$5, $L$6)=0,BB24,_xll.ciqfunctions.udf.CIQ($A24, "IQ_TOTAL_EQUITY", $B$3, $L$2,$L$4, $L$3, $L$5, $L$6))</f>
        <v>#NAME?</v>
      </c>
      <c r="BE24" s="59" t="e">
        <f ca="1">_xll.ciqfunctions.udf.CIQ(A24, "IQ_LASTSALEPRICE", $B$8)</f>
        <v>#NAME?</v>
      </c>
      <c r="BF24" s="59" t="e">
        <f ca="1">_xll.ciqfunctions.udf.CIQ($A24, "IQ_MARKETCAP", $B$8, $L$5, $L$6)</f>
        <v>#NAME?</v>
      </c>
      <c r="BG24" s="59" t="e">
        <f ca="1">_xll.ciqfunctions.udf.CIQ($A24, "IQ_TOTAL_DEBT", IQ_LTM, $B$8,$L$4, $L$3, $L$5, $L$6)</f>
        <v>#NAME?</v>
      </c>
      <c r="BH24" s="45" t="e">
        <f ca="1">_xll.ciqfunctions.udf.CIQ($A24,"IQ_PREF_EQUITY",IQ_LTM,$B$8,$L$4,$L$3,$L$5,$L$6)</f>
        <v>#NAME?</v>
      </c>
      <c r="BI24" s="45" t="e">
        <f ca="1">_xll.ciqfunctions.udf.CIQ($A24, "IQ_MINORITY_INTEREST_TOTAL", IQ_LTM,$B$8,$L$4,$L$3,$L$5,$L$6)</f>
        <v>#NAME?</v>
      </c>
      <c r="BJ24" s="59" t="e">
        <f ca="1">_xll.ciqfunctions.udf.CIQ($A24, "IQ_CASH_ST_INVEST", IQ_LTM, $B$8, $L$4, $L$3, $L$5, $L$6)</f>
        <v>#NAME?</v>
      </c>
      <c r="BK24" s="45" t="e">
        <f ca="1">_xll.ciqfunctions.udf.CIQ($A24, "IQ_EFFECT_TAX_RATE")</f>
        <v>#NAME?</v>
      </c>
      <c r="BL24" s="45" t="e">
        <f ca="1">IF(_xll.ciqfunctions.udf.CIQ($A24, "IQ_TOTAL_REV_2YR_ANN_CAGR", IQ_LTM, $B$1,$L$4, $L$3, $L$5, $L$6)="NM","n/a",(_xll.ciqfunctions.udf.CIQ($A24, "IQ_TOTAL_REV_2YR_ANN_CAGR", IQ_LTM, $B$1,$L$4, $L$3, $L$5, $L$6)/100))</f>
        <v>#NAME?</v>
      </c>
      <c r="BM24" s="45" t="e">
        <f ca="1">IF(_xll.ciqfunctions.udf.CIQ($A24, "IQ_TOTAL_REV_3YR_ANN_CAGR", IQ_LTM, $B$1,$L$4, $L$3, $L$5, $L$6)="NM","n/a",(_xll.ciqfunctions.udf.CIQ($A24, "IQ_TOTAL_REV_3YR_ANN_CAGR", IQ_LTM, $B$1,$L$4, $L$3, $L$5, $L$6)/100))</f>
        <v>#NAME?</v>
      </c>
      <c r="BN24" s="45" t="e">
        <f ca="1">IF(_xll.ciqfunctions.udf.CIQ($A24, "IQ_TOTAL_REV_5YR_ANN_CAGR", IQ_LTM, $B$1,$L$4, $L$3, $L$5, $L$6)="NM","n/a",(_xll.ciqfunctions.udf.CIQ($A24, "IQ_TOTAL_REV_5YR_ANN_CAGR", IQ_LTM, $B$1,$L$4, $L$3, $L$5, $L$6)/100))</f>
        <v>#NAME?</v>
      </c>
      <c r="BO24" s="45" t="e">
        <f ca="1">IF(_xll.ciqfunctions.udf.CIQ($A24,"IQ_EBITDA_2YR_ANN_CAGR", IQ_LTM,$B$1,$L$4, $L$3, $L$5, $L$6)="NM","n/a",(_xll.ciqfunctions.udf.CIQ($A24,"IQ_EBITDA_2YR_ANN_CAGR", IQ_LTM,$B$1,$L$4, $L$3, $L$5, $L$6)/100))</f>
        <v>#NAME?</v>
      </c>
      <c r="BP24" s="45" t="e">
        <f ca="1">IF(_xll.ciqfunctions.udf.CIQ($A24,"IQ_EBITDA_3YR_ANN_CAGR", IQ_LTM,$B$1,$L$4, $L$3, $L$5, $L$6)="NM","n/a",(_xll.ciqfunctions.udf.CIQ($A24,"IQ_EBITDA_3YR_ANN_CAGR", IQ_LTM,$B$1,$L$4, $L$3, $L$5, $L$6)/100))</f>
        <v>#NAME?</v>
      </c>
      <c r="BQ24" s="45" t="e">
        <f ca="1">IF(_xll.ciqfunctions.udf.CIQ($A24,"IQ_EBITDA_5YR_ANN_CAGR", IQ_LTM,$B$1,$L$4, $L$3, $L$5, $L$6)="NM","n/a",(_xll.ciqfunctions.udf.CIQ($A24,"IQ_EBITDA_5YR_ANN_CAGR", IQ_LTM,$B$1,$L$4, $L$3, $L$5, $L$6)/100))</f>
        <v>#NAME?</v>
      </c>
      <c r="BR24" s="47" t="str">
        <f ca="1">IFERROR((_xll.ciqfunctions.udf.CIQ($A24, "IQ_DA_CF", IQ_LTM, $B$1, $L$4, $L$3, $L$5, $L$6)/Q24),"NM")</f>
        <v>NM</v>
      </c>
      <c r="BS24" s="61" t="e">
        <f>'Capital IQ Sheet-GPC'!BS24</f>
        <v>#VALUE!</v>
      </c>
      <c r="BT24" s="61" t="e">
        <f>'Capital IQ Sheet-GPC'!BT24</f>
        <v>#VALUE!</v>
      </c>
      <c r="BU24" s="61" t="e">
        <f>'Capital IQ Sheet-GPC'!BU24</f>
        <v>#VALUE!</v>
      </c>
      <c r="BV24" s="61" t="e">
        <f>'Capital IQ Sheet-GPC'!BV24</f>
        <v>#VALUE!</v>
      </c>
      <c r="BW24" s="61" t="e">
        <f>'Capital IQ Sheet-GPC'!BW24</f>
        <v>#VALUE!</v>
      </c>
      <c r="BX24" s="61" t="e">
        <f>'Capital IQ Sheet-GPC'!BX24</f>
        <v>#VALUE!</v>
      </c>
      <c r="BY24" s="61" t="e">
        <f>'Capital IQ Sheet-GPC'!BY24</f>
        <v>#VALUE!</v>
      </c>
      <c r="BZ24" s="61" t="e">
        <f>'Capital IQ Sheet-GPC'!BZ24</f>
        <v>#VALUE!</v>
      </c>
      <c r="CB24" s="45">
        <v>2</v>
      </c>
      <c r="CC24" s="85" t="s">
        <v>306</v>
      </c>
      <c r="CD24" s="85" t="s">
        <v>305</v>
      </c>
      <c r="CE24" s="46">
        <f t="shared" ref="CE24:CE34" si="1">$B$1-365*CB24</f>
        <v>42515</v>
      </c>
    </row>
    <row r="25" spans="1:83" s="45" customFormat="1" ht="12.75">
      <c r="A25" s="45" t="e">
        <f ca="1">_xll.ciqfunctions.udf.CIQ($B25,"IQ_COMPANY_TICKER")</f>
        <v>#NAME?</v>
      </c>
      <c r="B25" s="45" t="str">
        <f>'Capital IQ Sheet-GPC'!B25</f>
        <v>(Invalid Identifier)</v>
      </c>
      <c r="C25" s="45" t="e">
        <f ca="1">_xll.ciqfunctions.udf.CIQ($A25,"IQ_COMPANY_NAME")</f>
        <v>#NAME?</v>
      </c>
      <c r="D25" s="45" t="e">
        <f ca="1">_xll.ciqfunctions.udf.CIQ($A25, "IQ_EXCHANGE")</f>
        <v>#NAME?</v>
      </c>
      <c r="E25" s="46" t="e">
        <f ca="1">_xll.ciqfunctions.udf.CIQ($A25, "IQ_PERIODDATE_IS", IQ_FY)</f>
        <v>#NAME?</v>
      </c>
      <c r="F25" s="46" t="e">
        <f ca="1">_xll.ciqfunctions.udf.CIQ(A25, "IQ_PERIODDATE_IS", IQ_LTM, $B$1,$L$4,$L$3)</f>
        <v>#NAME?</v>
      </c>
      <c r="G25" s="46" t="e">
        <f ca="1">_xll.ciqfunctions.udf.CIQ($A25, "IQ_FIRSTPRICINGDATE")</f>
        <v>#NAME?</v>
      </c>
      <c r="H25" s="59" t="e">
        <f ca="1">_xll.ciqfunctions.udf.CIQ($A25, "IQ_TEV", $L$2, $L$5, $L$6)</f>
        <v>#NAME?</v>
      </c>
      <c r="I25" s="59" t="e">
        <f ca="1">_xll.ciqfunctions.udf.CIQ(A25, "IQ_LASTSALEPRICE", $B$1,$L$5)</f>
        <v>#NAME?</v>
      </c>
      <c r="J25" s="59" t="e">
        <f ca="1">_xll.ciqfunctions.udf.CIQ($A25, "IQ_MARKETCAP", $L$2, $L$5, $L$6)</f>
        <v>#NAME?</v>
      </c>
      <c r="K25" s="59" t="e">
        <f ca="1">_xll.ciqfunctions.udf.CIQ($A25, "IQ_TOTAL_DEBT", IQ_LTM, $L$2,$L$4, $L$3, $L$5, $L$6)</f>
        <v>#NAME?</v>
      </c>
      <c r="L25" s="59" t="e">
        <f ca="1">_xll.ciqfunctions.udf.CIQ($A25, "IQ_PREF_EQUITY", IQ_LTM, $L$2, $L$4, $L$3, $L$5, $L$6)</f>
        <v>#NAME?</v>
      </c>
      <c r="M25" s="59" t="e">
        <f ca="1">_xll.ciqfunctions.udf.CIQ($A25, "IQ_MINORITY_INTEREST_TOTAL", IQ_LTM, $L$2, $L$4, $L$3, $L$5, $L$6)</f>
        <v>#NAME?</v>
      </c>
      <c r="N25" s="59" t="e">
        <f ca="1">_xll.ciqfunctions.udf.CIQ($A25, "IQ_CASH_ST_INVEST", IQ_LTM, $L$2, $L$4, $L$3, $L$5, $L$6)</f>
        <v>#NAME?</v>
      </c>
      <c r="O25" s="59" t="e">
        <f ca="1">_xll.ciqfunctions.udf.CIQ($A25, "IQ_TOTAL_REV", IQ_LTM-8, $L$2, $L$4, $L$3, $L$5, $L$6)</f>
        <v>#NAME?</v>
      </c>
      <c r="P25" s="59" t="e">
        <f ca="1">_xll.ciqfunctions.udf.CIQ($A25, "IQ_TOTAL_REV", IQ_LTM - 4, $L$2, $L$4, $L$3, $L$5,$L$6)</f>
        <v>#NAME?</v>
      </c>
      <c r="Q25" s="59" t="e">
        <f ca="1">_xll.ciqfunctions.udf.CIQ($A25, "IQ_TOTAL_REV", IQ_LTM, $L$2, $L$4, $L$3, $L$5, $L$6)</f>
        <v>#NAME?</v>
      </c>
      <c r="R25" s="59" t="e">
        <f ca="1">_xll.ciqfunctions.udf.CIQ($A25, "IQ_TOTAL_REV", $B$2, $L$2, $L$4, $L$3, $L$5, $L$6)</f>
        <v>#NAME?</v>
      </c>
      <c r="S25" s="59" t="e">
        <f ca="1">IF(_xll.ciqfunctions.udf.CIQ($A25, "IQ_TOTAL_REV", $B$3, $L$2,$L$4, $L$3, $L$5, $L$6)=0,Q25,_xll.ciqfunctions.udf.CIQ($A25, "IQ_TOTAL_REV", $B$3, $L$2,$L$4, $L$3, $L$5, $L$6))</f>
        <v>#NAME?</v>
      </c>
      <c r="T25" s="59" t="e">
        <f ca="1">IF(_xll.ciqfunctions.udf.CIQ($A25, "IQ_REVENUE_EST",$B$4, $L$2, "CON", $L$3, $L$5, $L$6)=0,"n/a",_xll.ciqfunctions.udf.CIQ($A25, "IQ_REVENUE_EST",$B$4, $L$2, "CON", $L$3, $L$5, $L$6))</f>
        <v>#NAME?</v>
      </c>
      <c r="U25" s="59" t="e">
        <f ca="1">IF(_xll.ciqfunctions.udf.CIQ($A25, "IQ_REVENUE_EST",$B$5, $L$2, "CON", $L$3, $L$5, $L$6)=0,"n/a",_xll.ciqfunctions.udf.CIQ($A25, "IQ_REVENUE_EST",$B$5, $L$2, "CON", $L$3, $L$5, $L$6))</f>
        <v>#NAME?</v>
      </c>
      <c r="V25" s="59" t="e">
        <f ca="1">IF(_xll.ciqfunctions.udf.CIQ($A25, "IQ_REVENUE_EST",$B$6, $L$2, "CON", $L$3, $L$5, $L$6)=0,"n/a",_xll.ciqfunctions.udf.CIQ($A25, "IQ_REVENUE_EST",$B$6, $L$2, "CON", $L$3, $L$5, $L$6))</f>
        <v>#NAME?</v>
      </c>
      <c r="W25" s="59" t="e">
        <f ca="1">IF(_xll.ciqfunctions.udf.CIQ($A25, "IQ_REVENUE_EST", $B$7, $L$2, "CON", $L$3, $L$5, $L$6)=0,"n/a",_xll.ciqfunctions.udf.CIQ($A25, "IQ_REVENUE_EST",$B$7, $L$2, "CON", $L$3, $L$5, $L$6))</f>
        <v>#NAME?</v>
      </c>
      <c r="X25" s="59" t="e">
        <f ca="1">_xll.ciqfunctions.udf.CIQ($A25, "IQ_EBITDA", IQ_LTM-8, $L$2, $L$4, $L$3, $L$5, $L$6)</f>
        <v>#NAME?</v>
      </c>
      <c r="Y25" s="59" t="e">
        <f ca="1">_xll.ciqfunctions.udf.CIQ($A25, "IQ_EBITDA", IQ_LTM-4, $L$2,$L$4, $L$3, $L$5, $L$6)</f>
        <v>#NAME?</v>
      </c>
      <c r="Z25" s="59" t="e">
        <f ca="1">_xll.ciqfunctions.udf.CIQ($A25, "IQ_EBITDA", IQ_LTM, $L$2, $L$4, $L$3, $L$5, $L$6)</f>
        <v>#NAME?</v>
      </c>
      <c r="AA25" s="59" t="e">
        <f ca="1">_xll.ciqfunctions.udf.CIQ($A25, "IQ_EBITDA", $B$2, $L$2, $L$4, $L$3, $L$5, $L$6)</f>
        <v>#NAME?</v>
      </c>
      <c r="AB25" s="59" t="e">
        <f ca="1">IF(_xll.ciqfunctions.udf.CIQ($A25, "IQ_EBITDA", $B$3, $L$2,$L$4, $L$3, $L$5, $L$6)=0,Z25,_xll.ciqfunctions.udf.CIQ($A25, "IQ_EBITDA", $B$3, $L$2,$L$4, $L$3, $L$5, $L$6))</f>
        <v>#NAME?</v>
      </c>
      <c r="AC25" s="59" t="e">
        <f ca="1">IF(_xll.ciqfunctions.udf.CIQ($A25, "IQ_EBITDA_EST",$B$4, $L$2, "CON", $L$3, $L$5, $L$6)=0,"n/a",_xll.ciqfunctions.udf.CIQ($A25, "IQ_EBITDA_EST",$B$4, $L$2, "CON", $L$3, $L$5, $L$6))</f>
        <v>#NAME?</v>
      </c>
      <c r="AD25" s="59" t="e">
        <f ca="1">IF(_xll.ciqfunctions.udf.CIQ($A25, "IQ_EBITDA_EST",$B$5, $L$2, "CON", $L$3, $L$5, $L$6)=0,"n/a",_xll.ciqfunctions.udf.CIQ($A25, "IQ_EBITDA_EST",$B$5, $L$2, "CON", $L$3, $L$5, $L$6))</f>
        <v>#NAME?</v>
      </c>
      <c r="AE25" s="59" t="e">
        <f ca="1">IF(_xll.ciqfunctions.udf.CIQ($A25, "IQ_EBITDA_EST",$B$6, $L$2, "CON", $L$3, $L$5, $L$6)=0,"n/a",_xll.ciqfunctions.udf.CIQ($A25, "IQ_EBITDA_EST",$B$6, $L$2, "CON", $L$3, $L$5, $L$6))</f>
        <v>#NAME?</v>
      </c>
      <c r="AF25" s="47" t="str">
        <f ca="1">IF(ISERROR(_xll.ciqfunctions.udf.CIQ($A25, "IQ_GROSS_MARGIN", IQ_LTM, $L$2,$L$4, $L$3, $L$5, $L$6)/100), "n/a", _xll.ciqfunctions.udf.CIQ($A25,  "IQ_GROSS_MARGIN", IQ_LTM, $L$2, $L$4, $L$3, $L$5, $L$6)/100)</f>
        <v>n/a</v>
      </c>
      <c r="AG25" s="47" t="str">
        <f ca="1">IF(ISERROR(_xll.ciqfunctions.udf.CIQ($A25,"IQ_EBITDA_MARGIN", IQ_LTM, $L$2, $L$4, $L$3, $L$5, $L$6)/100), "n/a", _xll.ciqfunctions.udf.CIQ($A25, "IQ_EBITDA_MARGIN", IQ_LTM, $L$2, $L$4, $L$3, $L$5, $L$6)/100)</f>
        <v>n/a</v>
      </c>
      <c r="AH25" s="47" t="str">
        <f ca="1">IF(ISERROR(_xll.ciqfunctions.udf.CIQ($A25,"IQ_EBIT_MARGIN", IQ_LTM, $L$2, $L$4, $L$3, $L$5, $L$6)/100), "n/a", _xll.ciqfunctions.udf.CIQ($A25, "IQ_EBIT_MARGIN", IQ_LTM, $L$2, $L$4, $L$3, $L$5, $L$6)/100)</f>
        <v>n/a</v>
      </c>
      <c r="AI25" s="47" t="str">
        <f ca="1">IF(ISERROR(_xll.ciqfunctions.udf.CIQ($A25,"IQ_NI_MARGIN", IQ_LTM, $L$2, $L$4, $L$3, $L$5, $L$6)/100), "n/a", _xll.ciqfunctions.udf.CIQ($A25, "IQ_NI_MARGIN", IQ_LTM, $L$2, $L$4, $L$3, $L$5, $L$6)/100)</f>
        <v>n/a</v>
      </c>
      <c r="AJ25" s="59" t="str">
        <f ca="1">IF(ISERROR(_xll.ciqfunctions.udf.CIQ($A25, "IQ_NET_WORKING_CAP", IQ_LTM-8, $L$2, $L$4, $L$3, $L$5, $L$6)), "n/a", _xll.ciqfunctions.udf.CIQ($A25, "IQ_NET_WORKING_CAP", IQ_LTM-8, $L$2, $L$4, $L$3, $L$5, $L$6))</f>
        <v>n/a</v>
      </c>
      <c r="AK25" s="59" t="str">
        <f ca="1">IF(ISERROR(_xll.ciqfunctions.udf.CIQ($A25, "IQ_NET_WORKING_CAP", IQ_LTM-4, $L$2, $L$4, $L$3, $L$5, $L$6)), "n/a", _xll.ciqfunctions.udf.CIQ($A25, "IQ_NET_WORKING_CAP", IQ_LTM-4, $L$2, $L$4, $L$3, $L$5, $L$6))</f>
        <v>n/a</v>
      </c>
      <c r="AL25" s="59" t="str">
        <f ca="1">IF(ISERROR(_xll.ciqfunctions.udf.CIQ($A25, "IQ_NET_WORKING_CAP", IQ_LTM, $L$2,$L$4, $L$3, $L$5, $L$6)), "n/a", _xll.ciqfunctions.udf.CIQ($A25, "IQ_NET_WORKING_CAP", IQ_LTM, $L$2, $L$4, $L$3, $L$5, $L$6))</f>
        <v>n/a</v>
      </c>
      <c r="AM25" s="59" t="str">
        <f ca="1">IF(ISERROR(_xll.ciqfunctions.udf.CIQ($A25, "IQ_Capex", IQ_LTM-8, $L$2,$L$4, $L$3, $L$5, $L$6)), "n/a", _xll.ciqfunctions.udf.CIQ($A25, "IQ_Capex", IQ_LTM-8, $L$2, $L$4, $L$3, $L$5, $L$6))</f>
        <v>n/a</v>
      </c>
      <c r="AN25" s="59" t="str">
        <f ca="1">IF(ISERROR(_xll.ciqfunctions.udf.CIQ($A25, "IQ_Capex", IQ_LTM-4, $L$2,$L$4, $L$3, $L$5, $L$6)), "n/a", _xll.ciqfunctions.udf.CIQ($A25, "IQ_Capex", IQ_LTM-4, $L$2,$L$4, $L$3, $L$5, $L$6))</f>
        <v>n/a</v>
      </c>
      <c r="AO25" s="59" t="str">
        <f ca="1">IF(ISERROR(_xll.ciqfunctions.udf.CIQ($A25, "IQ_Capex", IQ_LTM, $L$2, $L$4, $L$3, $L$5, $L$6)), "n/a", _xll.ciqfunctions.udf.CIQ($A25, "IQ_Capex", IQ_LTM, $L$2, $L$4, $L$3, $L$5, $L$6))</f>
        <v>n/a</v>
      </c>
      <c r="AP25" s="44" t="e">
        <f ca="1">_xll.ciqfunctions.udf.CIQ(A25, "IQ_BUSINESS_DESCRIPTION")</f>
        <v>#NAME?</v>
      </c>
      <c r="AQ25" s="60" t="e">
        <f ca="1">_xll.ciqfunctions.udf.CIQ($A25, "IQ_BETA_1YR", $B$1)</f>
        <v>#NAME?</v>
      </c>
      <c r="AR25" s="60" t="e">
        <f ca="1">_xll.ciqfunctions.udf.CIQ($A25, "IQ_BETA_2YR", $B$1)</f>
        <v>#NAME?</v>
      </c>
      <c r="AS25" s="60" t="e">
        <f ca="1">_xll.ciqfunctions.udf.CIQ($A25, "IQ_BETA_5YR", $B$1)</f>
        <v>#NAME?</v>
      </c>
      <c r="AT25" s="47" t="e">
        <f ca="1">_xll.ciqfunctions.udf.CIQ($A25, "IQ_DIVIDEND_YIELD", $B$1)/100</f>
        <v>#NAME?</v>
      </c>
      <c r="AU25" s="59" t="e">
        <f ca="1">_xll.ciqfunctions.udf.CIQ($A25, "IQ_EARNING_CO", IQ_LTM-8, $L$2, $L$4, $L$3, $L$5, $L$6)</f>
        <v>#NAME?</v>
      </c>
      <c r="AV25" s="59" t="e">
        <f ca="1">_xll.ciqfunctions.udf.CIQ($A25, "IQ_EARNING_CO", IQ_LTM-4, $L$2, $L$4, $L$3, $L$5, $L$6)</f>
        <v>#NAME?</v>
      </c>
      <c r="AW25" s="59" t="e">
        <f ca="1">_xll.ciqfunctions.udf.CIQ($A25, "IQ_EARNING_CO", IQ_LTM, $L$2, $L$4, $L$3, $L$5, $L$6)</f>
        <v>#NAME?</v>
      </c>
      <c r="AX25" s="59" t="e">
        <f ca="1">_xll.ciqfunctions.udf.CIQ($A25, "IQ_EARNING_CO", $B$2, $L$2, $L$4, $L$3, $L$5, $L$6)</f>
        <v>#NAME?</v>
      </c>
      <c r="AY25" s="59" t="e">
        <f ca="1">IF(_xll.ciqfunctions.udf.CIQ($A25, "IQ_EARNING_CO", $B$3, $L$2,$L$4, $L$3, $L$5, $L$6)=0,AW25,_xll.ciqfunctions.udf.CIQ($A25, "IQ_EARNING_CO", $B$3, $L$2,$L$4, $L$3, $L$5, $L$6))</f>
        <v>#NAME?</v>
      </c>
      <c r="AZ25" s="59" t="e">
        <f ca="1">_xll.ciqfunctions.udf.CIQ($A25, "IQ_TOTAL_EQUITY", IQ_LTM-8, $L$2, $L$4, $L$3, $L$5, $L$6)</f>
        <v>#NAME?</v>
      </c>
      <c r="BA25" s="59" t="e">
        <f ca="1">_xll.ciqfunctions.udf.CIQ($A25, "IQ_TOTAL_EQUITY", IQ_LTM-4, $L$2, $L$4, $L$3, $L$5, $L$6)</f>
        <v>#NAME?</v>
      </c>
      <c r="BB25" s="59" t="e">
        <f ca="1">_xll.ciqfunctions.udf.CIQ($A25, "IQ_TOTAL_EQUITY", IQ_LTM, $L$2, $L$4, $L$3, $L$5, $L$6)</f>
        <v>#NAME?</v>
      </c>
      <c r="BC25" s="59" t="e">
        <f ca="1">_xll.ciqfunctions.udf.CIQ($A25, "IQ_TOTAL_EQUITY", $B$2, $L$2, $L$4, $L$3, $L$5, $L$6)</f>
        <v>#NAME?</v>
      </c>
      <c r="BD25" s="59" t="e">
        <f ca="1">IF(_xll.ciqfunctions.udf.CIQ($A25, "IQ_TOTAL_EQUITY", $B$3, $L$2,$L$4, $L$3, $L$5, $L$6)=0,BB25,_xll.ciqfunctions.udf.CIQ($A25, "IQ_TOTAL_EQUITY", $B$3, $L$2,$L$4, $L$3, $L$5, $L$6))</f>
        <v>#NAME?</v>
      </c>
      <c r="BE25" s="59" t="e">
        <f ca="1">_xll.ciqfunctions.udf.CIQ(A25, "IQ_LASTSALEPRICE", $B$8)</f>
        <v>#NAME?</v>
      </c>
      <c r="BF25" s="59" t="e">
        <f ca="1">_xll.ciqfunctions.udf.CIQ($A25, "IQ_MARKETCAP", $B$8, $L$5, $L$6)</f>
        <v>#NAME?</v>
      </c>
      <c r="BG25" s="59" t="e">
        <f ca="1">_xll.ciqfunctions.udf.CIQ($A25, "IQ_TOTAL_DEBT", IQ_LTM, $B$8,$L$4, $L$3, $L$5, $L$6)</f>
        <v>#NAME?</v>
      </c>
      <c r="BH25" s="45" t="e">
        <f ca="1">_xll.ciqfunctions.udf.CIQ($A25,"IQ_PREF_EQUITY",IQ_LTM,$B$8,$L$4,$L$3,$L$5,$L$6)</f>
        <v>#NAME?</v>
      </c>
      <c r="BI25" s="45" t="e">
        <f ca="1">_xll.ciqfunctions.udf.CIQ($A25, "IQ_MINORITY_INTEREST_TOTAL", IQ_LTM,$B$8,$L$4,$L$3,$L$5,$L$6)</f>
        <v>#NAME?</v>
      </c>
      <c r="BJ25" s="59" t="e">
        <f ca="1">_xll.ciqfunctions.udf.CIQ($A25, "IQ_CASH_ST_INVEST", IQ_LTM, $B$8, $L$4, $L$3, $L$5, $L$6)</f>
        <v>#NAME?</v>
      </c>
      <c r="BK25" s="45" t="e">
        <f ca="1">_xll.ciqfunctions.udf.CIQ($A25, "IQ_EFFECT_TAX_RATE")</f>
        <v>#NAME?</v>
      </c>
      <c r="BL25" s="45" t="e">
        <f ca="1">IF(_xll.ciqfunctions.udf.CIQ($A25, "IQ_TOTAL_REV_2YR_ANN_CAGR", IQ_LTM, $B$1,$L$4, $L$3, $L$5, $L$6)="NM","n/a",(_xll.ciqfunctions.udf.CIQ($A25, "IQ_TOTAL_REV_2YR_ANN_CAGR", IQ_LTM, $B$1,$L$4, $L$3, $L$5, $L$6)/100))</f>
        <v>#NAME?</v>
      </c>
      <c r="BM25" s="45" t="e">
        <f ca="1">IF(_xll.ciqfunctions.udf.CIQ($A25, "IQ_TOTAL_REV_3YR_ANN_CAGR", IQ_LTM, $B$1,$L$4, $L$3, $L$5, $L$6)="NM","n/a",(_xll.ciqfunctions.udf.CIQ($A25, "IQ_TOTAL_REV_3YR_ANN_CAGR", IQ_LTM, $B$1,$L$4, $L$3, $L$5, $L$6)/100))</f>
        <v>#NAME?</v>
      </c>
      <c r="BN25" s="45" t="e">
        <f ca="1">IF(_xll.ciqfunctions.udf.CIQ($A25, "IQ_TOTAL_REV_5YR_ANN_CAGR", IQ_LTM, $B$1,$L$4, $L$3, $L$5, $L$6)="NM","n/a",(_xll.ciqfunctions.udf.CIQ($A25, "IQ_TOTAL_REV_5YR_ANN_CAGR", IQ_LTM, $B$1,$L$4, $L$3, $L$5, $L$6)/100))</f>
        <v>#NAME?</v>
      </c>
      <c r="BO25" s="45" t="e">
        <f ca="1">IF(_xll.ciqfunctions.udf.CIQ($A25,"IQ_EBITDA_2YR_ANN_CAGR", IQ_LTM,$B$1,$L$4, $L$3, $L$5, $L$6)="NM","n/a",(_xll.ciqfunctions.udf.CIQ($A25,"IQ_EBITDA_2YR_ANN_CAGR", IQ_LTM,$B$1,$L$4, $L$3, $L$5, $L$6)/100))</f>
        <v>#NAME?</v>
      </c>
      <c r="BP25" s="45" t="e">
        <f ca="1">IF(_xll.ciqfunctions.udf.CIQ($A25,"IQ_EBITDA_3YR_ANN_CAGR", IQ_LTM,$B$1,$L$4, $L$3, $L$5, $L$6)="NM","n/a",(_xll.ciqfunctions.udf.CIQ($A25,"IQ_EBITDA_3YR_ANN_CAGR", IQ_LTM,$B$1,$L$4, $L$3, $L$5, $L$6)/100))</f>
        <v>#NAME?</v>
      </c>
      <c r="BQ25" s="45" t="e">
        <f ca="1">IF(_xll.ciqfunctions.udf.CIQ($A25,"IQ_EBITDA_5YR_ANN_CAGR", IQ_LTM,$B$1,$L$4, $L$3, $L$5, $L$6)="NM","n/a",(_xll.ciqfunctions.udf.CIQ($A25,"IQ_EBITDA_5YR_ANN_CAGR", IQ_LTM,$B$1,$L$4, $L$3, $L$5, $L$6)/100))</f>
        <v>#NAME?</v>
      </c>
      <c r="BR25" s="47" t="str">
        <f ca="1">IFERROR((_xll.ciqfunctions.udf.CIQ($A25, "IQ_DA_CF", IQ_LTM, $B$1, $L$4, $L$3, $L$5, $L$6)/Q25),"NM")</f>
        <v>NM</v>
      </c>
      <c r="BS25" s="61" t="e">
        <f>'Capital IQ Sheet-GPC'!BS25</f>
        <v>#VALUE!</v>
      </c>
      <c r="BT25" s="61" t="e">
        <f>'Capital IQ Sheet-GPC'!BT25</f>
        <v>#VALUE!</v>
      </c>
      <c r="BU25" s="61" t="e">
        <f>'Capital IQ Sheet-GPC'!BU25</f>
        <v>#VALUE!</v>
      </c>
      <c r="BV25" s="61" t="e">
        <f>'Capital IQ Sheet-GPC'!BV25</f>
        <v>#VALUE!</v>
      </c>
      <c r="BW25" s="61" t="e">
        <f>'Capital IQ Sheet-GPC'!BW25</f>
        <v>#VALUE!</v>
      </c>
      <c r="BX25" s="61" t="e">
        <f>'Capital IQ Sheet-GPC'!BX25</f>
        <v>#VALUE!</v>
      </c>
      <c r="BY25" s="61" t="e">
        <f>'Capital IQ Sheet-GPC'!BY25</f>
        <v>#VALUE!</v>
      </c>
      <c r="BZ25" s="61" t="e">
        <f>'Capital IQ Sheet-GPC'!BZ25</f>
        <v>#VALUE!</v>
      </c>
      <c r="CB25" s="45">
        <v>2</v>
      </c>
      <c r="CC25" s="85" t="s">
        <v>306</v>
      </c>
      <c r="CD25" s="85" t="s">
        <v>305</v>
      </c>
      <c r="CE25" s="46">
        <f t="shared" si="1"/>
        <v>42515</v>
      </c>
    </row>
    <row r="26" spans="1:83" s="45" customFormat="1" ht="12.75">
      <c r="A26" s="45" t="e">
        <f ca="1">_xll.ciqfunctions.udf.CIQ($B26,"IQ_COMPANY_TICKER")</f>
        <v>#NAME?</v>
      </c>
      <c r="B26" s="45" t="str">
        <f>'Capital IQ Sheet-GPC'!B26</f>
        <v>(Invalid Identifier)</v>
      </c>
      <c r="C26" s="45" t="e">
        <f ca="1">_xll.ciqfunctions.udf.CIQ($A26,"IQ_COMPANY_NAME")</f>
        <v>#NAME?</v>
      </c>
      <c r="D26" s="45" t="e">
        <f ca="1">_xll.ciqfunctions.udf.CIQ($A26, "IQ_EXCHANGE")</f>
        <v>#NAME?</v>
      </c>
      <c r="E26" s="46" t="e">
        <f ca="1">_xll.ciqfunctions.udf.CIQ($A26, "IQ_PERIODDATE_IS", IQ_FY)</f>
        <v>#NAME?</v>
      </c>
      <c r="F26" s="46" t="e">
        <f ca="1">_xll.ciqfunctions.udf.CIQ(A26, "IQ_PERIODDATE_IS", IQ_LTM, $B$1,$L$4,$L$3)</f>
        <v>#NAME?</v>
      </c>
      <c r="G26" s="46" t="e">
        <f ca="1">_xll.ciqfunctions.udf.CIQ($A26, "IQ_FIRSTPRICINGDATE")</f>
        <v>#NAME?</v>
      </c>
      <c r="H26" s="59" t="e">
        <f ca="1">_xll.ciqfunctions.udf.CIQ($A26, "IQ_TEV", $L$2, $L$5, $L$6)</f>
        <v>#NAME?</v>
      </c>
      <c r="I26" s="59" t="e">
        <f ca="1">_xll.ciqfunctions.udf.CIQ(A26, "IQ_LASTSALEPRICE", $B$1,$L$5)</f>
        <v>#NAME?</v>
      </c>
      <c r="J26" s="59" t="e">
        <f ca="1">_xll.ciqfunctions.udf.CIQ($A26, "IQ_MARKETCAP", $L$2, $L$5, $L$6)</f>
        <v>#NAME?</v>
      </c>
      <c r="K26" s="59" t="e">
        <f ca="1">_xll.ciqfunctions.udf.CIQ($A26, "IQ_TOTAL_DEBT", IQ_LTM, $L$2,$L$4, $L$3, $L$5, $L$6)</f>
        <v>#NAME?</v>
      </c>
      <c r="L26" s="59" t="e">
        <f ca="1">_xll.ciqfunctions.udf.CIQ($A26, "IQ_PREF_EQUITY", IQ_LTM, $L$2, $L$4, $L$3, $L$5, $L$6)</f>
        <v>#NAME?</v>
      </c>
      <c r="M26" s="59" t="e">
        <f ca="1">_xll.ciqfunctions.udf.CIQ($A26, "IQ_MINORITY_INTEREST_TOTAL", IQ_LTM, $L$2, $L$4, $L$3, $L$5, $L$6)</f>
        <v>#NAME?</v>
      </c>
      <c r="N26" s="59" t="e">
        <f ca="1">_xll.ciqfunctions.udf.CIQ($A26, "IQ_CASH_ST_INVEST", IQ_LTM, $L$2, $L$4, $L$3, $L$5, $L$6)</f>
        <v>#NAME?</v>
      </c>
      <c r="O26" s="59" t="e">
        <f ca="1">_xll.ciqfunctions.udf.CIQ($A26, "IQ_TOTAL_REV", IQ_LTM-8, $L$2, $L$4, $L$3, $L$5, $L$6)</f>
        <v>#NAME?</v>
      </c>
      <c r="P26" s="59" t="e">
        <f ca="1">_xll.ciqfunctions.udf.CIQ($A26, "IQ_TOTAL_REV", IQ_LTM - 4, $L$2, $L$4, $L$3, $L$5,$L$6)</f>
        <v>#NAME?</v>
      </c>
      <c r="Q26" s="59" t="e">
        <f ca="1">_xll.ciqfunctions.udf.CIQ($A26, "IQ_TOTAL_REV", IQ_LTM, $L$2, $L$4, $L$3, $L$5, $L$6)</f>
        <v>#NAME?</v>
      </c>
      <c r="R26" s="59" t="e">
        <f ca="1">_xll.ciqfunctions.udf.CIQ($A26, "IQ_TOTAL_REV", $B$2, $L$2, $L$4, $L$3, $L$5, $L$6)</f>
        <v>#NAME?</v>
      </c>
      <c r="S26" s="59" t="e">
        <f ca="1">IF(_xll.ciqfunctions.udf.CIQ($A26, "IQ_TOTAL_REV", $B$3, $L$2,$L$4, $L$3, $L$5, $L$6)=0,Q26,_xll.ciqfunctions.udf.CIQ($A26, "IQ_TOTAL_REV", $B$3, $L$2,$L$4, $L$3, $L$5, $L$6))</f>
        <v>#NAME?</v>
      </c>
      <c r="T26" s="59" t="e">
        <f ca="1">IF(_xll.ciqfunctions.udf.CIQ($A26, "IQ_REVENUE_EST",$B$4, $L$2, "CON", $L$3, $L$5, $L$6)=0,"n/a",_xll.ciqfunctions.udf.CIQ($A26, "IQ_REVENUE_EST",$B$4, $L$2, "CON", $L$3, $L$5, $L$6))</f>
        <v>#NAME?</v>
      </c>
      <c r="U26" s="59" t="e">
        <f ca="1">IF(_xll.ciqfunctions.udf.CIQ($A26, "IQ_REVENUE_EST",$B$5, $L$2, "CON", $L$3, $L$5, $L$6)=0,"n/a",_xll.ciqfunctions.udf.CIQ($A26, "IQ_REVENUE_EST",$B$5, $L$2, "CON", $L$3, $L$5, $L$6))</f>
        <v>#NAME?</v>
      </c>
      <c r="V26" s="59" t="e">
        <f ca="1">IF(_xll.ciqfunctions.udf.CIQ($A26, "IQ_REVENUE_EST",$B$6, $L$2, "CON", $L$3, $L$5, $L$6)=0,"n/a",_xll.ciqfunctions.udf.CIQ($A26, "IQ_REVENUE_EST",$B$6, $L$2, "CON", $L$3, $L$5, $L$6))</f>
        <v>#NAME?</v>
      </c>
      <c r="W26" s="59" t="e">
        <f ca="1">IF(_xll.ciqfunctions.udf.CIQ($A26, "IQ_REVENUE_EST", $B$7, $L$2, "CON", $L$3, $L$5, $L$6)=0,"n/a",_xll.ciqfunctions.udf.CIQ($A26, "IQ_REVENUE_EST",$B$7, $L$2, "CON", $L$3, $L$5, $L$6))</f>
        <v>#NAME?</v>
      </c>
      <c r="X26" s="59" t="e">
        <f ca="1">_xll.ciqfunctions.udf.CIQ($A26, "IQ_EBITDA", IQ_LTM-8, $L$2, $L$4, $L$3, $L$5, $L$6)</f>
        <v>#NAME?</v>
      </c>
      <c r="Y26" s="59" t="e">
        <f ca="1">_xll.ciqfunctions.udf.CIQ($A26, "IQ_EBITDA", IQ_LTM-4, $L$2,$L$4, $L$3, $L$5, $L$6)</f>
        <v>#NAME?</v>
      </c>
      <c r="Z26" s="59" t="e">
        <f ca="1">_xll.ciqfunctions.udf.CIQ($A26, "IQ_EBITDA", IQ_LTM, $L$2, $L$4, $L$3, $L$5, $L$6)</f>
        <v>#NAME?</v>
      </c>
      <c r="AA26" s="59" t="e">
        <f ca="1">_xll.ciqfunctions.udf.CIQ($A26, "IQ_EBITDA", $B$2, $L$2, $L$4, $L$3, $L$5, $L$6)</f>
        <v>#NAME?</v>
      </c>
      <c r="AB26" s="59" t="e">
        <f ca="1">IF(_xll.ciqfunctions.udf.CIQ($A26, "IQ_EBITDA", $B$3, $L$2,$L$4, $L$3, $L$5, $L$6)=0,Z26,_xll.ciqfunctions.udf.CIQ($A26, "IQ_EBITDA", $B$3, $L$2,$L$4, $L$3, $L$5, $L$6))</f>
        <v>#NAME?</v>
      </c>
      <c r="AC26" s="59" t="e">
        <f ca="1">IF(_xll.ciqfunctions.udf.CIQ($A26, "IQ_EBITDA_EST",$B$4, $L$2, "CON", $L$3, $L$5, $L$6)=0,"n/a",_xll.ciqfunctions.udf.CIQ($A26, "IQ_EBITDA_EST",$B$4, $L$2, "CON", $L$3, $L$5, $L$6))</f>
        <v>#NAME?</v>
      </c>
      <c r="AD26" s="59" t="e">
        <f ca="1">IF(_xll.ciqfunctions.udf.CIQ($A26, "IQ_EBITDA_EST",$B$5, $L$2, "CON", $L$3, $L$5, $L$6)=0,"n/a",_xll.ciqfunctions.udf.CIQ($A26, "IQ_EBITDA_EST",$B$5, $L$2, "CON", $L$3, $L$5, $L$6))</f>
        <v>#NAME?</v>
      </c>
      <c r="AE26" s="59" t="e">
        <f ca="1">IF(_xll.ciqfunctions.udf.CIQ($A26, "IQ_EBITDA_EST",$B$6, $L$2, "CON", $L$3, $L$5, $L$6)=0,"n/a",_xll.ciqfunctions.udf.CIQ($A26, "IQ_EBITDA_EST",$B$6, $L$2, "CON", $L$3, $L$5, $L$6))</f>
        <v>#NAME?</v>
      </c>
      <c r="AF26" s="47" t="str">
        <f ca="1">IF(ISERROR(_xll.ciqfunctions.udf.CIQ($A26, "IQ_GROSS_MARGIN", IQ_LTM, $L$2,$L$4, $L$3, $L$5, $L$6)/100), "n/a", _xll.ciqfunctions.udf.CIQ($A26,  "IQ_GROSS_MARGIN", IQ_LTM, $L$2, $L$4, $L$3, $L$5, $L$6)/100)</f>
        <v>n/a</v>
      </c>
      <c r="AG26" s="47" t="str">
        <f ca="1">IF(ISERROR(_xll.ciqfunctions.udf.CIQ($A26,"IQ_EBITDA_MARGIN", IQ_LTM, $L$2, $L$4, $L$3, $L$5, $L$6)/100), "n/a", _xll.ciqfunctions.udf.CIQ($A26, "IQ_EBITDA_MARGIN", IQ_LTM, $L$2, $L$4, $L$3, $L$5, $L$6)/100)</f>
        <v>n/a</v>
      </c>
      <c r="AH26" s="47" t="str">
        <f ca="1">IF(ISERROR(_xll.ciqfunctions.udf.CIQ($A26,"IQ_EBIT_MARGIN", IQ_LTM, $L$2, $L$4, $L$3, $L$5, $L$6)/100), "n/a", _xll.ciqfunctions.udf.CIQ($A26, "IQ_EBIT_MARGIN", IQ_LTM, $L$2, $L$4, $L$3, $L$5, $L$6)/100)</f>
        <v>n/a</v>
      </c>
      <c r="AI26" s="47" t="str">
        <f ca="1">IF(ISERROR(_xll.ciqfunctions.udf.CIQ($A26,"IQ_NI_MARGIN", IQ_LTM, $L$2, $L$4, $L$3, $L$5, $L$6)/100), "n/a", _xll.ciqfunctions.udf.CIQ($A26, "IQ_NI_MARGIN", IQ_LTM, $L$2, $L$4, $L$3, $L$5, $L$6)/100)</f>
        <v>n/a</v>
      </c>
      <c r="AJ26" s="59" t="str">
        <f ca="1">IF(ISERROR(_xll.ciqfunctions.udf.CIQ($A26, "IQ_NET_WORKING_CAP", IQ_LTM-8, $L$2, $L$4, $L$3, $L$5, $L$6)), "n/a", _xll.ciqfunctions.udf.CIQ($A26, "IQ_NET_WORKING_CAP", IQ_LTM-8, $L$2, $L$4, $L$3, $L$5, $L$6))</f>
        <v>n/a</v>
      </c>
      <c r="AK26" s="59" t="str">
        <f ca="1">IF(ISERROR(_xll.ciqfunctions.udf.CIQ($A26, "IQ_NET_WORKING_CAP", IQ_LTM-4, $L$2, $L$4, $L$3, $L$5, $L$6)), "n/a", _xll.ciqfunctions.udf.CIQ($A26, "IQ_NET_WORKING_CAP", IQ_LTM-4, $L$2, $L$4, $L$3, $L$5, $L$6))</f>
        <v>n/a</v>
      </c>
      <c r="AL26" s="59" t="str">
        <f ca="1">IF(ISERROR(_xll.ciqfunctions.udf.CIQ($A26, "IQ_NET_WORKING_CAP", IQ_LTM, $L$2,$L$4, $L$3, $L$5, $L$6)), "n/a", _xll.ciqfunctions.udf.CIQ($A26, "IQ_NET_WORKING_CAP", IQ_LTM, $L$2, $L$4, $L$3, $L$5, $L$6))</f>
        <v>n/a</v>
      </c>
      <c r="AM26" s="59" t="str">
        <f ca="1">IF(ISERROR(_xll.ciqfunctions.udf.CIQ($A26, "IQ_Capex", IQ_LTM-8, $L$2,$L$4, $L$3, $L$5, $L$6)), "n/a", _xll.ciqfunctions.udf.CIQ($A26, "IQ_Capex", IQ_LTM-8, $L$2, $L$4, $L$3, $L$5, $L$6))</f>
        <v>n/a</v>
      </c>
      <c r="AN26" s="59" t="str">
        <f ca="1">IF(ISERROR(_xll.ciqfunctions.udf.CIQ($A26, "IQ_Capex", IQ_LTM-4, $L$2,$L$4, $L$3, $L$5, $L$6)), "n/a", _xll.ciqfunctions.udf.CIQ($A26, "IQ_Capex", IQ_LTM-4, $L$2,$L$4, $L$3, $L$5, $L$6))</f>
        <v>n/a</v>
      </c>
      <c r="AO26" s="59" t="str">
        <f ca="1">IF(ISERROR(_xll.ciqfunctions.udf.CIQ($A26, "IQ_Capex", IQ_LTM, $L$2, $L$4, $L$3, $L$5, $L$6)), "n/a", _xll.ciqfunctions.udf.CIQ($A26, "IQ_Capex", IQ_LTM, $L$2, $L$4, $L$3, $L$5, $L$6))</f>
        <v>n/a</v>
      </c>
      <c r="AP26" s="44" t="e">
        <f ca="1">_xll.ciqfunctions.udf.CIQ(A26, "IQ_BUSINESS_DESCRIPTION")</f>
        <v>#NAME?</v>
      </c>
      <c r="AQ26" s="60" t="e">
        <f ca="1">_xll.ciqfunctions.udf.CIQ($A26, "IQ_BETA_1YR", $B$1)</f>
        <v>#NAME?</v>
      </c>
      <c r="AR26" s="60" t="e">
        <f ca="1">_xll.ciqfunctions.udf.CIQ($A26, "IQ_BETA_2YR", $B$1)</f>
        <v>#NAME?</v>
      </c>
      <c r="AS26" s="60" t="e">
        <f ca="1">_xll.ciqfunctions.udf.CIQ($A26, "IQ_BETA_5YR", $B$1)</f>
        <v>#NAME?</v>
      </c>
      <c r="AT26" s="47" t="e">
        <f ca="1">_xll.ciqfunctions.udf.CIQ($A26, "IQ_DIVIDEND_YIELD", $B$1)/100</f>
        <v>#NAME?</v>
      </c>
      <c r="AU26" s="59" t="e">
        <f ca="1">_xll.ciqfunctions.udf.CIQ($A26, "IQ_EARNING_CO", IQ_LTM-8, $L$2, $L$4, $L$3, $L$5, $L$6)</f>
        <v>#NAME?</v>
      </c>
      <c r="AV26" s="59" t="e">
        <f ca="1">_xll.ciqfunctions.udf.CIQ($A26, "IQ_EARNING_CO", IQ_LTM-4, $L$2, $L$4, $L$3, $L$5, $L$6)</f>
        <v>#NAME?</v>
      </c>
      <c r="AW26" s="59" t="e">
        <f ca="1">_xll.ciqfunctions.udf.CIQ($A26, "IQ_EARNING_CO", IQ_LTM, $L$2, $L$4, $L$3, $L$5, $L$6)</f>
        <v>#NAME?</v>
      </c>
      <c r="AX26" s="59" t="e">
        <f ca="1">_xll.ciqfunctions.udf.CIQ($A26, "IQ_EARNING_CO", $B$2, $L$2, $L$4, $L$3, $L$5, $L$6)</f>
        <v>#NAME?</v>
      </c>
      <c r="AY26" s="59" t="e">
        <f ca="1">IF(_xll.ciqfunctions.udf.CIQ($A26, "IQ_EARNING_CO", $B$3, $L$2,$L$4, $L$3, $L$5, $L$6)=0,AW26,_xll.ciqfunctions.udf.CIQ($A26, "IQ_EARNING_CO", $B$3, $L$2,$L$4, $L$3, $L$5, $L$6))</f>
        <v>#NAME?</v>
      </c>
      <c r="AZ26" s="59" t="e">
        <f ca="1">_xll.ciqfunctions.udf.CIQ($A26, "IQ_TOTAL_EQUITY", IQ_LTM-8, $L$2, $L$4, $L$3, $L$5, $L$6)</f>
        <v>#NAME?</v>
      </c>
      <c r="BA26" s="59" t="e">
        <f ca="1">_xll.ciqfunctions.udf.CIQ($A26, "IQ_TOTAL_EQUITY", IQ_LTM-4, $L$2, $L$4, $L$3, $L$5, $L$6)</f>
        <v>#NAME?</v>
      </c>
      <c r="BB26" s="59" t="e">
        <f ca="1">_xll.ciqfunctions.udf.CIQ($A26, "IQ_TOTAL_EQUITY", IQ_LTM, $L$2, $L$4, $L$3, $L$5, $L$6)</f>
        <v>#NAME?</v>
      </c>
      <c r="BC26" s="59" t="e">
        <f ca="1">_xll.ciqfunctions.udf.CIQ($A26, "IQ_TOTAL_EQUITY", $B$2, $L$2, $L$4, $L$3, $L$5, $L$6)</f>
        <v>#NAME?</v>
      </c>
      <c r="BD26" s="59" t="e">
        <f ca="1">IF(_xll.ciqfunctions.udf.CIQ($A26, "IQ_TOTAL_EQUITY", $B$3, $L$2,$L$4, $L$3, $L$5, $L$6)=0,BB26,_xll.ciqfunctions.udf.CIQ($A26, "IQ_TOTAL_EQUITY", $B$3, $L$2,$L$4, $L$3, $L$5, $L$6))</f>
        <v>#NAME?</v>
      </c>
      <c r="BE26" s="59" t="e">
        <f ca="1">_xll.ciqfunctions.udf.CIQ(A26, "IQ_LASTSALEPRICE", $B$8)</f>
        <v>#NAME?</v>
      </c>
      <c r="BF26" s="59" t="e">
        <f ca="1">_xll.ciqfunctions.udf.CIQ($A26, "IQ_MARKETCAP", $B$8, $L$5, $L$6)</f>
        <v>#NAME?</v>
      </c>
      <c r="BG26" s="59" t="e">
        <f ca="1">_xll.ciqfunctions.udf.CIQ($A26, "IQ_TOTAL_DEBT", IQ_LTM, $B$8,$L$4, $L$3, $L$5, $L$6)</f>
        <v>#NAME?</v>
      </c>
      <c r="BH26" s="45" t="e">
        <f ca="1">_xll.ciqfunctions.udf.CIQ($A26,"IQ_PREF_EQUITY",IQ_LTM,$B$8,$L$4,$L$3,$L$5,$L$6)</f>
        <v>#NAME?</v>
      </c>
      <c r="BI26" s="45" t="e">
        <f ca="1">_xll.ciqfunctions.udf.CIQ($A26, "IQ_MINORITY_INTEREST_TOTAL", IQ_LTM,$B$8,$L$4,$L$3,$L$5,$L$6)</f>
        <v>#NAME?</v>
      </c>
      <c r="BJ26" s="59" t="e">
        <f ca="1">_xll.ciqfunctions.udf.CIQ($A26, "IQ_CASH_ST_INVEST", IQ_LTM, $B$8, $L$4, $L$3, $L$5, $L$6)</f>
        <v>#NAME?</v>
      </c>
      <c r="BK26" s="45" t="e">
        <f ca="1">_xll.ciqfunctions.udf.CIQ($A26, "IQ_EFFECT_TAX_RATE")</f>
        <v>#NAME?</v>
      </c>
      <c r="BL26" s="45" t="e">
        <f ca="1">IF(_xll.ciqfunctions.udf.CIQ($A26, "IQ_TOTAL_REV_2YR_ANN_CAGR", IQ_LTM, $B$1,$L$4, $L$3, $L$5, $L$6)="NM","n/a",(_xll.ciqfunctions.udf.CIQ($A26, "IQ_TOTAL_REV_2YR_ANN_CAGR", IQ_LTM, $B$1,$L$4, $L$3, $L$5, $L$6)/100))</f>
        <v>#NAME?</v>
      </c>
      <c r="BM26" s="45" t="e">
        <f ca="1">IF(_xll.ciqfunctions.udf.CIQ($A26, "IQ_TOTAL_REV_3YR_ANN_CAGR", IQ_LTM, $B$1,$L$4, $L$3, $L$5, $L$6)="NM","n/a",(_xll.ciqfunctions.udf.CIQ($A26, "IQ_TOTAL_REV_3YR_ANN_CAGR", IQ_LTM, $B$1,$L$4, $L$3, $L$5, $L$6)/100))</f>
        <v>#NAME?</v>
      </c>
      <c r="BN26" s="45" t="e">
        <f ca="1">IF(_xll.ciqfunctions.udf.CIQ($A26, "IQ_TOTAL_REV_5YR_ANN_CAGR", IQ_LTM, $B$1,$L$4, $L$3, $L$5, $L$6)="NM","n/a",(_xll.ciqfunctions.udf.CIQ($A26, "IQ_TOTAL_REV_5YR_ANN_CAGR", IQ_LTM, $B$1,$L$4, $L$3, $L$5, $L$6)/100))</f>
        <v>#NAME?</v>
      </c>
      <c r="BO26" s="45" t="e">
        <f ca="1">IF(_xll.ciqfunctions.udf.CIQ($A26,"IQ_EBITDA_2YR_ANN_CAGR", IQ_LTM,$B$1,$L$4, $L$3, $L$5, $L$6)="NM","n/a",(_xll.ciqfunctions.udf.CIQ($A26,"IQ_EBITDA_2YR_ANN_CAGR", IQ_LTM,$B$1,$L$4, $L$3, $L$5, $L$6)/100))</f>
        <v>#NAME?</v>
      </c>
      <c r="BP26" s="45" t="e">
        <f ca="1">IF(_xll.ciqfunctions.udf.CIQ($A26,"IQ_EBITDA_3YR_ANN_CAGR", IQ_LTM,$B$1,$L$4, $L$3, $L$5, $L$6)="NM","n/a",(_xll.ciqfunctions.udf.CIQ($A26,"IQ_EBITDA_3YR_ANN_CAGR", IQ_LTM,$B$1,$L$4, $L$3, $L$5, $L$6)/100))</f>
        <v>#NAME?</v>
      </c>
      <c r="BQ26" s="45" t="e">
        <f ca="1">IF(_xll.ciqfunctions.udf.CIQ($A26,"IQ_EBITDA_5YR_ANN_CAGR", IQ_LTM,$B$1,$L$4, $L$3, $L$5, $L$6)="NM","n/a",(_xll.ciqfunctions.udf.CIQ($A26,"IQ_EBITDA_5YR_ANN_CAGR", IQ_LTM,$B$1,$L$4, $L$3, $L$5, $L$6)/100))</f>
        <v>#NAME?</v>
      </c>
      <c r="BR26" s="47" t="str">
        <f ca="1">IFERROR((_xll.ciqfunctions.udf.CIQ($A26, "IQ_DA_CF", IQ_LTM, $B$1, $L$4, $L$3, $L$5, $L$6)/Q26),"NM")</f>
        <v>NM</v>
      </c>
      <c r="BS26" s="61" t="e">
        <f>'Capital IQ Sheet-GPC'!BS26</f>
        <v>#VALUE!</v>
      </c>
      <c r="BT26" s="61" t="e">
        <f>'Capital IQ Sheet-GPC'!BT26</f>
        <v>#VALUE!</v>
      </c>
      <c r="BU26" s="61" t="e">
        <f>'Capital IQ Sheet-GPC'!BU26</f>
        <v>#VALUE!</v>
      </c>
      <c r="BV26" s="61" t="e">
        <f>'Capital IQ Sheet-GPC'!BV26</f>
        <v>#VALUE!</v>
      </c>
      <c r="BW26" s="61" t="e">
        <f>'Capital IQ Sheet-GPC'!BW26</f>
        <v>#VALUE!</v>
      </c>
      <c r="BX26" s="61" t="e">
        <f>'Capital IQ Sheet-GPC'!BX26</f>
        <v>#VALUE!</v>
      </c>
      <c r="BY26" s="61" t="e">
        <f>'Capital IQ Sheet-GPC'!BY26</f>
        <v>#VALUE!</v>
      </c>
      <c r="BZ26" s="61" t="e">
        <f>'Capital IQ Sheet-GPC'!BZ26</f>
        <v>#VALUE!</v>
      </c>
      <c r="CB26" s="45">
        <v>2</v>
      </c>
      <c r="CC26" s="85" t="s">
        <v>306</v>
      </c>
      <c r="CD26" s="85" t="s">
        <v>305</v>
      </c>
      <c r="CE26" s="46">
        <f t="shared" si="1"/>
        <v>42515</v>
      </c>
    </row>
    <row r="27" spans="1:83" s="45" customFormat="1" ht="12.75">
      <c r="A27" s="45" t="e">
        <f ca="1">_xll.ciqfunctions.udf.CIQ($B27,"IQ_COMPANY_TICKER")</f>
        <v>#NAME?</v>
      </c>
      <c r="B27" s="45" t="str">
        <f>'Capital IQ Sheet-GPC'!B27</f>
        <v>(Invalid Identifier)</v>
      </c>
      <c r="C27" s="45" t="e">
        <f ca="1">_xll.ciqfunctions.udf.CIQ($A27,"IQ_COMPANY_NAME")</f>
        <v>#NAME?</v>
      </c>
      <c r="D27" s="45" t="e">
        <f ca="1">_xll.ciqfunctions.udf.CIQ($A27, "IQ_EXCHANGE")</f>
        <v>#NAME?</v>
      </c>
      <c r="E27" s="46" t="e">
        <f ca="1">_xll.ciqfunctions.udf.CIQ($A27, "IQ_PERIODDATE_IS", IQ_FY)</f>
        <v>#NAME?</v>
      </c>
      <c r="F27" s="46" t="e">
        <f ca="1">_xll.ciqfunctions.udf.CIQ(A27, "IQ_PERIODDATE_IS", IQ_LTM, $B$1,$L$4,$L$3)</f>
        <v>#NAME?</v>
      </c>
      <c r="G27" s="46" t="e">
        <f ca="1">_xll.ciqfunctions.udf.CIQ($A27, "IQ_FIRSTPRICINGDATE")</f>
        <v>#NAME?</v>
      </c>
      <c r="H27" s="59" t="e">
        <f ca="1">_xll.ciqfunctions.udf.CIQ($A27, "IQ_TEV", $L$2, $L$5, $L$6)</f>
        <v>#NAME?</v>
      </c>
      <c r="I27" s="59" t="e">
        <f ca="1">_xll.ciqfunctions.udf.CIQ(A27, "IQ_LASTSALEPRICE", $B$1,$L$5)</f>
        <v>#NAME?</v>
      </c>
      <c r="J27" s="59" t="e">
        <f ca="1">_xll.ciqfunctions.udf.CIQ($A27, "IQ_MARKETCAP", $L$2, $L$5, $L$6)</f>
        <v>#NAME?</v>
      </c>
      <c r="K27" s="59" t="e">
        <f ca="1">_xll.ciqfunctions.udf.CIQ($A27, "IQ_TOTAL_DEBT", IQ_LTM, $L$2,$L$4, $L$3, $L$5, $L$6)</f>
        <v>#NAME?</v>
      </c>
      <c r="L27" s="59" t="e">
        <f ca="1">_xll.ciqfunctions.udf.CIQ($A27, "IQ_PREF_EQUITY", IQ_LTM, $L$2, $L$4, $L$3, $L$5, $L$6)</f>
        <v>#NAME?</v>
      </c>
      <c r="M27" s="59" t="e">
        <f ca="1">_xll.ciqfunctions.udf.CIQ($A27, "IQ_MINORITY_INTEREST_TOTAL", IQ_LTM, $L$2, $L$4, $L$3, $L$5, $L$6)</f>
        <v>#NAME?</v>
      </c>
      <c r="N27" s="59" t="e">
        <f ca="1">_xll.ciqfunctions.udf.CIQ($A27, "IQ_CASH_ST_INVEST", IQ_LTM, $L$2, $L$4, $L$3, $L$5, $L$6)</f>
        <v>#NAME?</v>
      </c>
      <c r="O27" s="59" t="e">
        <f ca="1">_xll.ciqfunctions.udf.CIQ($A27, "IQ_TOTAL_REV", IQ_LTM-8, $L$2, $L$4, $L$3, $L$5, $L$6)</f>
        <v>#NAME?</v>
      </c>
      <c r="P27" s="59" t="e">
        <f ca="1">_xll.ciqfunctions.udf.CIQ($A27, "IQ_TOTAL_REV", IQ_LTM - 4, $L$2, $L$4, $L$3, $L$5,$L$6)</f>
        <v>#NAME?</v>
      </c>
      <c r="Q27" s="59" t="e">
        <f ca="1">_xll.ciqfunctions.udf.CIQ($A27, "IQ_TOTAL_REV", IQ_LTM, $L$2, $L$4, $L$3, $L$5, $L$6)</f>
        <v>#NAME?</v>
      </c>
      <c r="R27" s="59" t="e">
        <f ca="1">_xll.ciqfunctions.udf.CIQ($A27, "IQ_TOTAL_REV", $B$2, $L$2, $L$4, $L$3, $L$5, $L$6)</f>
        <v>#NAME?</v>
      </c>
      <c r="S27" s="59" t="e">
        <f ca="1">IF(_xll.ciqfunctions.udf.CIQ($A27, "IQ_TOTAL_REV", $B$3, $L$2,$L$4, $L$3, $L$5, $L$6)=0,Q27,_xll.ciqfunctions.udf.CIQ($A27, "IQ_TOTAL_REV", $B$3, $L$2,$L$4, $L$3, $L$5, $L$6))</f>
        <v>#NAME?</v>
      </c>
      <c r="T27" s="59" t="e">
        <f ca="1">IF(_xll.ciqfunctions.udf.CIQ($A27, "IQ_REVENUE_EST",$B$4, $L$2, "CON", $L$3, $L$5, $L$6)=0,"n/a",_xll.ciqfunctions.udf.CIQ($A27, "IQ_REVENUE_EST",$B$4, $L$2, "CON", $L$3, $L$5, $L$6))</f>
        <v>#NAME?</v>
      </c>
      <c r="U27" s="59" t="e">
        <f ca="1">IF(_xll.ciqfunctions.udf.CIQ($A27, "IQ_REVENUE_EST",$B$5, $L$2, "CON", $L$3, $L$5, $L$6)=0,"n/a",_xll.ciqfunctions.udf.CIQ($A27, "IQ_REVENUE_EST",$B$5, $L$2, "CON", $L$3, $L$5, $L$6))</f>
        <v>#NAME?</v>
      </c>
      <c r="V27" s="59" t="e">
        <f ca="1">IF(_xll.ciqfunctions.udf.CIQ($A27, "IQ_REVENUE_EST",$B$6, $L$2, "CON", $L$3, $L$5, $L$6)=0,"n/a",_xll.ciqfunctions.udf.CIQ($A27, "IQ_REVENUE_EST",$B$6, $L$2, "CON", $L$3, $L$5, $L$6))</f>
        <v>#NAME?</v>
      </c>
      <c r="W27" s="59" t="e">
        <f ca="1">IF(_xll.ciqfunctions.udf.CIQ($A27, "IQ_REVENUE_EST", $B$7, $L$2, "CON", $L$3, $L$5, $L$6)=0,"n/a",_xll.ciqfunctions.udf.CIQ($A27, "IQ_REVENUE_EST",$B$7, $L$2, "CON", $L$3, $L$5, $L$6))</f>
        <v>#NAME?</v>
      </c>
      <c r="X27" s="59" t="e">
        <f ca="1">_xll.ciqfunctions.udf.CIQ($A27, "IQ_EBITDA", IQ_LTM-8, $L$2, $L$4, $L$3, $L$5, $L$6)</f>
        <v>#NAME?</v>
      </c>
      <c r="Y27" s="59" t="e">
        <f ca="1">_xll.ciqfunctions.udf.CIQ($A27, "IQ_EBITDA", IQ_LTM-4, $L$2,$L$4, $L$3, $L$5, $L$6)</f>
        <v>#NAME?</v>
      </c>
      <c r="Z27" s="59" t="e">
        <f ca="1">_xll.ciqfunctions.udf.CIQ($A27, "IQ_EBITDA", IQ_LTM, $L$2, $L$4, $L$3, $L$5, $L$6)</f>
        <v>#NAME?</v>
      </c>
      <c r="AA27" s="59" t="e">
        <f ca="1">_xll.ciqfunctions.udf.CIQ($A27, "IQ_EBITDA", $B$2, $L$2, $L$4, $L$3, $L$5, $L$6)</f>
        <v>#NAME?</v>
      </c>
      <c r="AB27" s="59" t="e">
        <f ca="1">IF(_xll.ciqfunctions.udf.CIQ($A27, "IQ_EBITDA", $B$3, $L$2,$L$4, $L$3, $L$5, $L$6)=0,Z27,_xll.ciqfunctions.udf.CIQ($A27, "IQ_EBITDA", $B$3, $L$2,$L$4, $L$3, $L$5, $L$6))</f>
        <v>#NAME?</v>
      </c>
      <c r="AC27" s="59" t="e">
        <f ca="1">IF(_xll.ciqfunctions.udf.CIQ($A27, "IQ_EBITDA_EST",$B$4, $L$2, "CON", $L$3, $L$5, $L$6)=0,"n/a",_xll.ciqfunctions.udf.CIQ($A27, "IQ_EBITDA_EST",$B$4, $L$2, "CON", $L$3, $L$5, $L$6))</f>
        <v>#NAME?</v>
      </c>
      <c r="AD27" s="59" t="e">
        <f ca="1">IF(_xll.ciqfunctions.udf.CIQ($A27, "IQ_EBITDA_EST",$B$5, $L$2, "CON", $L$3, $L$5, $L$6)=0,"n/a",_xll.ciqfunctions.udf.CIQ($A27, "IQ_EBITDA_EST",$B$5, $L$2, "CON", $L$3, $L$5, $L$6))</f>
        <v>#NAME?</v>
      </c>
      <c r="AE27" s="59" t="e">
        <f ca="1">IF(_xll.ciqfunctions.udf.CIQ($A27, "IQ_EBITDA_EST",$B$6, $L$2, "CON", $L$3, $L$5, $L$6)=0,"n/a",_xll.ciqfunctions.udf.CIQ($A27, "IQ_EBITDA_EST",$B$6, $L$2, "CON", $L$3, $L$5, $L$6))</f>
        <v>#NAME?</v>
      </c>
      <c r="AF27" s="47" t="str">
        <f ca="1">IF(ISERROR(_xll.ciqfunctions.udf.CIQ($A27, "IQ_GROSS_MARGIN", IQ_LTM, $L$2,$L$4, $L$3, $L$5, $L$6)/100), "n/a", _xll.ciqfunctions.udf.CIQ($A27,  "IQ_GROSS_MARGIN", IQ_LTM, $L$2, $L$4, $L$3, $L$5, $L$6)/100)</f>
        <v>n/a</v>
      </c>
      <c r="AG27" s="47" t="str">
        <f ca="1">IF(ISERROR(_xll.ciqfunctions.udf.CIQ($A27,"IQ_EBITDA_MARGIN", IQ_LTM, $L$2, $L$4, $L$3, $L$5, $L$6)/100), "n/a", _xll.ciqfunctions.udf.CIQ($A27, "IQ_EBITDA_MARGIN", IQ_LTM, $L$2, $L$4, $L$3, $L$5, $L$6)/100)</f>
        <v>n/a</v>
      </c>
      <c r="AH27" s="47" t="str">
        <f ca="1">IF(ISERROR(_xll.ciqfunctions.udf.CIQ($A27,"IQ_EBIT_MARGIN", IQ_LTM, $L$2, $L$4, $L$3, $L$5, $L$6)/100), "n/a", _xll.ciqfunctions.udf.CIQ($A27, "IQ_EBIT_MARGIN", IQ_LTM, $L$2, $L$4, $L$3, $L$5, $L$6)/100)</f>
        <v>n/a</v>
      </c>
      <c r="AI27" s="47" t="str">
        <f ca="1">IF(ISERROR(_xll.ciqfunctions.udf.CIQ($A27,"IQ_NI_MARGIN", IQ_LTM, $L$2, $L$4, $L$3, $L$5, $L$6)/100), "n/a", _xll.ciqfunctions.udf.CIQ($A27, "IQ_NI_MARGIN", IQ_LTM, $L$2, $L$4, $L$3, $L$5, $L$6)/100)</f>
        <v>n/a</v>
      </c>
      <c r="AJ27" s="59" t="str">
        <f ca="1">IF(ISERROR(_xll.ciqfunctions.udf.CIQ($A27, "IQ_NET_WORKING_CAP", IQ_LTM-8, $L$2, $L$4, $L$3, $L$5, $L$6)), "n/a", _xll.ciqfunctions.udf.CIQ($A27, "IQ_NET_WORKING_CAP", IQ_LTM-8, $L$2, $L$4, $L$3, $L$5, $L$6))</f>
        <v>n/a</v>
      </c>
      <c r="AK27" s="59" t="str">
        <f ca="1">IF(ISERROR(_xll.ciqfunctions.udf.CIQ($A27, "IQ_NET_WORKING_CAP", IQ_LTM-4, $L$2, $L$4, $L$3, $L$5, $L$6)), "n/a", _xll.ciqfunctions.udf.CIQ($A27, "IQ_NET_WORKING_CAP", IQ_LTM-4, $L$2, $L$4, $L$3, $L$5, $L$6))</f>
        <v>n/a</v>
      </c>
      <c r="AL27" s="59" t="str">
        <f ca="1">IF(ISERROR(_xll.ciqfunctions.udf.CIQ($A27, "IQ_NET_WORKING_CAP", IQ_LTM, $L$2,$L$4, $L$3, $L$5, $L$6)), "n/a", _xll.ciqfunctions.udf.CIQ($A27, "IQ_NET_WORKING_CAP", IQ_LTM, $L$2, $L$4, $L$3, $L$5, $L$6))</f>
        <v>n/a</v>
      </c>
      <c r="AM27" s="59" t="str">
        <f ca="1">IF(ISERROR(_xll.ciqfunctions.udf.CIQ($A27, "IQ_Capex", IQ_LTM-8, $L$2,$L$4, $L$3, $L$5, $L$6)), "n/a", _xll.ciqfunctions.udf.CIQ($A27, "IQ_Capex", IQ_LTM-8, $L$2, $L$4, $L$3, $L$5, $L$6))</f>
        <v>n/a</v>
      </c>
      <c r="AN27" s="59" t="str">
        <f ca="1">IF(ISERROR(_xll.ciqfunctions.udf.CIQ($A27, "IQ_Capex", IQ_LTM-4, $L$2,$L$4, $L$3, $L$5, $L$6)), "n/a", _xll.ciqfunctions.udf.CIQ($A27, "IQ_Capex", IQ_LTM-4, $L$2,$L$4, $L$3, $L$5, $L$6))</f>
        <v>n/a</v>
      </c>
      <c r="AO27" s="59" t="str">
        <f ca="1">IF(ISERROR(_xll.ciqfunctions.udf.CIQ($A27, "IQ_Capex", IQ_LTM, $L$2, $L$4, $L$3, $L$5, $L$6)), "n/a", _xll.ciqfunctions.udf.CIQ($A27, "IQ_Capex", IQ_LTM, $L$2, $L$4, $L$3, $L$5, $L$6))</f>
        <v>n/a</v>
      </c>
      <c r="AP27" s="44" t="e">
        <f ca="1">_xll.ciqfunctions.udf.CIQ(A27, "IQ_BUSINESS_DESCRIPTION")</f>
        <v>#NAME?</v>
      </c>
      <c r="AQ27" s="60" t="e">
        <f ca="1">_xll.ciqfunctions.udf.CIQ($A27, "IQ_BETA_1YR", $B$1)</f>
        <v>#NAME?</v>
      </c>
      <c r="AR27" s="60" t="e">
        <f ca="1">_xll.ciqfunctions.udf.CIQ($A27, "IQ_BETA_2YR", $B$1)</f>
        <v>#NAME?</v>
      </c>
      <c r="AS27" s="60" t="e">
        <f ca="1">_xll.ciqfunctions.udf.CIQ($A27, "IQ_BETA_5YR", $B$1)</f>
        <v>#NAME?</v>
      </c>
      <c r="AT27" s="47" t="e">
        <f ca="1">_xll.ciqfunctions.udf.CIQ($A27, "IQ_DIVIDEND_YIELD", $B$1)/100</f>
        <v>#NAME?</v>
      </c>
      <c r="AU27" s="59" t="e">
        <f ca="1">_xll.ciqfunctions.udf.CIQ($A27, "IQ_EARNING_CO", IQ_LTM-8, $L$2, $L$4, $L$3, $L$5, $L$6)</f>
        <v>#NAME?</v>
      </c>
      <c r="AV27" s="59" t="e">
        <f ca="1">_xll.ciqfunctions.udf.CIQ($A27, "IQ_EARNING_CO", IQ_LTM-4, $L$2, $L$4, $L$3, $L$5, $L$6)</f>
        <v>#NAME?</v>
      </c>
      <c r="AW27" s="59" t="e">
        <f ca="1">_xll.ciqfunctions.udf.CIQ($A27, "IQ_EARNING_CO", IQ_LTM, $L$2, $L$4, $L$3, $L$5, $L$6)</f>
        <v>#NAME?</v>
      </c>
      <c r="AX27" s="59" t="e">
        <f ca="1">_xll.ciqfunctions.udf.CIQ($A27, "IQ_EARNING_CO", $B$2, $L$2, $L$4, $L$3, $L$5, $L$6)</f>
        <v>#NAME?</v>
      </c>
      <c r="AY27" s="59" t="e">
        <f ca="1">IF(_xll.ciqfunctions.udf.CIQ($A27, "IQ_EARNING_CO", $B$3, $L$2,$L$4, $L$3, $L$5, $L$6)=0,AW27,_xll.ciqfunctions.udf.CIQ($A27, "IQ_EARNING_CO", $B$3, $L$2,$L$4, $L$3, $L$5, $L$6))</f>
        <v>#NAME?</v>
      </c>
      <c r="AZ27" s="59" t="e">
        <f ca="1">_xll.ciqfunctions.udf.CIQ($A27, "IQ_TOTAL_EQUITY", IQ_LTM-8, $L$2, $L$4, $L$3, $L$5, $L$6)</f>
        <v>#NAME?</v>
      </c>
      <c r="BA27" s="59" t="e">
        <f ca="1">_xll.ciqfunctions.udf.CIQ($A27, "IQ_TOTAL_EQUITY", IQ_LTM-4, $L$2, $L$4, $L$3, $L$5, $L$6)</f>
        <v>#NAME?</v>
      </c>
      <c r="BB27" s="59" t="e">
        <f ca="1">_xll.ciqfunctions.udf.CIQ($A27, "IQ_TOTAL_EQUITY", IQ_LTM, $L$2, $L$4, $L$3, $L$5, $L$6)</f>
        <v>#NAME?</v>
      </c>
      <c r="BC27" s="59" t="e">
        <f ca="1">_xll.ciqfunctions.udf.CIQ($A27, "IQ_TOTAL_EQUITY", $B$2, $L$2, $L$4, $L$3, $L$5, $L$6)</f>
        <v>#NAME?</v>
      </c>
      <c r="BD27" s="59" t="e">
        <f ca="1">IF(_xll.ciqfunctions.udf.CIQ($A27, "IQ_TOTAL_EQUITY", $B$3, $L$2,$L$4, $L$3, $L$5, $L$6)=0,BB27,_xll.ciqfunctions.udf.CIQ($A27, "IQ_TOTAL_EQUITY", $B$3, $L$2,$L$4, $L$3, $L$5, $L$6))</f>
        <v>#NAME?</v>
      </c>
      <c r="BE27" s="59" t="e">
        <f ca="1">_xll.ciqfunctions.udf.CIQ(A27, "IQ_LASTSALEPRICE", $B$8)</f>
        <v>#NAME?</v>
      </c>
      <c r="BF27" s="59" t="e">
        <f ca="1">_xll.ciqfunctions.udf.CIQ($A27, "IQ_MARKETCAP", $B$8, $L$5, $L$6)</f>
        <v>#NAME?</v>
      </c>
      <c r="BG27" s="59" t="e">
        <f ca="1">_xll.ciqfunctions.udf.CIQ($A27, "IQ_TOTAL_DEBT", IQ_LTM, $B$8,$L$4, $L$3, $L$5, $L$6)</f>
        <v>#NAME?</v>
      </c>
      <c r="BH27" s="45" t="e">
        <f ca="1">_xll.ciqfunctions.udf.CIQ($A27,"IQ_PREF_EQUITY",IQ_LTM,$B$8,$L$4,$L$3,$L$5,$L$6)</f>
        <v>#NAME?</v>
      </c>
      <c r="BI27" s="45" t="e">
        <f ca="1">_xll.ciqfunctions.udf.CIQ($A27, "IQ_MINORITY_INTEREST_TOTAL", IQ_LTM,$B$8,$L$4,$L$3,$L$5,$L$6)</f>
        <v>#NAME?</v>
      </c>
      <c r="BJ27" s="59" t="e">
        <f ca="1">_xll.ciqfunctions.udf.CIQ($A27, "IQ_CASH_ST_INVEST", IQ_LTM, $B$8, $L$4, $L$3, $L$5, $L$6)</f>
        <v>#NAME?</v>
      </c>
      <c r="BK27" s="45" t="e">
        <f ca="1">_xll.ciqfunctions.udf.CIQ($A27, "IQ_EFFECT_TAX_RATE")</f>
        <v>#NAME?</v>
      </c>
      <c r="BL27" s="45" t="e">
        <f ca="1">IF(_xll.ciqfunctions.udf.CIQ($A27, "IQ_TOTAL_REV_2YR_ANN_CAGR", IQ_LTM, $B$1,$L$4, $L$3, $L$5, $L$6)="NM","n/a",(_xll.ciqfunctions.udf.CIQ($A27, "IQ_TOTAL_REV_2YR_ANN_CAGR", IQ_LTM, $B$1,$L$4, $L$3, $L$5, $L$6)/100))</f>
        <v>#NAME?</v>
      </c>
      <c r="BM27" s="45" t="e">
        <f ca="1">IF(_xll.ciqfunctions.udf.CIQ($A27, "IQ_TOTAL_REV_3YR_ANN_CAGR", IQ_LTM, $B$1,$L$4, $L$3, $L$5, $L$6)="NM","n/a",(_xll.ciqfunctions.udf.CIQ($A27, "IQ_TOTAL_REV_3YR_ANN_CAGR", IQ_LTM, $B$1,$L$4, $L$3, $L$5, $L$6)/100))</f>
        <v>#NAME?</v>
      </c>
      <c r="BN27" s="45" t="e">
        <f ca="1">IF(_xll.ciqfunctions.udf.CIQ($A27, "IQ_TOTAL_REV_5YR_ANN_CAGR", IQ_LTM, $B$1,$L$4, $L$3, $L$5, $L$6)="NM","n/a",(_xll.ciqfunctions.udf.CIQ($A27, "IQ_TOTAL_REV_5YR_ANN_CAGR", IQ_LTM, $B$1,$L$4, $L$3, $L$5, $L$6)/100))</f>
        <v>#NAME?</v>
      </c>
      <c r="BO27" s="45" t="e">
        <f ca="1">IF(_xll.ciqfunctions.udf.CIQ($A27,"IQ_EBITDA_2YR_ANN_CAGR", IQ_LTM,$B$1,$L$4, $L$3, $L$5, $L$6)="NM","n/a",(_xll.ciqfunctions.udf.CIQ($A27,"IQ_EBITDA_2YR_ANN_CAGR", IQ_LTM,$B$1,$L$4, $L$3, $L$5, $L$6)/100))</f>
        <v>#NAME?</v>
      </c>
      <c r="BP27" s="45" t="e">
        <f ca="1">IF(_xll.ciqfunctions.udf.CIQ($A27,"IQ_EBITDA_3YR_ANN_CAGR", IQ_LTM,$B$1,$L$4, $L$3, $L$5, $L$6)="NM","n/a",(_xll.ciqfunctions.udf.CIQ($A27,"IQ_EBITDA_3YR_ANN_CAGR", IQ_LTM,$B$1,$L$4, $L$3, $L$5, $L$6)/100))</f>
        <v>#NAME?</v>
      </c>
      <c r="BQ27" s="45" t="e">
        <f ca="1">IF(_xll.ciqfunctions.udf.CIQ($A27,"IQ_EBITDA_5YR_ANN_CAGR", IQ_LTM,$B$1,$L$4, $L$3, $L$5, $L$6)="NM","n/a",(_xll.ciqfunctions.udf.CIQ($A27,"IQ_EBITDA_5YR_ANN_CAGR", IQ_LTM,$B$1,$L$4, $L$3, $L$5, $L$6)/100))</f>
        <v>#NAME?</v>
      </c>
      <c r="BR27" s="47" t="str">
        <f ca="1">IFERROR((_xll.ciqfunctions.udf.CIQ($A27, "IQ_DA_CF", IQ_LTM, $B$1, $L$4, $L$3, $L$5, $L$6)/Q27),"NM")</f>
        <v>NM</v>
      </c>
      <c r="BS27" s="61" t="e">
        <f>'Capital IQ Sheet-GPC'!BS27</f>
        <v>#VALUE!</v>
      </c>
      <c r="BT27" s="61" t="e">
        <f>'Capital IQ Sheet-GPC'!BT27</f>
        <v>#VALUE!</v>
      </c>
      <c r="BU27" s="61" t="e">
        <f>'Capital IQ Sheet-GPC'!BU27</f>
        <v>#VALUE!</v>
      </c>
      <c r="BV27" s="61" t="e">
        <f>'Capital IQ Sheet-GPC'!BV27</f>
        <v>#VALUE!</v>
      </c>
      <c r="BW27" s="61" t="e">
        <f>'Capital IQ Sheet-GPC'!BW27</f>
        <v>#VALUE!</v>
      </c>
      <c r="BX27" s="61" t="e">
        <f>'Capital IQ Sheet-GPC'!BX27</f>
        <v>#VALUE!</v>
      </c>
      <c r="BY27" s="61" t="e">
        <f>'Capital IQ Sheet-GPC'!BY27</f>
        <v>#VALUE!</v>
      </c>
      <c r="BZ27" s="61" t="e">
        <f>'Capital IQ Sheet-GPC'!BZ27</f>
        <v>#VALUE!</v>
      </c>
      <c r="CB27" s="45">
        <v>2</v>
      </c>
      <c r="CC27" s="85" t="s">
        <v>306</v>
      </c>
      <c r="CD27" s="85" t="s">
        <v>305</v>
      </c>
      <c r="CE27" s="46">
        <f t="shared" si="1"/>
        <v>42515</v>
      </c>
    </row>
    <row r="28" spans="1:83" s="45" customFormat="1" ht="12.75">
      <c r="A28" s="45" t="e">
        <f ca="1">_xll.ciqfunctions.udf.CIQ($B28,"IQ_COMPANY_TICKER")</f>
        <v>#NAME?</v>
      </c>
      <c r="B28" s="45" t="str">
        <f>'Capital IQ Sheet-GPC'!B28</f>
        <v>(Invalid Identifier)</v>
      </c>
      <c r="C28" s="45" t="e">
        <f ca="1">_xll.ciqfunctions.udf.CIQ($A28,"IQ_COMPANY_NAME")</f>
        <v>#NAME?</v>
      </c>
      <c r="D28" s="45" t="e">
        <f ca="1">_xll.ciqfunctions.udf.CIQ($A28, "IQ_EXCHANGE")</f>
        <v>#NAME?</v>
      </c>
      <c r="E28" s="46" t="e">
        <f ca="1">_xll.ciqfunctions.udf.CIQ($A28, "IQ_PERIODDATE_IS", IQ_FY)</f>
        <v>#NAME?</v>
      </c>
      <c r="F28" s="46" t="e">
        <f ca="1">_xll.ciqfunctions.udf.CIQ(A28, "IQ_PERIODDATE_IS", IQ_LTM, $B$1,$L$4,$L$3)</f>
        <v>#NAME?</v>
      </c>
      <c r="G28" s="46" t="e">
        <f ca="1">_xll.ciqfunctions.udf.CIQ($A28, "IQ_FIRSTPRICINGDATE")</f>
        <v>#NAME?</v>
      </c>
      <c r="H28" s="59" t="e">
        <f ca="1">_xll.ciqfunctions.udf.CIQ($A28, "IQ_TEV", $L$2, $L$5, $L$6)</f>
        <v>#NAME?</v>
      </c>
      <c r="I28" s="59" t="e">
        <f ca="1">_xll.ciqfunctions.udf.CIQ(A28, "IQ_LASTSALEPRICE", $B$1,$L$5)</f>
        <v>#NAME?</v>
      </c>
      <c r="J28" s="59" t="e">
        <f ca="1">_xll.ciqfunctions.udf.CIQ($A28, "IQ_MARKETCAP", $L$2, $L$5, $L$6)</f>
        <v>#NAME?</v>
      </c>
      <c r="K28" s="59" t="e">
        <f ca="1">_xll.ciqfunctions.udf.CIQ($A28, "IQ_TOTAL_DEBT", IQ_LTM, $L$2,$L$4, $L$3, $L$5, $L$6)</f>
        <v>#NAME?</v>
      </c>
      <c r="L28" s="59" t="e">
        <f ca="1">_xll.ciqfunctions.udf.CIQ($A28, "IQ_PREF_EQUITY", IQ_LTM, $L$2, $L$4, $L$3, $L$5, $L$6)</f>
        <v>#NAME?</v>
      </c>
      <c r="M28" s="59" t="e">
        <f ca="1">_xll.ciqfunctions.udf.CIQ($A28, "IQ_MINORITY_INTEREST_TOTAL", IQ_LTM, $L$2, $L$4, $L$3, $L$5, $L$6)</f>
        <v>#NAME?</v>
      </c>
      <c r="N28" s="59" t="e">
        <f ca="1">_xll.ciqfunctions.udf.CIQ($A28, "IQ_CASH_ST_INVEST", IQ_LTM, $L$2, $L$4, $L$3, $L$5, $L$6)</f>
        <v>#NAME?</v>
      </c>
      <c r="O28" s="59" t="e">
        <f ca="1">_xll.ciqfunctions.udf.CIQ($A28, "IQ_TOTAL_REV", IQ_LTM-8, $L$2, $L$4, $L$3, $L$5, $L$6)</f>
        <v>#NAME?</v>
      </c>
      <c r="P28" s="59" t="e">
        <f ca="1">_xll.ciqfunctions.udf.CIQ($A28, "IQ_TOTAL_REV", IQ_LTM - 4, $L$2, $L$4, $L$3, $L$5,$L$6)</f>
        <v>#NAME?</v>
      </c>
      <c r="Q28" s="59" t="e">
        <f ca="1">_xll.ciqfunctions.udf.CIQ($A28, "IQ_TOTAL_REV", IQ_LTM, $L$2, $L$4, $L$3, $L$5, $L$6)</f>
        <v>#NAME?</v>
      </c>
      <c r="R28" s="59" t="e">
        <f ca="1">_xll.ciqfunctions.udf.CIQ($A28, "IQ_TOTAL_REV", $B$2, $L$2, $L$4, $L$3, $L$5, $L$6)</f>
        <v>#NAME?</v>
      </c>
      <c r="S28" s="59" t="e">
        <f ca="1">IF(_xll.ciqfunctions.udf.CIQ($A28, "IQ_TOTAL_REV", $B$3, $L$2,$L$4, $L$3, $L$5, $L$6)=0,Q28,_xll.ciqfunctions.udf.CIQ($A28, "IQ_TOTAL_REV", $B$3, $L$2,$L$4, $L$3, $L$5, $L$6))</f>
        <v>#NAME?</v>
      </c>
      <c r="T28" s="59" t="e">
        <f ca="1">IF(_xll.ciqfunctions.udf.CIQ($A28, "IQ_REVENUE_EST",$B$4, $L$2, "CON", $L$3, $L$5, $L$6)=0,"n/a",_xll.ciqfunctions.udf.CIQ($A28, "IQ_REVENUE_EST",$B$4, $L$2, "CON", $L$3, $L$5, $L$6))</f>
        <v>#NAME?</v>
      </c>
      <c r="U28" s="59" t="e">
        <f ca="1">IF(_xll.ciqfunctions.udf.CIQ($A28, "IQ_REVENUE_EST",$B$5, $L$2, "CON", $L$3, $L$5, $L$6)=0,"n/a",_xll.ciqfunctions.udf.CIQ($A28, "IQ_REVENUE_EST",$B$5, $L$2, "CON", $L$3, $L$5, $L$6))</f>
        <v>#NAME?</v>
      </c>
      <c r="V28" s="59" t="e">
        <f ca="1">IF(_xll.ciqfunctions.udf.CIQ($A28, "IQ_REVENUE_EST",$B$6, $L$2, "CON", $L$3, $L$5, $L$6)=0,"n/a",_xll.ciqfunctions.udf.CIQ($A28, "IQ_REVENUE_EST",$B$6, $L$2, "CON", $L$3, $L$5, $L$6))</f>
        <v>#NAME?</v>
      </c>
      <c r="W28" s="59" t="e">
        <f ca="1">IF(_xll.ciqfunctions.udf.CIQ($A28, "IQ_REVENUE_EST", $B$7, $L$2, "CON", $L$3, $L$5, $L$6)=0,"n/a",_xll.ciqfunctions.udf.CIQ($A28, "IQ_REVENUE_EST",$B$7, $L$2, "CON", $L$3, $L$5, $L$6))</f>
        <v>#NAME?</v>
      </c>
      <c r="X28" s="59" t="e">
        <f ca="1">_xll.ciqfunctions.udf.CIQ($A28, "IQ_EBITDA", IQ_LTM-8, $L$2, $L$4, $L$3, $L$5, $L$6)</f>
        <v>#NAME?</v>
      </c>
      <c r="Y28" s="59" t="e">
        <f ca="1">_xll.ciqfunctions.udf.CIQ($A28, "IQ_EBITDA", IQ_LTM-4, $L$2,$L$4, $L$3, $L$5, $L$6)</f>
        <v>#NAME?</v>
      </c>
      <c r="Z28" s="59" t="e">
        <f ca="1">_xll.ciqfunctions.udf.CIQ($A28, "IQ_EBITDA", IQ_LTM, $L$2, $L$4, $L$3, $L$5, $L$6)</f>
        <v>#NAME?</v>
      </c>
      <c r="AA28" s="59" t="e">
        <f ca="1">_xll.ciqfunctions.udf.CIQ($A28, "IQ_EBITDA", $B$2, $L$2, $L$4, $L$3, $L$5, $L$6)</f>
        <v>#NAME?</v>
      </c>
      <c r="AB28" s="59" t="e">
        <f ca="1">IF(_xll.ciqfunctions.udf.CIQ($A28, "IQ_EBITDA", $B$3, $L$2,$L$4, $L$3, $L$5, $L$6)=0,Z28,_xll.ciqfunctions.udf.CIQ($A28, "IQ_EBITDA", $B$3, $L$2,$L$4, $L$3, $L$5, $L$6))</f>
        <v>#NAME?</v>
      </c>
      <c r="AC28" s="59" t="e">
        <f ca="1">IF(_xll.ciqfunctions.udf.CIQ($A28, "IQ_EBITDA_EST",$B$4, $L$2, "CON", $L$3, $L$5, $L$6)=0,"n/a",_xll.ciqfunctions.udf.CIQ($A28, "IQ_EBITDA_EST",$B$4, $L$2, "CON", $L$3, $L$5, $L$6))</f>
        <v>#NAME?</v>
      </c>
      <c r="AD28" s="59" t="e">
        <f ca="1">IF(_xll.ciqfunctions.udf.CIQ($A28, "IQ_EBITDA_EST",$B$5, $L$2, "CON", $L$3, $L$5, $L$6)=0,"n/a",_xll.ciqfunctions.udf.CIQ($A28, "IQ_EBITDA_EST",$B$5, $L$2, "CON", $L$3, $L$5, $L$6))</f>
        <v>#NAME?</v>
      </c>
      <c r="AE28" s="59" t="e">
        <f ca="1">IF(_xll.ciqfunctions.udf.CIQ($A28, "IQ_EBITDA_EST",$B$6, $L$2, "CON", $L$3, $L$5, $L$6)=0,"n/a",_xll.ciqfunctions.udf.CIQ($A28, "IQ_EBITDA_EST",$B$6, $L$2, "CON", $L$3, $L$5, $L$6))</f>
        <v>#NAME?</v>
      </c>
      <c r="AF28" s="47" t="str">
        <f ca="1">IF(ISERROR(_xll.ciqfunctions.udf.CIQ($A28, "IQ_GROSS_MARGIN", IQ_LTM, $L$2,$L$4, $L$3, $L$5, $L$6)/100), "n/a", _xll.ciqfunctions.udf.CIQ($A28,  "IQ_GROSS_MARGIN", IQ_LTM, $L$2, $L$4, $L$3, $L$5, $L$6)/100)</f>
        <v>n/a</v>
      </c>
      <c r="AG28" s="47" t="str">
        <f ca="1">IF(ISERROR(_xll.ciqfunctions.udf.CIQ($A28,"IQ_EBITDA_MARGIN", IQ_LTM, $L$2, $L$4, $L$3, $L$5, $L$6)/100), "n/a", _xll.ciqfunctions.udf.CIQ($A28, "IQ_EBITDA_MARGIN", IQ_LTM, $L$2, $L$4, $L$3, $L$5, $L$6)/100)</f>
        <v>n/a</v>
      </c>
      <c r="AH28" s="47" t="str">
        <f ca="1">IF(ISERROR(_xll.ciqfunctions.udf.CIQ($A28,"IQ_EBIT_MARGIN", IQ_LTM, $L$2, $L$4, $L$3, $L$5, $L$6)/100), "n/a", _xll.ciqfunctions.udf.CIQ($A28, "IQ_EBIT_MARGIN", IQ_LTM, $L$2, $L$4, $L$3, $L$5, $L$6)/100)</f>
        <v>n/a</v>
      </c>
      <c r="AI28" s="47" t="str">
        <f ca="1">IF(ISERROR(_xll.ciqfunctions.udf.CIQ($A28,"IQ_NI_MARGIN", IQ_LTM, $L$2, $L$4, $L$3, $L$5, $L$6)/100), "n/a", _xll.ciqfunctions.udf.CIQ($A28, "IQ_NI_MARGIN", IQ_LTM, $L$2, $L$4, $L$3, $L$5, $L$6)/100)</f>
        <v>n/a</v>
      </c>
      <c r="AJ28" s="59" t="str">
        <f ca="1">IF(ISERROR(_xll.ciqfunctions.udf.CIQ($A28, "IQ_NET_WORKING_CAP", IQ_LTM-8, $L$2, $L$4, $L$3, $L$5, $L$6)), "n/a", _xll.ciqfunctions.udf.CIQ($A28, "IQ_NET_WORKING_CAP", IQ_LTM-8, $L$2, $L$4, $L$3, $L$5, $L$6))</f>
        <v>n/a</v>
      </c>
      <c r="AK28" s="59" t="str">
        <f ca="1">IF(ISERROR(_xll.ciqfunctions.udf.CIQ($A28, "IQ_NET_WORKING_CAP", IQ_LTM-4, $L$2, $L$4, $L$3, $L$5, $L$6)), "n/a", _xll.ciqfunctions.udf.CIQ($A28, "IQ_NET_WORKING_CAP", IQ_LTM-4, $L$2, $L$4, $L$3, $L$5, $L$6))</f>
        <v>n/a</v>
      </c>
      <c r="AL28" s="59" t="str">
        <f ca="1">IF(ISERROR(_xll.ciqfunctions.udf.CIQ($A28, "IQ_NET_WORKING_CAP", IQ_LTM, $L$2,$L$4, $L$3, $L$5, $L$6)), "n/a", _xll.ciqfunctions.udf.CIQ($A28, "IQ_NET_WORKING_CAP", IQ_LTM, $L$2, $L$4, $L$3, $L$5, $L$6))</f>
        <v>n/a</v>
      </c>
      <c r="AM28" s="59" t="str">
        <f ca="1">IF(ISERROR(_xll.ciqfunctions.udf.CIQ($A28, "IQ_Capex", IQ_LTM-8, $L$2,$L$4, $L$3, $L$5, $L$6)), "n/a", _xll.ciqfunctions.udf.CIQ($A28, "IQ_Capex", IQ_LTM-8, $L$2, $L$4, $L$3, $L$5, $L$6))</f>
        <v>n/a</v>
      </c>
      <c r="AN28" s="59" t="str">
        <f ca="1">IF(ISERROR(_xll.ciqfunctions.udf.CIQ($A28, "IQ_Capex", IQ_LTM-4, $L$2,$L$4, $L$3, $L$5, $L$6)), "n/a", _xll.ciqfunctions.udf.CIQ($A28, "IQ_Capex", IQ_LTM-4, $L$2,$L$4, $L$3, $L$5, $L$6))</f>
        <v>n/a</v>
      </c>
      <c r="AO28" s="59" t="str">
        <f ca="1">IF(ISERROR(_xll.ciqfunctions.udf.CIQ($A28, "IQ_Capex", IQ_LTM, $L$2, $L$4, $L$3, $L$5, $L$6)), "n/a", _xll.ciqfunctions.udf.CIQ($A28, "IQ_Capex", IQ_LTM, $L$2, $L$4, $L$3, $L$5, $L$6))</f>
        <v>n/a</v>
      </c>
      <c r="AP28" s="44" t="e">
        <f ca="1">_xll.ciqfunctions.udf.CIQ(A28, "IQ_BUSINESS_DESCRIPTION")</f>
        <v>#NAME?</v>
      </c>
      <c r="AQ28" s="60" t="e">
        <f ca="1">_xll.ciqfunctions.udf.CIQ($A28, "IQ_BETA_1YR", $B$1)</f>
        <v>#NAME?</v>
      </c>
      <c r="AR28" s="60" t="e">
        <f ca="1">_xll.ciqfunctions.udf.CIQ($A28, "IQ_BETA_2YR", $B$1)</f>
        <v>#NAME?</v>
      </c>
      <c r="AS28" s="60" t="e">
        <f ca="1">_xll.ciqfunctions.udf.CIQ($A28, "IQ_BETA_5YR", $B$1)</f>
        <v>#NAME?</v>
      </c>
      <c r="AT28" s="47" t="e">
        <f ca="1">_xll.ciqfunctions.udf.CIQ($A28, "IQ_DIVIDEND_YIELD", $B$1)/100</f>
        <v>#NAME?</v>
      </c>
      <c r="AU28" s="59" t="e">
        <f ca="1">_xll.ciqfunctions.udf.CIQ($A28, "IQ_EARNING_CO", IQ_LTM-8, $L$2, $L$4, $L$3, $L$5, $L$6)</f>
        <v>#NAME?</v>
      </c>
      <c r="AV28" s="59" t="e">
        <f ca="1">_xll.ciqfunctions.udf.CIQ($A28, "IQ_EARNING_CO", IQ_LTM-4, $L$2, $L$4, $L$3, $L$5, $L$6)</f>
        <v>#NAME?</v>
      </c>
      <c r="AW28" s="59" t="e">
        <f ca="1">_xll.ciqfunctions.udf.CIQ($A28, "IQ_EARNING_CO", IQ_LTM, $L$2, $L$4, $L$3, $L$5, $L$6)</f>
        <v>#NAME?</v>
      </c>
      <c r="AX28" s="59" t="e">
        <f ca="1">_xll.ciqfunctions.udf.CIQ($A28, "IQ_EARNING_CO", $B$2, $L$2, $L$4, $L$3, $L$5, $L$6)</f>
        <v>#NAME?</v>
      </c>
      <c r="AY28" s="59" t="e">
        <f ca="1">IF(_xll.ciqfunctions.udf.CIQ($A28, "IQ_EARNING_CO", $B$3, $L$2,$L$4, $L$3, $L$5, $L$6)=0,AW28,_xll.ciqfunctions.udf.CIQ($A28, "IQ_EARNING_CO", $B$3, $L$2,$L$4, $L$3, $L$5, $L$6))</f>
        <v>#NAME?</v>
      </c>
      <c r="AZ28" s="59" t="e">
        <f ca="1">_xll.ciqfunctions.udf.CIQ($A28, "IQ_TOTAL_EQUITY", IQ_LTM-8, $L$2, $L$4, $L$3, $L$5, $L$6)</f>
        <v>#NAME?</v>
      </c>
      <c r="BA28" s="59" t="e">
        <f ca="1">_xll.ciqfunctions.udf.CIQ($A28, "IQ_TOTAL_EQUITY", IQ_LTM-4, $L$2, $L$4, $L$3, $L$5, $L$6)</f>
        <v>#NAME?</v>
      </c>
      <c r="BB28" s="59" t="e">
        <f ca="1">_xll.ciqfunctions.udf.CIQ($A28, "IQ_TOTAL_EQUITY", IQ_LTM, $L$2, $L$4, $L$3, $L$5, $L$6)</f>
        <v>#NAME?</v>
      </c>
      <c r="BC28" s="59" t="e">
        <f ca="1">_xll.ciqfunctions.udf.CIQ($A28, "IQ_TOTAL_EQUITY", $B$2, $L$2, $L$4, $L$3, $L$5, $L$6)</f>
        <v>#NAME?</v>
      </c>
      <c r="BD28" s="59" t="e">
        <f ca="1">IF(_xll.ciqfunctions.udf.CIQ($A28, "IQ_TOTAL_EQUITY", $B$3, $L$2,$L$4, $L$3, $L$5, $L$6)=0,BB28,_xll.ciqfunctions.udf.CIQ($A28, "IQ_TOTAL_EQUITY", $B$3, $L$2,$L$4, $L$3, $L$5, $L$6))</f>
        <v>#NAME?</v>
      </c>
      <c r="BE28" s="59" t="e">
        <f ca="1">_xll.ciqfunctions.udf.CIQ(A28, "IQ_LASTSALEPRICE", $B$8)</f>
        <v>#NAME?</v>
      </c>
      <c r="BF28" s="59" t="e">
        <f ca="1">_xll.ciqfunctions.udf.CIQ($A28, "IQ_MARKETCAP", $B$8, $L$5, $L$6)</f>
        <v>#NAME?</v>
      </c>
      <c r="BG28" s="59" t="e">
        <f ca="1">_xll.ciqfunctions.udf.CIQ($A28, "IQ_TOTAL_DEBT", IQ_LTM, $B$8,$L$4, $L$3, $L$5, $L$6)</f>
        <v>#NAME?</v>
      </c>
      <c r="BH28" s="45" t="e">
        <f ca="1">_xll.ciqfunctions.udf.CIQ($A28,"IQ_PREF_EQUITY",IQ_LTM,$B$8,$L$4,$L$3,$L$5,$L$6)</f>
        <v>#NAME?</v>
      </c>
      <c r="BI28" s="45" t="e">
        <f ca="1">_xll.ciqfunctions.udf.CIQ($A28, "IQ_MINORITY_INTEREST_TOTAL", IQ_LTM,$B$8,$L$4,$L$3,$L$5,$L$6)</f>
        <v>#NAME?</v>
      </c>
      <c r="BJ28" s="59" t="e">
        <f ca="1">_xll.ciqfunctions.udf.CIQ($A28, "IQ_CASH_ST_INVEST", IQ_LTM, $B$8, $L$4, $L$3, $L$5, $L$6)</f>
        <v>#NAME?</v>
      </c>
      <c r="BK28" s="45" t="e">
        <f ca="1">_xll.ciqfunctions.udf.CIQ($A28, "IQ_EFFECT_TAX_RATE")</f>
        <v>#NAME?</v>
      </c>
      <c r="BL28" s="45" t="e">
        <f ca="1">IF(_xll.ciqfunctions.udf.CIQ($A28, "IQ_TOTAL_REV_2YR_ANN_CAGR", IQ_LTM, $B$1,$L$4, $L$3, $L$5, $L$6)="NM","n/a",(_xll.ciqfunctions.udf.CIQ($A28, "IQ_TOTAL_REV_2YR_ANN_CAGR", IQ_LTM, $B$1,$L$4, $L$3, $L$5, $L$6)/100))</f>
        <v>#NAME?</v>
      </c>
      <c r="BM28" s="45" t="e">
        <f ca="1">IF(_xll.ciqfunctions.udf.CIQ($A28, "IQ_TOTAL_REV_3YR_ANN_CAGR", IQ_LTM, $B$1,$L$4, $L$3, $L$5, $L$6)="NM","n/a",(_xll.ciqfunctions.udf.CIQ($A28, "IQ_TOTAL_REV_3YR_ANN_CAGR", IQ_LTM, $B$1,$L$4, $L$3, $L$5, $L$6)/100))</f>
        <v>#NAME?</v>
      </c>
      <c r="BN28" s="45" t="e">
        <f ca="1">IF(_xll.ciqfunctions.udf.CIQ($A28, "IQ_TOTAL_REV_5YR_ANN_CAGR", IQ_LTM, $B$1,$L$4, $L$3, $L$5, $L$6)="NM","n/a",(_xll.ciqfunctions.udf.CIQ($A28, "IQ_TOTAL_REV_5YR_ANN_CAGR", IQ_LTM, $B$1,$L$4, $L$3, $L$5, $L$6)/100))</f>
        <v>#NAME?</v>
      </c>
      <c r="BO28" s="45" t="e">
        <f ca="1">IF(_xll.ciqfunctions.udf.CIQ($A28,"IQ_EBITDA_2YR_ANN_CAGR", IQ_LTM,$B$1,$L$4, $L$3, $L$5, $L$6)="NM","n/a",(_xll.ciqfunctions.udf.CIQ($A28,"IQ_EBITDA_2YR_ANN_CAGR", IQ_LTM,$B$1,$L$4, $L$3, $L$5, $L$6)/100))</f>
        <v>#NAME?</v>
      </c>
      <c r="BP28" s="45" t="e">
        <f ca="1">IF(_xll.ciqfunctions.udf.CIQ($A28,"IQ_EBITDA_3YR_ANN_CAGR", IQ_LTM,$B$1,$L$4, $L$3, $L$5, $L$6)="NM","n/a",(_xll.ciqfunctions.udf.CIQ($A28,"IQ_EBITDA_3YR_ANN_CAGR", IQ_LTM,$B$1,$L$4, $L$3, $L$5, $L$6)/100))</f>
        <v>#NAME?</v>
      </c>
      <c r="BQ28" s="45" t="e">
        <f ca="1">IF(_xll.ciqfunctions.udf.CIQ($A28,"IQ_EBITDA_5YR_ANN_CAGR", IQ_LTM,$B$1,$L$4, $L$3, $L$5, $L$6)="NM","n/a",(_xll.ciqfunctions.udf.CIQ($A28,"IQ_EBITDA_5YR_ANN_CAGR", IQ_LTM,$B$1,$L$4, $L$3, $L$5, $L$6)/100))</f>
        <v>#NAME?</v>
      </c>
      <c r="BR28" s="47" t="str">
        <f ca="1">IFERROR((_xll.ciqfunctions.udf.CIQ($A28, "IQ_DA_CF", IQ_LTM, $B$1, $L$4, $L$3, $L$5, $L$6)/Q28),"NM")</f>
        <v>NM</v>
      </c>
      <c r="BS28" s="61" t="e">
        <f>'Capital IQ Sheet-GPC'!BS28</f>
        <v>#VALUE!</v>
      </c>
      <c r="BT28" s="61" t="e">
        <f>'Capital IQ Sheet-GPC'!BT28</f>
        <v>#VALUE!</v>
      </c>
      <c r="BU28" s="61" t="e">
        <f>'Capital IQ Sheet-GPC'!BU28</f>
        <v>#VALUE!</v>
      </c>
      <c r="BV28" s="61" t="e">
        <f>'Capital IQ Sheet-GPC'!BV28</f>
        <v>#VALUE!</v>
      </c>
      <c r="BW28" s="61" t="e">
        <f>'Capital IQ Sheet-GPC'!BW28</f>
        <v>#VALUE!</v>
      </c>
      <c r="BX28" s="61" t="e">
        <f>'Capital IQ Sheet-GPC'!BX28</f>
        <v>#VALUE!</v>
      </c>
      <c r="BY28" s="61" t="e">
        <f>'Capital IQ Sheet-GPC'!BY28</f>
        <v>#VALUE!</v>
      </c>
      <c r="BZ28" s="61" t="e">
        <f>'Capital IQ Sheet-GPC'!BZ28</f>
        <v>#VALUE!</v>
      </c>
      <c r="CB28" s="45">
        <v>2</v>
      </c>
      <c r="CC28" s="85" t="s">
        <v>306</v>
      </c>
      <c r="CD28" s="85" t="s">
        <v>305</v>
      </c>
      <c r="CE28" s="46">
        <f t="shared" si="1"/>
        <v>42515</v>
      </c>
    </row>
    <row r="29" spans="1:83" s="45" customFormat="1" ht="12.75">
      <c r="A29" s="45" t="e">
        <f ca="1">_xll.ciqfunctions.udf.CIQ($B29,"IQ_COMPANY_TICKER")</f>
        <v>#NAME?</v>
      </c>
      <c r="B29" s="45" t="str">
        <f>'Capital IQ Sheet-GPC'!B29</f>
        <v>(Invalid Identifier)</v>
      </c>
      <c r="C29" s="45" t="e">
        <f ca="1">_xll.ciqfunctions.udf.CIQ($A29,"IQ_COMPANY_NAME")</f>
        <v>#NAME?</v>
      </c>
      <c r="D29" s="45" t="e">
        <f ca="1">_xll.ciqfunctions.udf.CIQ($A29, "IQ_EXCHANGE")</f>
        <v>#NAME?</v>
      </c>
      <c r="E29" s="46" t="e">
        <f ca="1">_xll.ciqfunctions.udf.CIQ($A29, "IQ_PERIODDATE_IS", IQ_FY)</f>
        <v>#NAME?</v>
      </c>
      <c r="F29" s="46" t="e">
        <f ca="1">_xll.ciqfunctions.udf.CIQ(A29, "IQ_PERIODDATE_IS", IQ_LTM, $B$1,$L$4,$L$3)</f>
        <v>#NAME?</v>
      </c>
      <c r="G29" s="46" t="e">
        <f ca="1">_xll.ciqfunctions.udf.CIQ($A29, "IQ_FIRSTPRICINGDATE")</f>
        <v>#NAME?</v>
      </c>
      <c r="H29" s="59" t="e">
        <f ca="1">_xll.ciqfunctions.udf.CIQ($A29, "IQ_TEV", $L$2, $L$5, $L$6)</f>
        <v>#NAME?</v>
      </c>
      <c r="I29" s="59" t="e">
        <f ca="1">_xll.ciqfunctions.udf.CIQ(A29, "IQ_LASTSALEPRICE", $B$1,$L$5)</f>
        <v>#NAME?</v>
      </c>
      <c r="J29" s="59" t="e">
        <f ca="1">_xll.ciqfunctions.udf.CIQ($A29, "IQ_MARKETCAP", $L$2, $L$5, $L$6)</f>
        <v>#NAME?</v>
      </c>
      <c r="K29" s="59" t="e">
        <f ca="1">_xll.ciqfunctions.udf.CIQ($A29, "IQ_TOTAL_DEBT", IQ_LTM, $L$2,$L$4, $L$3, $L$5, $L$6)</f>
        <v>#NAME?</v>
      </c>
      <c r="L29" s="59" t="e">
        <f ca="1">_xll.ciqfunctions.udf.CIQ($A29, "IQ_PREF_EQUITY", IQ_LTM, $L$2, $L$4, $L$3, $L$5, $L$6)</f>
        <v>#NAME?</v>
      </c>
      <c r="M29" s="59" t="e">
        <f ca="1">_xll.ciqfunctions.udf.CIQ($A29, "IQ_MINORITY_INTEREST_TOTAL", IQ_LTM, $L$2, $L$4, $L$3, $L$5, $L$6)</f>
        <v>#NAME?</v>
      </c>
      <c r="N29" s="59" t="e">
        <f ca="1">_xll.ciqfunctions.udf.CIQ($A29, "IQ_CASH_ST_INVEST", IQ_LTM, $L$2, $L$4, $L$3, $L$5, $L$6)</f>
        <v>#NAME?</v>
      </c>
      <c r="O29" s="59" t="e">
        <f ca="1">_xll.ciqfunctions.udf.CIQ($A29, "IQ_TOTAL_REV", IQ_LTM-8, $L$2, $L$4, $L$3, $L$5, $L$6)</f>
        <v>#NAME?</v>
      </c>
      <c r="P29" s="59" t="e">
        <f ca="1">_xll.ciqfunctions.udf.CIQ($A29, "IQ_TOTAL_REV", IQ_LTM - 4, $L$2, $L$4, $L$3, $L$5,$L$6)</f>
        <v>#NAME?</v>
      </c>
      <c r="Q29" s="59" t="e">
        <f ca="1">_xll.ciqfunctions.udf.CIQ($A29, "IQ_TOTAL_REV", IQ_LTM, $L$2, $L$4, $L$3, $L$5, $L$6)</f>
        <v>#NAME?</v>
      </c>
      <c r="R29" s="59" t="e">
        <f ca="1">_xll.ciqfunctions.udf.CIQ($A29, "IQ_TOTAL_REV", $B$2, $L$2, $L$4, $L$3, $L$5, $L$6)</f>
        <v>#NAME?</v>
      </c>
      <c r="S29" s="59" t="e">
        <f ca="1">IF(_xll.ciqfunctions.udf.CIQ($A29, "IQ_TOTAL_REV", $B$3, $L$2,$L$4, $L$3, $L$5, $L$6)=0,Q29,_xll.ciqfunctions.udf.CIQ($A29, "IQ_TOTAL_REV", $B$3, $L$2,$L$4, $L$3, $L$5, $L$6))</f>
        <v>#NAME?</v>
      </c>
      <c r="T29" s="59" t="e">
        <f ca="1">IF(_xll.ciqfunctions.udf.CIQ($A29, "IQ_REVENUE_EST",$B$4, $L$2, "CON", $L$3, $L$5, $L$6)=0,"n/a",_xll.ciqfunctions.udf.CIQ($A29, "IQ_REVENUE_EST",$B$4, $L$2, "CON", $L$3, $L$5, $L$6))</f>
        <v>#NAME?</v>
      </c>
      <c r="U29" s="59" t="e">
        <f ca="1">IF(_xll.ciqfunctions.udf.CIQ($A29, "IQ_REVENUE_EST",$B$5, $L$2, "CON", $L$3, $L$5, $L$6)=0,"n/a",_xll.ciqfunctions.udf.CIQ($A29, "IQ_REVENUE_EST",$B$5, $L$2, "CON", $L$3, $L$5, $L$6))</f>
        <v>#NAME?</v>
      </c>
      <c r="V29" s="59" t="e">
        <f ca="1">IF(_xll.ciqfunctions.udf.CIQ($A29, "IQ_REVENUE_EST",$B$6, $L$2, "CON", $L$3, $L$5, $L$6)=0,"n/a",_xll.ciqfunctions.udf.CIQ($A29, "IQ_REVENUE_EST",$B$6, $L$2, "CON", $L$3, $L$5, $L$6))</f>
        <v>#NAME?</v>
      </c>
      <c r="W29" s="59" t="e">
        <f ca="1">IF(_xll.ciqfunctions.udf.CIQ($A29, "IQ_REVENUE_EST", $B$7, $L$2, "CON", $L$3, $L$5, $L$6)=0,"n/a",_xll.ciqfunctions.udf.CIQ($A29, "IQ_REVENUE_EST",$B$7, $L$2, "CON", $L$3, $L$5, $L$6))</f>
        <v>#NAME?</v>
      </c>
      <c r="X29" s="59" t="e">
        <f ca="1">_xll.ciqfunctions.udf.CIQ($A29, "IQ_EBITDA", IQ_LTM-8, $L$2, $L$4, $L$3, $L$5, $L$6)</f>
        <v>#NAME?</v>
      </c>
      <c r="Y29" s="59" t="e">
        <f ca="1">_xll.ciqfunctions.udf.CIQ($A29, "IQ_EBITDA", IQ_LTM-4, $L$2,$L$4, $L$3, $L$5, $L$6)</f>
        <v>#NAME?</v>
      </c>
      <c r="Z29" s="59" t="e">
        <f ca="1">_xll.ciqfunctions.udf.CIQ($A29, "IQ_EBITDA", IQ_LTM, $L$2, $L$4, $L$3, $L$5, $L$6)</f>
        <v>#NAME?</v>
      </c>
      <c r="AA29" s="59" t="e">
        <f ca="1">_xll.ciqfunctions.udf.CIQ($A29, "IQ_EBITDA", $B$2, $L$2, $L$4, $L$3, $L$5, $L$6)</f>
        <v>#NAME?</v>
      </c>
      <c r="AB29" s="59" t="e">
        <f ca="1">IF(_xll.ciqfunctions.udf.CIQ($A29, "IQ_EBITDA", $B$3, $L$2,$L$4, $L$3, $L$5, $L$6)=0,Z29,_xll.ciqfunctions.udf.CIQ($A29, "IQ_EBITDA", $B$3, $L$2,$L$4, $L$3, $L$5, $L$6))</f>
        <v>#NAME?</v>
      </c>
      <c r="AC29" s="59" t="e">
        <f ca="1">IF(_xll.ciqfunctions.udf.CIQ($A29, "IQ_EBITDA_EST",$B$4, $L$2, "CON", $L$3, $L$5, $L$6)=0,"n/a",_xll.ciqfunctions.udf.CIQ($A29, "IQ_EBITDA_EST",$B$4, $L$2, "CON", $L$3, $L$5, $L$6))</f>
        <v>#NAME?</v>
      </c>
      <c r="AD29" s="59" t="e">
        <f ca="1">IF(_xll.ciqfunctions.udf.CIQ($A29, "IQ_EBITDA_EST",$B$5, $L$2, "CON", $L$3, $L$5, $L$6)=0,"n/a",_xll.ciqfunctions.udf.CIQ($A29, "IQ_EBITDA_EST",$B$5, $L$2, "CON", $L$3, $L$5, $L$6))</f>
        <v>#NAME?</v>
      </c>
      <c r="AE29" s="59" t="e">
        <f ca="1">IF(_xll.ciqfunctions.udf.CIQ($A29, "IQ_EBITDA_EST",$B$6, $L$2, "CON", $L$3, $L$5, $L$6)=0,"n/a",_xll.ciqfunctions.udf.CIQ($A29, "IQ_EBITDA_EST",$B$6, $L$2, "CON", $L$3, $L$5, $L$6))</f>
        <v>#NAME?</v>
      </c>
      <c r="AF29" s="47" t="str">
        <f ca="1">IF(ISERROR(_xll.ciqfunctions.udf.CIQ($A29, "IQ_GROSS_MARGIN", IQ_LTM, $L$2,$L$4, $L$3, $L$5, $L$6)/100), "n/a", _xll.ciqfunctions.udf.CIQ($A29,  "IQ_GROSS_MARGIN", IQ_LTM, $L$2, $L$4, $L$3, $L$5, $L$6)/100)</f>
        <v>n/a</v>
      </c>
      <c r="AG29" s="47" t="str">
        <f ca="1">IF(ISERROR(_xll.ciqfunctions.udf.CIQ($A29,"IQ_EBITDA_MARGIN", IQ_LTM, $L$2, $L$4, $L$3, $L$5, $L$6)/100), "n/a", _xll.ciqfunctions.udf.CIQ($A29, "IQ_EBITDA_MARGIN", IQ_LTM, $L$2, $L$4, $L$3, $L$5, $L$6)/100)</f>
        <v>n/a</v>
      </c>
      <c r="AH29" s="47" t="str">
        <f ca="1">IF(ISERROR(_xll.ciqfunctions.udf.CIQ($A29,"IQ_EBIT_MARGIN", IQ_LTM, $L$2, $L$4, $L$3, $L$5, $L$6)/100), "n/a", _xll.ciqfunctions.udf.CIQ($A29, "IQ_EBIT_MARGIN", IQ_LTM, $L$2, $L$4, $L$3, $L$5, $L$6)/100)</f>
        <v>n/a</v>
      </c>
      <c r="AI29" s="47" t="str">
        <f ca="1">IF(ISERROR(_xll.ciqfunctions.udf.CIQ($A29,"IQ_NI_MARGIN", IQ_LTM, $L$2, $L$4, $L$3, $L$5, $L$6)/100), "n/a", _xll.ciqfunctions.udf.CIQ($A29, "IQ_NI_MARGIN", IQ_LTM, $L$2, $L$4, $L$3, $L$5, $L$6)/100)</f>
        <v>n/a</v>
      </c>
      <c r="AJ29" s="59" t="str">
        <f ca="1">IF(ISERROR(_xll.ciqfunctions.udf.CIQ($A29, "IQ_NET_WORKING_CAP", IQ_LTM-8, $L$2, $L$4, $L$3, $L$5, $L$6)), "n/a", _xll.ciqfunctions.udf.CIQ($A29, "IQ_NET_WORKING_CAP", IQ_LTM-8, $L$2, $L$4, $L$3, $L$5, $L$6))</f>
        <v>n/a</v>
      </c>
      <c r="AK29" s="59" t="str">
        <f ca="1">IF(ISERROR(_xll.ciqfunctions.udf.CIQ($A29, "IQ_NET_WORKING_CAP", IQ_LTM-4, $L$2, $L$4, $L$3, $L$5, $L$6)), "n/a", _xll.ciqfunctions.udf.CIQ($A29, "IQ_NET_WORKING_CAP", IQ_LTM-4, $L$2, $L$4, $L$3, $L$5, $L$6))</f>
        <v>n/a</v>
      </c>
      <c r="AL29" s="59" t="str">
        <f ca="1">IF(ISERROR(_xll.ciqfunctions.udf.CIQ($A29, "IQ_NET_WORKING_CAP", IQ_LTM, $L$2,$L$4, $L$3, $L$5, $L$6)), "n/a", _xll.ciqfunctions.udf.CIQ($A29, "IQ_NET_WORKING_CAP", IQ_LTM, $L$2, $L$4, $L$3, $L$5, $L$6))</f>
        <v>n/a</v>
      </c>
      <c r="AM29" s="59" t="str">
        <f ca="1">IF(ISERROR(_xll.ciqfunctions.udf.CIQ($A29, "IQ_Capex", IQ_LTM-8, $L$2,$L$4, $L$3, $L$5, $L$6)), "n/a", _xll.ciqfunctions.udf.CIQ($A29, "IQ_Capex", IQ_LTM-8, $L$2, $L$4, $L$3, $L$5, $L$6))</f>
        <v>n/a</v>
      </c>
      <c r="AN29" s="59" t="str">
        <f ca="1">IF(ISERROR(_xll.ciqfunctions.udf.CIQ($A29, "IQ_Capex", IQ_LTM-4, $L$2,$L$4, $L$3, $L$5, $L$6)), "n/a", _xll.ciqfunctions.udf.CIQ($A29, "IQ_Capex", IQ_LTM-4, $L$2,$L$4, $L$3, $L$5, $L$6))</f>
        <v>n/a</v>
      </c>
      <c r="AO29" s="59" t="str">
        <f ca="1">IF(ISERROR(_xll.ciqfunctions.udf.CIQ($A29, "IQ_Capex", IQ_LTM, $L$2, $L$4, $L$3, $L$5, $L$6)), "n/a", _xll.ciqfunctions.udf.CIQ($A29, "IQ_Capex", IQ_LTM, $L$2, $L$4, $L$3, $L$5, $L$6))</f>
        <v>n/a</v>
      </c>
      <c r="AP29" s="44" t="e">
        <f ca="1">_xll.ciqfunctions.udf.CIQ(A29, "IQ_BUSINESS_DESCRIPTION")</f>
        <v>#NAME?</v>
      </c>
      <c r="AQ29" s="60" t="e">
        <f ca="1">_xll.ciqfunctions.udf.CIQ($A29, "IQ_BETA_1YR", $B$1)</f>
        <v>#NAME?</v>
      </c>
      <c r="AR29" s="60" t="e">
        <f ca="1">_xll.ciqfunctions.udf.CIQ($A29, "IQ_BETA_2YR", $B$1)</f>
        <v>#NAME?</v>
      </c>
      <c r="AS29" s="60" t="e">
        <f ca="1">_xll.ciqfunctions.udf.CIQ($A29, "IQ_BETA_5YR", $B$1)</f>
        <v>#NAME?</v>
      </c>
      <c r="AT29" s="47" t="e">
        <f ca="1">_xll.ciqfunctions.udf.CIQ($A29, "IQ_DIVIDEND_YIELD", $B$1)/100</f>
        <v>#NAME?</v>
      </c>
      <c r="AU29" s="59" t="e">
        <f ca="1">_xll.ciqfunctions.udf.CIQ($A29, "IQ_EARNING_CO", IQ_LTM-8, $L$2, $L$4, $L$3, $L$5, $L$6)</f>
        <v>#NAME?</v>
      </c>
      <c r="AV29" s="59" t="e">
        <f ca="1">_xll.ciqfunctions.udf.CIQ($A29, "IQ_EARNING_CO", IQ_LTM-4, $L$2, $L$4, $L$3, $L$5, $L$6)</f>
        <v>#NAME?</v>
      </c>
      <c r="AW29" s="59" t="e">
        <f ca="1">_xll.ciqfunctions.udf.CIQ($A29, "IQ_EARNING_CO", IQ_LTM, $L$2, $L$4, $L$3, $L$5, $L$6)</f>
        <v>#NAME?</v>
      </c>
      <c r="AX29" s="59" t="e">
        <f ca="1">_xll.ciqfunctions.udf.CIQ($A29, "IQ_EARNING_CO", $B$2, $L$2, $L$4, $L$3, $L$5, $L$6)</f>
        <v>#NAME?</v>
      </c>
      <c r="AY29" s="59" t="e">
        <f ca="1">IF(_xll.ciqfunctions.udf.CIQ($A29, "IQ_EARNING_CO", $B$3, $L$2,$L$4, $L$3, $L$5, $L$6)=0,AW29,_xll.ciqfunctions.udf.CIQ($A29, "IQ_EARNING_CO", $B$3, $L$2,$L$4, $L$3, $L$5, $L$6))</f>
        <v>#NAME?</v>
      </c>
      <c r="AZ29" s="59" t="e">
        <f ca="1">_xll.ciqfunctions.udf.CIQ($A29, "IQ_TOTAL_EQUITY", IQ_LTM-8, $L$2, $L$4, $L$3, $L$5, $L$6)</f>
        <v>#NAME?</v>
      </c>
      <c r="BA29" s="59" t="e">
        <f ca="1">_xll.ciqfunctions.udf.CIQ($A29, "IQ_TOTAL_EQUITY", IQ_LTM-4, $L$2, $L$4, $L$3, $L$5, $L$6)</f>
        <v>#NAME?</v>
      </c>
      <c r="BB29" s="59" t="e">
        <f ca="1">_xll.ciqfunctions.udf.CIQ($A29, "IQ_TOTAL_EQUITY", IQ_LTM, $L$2, $L$4, $L$3, $L$5, $L$6)</f>
        <v>#NAME?</v>
      </c>
      <c r="BC29" s="59" t="e">
        <f ca="1">_xll.ciqfunctions.udf.CIQ($A29, "IQ_TOTAL_EQUITY", $B$2, $L$2, $L$4, $L$3, $L$5, $L$6)</f>
        <v>#NAME?</v>
      </c>
      <c r="BD29" s="59" t="e">
        <f ca="1">IF(_xll.ciqfunctions.udf.CIQ($A29, "IQ_TOTAL_EQUITY", $B$3, $L$2,$L$4, $L$3, $L$5, $L$6)=0,BB29,_xll.ciqfunctions.udf.CIQ($A29, "IQ_TOTAL_EQUITY", $B$3, $L$2,$L$4, $L$3, $L$5, $L$6))</f>
        <v>#NAME?</v>
      </c>
      <c r="BE29" s="59" t="e">
        <f ca="1">_xll.ciqfunctions.udf.CIQ(A29, "IQ_LASTSALEPRICE", $B$8)</f>
        <v>#NAME?</v>
      </c>
      <c r="BF29" s="59" t="e">
        <f ca="1">_xll.ciqfunctions.udf.CIQ($A29, "IQ_MARKETCAP", $B$8, $L$5, $L$6)</f>
        <v>#NAME?</v>
      </c>
      <c r="BG29" s="59" t="e">
        <f ca="1">_xll.ciqfunctions.udf.CIQ($A29, "IQ_TOTAL_DEBT", IQ_LTM, $B$8,$L$4, $L$3, $L$5, $L$6)</f>
        <v>#NAME?</v>
      </c>
      <c r="BH29" s="45" t="e">
        <f ca="1">_xll.ciqfunctions.udf.CIQ($A29,"IQ_PREF_EQUITY",IQ_LTM,$B$8,$L$4,$L$3,$L$5,$L$6)</f>
        <v>#NAME?</v>
      </c>
      <c r="BI29" s="45" t="e">
        <f ca="1">_xll.ciqfunctions.udf.CIQ($A29, "IQ_MINORITY_INTEREST_TOTAL", IQ_LTM,$B$8,$L$4,$L$3,$L$5,$L$6)</f>
        <v>#NAME?</v>
      </c>
      <c r="BJ29" s="59" t="e">
        <f ca="1">_xll.ciqfunctions.udf.CIQ($A29, "IQ_CASH_ST_INVEST", IQ_LTM, $B$8, $L$4, $L$3, $L$5, $L$6)</f>
        <v>#NAME?</v>
      </c>
      <c r="BK29" s="45" t="e">
        <f ca="1">_xll.ciqfunctions.udf.CIQ($A29, "IQ_EFFECT_TAX_RATE")</f>
        <v>#NAME?</v>
      </c>
      <c r="BL29" s="45" t="e">
        <f ca="1">IF(_xll.ciqfunctions.udf.CIQ($A29, "IQ_TOTAL_REV_2YR_ANN_CAGR", IQ_LTM, $B$1,$L$4, $L$3, $L$5, $L$6)="NM","n/a",(_xll.ciqfunctions.udf.CIQ($A29, "IQ_TOTAL_REV_2YR_ANN_CAGR", IQ_LTM, $B$1,$L$4, $L$3, $L$5, $L$6)/100))</f>
        <v>#NAME?</v>
      </c>
      <c r="BM29" s="45" t="e">
        <f ca="1">IF(_xll.ciqfunctions.udf.CIQ($A29, "IQ_TOTAL_REV_3YR_ANN_CAGR", IQ_LTM, $B$1,$L$4, $L$3, $L$5, $L$6)="NM","n/a",(_xll.ciqfunctions.udf.CIQ($A29, "IQ_TOTAL_REV_3YR_ANN_CAGR", IQ_LTM, $B$1,$L$4, $L$3, $L$5, $L$6)/100))</f>
        <v>#NAME?</v>
      </c>
      <c r="BN29" s="45" t="e">
        <f ca="1">IF(_xll.ciqfunctions.udf.CIQ($A29, "IQ_TOTAL_REV_5YR_ANN_CAGR", IQ_LTM, $B$1,$L$4, $L$3, $L$5, $L$6)="NM","n/a",(_xll.ciqfunctions.udf.CIQ($A29, "IQ_TOTAL_REV_5YR_ANN_CAGR", IQ_LTM, $B$1,$L$4, $L$3, $L$5, $L$6)/100))</f>
        <v>#NAME?</v>
      </c>
      <c r="BO29" s="45" t="e">
        <f ca="1">IF(_xll.ciqfunctions.udf.CIQ($A29,"IQ_EBITDA_2YR_ANN_CAGR", IQ_LTM,$B$1,$L$4, $L$3, $L$5, $L$6)="NM","n/a",(_xll.ciqfunctions.udf.CIQ($A29,"IQ_EBITDA_2YR_ANN_CAGR", IQ_LTM,$B$1,$L$4, $L$3, $L$5, $L$6)/100))</f>
        <v>#NAME?</v>
      </c>
      <c r="BP29" s="45" t="e">
        <f ca="1">IF(_xll.ciqfunctions.udf.CIQ($A29,"IQ_EBITDA_3YR_ANN_CAGR", IQ_LTM,$B$1,$L$4, $L$3, $L$5, $L$6)="NM","n/a",(_xll.ciqfunctions.udf.CIQ($A29,"IQ_EBITDA_3YR_ANN_CAGR", IQ_LTM,$B$1,$L$4, $L$3, $L$5, $L$6)/100))</f>
        <v>#NAME?</v>
      </c>
      <c r="BQ29" s="45" t="e">
        <f ca="1">IF(_xll.ciqfunctions.udf.CIQ($A29,"IQ_EBITDA_5YR_ANN_CAGR", IQ_LTM,$B$1,$L$4, $L$3, $L$5, $L$6)="NM","n/a",(_xll.ciqfunctions.udf.CIQ($A29,"IQ_EBITDA_5YR_ANN_CAGR", IQ_LTM,$B$1,$L$4, $L$3, $L$5, $L$6)/100))</f>
        <v>#NAME?</v>
      </c>
      <c r="BR29" s="47" t="str">
        <f ca="1">IFERROR((_xll.ciqfunctions.udf.CIQ($A29, "IQ_DA_CF", IQ_LTM, $B$1, $L$4, $L$3, $L$5, $L$6)/Q29),"NM")</f>
        <v>NM</v>
      </c>
      <c r="BS29" s="61" t="e">
        <f>'Capital IQ Sheet-GPC'!BS29</f>
        <v>#VALUE!</v>
      </c>
      <c r="BT29" s="61" t="e">
        <f>'Capital IQ Sheet-GPC'!BT29</f>
        <v>#VALUE!</v>
      </c>
      <c r="BU29" s="61" t="e">
        <f>'Capital IQ Sheet-GPC'!BU29</f>
        <v>#VALUE!</v>
      </c>
      <c r="BV29" s="61" t="e">
        <f>'Capital IQ Sheet-GPC'!BV29</f>
        <v>#VALUE!</v>
      </c>
      <c r="BW29" s="61" t="e">
        <f>'Capital IQ Sheet-GPC'!BW29</f>
        <v>#VALUE!</v>
      </c>
      <c r="BX29" s="61" t="e">
        <f>'Capital IQ Sheet-GPC'!BX29</f>
        <v>#VALUE!</v>
      </c>
      <c r="BY29" s="61" t="e">
        <f>'Capital IQ Sheet-GPC'!BY29</f>
        <v>#VALUE!</v>
      </c>
      <c r="BZ29" s="61" t="e">
        <f>'Capital IQ Sheet-GPC'!BZ29</f>
        <v>#VALUE!</v>
      </c>
      <c r="CB29" s="45">
        <v>2</v>
      </c>
      <c r="CC29" s="85" t="s">
        <v>306</v>
      </c>
      <c r="CD29" s="85" t="s">
        <v>305</v>
      </c>
      <c r="CE29" s="46">
        <f t="shared" si="1"/>
        <v>42515</v>
      </c>
    </row>
    <row r="30" spans="1:83" s="45" customFormat="1" ht="12.75">
      <c r="A30" s="45" t="e">
        <f ca="1">_xll.ciqfunctions.udf.CIQ($B30,"IQ_COMPANY_TICKER")</f>
        <v>#NAME?</v>
      </c>
      <c r="B30" s="45" t="str">
        <f>'Capital IQ Sheet-GPC'!B30</f>
        <v>(Invalid Identifier)</v>
      </c>
      <c r="C30" s="45" t="e">
        <f ca="1">_xll.ciqfunctions.udf.CIQ($A30,"IQ_COMPANY_NAME")</f>
        <v>#NAME?</v>
      </c>
      <c r="D30" s="45" t="e">
        <f ca="1">_xll.ciqfunctions.udf.CIQ($A30, "IQ_EXCHANGE")</f>
        <v>#NAME?</v>
      </c>
      <c r="E30" s="46" t="e">
        <f ca="1">_xll.ciqfunctions.udf.CIQ($A30, "IQ_PERIODDATE_IS", IQ_FY)</f>
        <v>#NAME?</v>
      </c>
      <c r="F30" s="46" t="e">
        <f ca="1">_xll.ciqfunctions.udf.CIQ(A30, "IQ_PERIODDATE_IS", IQ_LTM, $B$1,$L$4,$L$3)</f>
        <v>#NAME?</v>
      </c>
      <c r="G30" s="46" t="e">
        <f ca="1">_xll.ciqfunctions.udf.CIQ($A30, "IQ_FIRSTPRICINGDATE")</f>
        <v>#NAME?</v>
      </c>
      <c r="H30" s="59" t="e">
        <f ca="1">_xll.ciqfunctions.udf.CIQ($A30, "IQ_TEV", $L$2, $L$5, $L$6)</f>
        <v>#NAME?</v>
      </c>
      <c r="I30" s="59" t="e">
        <f ca="1">_xll.ciqfunctions.udf.CIQ(A30, "IQ_LASTSALEPRICE", $B$1,$L$5)</f>
        <v>#NAME?</v>
      </c>
      <c r="J30" s="59" t="e">
        <f ca="1">_xll.ciqfunctions.udf.CIQ($A30, "IQ_MARKETCAP", $L$2, $L$5, $L$6)</f>
        <v>#NAME?</v>
      </c>
      <c r="K30" s="59" t="e">
        <f ca="1">_xll.ciqfunctions.udf.CIQ($A30, "IQ_TOTAL_DEBT", IQ_LTM, $L$2,$L$4, $L$3, $L$5, $L$6)</f>
        <v>#NAME?</v>
      </c>
      <c r="L30" s="59" t="e">
        <f ca="1">_xll.ciqfunctions.udf.CIQ($A30, "IQ_PREF_EQUITY", IQ_LTM, $L$2, $L$4, $L$3, $L$5, $L$6)</f>
        <v>#NAME?</v>
      </c>
      <c r="M30" s="59" t="e">
        <f ca="1">_xll.ciqfunctions.udf.CIQ($A30, "IQ_MINORITY_INTEREST_TOTAL", IQ_LTM, $L$2, $L$4, $L$3, $L$5, $L$6)</f>
        <v>#NAME?</v>
      </c>
      <c r="N30" s="59" t="e">
        <f ca="1">_xll.ciqfunctions.udf.CIQ($A30, "IQ_CASH_ST_INVEST", IQ_LTM, $L$2, $L$4, $L$3, $L$5, $L$6)</f>
        <v>#NAME?</v>
      </c>
      <c r="O30" s="59" t="e">
        <f ca="1">_xll.ciqfunctions.udf.CIQ($A30, "IQ_TOTAL_REV", IQ_LTM-8, $L$2, $L$4, $L$3, $L$5, $L$6)</f>
        <v>#NAME?</v>
      </c>
      <c r="P30" s="59" t="e">
        <f ca="1">_xll.ciqfunctions.udf.CIQ($A30, "IQ_TOTAL_REV", IQ_LTM - 4, $L$2, $L$4, $L$3, $L$5,$L$6)</f>
        <v>#NAME?</v>
      </c>
      <c r="Q30" s="59" t="e">
        <f ca="1">_xll.ciqfunctions.udf.CIQ($A30, "IQ_TOTAL_REV", IQ_LTM, $L$2, $L$4, $L$3, $L$5, $L$6)</f>
        <v>#NAME?</v>
      </c>
      <c r="R30" s="59" t="e">
        <f ca="1">_xll.ciqfunctions.udf.CIQ($A30, "IQ_TOTAL_REV", $B$2, $L$2, $L$4, $L$3, $L$5, $L$6)</f>
        <v>#NAME?</v>
      </c>
      <c r="S30" s="59" t="e">
        <f ca="1">IF(_xll.ciqfunctions.udf.CIQ($A30, "IQ_TOTAL_REV", $B$3, $L$2,$L$4, $L$3, $L$5, $L$6)=0,Q30,_xll.ciqfunctions.udf.CIQ($A30, "IQ_TOTAL_REV", $B$3, $L$2,$L$4, $L$3, $L$5, $L$6))</f>
        <v>#NAME?</v>
      </c>
      <c r="T30" s="59" t="e">
        <f ca="1">IF(_xll.ciqfunctions.udf.CIQ($A30, "IQ_REVENUE_EST",$B$4, $L$2, "CON", $L$3, $L$5, $L$6)=0,"n/a",_xll.ciqfunctions.udf.CIQ($A30, "IQ_REVENUE_EST",$B$4, $L$2, "CON", $L$3, $L$5, $L$6))</f>
        <v>#NAME?</v>
      </c>
      <c r="U30" s="59" t="e">
        <f ca="1">IF(_xll.ciqfunctions.udf.CIQ($A30, "IQ_REVENUE_EST",$B$5, $L$2, "CON", $L$3, $L$5, $L$6)=0,"n/a",_xll.ciqfunctions.udf.CIQ($A30, "IQ_REVENUE_EST",$B$5, $L$2, "CON", $L$3, $L$5, $L$6))</f>
        <v>#NAME?</v>
      </c>
      <c r="V30" s="59" t="e">
        <f ca="1">IF(_xll.ciqfunctions.udf.CIQ($A30, "IQ_REVENUE_EST",$B$6, $L$2, "CON", $L$3, $L$5, $L$6)=0,"n/a",_xll.ciqfunctions.udf.CIQ($A30, "IQ_REVENUE_EST",$B$6, $L$2, "CON", $L$3, $L$5, $L$6))</f>
        <v>#NAME?</v>
      </c>
      <c r="W30" s="59" t="e">
        <f ca="1">IF(_xll.ciqfunctions.udf.CIQ($A30, "IQ_REVENUE_EST", $B$7, $L$2, "CON", $L$3, $L$5, $L$6)=0,"n/a",_xll.ciqfunctions.udf.CIQ($A30, "IQ_REVENUE_EST",$B$7, $L$2, "CON", $L$3, $L$5, $L$6))</f>
        <v>#NAME?</v>
      </c>
      <c r="X30" s="59" t="e">
        <f ca="1">_xll.ciqfunctions.udf.CIQ($A30, "IQ_EBITDA", IQ_LTM-8, $L$2, $L$4, $L$3, $L$5, $L$6)</f>
        <v>#NAME?</v>
      </c>
      <c r="Y30" s="59" t="e">
        <f ca="1">_xll.ciqfunctions.udf.CIQ($A30, "IQ_EBITDA", IQ_LTM-4, $L$2,$L$4, $L$3, $L$5, $L$6)</f>
        <v>#NAME?</v>
      </c>
      <c r="Z30" s="59" t="e">
        <f ca="1">_xll.ciqfunctions.udf.CIQ($A30, "IQ_EBITDA", IQ_LTM, $L$2, $L$4, $L$3, $L$5, $L$6)</f>
        <v>#NAME?</v>
      </c>
      <c r="AA30" s="59" t="e">
        <f ca="1">_xll.ciqfunctions.udf.CIQ($A30, "IQ_EBITDA", $B$2, $L$2, $L$4, $L$3, $L$5, $L$6)</f>
        <v>#NAME?</v>
      </c>
      <c r="AB30" s="59" t="e">
        <f ca="1">IF(_xll.ciqfunctions.udf.CIQ($A30, "IQ_EBITDA", $B$3, $L$2,$L$4, $L$3, $L$5, $L$6)=0,Z30,_xll.ciqfunctions.udf.CIQ($A30, "IQ_EBITDA", $B$3, $L$2,$L$4, $L$3, $L$5, $L$6))</f>
        <v>#NAME?</v>
      </c>
      <c r="AC30" s="59" t="e">
        <f ca="1">IF(_xll.ciqfunctions.udf.CIQ($A30, "IQ_EBITDA_EST",$B$4, $L$2, "CON", $L$3, $L$5, $L$6)=0,"n/a",_xll.ciqfunctions.udf.CIQ($A30, "IQ_EBITDA_EST",$B$4, $L$2, "CON", $L$3, $L$5, $L$6))</f>
        <v>#NAME?</v>
      </c>
      <c r="AD30" s="59" t="e">
        <f ca="1">IF(_xll.ciqfunctions.udf.CIQ($A30, "IQ_EBITDA_EST",$B$5, $L$2, "CON", $L$3, $L$5, $L$6)=0,"n/a",_xll.ciqfunctions.udf.CIQ($A30, "IQ_EBITDA_EST",$B$5, $L$2, "CON", $L$3, $L$5, $L$6))</f>
        <v>#NAME?</v>
      </c>
      <c r="AE30" s="59" t="e">
        <f ca="1">IF(_xll.ciqfunctions.udf.CIQ($A30, "IQ_EBITDA_EST",$B$6, $L$2, "CON", $L$3, $L$5, $L$6)=0,"n/a",_xll.ciqfunctions.udf.CIQ($A30, "IQ_EBITDA_EST",$B$6, $L$2, "CON", $L$3, $L$5, $L$6))</f>
        <v>#NAME?</v>
      </c>
      <c r="AF30" s="47" t="str">
        <f ca="1">IF(ISERROR(_xll.ciqfunctions.udf.CIQ($A30, "IQ_GROSS_MARGIN", IQ_LTM, $L$2,$L$4, $L$3, $L$5, $L$6)/100), "n/a", _xll.ciqfunctions.udf.CIQ($A30,  "IQ_GROSS_MARGIN", IQ_LTM, $L$2, $L$4, $L$3, $L$5, $L$6)/100)</f>
        <v>n/a</v>
      </c>
      <c r="AG30" s="47" t="str">
        <f ca="1">IF(ISERROR(_xll.ciqfunctions.udf.CIQ($A30,"IQ_EBITDA_MARGIN", IQ_LTM, $L$2, $L$4, $L$3, $L$5, $L$6)/100), "n/a", _xll.ciqfunctions.udf.CIQ($A30, "IQ_EBITDA_MARGIN", IQ_LTM, $L$2, $L$4, $L$3, $L$5, $L$6)/100)</f>
        <v>n/a</v>
      </c>
      <c r="AH30" s="47" t="str">
        <f ca="1">IF(ISERROR(_xll.ciqfunctions.udf.CIQ($A30,"IQ_EBIT_MARGIN", IQ_LTM, $L$2, $L$4, $L$3, $L$5, $L$6)/100), "n/a", _xll.ciqfunctions.udf.CIQ($A30, "IQ_EBIT_MARGIN", IQ_LTM, $L$2, $L$4, $L$3, $L$5, $L$6)/100)</f>
        <v>n/a</v>
      </c>
      <c r="AI30" s="47" t="str">
        <f ca="1">IF(ISERROR(_xll.ciqfunctions.udf.CIQ($A30,"IQ_NI_MARGIN", IQ_LTM, $L$2, $L$4, $L$3, $L$5, $L$6)/100), "n/a", _xll.ciqfunctions.udf.CIQ($A30, "IQ_NI_MARGIN", IQ_LTM, $L$2, $L$4, $L$3, $L$5, $L$6)/100)</f>
        <v>n/a</v>
      </c>
      <c r="AJ30" s="59" t="str">
        <f ca="1">IF(ISERROR(_xll.ciqfunctions.udf.CIQ($A30, "IQ_NET_WORKING_CAP", IQ_LTM-8, $L$2, $L$4, $L$3, $L$5, $L$6)), "n/a", _xll.ciqfunctions.udf.CIQ($A30, "IQ_NET_WORKING_CAP", IQ_LTM-8, $L$2, $L$4, $L$3, $L$5, $L$6))</f>
        <v>n/a</v>
      </c>
      <c r="AK30" s="59" t="str">
        <f ca="1">IF(ISERROR(_xll.ciqfunctions.udf.CIQ($A30, "IQ_NET_WORKING_CAP", IQ_LTM-4, $L$2, $L$4, $L$3, $L$5, $L$6)), "n/a", _xll.ciqfunctions.udf.CIQ($A30, "IQ_NET_WORKING_CAP", IQ_LTM-4, $L$2, $L$4, $L$3, $L$5, $L$6))</f>
        <v>n/a</v>
      </c>
      <c r="AL30" s="59" t="str">
        <f ca="1">IF(ISERROR(_xll.ciqfunctions.udf.CIQ($A30, "IQ_NET_WORKING_CAP", IQ_LTM, $L$2,$L$4, $L$3, $L$5, $L$6)), "n/a", _xll.ciqfunctions.udf.CIQ($A30, "IQ_NET_WORKING_CAP", IQ_LTM, $L$2, $L$4, $L$3, $L$5, $L$6))</f>
        <v>n/a</v>
      </c>
      <c r="AM30" s="59" t="str">
        <f ca="1">IF(ISERROR(_xll.ciqfunctions.udf.CIQ($A30, "IQ_Capex", IQ_LTM-8, $L$2,$L$4, $L$3, $L$5, $L$6)), "n/a", _xll.ciqfunctions.udf.CIQ($A30, "IQ_Capex", IQ_LTM-8, $L$2, $L$4, $L$3, $L$5, $L$6))</f>
        <v>n/a</v>
      </c>
      <c r="AN30" s="59" t="str">
        <f ca="1">IF(ISERROR(_xll.ciqfunctions.udf.CIQ($A30, "IQ_Capex", IQ_LTM-4, $L$2,$L$4, $L$3, $L$5, $L$6)), "n/a", _xll.ciqfunctions.udf.CIQ($A30, "IQ_Capex", IQ_LTM-4, $L$2,$L$4, $L$3, $L$5, $L$6))</f>
        <v>n/a</v>
      </c>
      <c r="AO30" s="59" t="str">
        <f ca="1">IF(ISERROR(_xll.ciqfunctions.udf.CIQ($A30, "IQ_Capex", IQ_LTM, $L$2, $L$4, $L$3, $L$5, $L$6)), "n/a", _xll.ciqfunctions.udf.CIQ($A30, "IQ_Capex", IQ_LTM, $L$2, $L$4, $L$3, $L$5, $L$6))</f>
        <v>n/a</v>
      </c>
      <c r="AP30" s="44" t="e">
        <f ca="1">_xll.ciqfunctions.udf.CIQ(A30, "IQ_BUSINESS_DESCRIPTION")</f>
        <v>#NAME?</v>
      </c>
      <c r="AQ30" s="60" t="e">
        <f ca="1">_xll.ciqfunctions.udf.CIQ($A30, "IQ_BETA_1YR", $B$1)</f>
        <v>#NAME?</v>
      </c>
      <c r="AR30" s="60" t="e">
        <f ca="1">_xll.ciqfunctions.udf.CIQ($A30, "IQ_BETA_2YR", $B$1)</f>
        <v>#NAME?</v>
      </c>
      <c r="AS30" s="60" t="e">
        <f ca="1">_xll.ciqfunctions.udf.CIQ($A30, "IQ_BETA_5YR", $B$1)</f>
        <v>#NAME?</v>
      </c>
      <c r="AT30" s="47" t="e">
        <f ca="1">_xll.ciqfunctions.udf.CIQ($A30, "IQ_DIVIDEND_YIELD", $B$1)/100</f>
        <v>#NAME?</v>
      </c>
      <c r="AU30" s="59" t="e">
        <f ca="1">_xll.ciqfunctions.udf.CIQ($A30, "IQ_EARNING_CO", IQ_LTM-8, $L$2, $L$4, $L$3, $L$5, $L$6)</f>
        <v>#NAME?</v>
      </c>
      <c r="AV30" s="59" t="e">
        <f ca="1">_xll.ciqfunctions.udf.CIQ($A30, "IQ_EARNING_CO", IQ_LTM-4, $L$2, $L$4, $L$3, $L$5, $L$6)</f>
        <v>#NAME?</v>
      </c>
      <c r="AW30" s="59" t="e">
        <f ca="1">_xll.ciqfunctions.udf.CIQ($A30, "IQ_EARNING_CO", IQ_LTM, $L$2, $L$4, $L$3, $L$5, $L$6)</f>
        <v>#NAME?</v>
      </c>
      <c r="AX30" s="59" t="e">
        <f ca="1">_xll.ciqfunctions.udf.CIQ($A30, "IQ_EARNING_CO", $B$2, $L$2, $L$4, $L$3, $L$5, $L$6)</f>
        <v>#NAME?</v>
      </c>
      <c r="AY30" s="59" t="e">
        <f ca="1">IF(_xll.ciqfunctions.udf.CIQ($A30, "IQ_EARNING_CO", $B$3, $L$2,$L$4, $L$3, $L$5, $L$6)=0,AW30,_xll.ciqfunctions.udf.CIQ($A30, "IQ_EARNING_CO", $B$3, $L$2,$L$4, $L$3, $L$5, $L$6))</f>
        <v>#NAME?</v>
      </c>
      <c r="AZ30" s="59" t="e">
        <f ca="1">_xll.ciqfunctions.udf.CIQ($A30, "IQ_TOTAL_EQUITY", IQ_LTM-8, $L$2, $L$4, $L$3, $L$5, $L$6)</f>
        <v>#NAME?</v>
      </c>
      <c r="BA30" s="59" t="e">
        <f ca="1">_xll.ciqfunctions.udf.CIQ($A30, "IQ_TOTAL_EQUITY", IQ_LTM-4, $L$2, $L$4, $L$3, $L$5, $L$6)</f>
        <v>#NAME?</v>
      </c>
      <c r="BB30" s="59" t="e">
        <f ca="1">_xll.ciqfunctions.udf.CIQ($A30, "IQ_TOTAL_EQUITY", IQ_LTM, $L$2, $L$4, $L$3, $L$5, $L$6)</f>
        <v>#NAME?</v>
      </c>
      <c r="BC30" s="59" t="e">
        <f ca="1">_xll.ciqfunctions.udf.CIQ($A30, "IQ_TOTAL_EQUITY", $B$2, $L$2, $L$4, $L$3, $L$5, $L$6)</f>
        <v>#NAME?</v>
      </c>
      <c r="BD30" s="59" t="e">
        <f ca="1">IF(_xll.ciqfunctions.udf.CIQ($A30, "IQ_TOTAL_EQUITY", $B$3, $L$2,$L$4, $L$3, $L$5, $L$6)=0,BB30,_xll.ciqfunctions.udf.CIQ($A30, "IQ_TOTAL_EQUITY", $B$3, $L$2,$L$4, $L$3, $L$5, $L$6))</f>
        <v>#NAME?</v>
      </c>
      <c r="BE30" s="59" t="e">
        <f ca="1">_xll.ciqfunctions.udf.CIQ(A30, "IQ_LASTSALEPRICE", $B$8)</f>
        <v>#NAME?</v>
      </c>
      <c r="BF30" s="59" t="e">
        <f ca="1">_xll.ciqfunctions.udf.CIQ($A30, "IQ_MARKETCAP", $B$8, $L$5, $L$6)</f>
        <v>#NAME?</v>
      </c>
      <c r="BG30" s="59" t="e">
        <f ca="1">_xll.ciqfunctions.udf.CIQ($A30, "IQ_TOTAL_DEBT", IQ_LTM, $B$8,$L$4, $L$3, $L$5, $L$6)</f>
        <v>#NAME?</v>
      </c>
      <c r="BH30" s="45" t="e">
        <f ca="1">_xll.ciqfunctions.udf.CIQ($A30,"IQ_PREF_EQUITY",IQ_LTM,$B$8,$L$4,$L$3,$L$5,$L$6)</f>
        <v>#NAME?</v>
      </c>
      <c r="BI30" s="45" t="e">
        <f ca="1">_xll.ciqfunctions.udf.CIQ($A30, "IQ_MINORITY_INTEREST_TOTAL", IQ_LTM,$B$8,$L$4,$L$3,$L$5,$L$6)</f>
        <v>#NAME?</v>
      </c>
      <c r="BJ30" s="59" t="e">
        <f ca="1">_xll.ciqfunctions.udf.CIQ($A30, "IQ_CASH_ST_INVEST", IQ_LTM, $B$8, $L$4, $L$3, $L$5, $L$6)</f>
        <v>#NAME?</v>
      </c>
      <c r="BK30" s="45" t="e">
        <f ca="1">_xll.ciqfunctions.udf.CIQ($A30, "IQ_EFFECT_TAX_RATE")</f>
        <v>#NAME?</v>
      </c>
      <c r="BL30" s="45" t="e">
        <f ca="1">IF(_xll.ciqfunctions.udf.CIQ($A30, "IQ_TOTAL_REV_2YR_ANN_CAGR", IQ_LTM, $B$1,$L$4, $L$3, $L$5, $L$6)="NM","n/a",(_xll.ciqfunctions.udf.CIQ($A30, "IQ_TOTAL_REV_2YR_ANN_CAGR", IQ_LTM, $B$1,$L$4, $L$3, $L$5, $L$6)/100))</f>
        <v>#NAME?</v>
      </c>
      <c r="BM30" s="45" t="e">
        <f ca="1">IF(_xll.ciqfunctions.udf.CIQ($A30, "IQ_TOTAL_REV_3YR_ANN_CAGR", IQ_LTM, $B$1,$L$4, $L$3, $L$5, $L$6)="NM","n/a",(_xll.ciqfunctions.udf.CIQ($A30, "IQ_TOTAL_REV_3YR_ANN_CAGR", IQ_LTM, $B$1,$L$4, $L$3, $L$5, $L$6)/100))</f>
        <v>#NAME?</v>
      </c>
      <c r="BN30" s="45" t="e">
        <f ca="1">IF(_xll.ciqfunctions.udf.CIQ($A30, "IQ_TOTAL_REV_5YR_ANN_CAGR", IQ_LTM, $B$1,$L$4, $L$3, $L$5, $L$6)="NM","n/a",(_xll.ciqfunctions.udf.CIQ($A30, "IQ_TOTAL_REV_5YR_ANN_CAGR", IQ_LTM, $B$1,$L$4, $L$3, $L$5, $L$6)/100))</f>
        <v>#NAME?</v>
      </c>
      <c r="BO30" s="45" t="e">
        <f ca="1">IF(_xll.ciqfunctions.udf.CIQ($A30,"IQ_EBITDA_2YR_ANN_CAGR", IQ_LTM,$B$1,$L$4, $L$3, $L$5, $L$6)="NM","n/a",(_xll.ciqfunctions.udf.CIQ($A30,"IQ_EBITDA_2YR_ANN_CAGR", IQ_LTM,$B$1,$L$4, $L$3, $L$5, $L$6)/100))</f>
        <v>#NAME?</v>
      </c>
      <c r="BP30" s="45" t="e">
        <f ca="1">IF(_xll.ciqfunctions.udf.CIQ($A30,"IQ_EBITDA_3YR_ANN_CAGR", IQ_LTM,$B$1,$L$4, $L$3, $L$5, $L$6)="NM","n/a",(_xll.ciqfunctions.udf.CIQ($A30,"IQ_EBITDA_3YR_ANN_CAGR", IQ_LTM,$B$1,$L$4, $L$3, $L$5, $L$6)/100))</f>
        <v>#NAME?</v>
      </c>
      <c r="BQ30" s="45" t="e">
        <f ca="1">IF(_xll.ciqfunctions.udf.CIQ($A30,"IQ_EBITDA_5YR_ANN_CAGR", IQ_LTM,$B$1,$L$4, $L$3, $L$5, $L$6)="NM","n/a",(_xll.ciqfunctions.udf.CIQ($A30,"IQ_EBITDA_5YR_ANN_CAGR", IQ_LTM,$B$1,$L$4, $L$3, $L$5, $L$6)/100))</f>
        <v>#NAME?</v>
      </c>
      <c r="BR30" s="47" t="str">
        <f ca="1">IFERROR((_xll.ciqfunctions.udf.CIQ($A30, "IQ_DA_CF", IQ_LTM, $B$1, $L$4, $L$3, $L$5, $L$6)/Q30),"NM")</f>
        <v>NM</v>
      </c>
      <c r="BS30" s="61" t="e">
        <f>'Capital IQ Sheet-GPC'!BS30</f>
        <v>#VALUE!</v>
      </c>
      <c r="BT30" s="61" t="e">
        <f>'Capital IQ Sheet-GPC'!BT30</f>
        <v>#VALUE!</v>
      </c>
      <c r="BU30" s="61" t="e">
        <f>'Capital IQ Sheet-GPC'!BU30</f>
        <v>#VALUE!</v>
      </c>
      <c r="BV30" s="61" t="e">
        <f>'Capital IQ Sheet-GPC'!BV30</f>
        <v>#VALUE!</v>
      </c>
      <c r="BW30" s="61" t="e">
        <f>'Capital IQ Sheet-GPC'!BW30</f>
        <v>#VALUE!</v>
      </c>
      <c r="BX30" s="61" t="e">
        <f>'Capital IQ Sheet-GPC'!BX30</f>
        <v>#VALUE!</v>
      </c>
      <c r="BY30" s="61" t="e">
        <f>'Capital IQ Sheet-GPC'!BY30</f>
        <v>#VALUE!</v>
      </c>
      <c r="BZ30" s="61" t="e">
        <f>'Capital IQ Sheet-GPC'!BZ30</f>
        <v>#VALUE!</v>
      </c>
      <c r="CB30" s="45">
        <v>2</v>
      </c>
      <c r="CC30" s="85" t="s">
        <v>306</v>
      </c>
      <c r="CD30" s="85" t="s">
        <v>305</v>
      </c>
      <c r="CE30" s="46">
        <f t="shared" si="1"/>
        <v>42515</v>
      </c>
    </row>
    <row r="31" spans="1:83" s="45" customFormat="1" ht="12.75">
      <c r="A31" s="45" t="e">
        <f ca="1">_xll.ciqfunctions.udf.CIQ($B31,"IQ_COMPANY_TICKER")</f>
        <v>#NAME?</v>
      </c>
      <c r="B31" s="45" t="str">
        <f>'Capital IQ Sheet-GPC'!B31</f>
        <v>(Invalid Identifier)</v>
      </c>
      <c r="C31" s="45" t="e">
        <f ca="1">_xll.ciqfunctions.udf.CIQ($A31,"IQ_COMPANY_NAME")</f>
        <v>#NAME?</v>
      </c>
      <c r="D31" s="45" t="e">
        <f ca="1">_xll.ciqfunctions.udf.CIQ($A31, "IQ_EXCHANGE")</f>
        <v>#NAME?</v>
      </c>
      <c r="E31" s="46" t="e">
        <f ca="1">_xll.ciqfunctions.udf.CIQ($A31, "IQ_PERIODDATE_IS", IQ_FY)</f>
        <v>#NAME?</v>
      </c>
      <c r="F31" s="46" t="e">
        <f ca="1">_xll.ciqfunctions.udf.CIQ(A31, "IQ_PERIODDATE_IS", IQ_LTM, $B$1,$L$4,$L$3)</f>
        <v>#NAME?</v>
      </c>
      <c r="G31" s="46" t="e">
        <f ca="1">_xll.ciqfunctions.udf.CIQ($A31, "IQ_FIRSTPRICINGDATE")</f>
        <v>#NAME?</v>
      </c>
      <c r="H31" s="59" t="e">
        <f ca="1">_xll.ciqfunctions.udf.CIQ($A31, "IQ_TEV", $L$2, $L$5, $L$6)</f>
        <v>#NAME?</v>
      </c>
      <c r="I31" s="59" t="e">
        <f ca="1">_xll.ciqfunctions.udf.CIQ(A31, "IQ_LASTSALEPRICE", $B$1,$L$5)</f>
        <v>#NAME?</v>
      </c>
      <c r="J31" s="59" t="e">
        <f ca="1">_xll.ciqfunctions.udf.CIQ($A31, "IQ_MARKETCAP", $L$2, $L$5, $L$6)</f>
        <v>#NAME?</v>
      </c>
      <c r="K31" s="59" t="e">
        <f ca="1">_xll.ciqfunctions.udf.CIQ($A31, "IQ_TOTAL_DEBT", IQ_LTM, $L$2,$L$4, $L$3, $L$5, $L$6)</f>
        <v>#NAME?</v>
      </c>
      <c r="L31" s="59" t="e">
        <f ca="1">_xll.ciqfunctions.udf.CIQ($A31, "IQ_PREF_EQUITY", IQ_LTM, $L$2, $L$4, $L$3, $L$5, $L$6)</f>
        <v>#NAME?</v>
      </c>
      <c r="M31" s="59" t="e">
        <f ca="1">_xll.ciqfunctions.udf.CIQ($A31, "IQ_MINORITY_INTEREST_TOTAL", IQ_LTM, $L$2, $L$4, $L$3, $L$5, $L$6)</f>
        <v>#NAME?</v>
      </c>
      <c r="N31" s="59" t="e">
        <f ca="1">_xll.ciqfunctions.udf.CIQ($A31, "IQ_CASH_ST_INVEST", IQ_LTM, $L$2, $L$4, $L$3, $L$5, $L$6)</f>
        <v>#NAME?</v>
      </c>
      <c r="O31" s="59" t="e">
        <f ca="1">_xll.ciqfunctions.udf.CIQ($A31, "IQ_TOTAL_REV", IQ_LTM-8, $L$2, $L$4, $L$3, $L$5, $L$6)</f>
        <v>#NAME?</v>
      </c>
      <c r="P31" s="59" t="e">
        <f ca="1">_xll.ciqfunctions.udf.CIQ($A31, "IQ_TOTAL_REV", IQ_LTM - 4, $L$2, $L$4, $L$3, $L$5,$L$6)</f>
        <v>#NAME?</v>
      </c>
      <c r="Q31" s="59" t="e">
        <f ca="1">_xll.ciqfunctions.udf.CIQ($A31, "IQ_TOTAL_REV", IQ_LTM, $L$2, $L$4, $L$3, $L$5, $L$6)</f>
        <v>#NAME?</v>
      </c>
      <c r="R31" s="59" t="e">
        <f ca="1">_xll.ciqfunctions.udf.CIQ($A31, "IQ_TOTAL_REV", $B$2, $L$2, $L$4, $L$3, $L$5, $L$6)</f>
        <v>#NAME?</v>
      </c>
      <c r="S31" s="59" t="e">
        <f ca="1">IF(_xll.ciqfunctions.udf.CIQ($A31, "IQ_TOTAL_REV", $B$3, $L$2,$L$4, $L$3, $L$5, $L$6)=0,Q31,_xll.ciqfunctions.udf.CIQ($A31, "IQ_TOTAL_REV", $B$3, $L$2,$L$4, $L$3, $L$5, $L$6))</f>
        <v>#NAME?</v>
      </c>
      <c r="T31" s="59" t="e">
        <f ca="1">IF(_xll.ciqfunctions.udf.CIQ($A31, "IQ_REVENUE_EST",$B$4, $L$2, "CON", $L$3, $L$5, $L$6)=0,"n/a",_xll.ciqfunctions.udf.CIQ($A31, "IQ_REVENUE_EST",$B$4, $L$2, "CON", $L$3, $L$5, $L$6))</f>
        <v>#NAME?</v>
      </c>
      <c r="U31" s="59" t="e">
        <f ca="1">IF(_xll.ciqfunctions.udf.CIQ($A31, "IQ_REVENUE_EST",$B$5, $L$2, "CON", $L$3, $L$5, $L$6)=0,"n/a",_xll.ciqfunctions.udf.CIQ($A31, "IQ_REVENUE_EST",$B$5, $L$2, "CON", $L$3, $L$5, $L$6))</f>
        <v>#NAME?</v>
      </c>
      <c r="V31" s="59" t="e">
        <f ca="1">IF(_xll.ciqfunctions.udf.CIQ($A31, "IQ_REVENUE_EST",$B$6, $L$2, "CON", $L$3, $L$5, $L$6)=0,"n/a",_xll.ciqfunctions.udf.CIQ($A31, "IQ_REVENUE_EST",$B$6, $L$2, "CON", $L$3, $L$5, $L$6))</f>
        <v>#NAME?</v>
      </c>
      <c r="W31" s="59" t="e">
        <f ca="1">IF(_xll.ciqfunctions.udf.CIQ($A31, "IQ_REVENUE_EST", $B$7, $L$2, "CON", $L$3, $L$5, $L$6)=0,"n/a",_xll.ciqfunctions.udf.CIQ($A31, "IQ_REVENUE_EST",$B$7, $L$2, "CON", $L$3, $L$5, $L$6))</f>
        <v>#NAME?</v>
      </c>
      <c r="X31" s="59" t="e">
        <f ca="1">_xll.ciqfunctions.udf.CIQ($A31, "IQ_EBITDA", IQ_LTM-8, $L$2, $L$4, $L$3, $L$5, $L$6)</f>
        <v>#NAME?</v>
      </c>
      <c r="Y31" s="59" t="e">
        <f ca="1">_xll.ciqfunctions.udf.CIQ($A31, "IQ_EBITDA", IQ_LTM-4, $L$2,$L$4, $L$3, $L$5, $L$6)</f>
        <v>#NAME?</v>
      </c>
      <c r="Z31" s="59" t="e">
        <f ca="1">_xll.ciqfunctions.udf.CIQ($A31, "IQ_EBITDA", IQ_LTM, $L$2, $L$4, $L$3, $L$5, $L$6)</f>
        <v>#NAME?</v>
      </c>
      <c r="AA31" s="59" t="e">
        <f ca="1">_xll.ciqfunctions.udf.CIQ($A31, "IQ_EBITDA", $B$2, $L$2, $L$4, $L$3, $L$5, $L$6)</f>
        <v>#NAME?</v>
      </c>
      <c r="AB31" s="59" t="e">
        <f ca="1">IF(_xll.ciqfunctions.udf.CIQ($A31, "IQ_EBITDA", $B$3, $L$2,$L$4, $L$3, $L$5, $L$6)=0,Z31,_xll.ciqfunctions.udf.CIQ($A31, "IQ_EBITDA", $B$3, $L$2,$L$4, $L$3, $L$5, $L$6))</f>
        <v>#NAME?</v>
      </c>
      <c r="AC31" s="59" t="e">
        <f ca="1">IF(_xll.ciqfunctions.udf.CIQ($A31, "IQ_EBITDA_EST",$B$4, $L$2, "CON", $L$3, $L$5, $L$6)=0,"n/a",_xll.ciqfunctions.udf.CIQ($A31, "IQ_EBITDA_EST",$B$4, $L$2, "CON", $L$3, $L$5, $L$6))</f>
        <v>#NAME?</v>
      </c>
      <c r="AD31" s="59" t="e">
        <f ca="1">IF(_xll.ciqfunctions.udf.CIQ($A31, "IQ_EBITDA_EST",$B$5, $L$2, "CON", $L$3, $L$5, $L$6)=0,"n/a",_xll.ciqfunctions.udf.CIQ($A31, "IQ_EBITDA_EST",$B$5, $L$2, "CON", $L$3, $L$5, $L$6))</f>
        <v>#NAME?</v>
      </c>
      <c r="AE31" s="59" t="e">
        <f ca="1">IF(_xll.ciqfunctions.udf.CIQ($A31, "IQ_EBITDA_EST",$B$6, $L$2, "CON", $L$3, $L$5, $L$6)=0,"n/a",_xll.ciqfunctions.udf.CIQ($A31, "IQ_EBITDA_EST",$B$6, $L$2, "CON", $L$3, $L$5, $L$6))</f>
        <v>#NAME?</v>
      </c>
      <c r="AF31" s="47" t="str">
        <f ca="1">IF(ISERROR(_xll.ciqfunctions.udf.CIQ($A31, "IQ_GROSS_MARGIN", IQ_LTM, $L$2,$L$4, $L$3, $L$5, $L$6)/100), "n/a", _xll.ciqfunctions.udf.CIQ($A31,  "IQ_GROSS_MARGIN", IQ_LTM, $L$2, $L$4, $L$3, $L$5, $L$6)/100)</f>
        <v>n/a</v>
      </c>
      <c r="AG31" s="47" t="str">
        <f ca="1">IF(ISERROR(_xll.ciqfunctions.udf.CIQ($A31,"IQ_EBITDA_MARGIN", IQ_LTM, $L$2, $L$4, $L$3, $L$5, $L$6)/100), "n/a", _xll.ciqfunctions.udf.CIQ($A31, "IQ_EBITDA_MARGIN", IQ_LTM, $L$2, $L$4, $L$3, $L$5, $L$6)/100)</f>
        <v>n/a</v>
      </c>
      <c r="AH31" s="47" t="str">
        <f ca="1">IF(ISERROR(_xll.ciqfunctions.udf.CIQ($A31,"IQ_EBIT_MARGIN", IQ_LTM, $L$2, $L$4, $L$3, $L$5, $L$6)/100), "n/a", _xll.ciqfunctions.udf.CIQ($A31, "IQ_EBIT_MARGIN", IQ_LTM, $L$2, $L$4, $L$3, $L$5, $L$6)/100)</f>
        <v>n/a</v>
      </c>
      <c r="AI31" s="47" t="str">
        <f ca="1">IF(ISERROR(_xll.ciqfunctions.udf.CIQ($A31,"IQ_NI_MARGIN", IQ_LTM, $L$2, $L$4, $L$3, $L$5, $L$6)/100), "n/a", _xll.ciqfunctions.udf.CIQ($A31, "IQ_NI_MARGIN", IQ_LTM, $L$2, $L$4, $L$3, $L$5, $L$6)/100)</f>
        <v>n/a</v>
      </c>
      <c r="AJ31" s="59" t="str">
        <f ca="1">IF(ISERROR(_xll.ciqfunctions.udf.CIQ($A31, "IQ_NET_WORKING_CAP", IQ_LTM-8, $L$2, $L$4, $L$3, $L$5, $L$6)), "n/a", _xll.ciqfunctions.udf.CIQ($A31, "IQ_NET_WORKING_CAP", IQ_LTM-8, $L$2, $L$4, $L$3, $L$5, $L$6))</f>
        <v>n/a</v>
      </c>
      <c r="AK31" s="59" t="str">
        <f ca="1">IF(ISERROR(_xll.ciqfunctions.udf.CIQ($A31, "IQ_NET_WORKING_CAP", IQ_LTM-4, $L$2, $L$4, $L$3, $L$5, $L$6)), "n/a", _xll.ciqfunctions.udf.CIQ($A31, "IQ_NET_WORKING_CAP", IQ_LTM-4, $L$2, $L$4, $L$3, $L$5, $L$6))</f>
        <v>n/a</v>
      </c>
      <c r="AL31" s="59" t="str">
        <f ca="1">IF(ISERROR(_xll.ciqfunctions.udf.CIQ($A31, "IQ_NET_WORKING_CAP", IQ_LTM, $L$2,$L$4, $L$3, $L$5, $L$6)), "n/a", _xll.ciqfunctions.udf.CIQ($A31, "IQ_NET_WORKING_CAP", IQ_LTM, $L$2, $L$4, $L$3, $L$5, $L$6))</f>
        <v>n/a</v>
      </c>
      <c r="AM31" s="59" t="str">
        <f ca="1">IF(ISERROR(_xll.ciqfunctions.udf.CIQ($A31, "IQ_Capex", IQ_LTM-8, $L$2,$L$4, $L$3, $L$5, $L$6)), "n/a", _xll.ciqfunctions.udf.CIQ($A31, "IQ_Capex", IQ_LTM-8, $L$2, $L$4, $L$3, $L$5, $L$6))</f>
        <v>n/a</v>
      </c>
      <c r="AN31" s="59" t="str">
        <f ca="1">IF(ISERROR(_xll.ciqfunctions.udf.CIQ($A31, "IQ_Capex", IQ_LTM-4, $L$2,$L$4, $L$3, $L$5, $L$6)), "n/a", _xll.ciqfunctions.udf.CIQ($A31, "IQ_Capex", IQ_LTM-4, $L$2,$L$4, $L$3, $L$5, $L$6))</f>
        <v>n/a</v>
      </c>
      <c r="AO31" s="59" t="str">
        <f ca="1">IF(ISERROR(_xll.ciqfunctions.udf.CIQ($A31, "IQ_Capex", IQ_LTM, $L$2, $L$4, $L$3, $L$5, $L$6)), "n/a", _xll.ciqfunctions.udf.CIQ($A31, "IQ_Capex", IQ_LTM, $L$2, $L$4, $L$3, $L$5, $L$6))</f>
        <v>n/a</v>
      </c>
      <c r="AP31" s="44" t="e">
        <f ca="1">_xll.ciqfunctions.udf.CIQ(A31, "IQ_BUSINESS_DESCRIPTION")</f>
        <v>#NAME?</v>
      </c>
      <c r="AQ31" s="60" t="e">
        <f ca="1">_xll.ciqfunctions.udf.CIQ($A31, "IQ_BETA_1YR", $B$1)</f>
        <v>#NAME?</v>
      </c>
      <c r="AR31" s="60" t="e">
        <f ca="1">_xll.ciqfunctions.udf.CIQ($A31, "IQ_BETA_2YR", $B$1)</f>
        <v>#NAME?</v>
      </c>
      <c r="AS31" s="60" t="e">
        <f ca="1">_xll.ciqfunctions.udf.CIQ($A31, "IQ_BETA_5YR", $B$1)</f>
        <v>#NAME?</v>
      </c>
      <c r="AT31" s="47" t="e">
        <f ca="1">_xll.ciqfunctions.udf.CIQ($A31, "IQ_DIVIDEND_YIELD", $B$1)/100</f>
        <v>#NAME?</v>
      </c>
      <c r="AU31" s="59" t="e">
        <f ca="1">_xll.ciqfunctions.udf.CIQ($A31, "IQ_EARNING_CO", IQ_LTM-8, $L$2, $L$4, $L$3, $L$5, $L$6)</f>
        <v>#NAME?</v>
      </c>
      <c r="AV31" s="59" t="e">
        <f ca="1">_xll.ciqfunctions.udf.CIQ($A31, "IQ_EARNING_CO", IQ_LTM-4, $L$2, $L$4, $L$3, $L$5, $L$6)</f>
        <v>#NAME?</v>
      </c>
      <c r="AW31" s="59" t="e">
        <f ca="1">_xll.ciqfunctions.udf.CIQ($A31, "IQ_EARNING_CO", IQ_LTM, $L$2, $L$4, $L$3, $L$5, $L$6)</f>
        <v>#NAME?</v>
      </c>
      <c r="AX31" s="59" t="e">
        <f ca="1">_xll.ciqfunctions.udf.CIQ($A31, "IQ_EARNING_CO", $B$2, $L$2, $L$4, $L$3, $L$5, $L$6)</f>
        <v>#NAME?</v>
      </c>
      <c r="AY31" s="59" t="e">
        <f ca="1">IF(_xll.ciqfunctions.udf.CIQ($A31, "IQ_EARNING_CO", $B$3, $L$2,$L$4, $L$3, $L$5, $L$6)=0,AW31,_xll.ciqfunctions.udf.CIQ($A31, "IQ_EARNING_CO", $B$3, $L$2,$L$4, $L$3, $L$5, $L$6))</f>
        <v>#NAME?</v>
      </c>
      <c r="AZ31" s="59" t="e">
        <f ca="1">_xll.ciqfunctions.udf.CIQ($A31, "IQ_TOTAL_EQUITY", IQ_LTM-8, $L$2, $L$4, $L$3, $L$5, $L$6)</f>
        <v>#NAME?</v>
      </c>
      <c r="BA31" s="59" t="e">
        <f ca="1">_xll.ciqfunctions.udf.CIQ($A31, "IQ_TOTAL_EQUITY", IQ_LTM-4, $L$2, $L$4, $L$3, $L$5, $L$6)</f>
        <v>#NAME?</v>
      </c>
      <c r="BB31" s="59" t="e">
        <f ca="1">_xll.ciqfunctions.udf.CIQ($A31, "IQ_TOTAL_EQUITY", IQ_LTM, $L$2, $L$4, $L$3, $L$5, $L$6)</f>
        <v>#NAME?</v>
      </c>
      <c r="BC31" s="59" t="e">
        <f ca="1">_xll.ciqfunctions.udf.CIQ($A31, "IQ_TOTAL_EQUITY", $B$2, $L$2, $L$4, $L$3, $L$5, $L$6)</f>
        <v>#NAME?</v>
      </c>
      <c r="BD31" s="59" t="e">
        <f ca="1">IF(_xll.ciqfunctions.udf.CIQ($A31, "IQ_TOTAL_EQUITY", $B$3, $L$2,$L$4, $L$3, $L$5, $L$6)=0,BB31,_xll.ciqfunctions.udf.CIQ($A31, "IQ_TOTAL_EQUITY", $B$3, $L$2,$L$4, $L$3, $L$5, $L$6))</f>
        <v>#NAME?</v>
      </c>
      <c r="BE31" s="59" t="e">
        <f ca="1">_xll.ciqfunctions.udf.CIQ(A31, "IQ_LASTSALEPRICE", $B$8)</f>
        <v>#NAME?</v>
      </c>
      <c r="BF31" s="59" t="e">
        <f ca="1">_xll.ciqfunctions.udf.CIQ($A31, "IQ_MARKETCAP", $B$8, $L$5, $L$6)</f>
        <v>#NAME?</v>
      </c>
      <c r="BG31" s="59" t="e">
        <f ca="1">_xll.ciqfunctions.udf.CIQ($A31, "IQ_TOTAL_DEBT", IQ_LTM, $B$8,$L$4, $L$3, $L$5, $L$6)</f>
        <v>#NAME?</v>
      </c>
      <c r="BH31" s="45" t="e">
        <f ca="1">_xll.ciqfunctions.udf.CIQ($A31,"IQ_PREF_EQUITY",IQ_LTM,$B$8,$L$4,$L$3,$L$5,$L$6)</f>
        <v>#NAME?</v>
      </c>
      <c r="BI31" s="45" t="e">
        <f ca="1">_xll.ciqfunctions.udf.CIQ($A31, "IQ_MINORITY_INTEREST_TOTAL", IQ_LTM,$B$8,$L$4,$L$3,$L$5,$L$6)</f>
        <v>#NAME?</v>
      </c>
      <c r="BJ31" s="59" t="e">
        <f ca="1">_xll.ciqfunctions.udf.CIQ($A31, "IQ_CASH_ST_INVEST", IQ_LTM, $B$8, $L$4, $L$3, $L$5, $L$6)</f>
        <v>#NAME?</v>
      </c>
      <c r="BK31" s="45" t="e">
        <f ca="1">_xll.ciqfunctions.udf.CIQ($A31, "IQ_EFFECT_TAX_RATE")</f>
        <v>#NAME?</v>
      </c>
      <c r="BL31" s="45" t="e">
        <f ca="1">IF(_xll.ciqfunctions.udf.CIQ($A31, "IQ_TOTAL_REV_2YR_ANN_CAGR", IQ_LTM, $B$1,$L$4, $L$3, $L$5, $L$6)="NM","n/a",(_xll.ciqfunctions.udf.CIQ($A31, "IQ_TOTAL_REV_2YR_ANN_CAGR", IQ_LTM, $B$1,$L$4, $L$3, $L$5, $L$6)/100))</f>
        <v>#NAME?</v>
      </c>
      <c r="BM31" s="45" t="e">
        <f ca="1">IF(_xll.ciqfunctions.udf.CIQ($A31, "IQ_TOTAL_REV_3YR_ANN_CAGR", IQ_LTM, $B$1,$L$4, $L$3, $L$5, $L$6)="NM","n/a",(_xll.ciqfunctions.udf.CIQ($A31, "IQ_TOTAL_REV_3YR_ANN_CAGR", IQ_LTM, $B$1,$L$4, $L$3, $L$5, $L$6)/100))</f>
        <v>#NAME?</v>
      </c>
      <c r="BN31" s="45" t="e">
        <f ca="1">IF(_xll.ciqfunctions.udf.CIQ($A31, "IQ_TOTAL_REV_5YR_ANN_CAGR", IQ_LTM, $B$1,$L$4, $L$3, $L$5, $L$6)="NM","n/a",(_xll.ciqfunctions.udf.CIQ($A31, "IQ_TOTAL_REV_5YR_ANN_CAGR", IQ_LTM, $B$1,$L$4, $L$3, $L$5, $L$6)/100))</f>
        <v>#NAME?</v>
      </c>
      <c r="BO31" s="45" t="e">
        <f ca="1">IF(_xll.ciqfunctions.udf.CIQ($A31,"IQ_EBITDA_2YR_ANN_CAGR", IQ_LTM,$B$1,$L$4, $L$3, $L$5, $L$6)="NM","n/a",(_xll.ciqfunctions.udf.CIQ($A31,"IQ_EBITDA_2YR_ANN_CAGR", IQ_LTM,$B$1,$L$4, $L$3, $L$5, $L$6)/100))</f>
        <v>#NAME?</v>
      </c>
      <c r="BP31" s="45" t="e">
        <f ca="1">IF(_xll.ciqfunctions.udf.CIQ($A31,"IQ_EBITDA_3YR_ANN_CAGR", IQ_LTM,$B$1,$L$4, $L$3, $L$5, $L$6)="NM","n/a",(_xll.ciqfunctions.udf.CIQ($A31,"IQ_EBITDA_3YR_ANN_CAGR", IQ_LTM,$B$1,$L$4, $L$3, $L$5, $L$6)/100))</f>
        <v>#NAME?</v>
      </c>
      <c r="BQ31" s="45" t="e">
        <f ca="1">IF(_xll.ciqfunctions.udf.CIQ($A31,"IQ_EBITDA_5YR_ANN_CAGR", IQ_LTM,$B$1,$L$4, $L$3, $L$5, $L$6)="NM","n/a",(_xll.ciqfunctions.udf.CIQ($A31,"IQ_EBITDA_5YR_ANN_CAGR", IQ_LTM,$B$1,$L$4, $L$3, $L$5, $L$6)/100))</f>
        <v>#NAME?</v>
      </c>
      <c r="BR31" s="47" t="str">
        <f ca="1">IFERROR((_xll.ciqfunctions.udf.CIQ($A31, "IQ_DA_CF", IQ_LTM, $B$1, $L$4, $L$3, $L$5, $L$6)/Q31),"NM")</f>
        <v>NM</v>
      </c>
      <c r="BS31" s="61" t="e">
        <f>'Capital IQ Sheet-GPC'!BS31</f>
        <v>#VALUE!</v>
      </c>
      <c r="BT31" s="61" t="e">
        <f>'Capital IQ Sheet-GPC'!BT31</f>
        <v>#VALUE!</v>
      </c>
      <c r="BU31" s="61" t="e">
        <f>'Capital IQ Sheet-GPC'!BU31</f>
        <v>#VALUE!</v>
      </c>
      <c r="BV31" s="61" t="e">
        <f>'Capital IQ Sheet-GPC'!BV31</f>
        <v>#VALUE!</v>
      </c>
      <c r="BW31" s="61" t="e">
        <f>'Capital IQ Sheet-GPC'!BW31</f>
        <v>#VALUE!</v>
      </c>
      <c r="BX31" s="61" t="e">
        <f>'Capital IQ Sheet-GPC'!BX31</f>
        <v>#VALUE!</v>
      </c>
      <c r="BY31" s="61" t="e">
        <f>'Capital IQ Sheet-GPC'!BY31</f>
        <v>#VALUE!</v>
      </c>
      <c r="BZ31" s="61" t="e">
        <f>'Capital IQ Sheet-GPC'!BZ31</f>
        <v>#VALUE!</v>
      </c>
      <c r="CB31" s="45">
        <v>2</v>
      </c>
      <c r="CC31" s="85" t="s">
        <v>306</v>
      </c>
      <c r="CD31" s="85" t="s">
        <v>305</v>
      </c>
      <c r="CE31" s="46">
        <f t="shared" si="1"/>
        <v>42515</v>
      </c>
    </row>
    <row r="32" spans="1:83" s="45" customFormat="1" ht="12.75">
      <c r="A32" s="45" t="e">
        <f ca="1">_xll.ciqfunctions.udf.CIQ($B32,"IQ_COMPANY_TICKER")</f>
        <v>#NAME?</v>
      </c>
      <c r="B32" s="45" t="str">
        <f>'Capital IQ Sheet-GPC'!B32</f>
        <v>(Invalid Identifier)</v>
      </c>
      <c r="C32" s="45" t="e">
        <f ca="1">_xll.ciqfunctions.udf.CIQ($A32,"IQ_COMPANY_NAME")</f>
        <v>#NAME?</v>
      </c>
      <c r="D32" s="45" t="e">
        <f ca="1">_xll.ciqfunctions.udf.CIQ($A32, "IQ_EXCHANGE")</f>
        <v>#NAME?</v>
      </c>
      <c r="E32" s="46" t="e">
        <f ca="1">_xll.ciqfunctions.udf.CIQ($A32, "IQ_PERIODDATE_IS", IQ_FY)</f>
        <v>#NAME?</v>
      </c>
      <c r="F32" s="46" t="e">
        <f ca="1">_xll.ciqfunctions.udf.CIQ(A32, "IQ_PERIODDATE_IS", IQ_LTM, $B$1,$L$4,$L$3)</f>
        <v>#NAME?</v>
      </c>
      <c r="G32" s="46" t="e">
        <f ca="1">_xll.ciqfunctions.udf.CIQ($A32, "IQ_FIRSTPRICINGDATE")</f>
        <v>#NAME?</v>
      </c>
      <c r="H32" s="59" t="e">
        <f ca="1">_xll.ciqfunctions.udf.CIQ($A32, "IQ_TEV", $L$2, $L$5, $L$6)</f>
        <v>#NAME?</v>
      </c>
      <c r="I32" s="59" t="e">
        <f ca="1">_xll.ciqfunctions.udf.CIQ(A32, "IQ_LASTSALEPRICE", $B$1,$L$5)</f>
        <v>#NAME?</v>
      </c>
      <c r="J32" s="59" t="e">
        <f ca="1">_xll.ciqfunctions.udf.CIQ($A32, "IQ_MARKETCAP", $L$2, $L$5, $L$6)</f>
        <v>#NAME?</v>
      </c>
      <c r="K32" s="59" t="e">
        <f ca="1">_xll.ciqfunctions.udf.CIQ($A32, "IQ_TOTAL_DEBT", IQ_LTM, $L$2,$L$4, $L$3, $L$5, $L$6)</f>
        <v>#NAME?</v>
      </c>
      <c r="L32" s="59" t="e">
        <f ca="1">_xll.ciqfunctions.udf.CIQ($A32, "IQ_PREF_EQUITY", IQ_LTM, $L$2, $L$4, $L$3, $L$5, $L$6)</f>
        <v>#NAME?</v>
      </c>
      <c r="M32" s="59" t="e">
        <f ca="1">_xll.ciqfunctions.udf.CIQ($A32, "IQ_MINORITY_INTEREST_TOTAL", IQ_LTM, $L$2, $L$4, $L$3, $L$5, $L$6)</f>
        <v>#NAME?</v>
      </c>
      <c r="N32" s="59" t="e">
        <f ca="1">_xll.ciqfunctions.udf.CIQ($A32, "IQ_CASH_ST_INVEST", IQ_LTM, $L$2, $L$4, $L$3, $L$5, $L$6)</f>
        <v>#NAME?</v>
      </c>
      <c r="O32" s="59" t="e">
        <f ca="1">_xll.ciqfunctions.udf.CIQ($A32, "IQ_TOTAL_REV", IQ_LTM-8, $L$2, $L$4, $L$3, $L$5, $L$6)</f>
        <v>#NAME?</v>
      </c>
      <c r="P32" s="59" t="e">
        <f ca="1">_xll.ciqfunctions.udf.CIQ($A32, "IQ_TOTAL_REV", IQ_LTM - 4, $L$2, $L$4, $L$3, $L$5,$L$6)</f>
        <v>#NAME?</v>
      </c>
      <c r="Q32" s="59" t="e">
        <f ca="1">_xll.ciqfunctions.udf.CIQ($A32, "IQ_TOTAL_REV", IQ_LTM, $L$2, $L$4, $L$3, $L$5, $L$6)</f>
        <v>#NAME?</v>
      </c>
      <c r="R32" s="59" t="e">
        <f ca="1">_xll.ciqfunctions.udf.CIQ($A32, "IQ_TOTAL_REV", $B$2, $L$2, $L$4, $L$3, $L$5, $L$6)</f>
        <v>#NAME?</v>
      </c>
      <c r="S32" s="59" t="e">
        <f ca="1">IF(_xll.ciqfunctions.udf.CIQ($A32, "IQ_TOTAL_REV", $B$3, $L$2,$L$4, $L$3, $L$5, $L$6)=0,Q32,_xll.ciqfunctions.udf.CIQ($A32, "IQ_TOTAL_REV", $B$3, $L$2,$L$4, $L$3, $L$5, $L$6))</f>
        <v>#NAME?</v>
      </c>
      <c r="T32" s="59" t="e">
        <f ca="1">IF(_xll.ciqfunctions.udf.CIQ($A32, "IQ_REVENUE_EST",$B$4, $L$2, "CON", $L$3, $L$5, $L$6)=0,"n/a",_xll.ciqfunctions.udf.CIQ($A32, "IQ_REVENUE_EST",$B$4, $L$2, "CON", $L$3, $L$5, $L$6))</f>
        <v>#NAME?</v>
      </c>
      <c r="U32" s="59" t="e">
        <f ca="1">IF(_xll.ciqfunctions.udf.CIQ($A32, "IQ_REVENUE_EST",$B$5, $L$2, "CON", $L$3, $L$5, $L$6)=0,"n/a",_xll.ciqfunctions.udf.CIQ($A32, "IQ_REVENUE_EST",$B$5, $L$2, "CON", $L$3, $L$5, $L$6))</f>
        <v>#NAME?</v>
      </c>
      <c r="V32" s="59" t="e">
        <f ca="1">IF(_xll.ciqfunctions.udf.CIQ($A32, "IQ_REVENUE_EST",$B$6, $L$2, "CON", $L$3, $L$5, $L$6)=0,"n/a",_xll.ciqfunctions.udf.CIQ($A32, "IQ_REVENUE_EST",$B$6, $L$2, "CON", $L$3, $L$5, $L$6))</f>
        <v>#NAME?</v>
      </c>
      <c r="W32" s="59" t="e">
        <f ca="1">IF(_xll.ciqfunctions.udf.CIQ($A32, "IQ_REVENUE_EST", $B$7, $L$2, "CON", $L$3, $L$5, $L$6)=0,"n/a",_xll.ciqfunctions.udf.CIQ($A32, "IQ_REVENUE_EST",$B$7, $L$2, "CON", $L$3, $L$5, $L$6))</f>
        <v>#NAME?</v>
      </c>
      <c r="X32" s="59" t="e">
        <f ca="1">_xll.ciqfunctions.udf.CIQ($A32, "IQ_EBITDA", IQ_LTM-8, $L$2, $L$4, $L$3, $L$5, $L$6)</f>
        <v>#NAME?</v>
      </c>
      <c r="Y32" s="59" t="e">
        <f ca="1">_xll.ciqfunctions.udf.CIQ($A32, "IQ_EBITDA", IQ_LTM-4, $L$2,$L$4, $L$3, $L$5, $L$6)</f>
        <v>#NAME?</v>
      </c>
      <c r="Z32" s="59" t="e">
        <f ca="1">_xll.ciqfunctions.udf.CIQ($A32, "IQ_EBITDA", IQ_LTM, $L$2, $L$4, $L$3, $L$5, $L$6)</f>
        <v>#NAME?</v>
      </c>
      <c r="AA32" s="59" t="e">
        <f ca="1">_xll.ciqfunctions.udf.CIQ($A32, "IQ_EBITDA", $B$2, $L$2, $L$4, $L$3, $L$5, $L$6)</f>
        <v>#NAME?</v>
      </c>
      <c r="AB32" s="59" t="e">
        <f ca="1">IF(_xll.ciqfunctions.udf.CIQ($A32, "IQ_EBITDA", $B$3, $L$2,$L$4, $L$3, $L$5, $L$6)=0,Z32,_xll.ciqfunctions.udf.CIQ($A32, "IQ_EBITDA", $B$3, $L$2,$L$4, $L$3, $L$5, $L$6))</f>
        <v>#NAME?</v>
      </c>
      <c r="AC32" s="59" t="e">
        <f ca="1">IF(_xll.ciqfunctions.udf.CIQ($A32, "IQ_EBITDA_EST",$B$4, $L$2, "CON", $L$3, $L$5, $L$6)=0,"n/a",_xll.ciqfunctions.udf.CIQ($A32, "IQ_EBITDA_EST",$B$4, $L$2, "CON", $L$3, $L$5, $L$6))</f>
        <v>#NAME?</v>
      </c>
      <c r="AD32" s="59" t="e">
        <f ca="1">IF(_xll.ciqfunctions.udf.CIQ($A32, "IQ_EBITDA_EST",$B$5, $L$2, "CON", $L$3, $L$5, $L$6)=0,"n/a",_xll.ciqfunctions.udf.CIQ($A32, "IQ_EBITDA_EST",$B$5, $L$2, "CON", $L$3, $L$5, $L$6))</f>
        <v>#NAME?</v>
      </c>
      <c r="AE32" s="59" t="e">
        <f ca="1">IF(_xll.ciqfunctions.udf.CIQ($A32, "IQ_EBITDA_EST",$B$6, $L$2, "CON", $L$3, $L$5, $L$6)=0,"n/a",_xll.ciqfunctions.udf.CIQ($A32, "IQ_EBITDA_EST",$B$6, $L$2, "CON", $L$3, $L$5, $L$6))</f>
        <v>#NAME?</v>
      </c>
      <c r="AF32" s="47" t="str">
        <f ca="1">IF(ISERROR(_xll.ciqfunctions.udf.CIQ($A32, "IQ_GROSS_MARGIN", IQ_LTM, $L$2,$L$4, $L$3, $L$5, $L$6)/100), "n/a", _xll.ciqfunctions.udf.CIQ($A32,  "IQ_GROSS_MARGIN", IQ_LTM, $L$2, $L$4, $L$3, $L$5, $L$6)/100)</f>
        <v>n/a</v>
      </c>
      <c r="AG32" s="47" t="str">
        <f ca="1">IF(ISERROR(_xll.ciqfunctions.udf.CIQ($A32,"IQ_EBITDA_MARGIN", IQ_LTM, $L$2, $L$4, $L$3, $L$5, $L$6)/100), "n/a", _xll.ciqfunctions.udf.CIQ($A32, "IQ_EBITDA_MARGIN", IQ_LTM, $L$2, $L$4, $L$3, $L$5, $L$6)/100)</f>
        <v>n/a</v>
      </c>
      <c r="AH32" s="47" t="str">
        <f ca="1">IF(ISERROR(_xll.ciqfunctions.udf.CIQ($A32,"IQ_EBIT_MARGIN", IQ_LTM, $L$2, $L$4, $L$3, $L$5, $L$6)/100), "n/a", _xll.ciqfunctions.udf.CIQ($A32, "IQ_EBIT_MARGIN", IQ_LTM, $L$2, $L$4, $L$3, $L$5, $L$6)/100)</f>
        <v>n/a</v>
      </c>
      <c r="AI32" s="47" t="str">
        <f ca="1">IF(ISERROR(_xll.ciqfunctions.udf.CIQ($A32,"IQ_NI_MARGIN", IQ_LTM, $L$2, $L$4, $L$3, $L$5, $L$6)/100), "n/a", _xll.ciqfunctions.udf.CIQ($A32, "IQ_NI_MARGIN", IQ_LTM, $L$2, $L$4, $L$3, $L$5, $L$6)/100)</f>
        <v>n/a</v>
      </c>
      <c r="AJ32" s="59" t="str">
        <f ca="1">IF(ISERROR(_xll.ciqfunctions.udf.CIQ($A32, "IQ_NET_WORKING_CAP", IQ_LTM-8, $L$2, $L$4, $L$3, $L$5, $L$6)), "n/a", _xll.ciqfunctions.udf.CIQ($A32, "IQ_NET_WORKING_CAP", IQ_LTM-8, $L$2, $L$4, $L$3, $L$5, $L$6))</f>
        <v>n/a</v>
      </c>
      <c r="AK32" s="59" t="str">
        <f ca="1">IF(ISERROR(_xll.ciqfunctions.udf.CIQ($A32, "IQ_NET_WORKING_CAP", IQ_LTM-4, $L$2, $L$4, $L$3, $L$5, $L$6)), "n/a", _xll.ciqfunctions.udf.CIQ($A32, "IQ_NET_WORKING_CAP", IQ_LTM-4, $L$2, $L$4, $L$3, $L$5, $L$6))</f>
        <v>n/a</v>
      </c>
      <c r="AL32" s="59" t="str">
        <f ca="1">IF(ISERROR(_xll.ciqfunctions.udf.CIQ($A32, "IQ_NET_WORKING_CAP", IQ_LTM, $L$2,$L$4, $L$3, $L$5, $L$6)), "n/a", _xll.ciqfunctions.udf.CIQ($A32, "IQ_NET_WORKING_CAP", IQ_LTM, $L$2, $L$4, $L$3, $L$5, $L$6))</f>
        <v>n/a</v>
      </c>
      <c r="AM32" s="59" t="str">
        <f ca="1">IF(ISERROR(_xll.ciqfunctions.udf.CIQ($A32, "IQ_Capex", IQ_LTM-8, $L$2,$L$4, $L$3, $L$5, $L$6)), "n/a", _xll.ciqfunctions.udf.CIQ($A32, "IQ_Capex", IQ_LTM-8, $L$2, $L$4, $L$3, $L$5, $L$6))</f>
        <v>n/a</v>
      </c>
      <c r="AN32" s="59" t="str">
        <f ca="1">IF(ISERROR(_xll.ciqfunctions.udf.CIQ($A32, "IQ_Capex", IQ_LTM-4, $L$2,$L$4, $L$3, $L$5, $L$6)), "n/a", _xll.ciqfunctions.udf.CIQ($A32, "IQ_Capex", IQ_LTM-4, $L$2,$L$4, $L$3, $L$5, $L$6))</f>
        <v>n/a</v>
      </c>
      <c r="AO32" s="59" t="str">
        <f ca="1">IF(ISERROR(_xll.ciqfunctions.udf.CIQ($A32, "IQ_Capex", IQ_LTM, $L$2, $L$4, $L$3, $L$5, $L$6)), "n/a", _xll.ciqfunctions.udf.CIQ($A32, "IQ_Capex", IQ_LTM, $L$2, $L$4, $L$3, $L$5, $L$6))</f>
        <v>n/a</v>
      </c>
      <c r="AP32" s="44" t="e">
        <f ca="1">_xll.ciqfunctions.udf.CIQ(A32, "IQ_BUSINESS_DESCRIPTION")</f>
        <v>#NAME?</v>
      </c>
      <c r="AQ32" s="60" t="e">
        <f ca="1">_xll.ciqfunctions.udf.CIQ($A32, "IQ_BETA_1YR", $B$1)</f>
        <v>#NAME?</v>
      </c>
      <c r="AR32" s="60" t="e">
        <f ca="1">_xll.ciqfunctions.udf.CIQ($A32, "IQ_BETA_2YR", $B$1)</f>
        <v>#NAME?</v>
      </c>
      <c r="AS32" s="60" t="e">
        <f ca="1">_xll.ciqfunctions.udf.CIQ($A32, "IQ_BETA_5YR", $B$1)</f>
        <v>#NAME?</v>
      </c>
      <c r="AT32" s="47" t="e">
        <f ca="1">_xll.ciqfunctions.udf.CIQ($A32, "IQ_DIVIDEND_YIELD", $B$1)/100</f>
        <v>#NAME?</v>
      </c>
      <c r="AU32" s="59" t="e">
        <f ca="1">_xll.ciqfunctions.udf.CIQ($A32, "IQ_EARNING_CO", IQ_LTM-8, $L$2, $L$4, $L$3, $L$5, $L$6)</f>
        <v>#NAME?</v>
      </c>
      <c r="AV32" s="59" t="e">
        <f ca="1">_xll.ciqfunctions.udf.CIQ($A32, "IQ_EARNING_CO", IQ_LTM-4, $L$2, $L$4, $L$3, $L$5, $L$6)</f>
        <v>#NAME?</v>
      </c>
      <c r="AW32" s="59" t="e">
        <f ca="1">_xll.ciqfunctions.udf.CIQ($A32, "IQ_EARNING_CO", IQ_LTM, $L$2, $L$4, $L$3, $L$5, $L$6)</f>
        <v>#NAME?</v>
      </c>
      <c r="AX32" s="59" t="e">
        <f ca="1">_xll.ciqfunctions.udf.CIQ($A32, "IQ_EARNING_CO", $B$2, $L$2, $L$4, $L$3, $L$5, $L$6)</f>
        <v>#NAME?</v>
      </c>
      <c r="AY32" s="59" t="e">
        <f ca="1">IF(_xll.ciqfunctions.udf.CIQ($A32, "IQ_EARNING_CO", $B$3, $L$2,$L$4, $L$3, $L$5, $L$6)=0,AW32,_xll.ciqfunctions.udf.CIQ($A32, "IQ_EARNING_CO", $B$3, $L$2,$L$4, $L$3, $L$5, $L$6))</f>
        <v>#NAME?</v>
      </c>
      <c r="AZ32" s="59" t="e">
        <f ca="1">_xll.ciqfunctions.udf.CIQ($A32, "IQ_TOTAL_EQUITY", IQ_LTM-8, $L$2, $L$4, $L$3, $L$5, $L$6)</f>
        <v>#NAME?</v>
      </c>
      <c r="BA32" s="59" t="e">
        <f ca="1">_xll.ciqfunctions.udf.CIQ($A32, "IQ_TOTAL_EQUITY", IQ_LTM-4, $L$2, $L$4, $L$3, $L$5, $L$6)</f>
        <v>#NAME?</v>
      </c>
      <c r="BB32" s="59" t="e">
        <f ca="1">_xll.ciqfunctions.udf.CIQ($A32, "IQ_TOTAL_EQUITY", IQ_LTM, $L$2, $L$4, $L$3, $L$5, $L$6)</f>
        <v>#NAME?</v>
      </c>
      <c r="BC32" s="59" t="e">
        <f ca="1">_xll.ciqfunctions.udf.CIQ($A32, "IQ_TOTAL_EQUITY", $B$2, $L$2, $L$4, $L$3, $L$5, $L$6)</f>
        <v>#NAME?</v>
      </c>
      <c r="BD32" s="59" t="e">
        <f ca="1">IF(_xll.ciqfunctions.udf.CIQ($A32, "IQ_TOTAL_EQUITY", $B$3, $L$2,$L$4, $L$3, $L$5, $L$6)=0,BB32,_xll.ciqfunctions.udf.CIQ($A32, "IQ_TOTAL_EQUITY", $B$3, $L$2,$L$4, $L$3, $L$5, $L$6))</f>
        <v>#NAME?</v>
      </c>
      <c r="BE32" s="59" t="e">
        <f ca="1">_xll.ciqfunctions.udf.CIQ(A32, "IQ_LASTSALEPRICE", $B$8)</f>
        <v>#NAME?</v>
      </c>
      <c r="BF32" s="59" t="e">
        <f ca="1">_xll.ciqfunctions.udf.CIQ($A32, "IQ_MARKETCAP", $B$8, $L$5, $L$6)</f>
        <v>#NAME?</v>
      </c>
      <c r="BG32" s="59" t="e">
        <f ca="1">_xll.ciqfunctions.udf.CIQ($A32, "IQ_TOTAL_DEBT", IQ_LTM, $B$8,$L$4, $L$3, $L$5, $L$6)</f>
        <v>#NAME?</v>
      </c>
      <c r="BH32" s="45" t="e">
        <f ca="1">_xll.ciqfunctions.udf.CIQ($A32,"IQ_PREF_EQUITY",IQ_LTM,$B$8,$L$4,$L$3,$L$5,$L$6)</f>
        <v>#NAME?</v>
      </c>
      <c r="BI32" s="45" t="e">
        <f ca="1">_xll.ciqfunctions.udf.CIQ($A32, "IQ_MINORITY_INTEREST_TOTAL", IQ_LTM,$B$8,$L$4,$L$3,$L$5,$L$6)</f>
        <v>#NAME?</v>
      </c>
      <c r="BJ32" s="59" t="e">
        <f ca="1">_xll.ciqfunctions.udf.CIQ($A32, "IQ_CASH_ST_INVEST", IQ_LTM, $B$8, $L$4, $L$3, $L$5, $L$6)</f>
        <v>#NAME?</v>
      </c>
      <c r="BK32" s="45" t="e">
        <f ca="1">_xll.ciqfunctions.udf.CIQ($A32, "IQ_EFFECT_TAX_RATE")</f>
        <v>#NAME?</v>
      </c>
      <c r="BL32" s="45" t="e">
        <f ca="1">IF(_xll.ciqfunctions.udf.CIQ($A32, "IQ_TOTAL_REV_2YR_ANN_CAGR", IQ_LTM, $B$1,$L$4, $L$3, $L$5, $L$6)="NM","n/a",(_xll.ciqfunctions.udf.CIQ($A32, "IQ_TOTAL_REV_2YR_ANN_CAGR", IQ_LTM, $B$1,$L$4, $L$3, $L$5, $L$6)/100))</f>
        <v>#NAME?</v>
      </c>
      <c r="BM32" s="45" t="e">
        <f ca="1">IF(_xll.ciqfunctions.udf.CIQ($A32, "IQ_TOTAL_REV_3YR_ANN_CAGR", IQ_LTM, $B$1,$L$4, $L$3, $L$5, $L$6)="NM","n/a",(_xll.ciqfunctions.udf.CIQ($A32, "IQ_TOTAL_REV_3YR_ANN_CAGR", IQ_LTM, $B$1,$L$4, $L$3, $L$5, $L$6)/100))</f>
        <v>#NAME?</v>
      </c>
      <c r="BN32" s="45" t="e">
        <f ca="1">IF(_xll.ciqfunctions.udf.CIQ($A32, "IQ_TOTAL_REV_5YR_ANN_CAGR", IQ_LTM, $B$1,$L$4, $L$3, $L$5, $L$6)="NM","n/a",(_xll.ciqfunctions.udf.CIQ($A32, "IQ_TOTAL_REV_5YR_ANN_CAGR", IQ_LTM, $B$1,$L$4, $L$3, $L$5, $L$6)/100))</f>
        <v>#NAME?</v>
      </c>
      <c r="BO32" s="45" t="e">
        <f ca="1">IF(_xll.ciqfunctions.udf.CIQ($A32,"IQ_EBITDA_2YR_ANN_CAGR", IQ_LTM,$B$1,$L$4, $L$3, $L$5, $L$6)="NM","n/a",(_xll.ciqfunctions.udf.CIQ($A32,"IQ_EBITDA_2YR_ANN_CAGR", IQ_LTM,$B$1,$L$4, $L$3, $L$5, $L$6)/100))</f>
        <v>#NAME?</v>
      </c>
      <c r="BP32" s="45" t="e">
        <f ca="1">IF(_xll.ciqfunctions.udf.CIQ($A32,"IQ_EBITDA_3YR_ANN_CAGR", IQ_LTM,$B$1,$L$4, $L$3, $L$5, $L$6)="NM","n/a",(_xll.ciqfunctions.udf.CIQ($A32,"IQ_EBITDA_3YR_ANN_CAGR", IQ_LTM,$B$1,$L$4, $L$3, $L$5, $L$6)/100))</f>
        <v>#NAME?</v>
      </c>
      <c r="BQ32" s="45" t="e">
        <f ca="1">IF(_xll.ciqfunctions.udf.CIQ($A32,"IQ_EBITDA_5YR_ANN_CAGR", IQ_LTM,$B$1,$L$4, $L$3, $L$5, $L$6)="NM","n/a",(_xll.ciqfunctions.udf.CIQ($A32,"IQ_EBITDA_5YR_ANN_CAGR", IQ_LTM,$B$1,$L$4, $L$3, $L$5, $L$6)/100))</f>
        <v>#NAME?</v>
      </c>
      <c r="BR32" s="47" t="str">
        <f ca="1">IFERROR((_xll.ciqfunctions.udf.CIQ($A32, "IQ_DA_CF", IQ_LTM, $B$1, $L$4, $L$3, $L$5, $L$6)/Q32),"NM")</f>
        <v>NM</v>
      </c>
      <c r="BS32" s="61" t="e">
        <f>'Capital IQ Sheet-GPC'!BS32</f>
        <v>#VALUE!</v>
      </c>
      <c r="BT32" s="61" t="e">
        <f>'Capital IQ Sheet-GPC'!BT32</f>
        <v>#VALUE!</v>
      </c>
      <c r="BU32" s="61" t="e">
        <f>'Capital IQ Sheet-GPC'!BU32</f>
        <v>#VALUE!</v>
      </c>
      <c r="BV32" s="61" t="e">
        <f>'Capital IQ Sheet-GPC'!BV32</f>
        <v>#VALUE!</v>
      </c>
      <c r="BW32" s="61" t="e">
        <f>'Capital IQ Sheet-GPC'!BW32</f>
        <v>#VALUE!</v>
      </c>
      <c r="BX32" s="61" t="e">
        <f>'Capital IQ Sheet-GPC'!BX32</f>
        <v>#VALUE!</v>
      </c>
      <c r="BY32" s="61" t="e">
        <f>'Capital IQ Sheet-GPC'!BY32</f>
        <v>#VALUE!</v>
      </c>
      <c r="BZ32" s="61" t="e">
        <f>'Capital IQ Sheet-GPC'!BZ32</f>
        <v>#VALUE!</v>
      </c>
      <c r="CB32" s="45">
        <v>2</v>
      </c>
      <c r="CC32" s="85" t="s">
        <v>306</v>
      </c>
      <c r="CD32" s="85" t="s">
        <v>305</v>
      </c>
      <c r="CE32" s="46">
        <f t="shared" si="1"/>
        <v>42515</v>
      </c>
    </row>
    <row r="33" spans="1:83" s="45" customFormat="1" ht="12.75">
      <c r="A33" s="45" t="e">
        <f ca="1">_xll.ciqfunctions.udf.CIQ($B33,"IQ_COMPANY_TICKER")</f>
        <v>#NAME?</v>
      </c>
      <c r="B33" s="45" t="str">
        <f>'Capital IQ Sheet-GPC'!B33</f>
        <v>(Invalid Identifier)</v>
      </c>
      <c r="C33" s="45" t="e">
        <f ca="1">_xll.ciqfunctions.udf.CIQ($A33,"IQ_COMPANY_NAME")</f>
        <v>#NAME?</v>
      </c>
      <c r="D33" s="45" t="e">
        <f ca="1">_xll.ciqfunctions.udf.CIQ($A33, "IQ_EXCHANGE")</f>
        <v>#NAME?</v>
      </c>
      <c r="E33" s="46" t="e">
        <f ca="1">_xll.ciqfunctions.udf.CIQ($A33, "IQ_PERIODDATE_IS", IQ_FY)</f>
        <v>#NAME?</v>
      </c>
      <c r="F33" s="46" t="e">
        <f ca="1">_xll.ciqfunctions.udf.CIQ(A33, "IQ_PERIODDATE_IS", IQ_LTM, $B$1,$L$4,$L$3)</f>
        <v>#NAME?</v>
      </c>
      <c r="G33" s="46" t="e">
        <f ca="1">_xll.ciqfunctions.udf.CIQ($A33, "IQ_FIRSTPRICINGDATE")</f>
        <v>#NAME?</v>
      </c>
      <c r="H33" s="59" t="e">
        <f ca="1">_xll.ciqfunctions.udf.CIQ($A33, "IQ_TEV", $L$2, $L$5, $L$6)</f>
        <v>#NAME?</v>
      </c>
      <c r="I33" s="59" t="e">
        <f ca="1">_xll.ciqfunctions.udf.CIQ(A33, "IQ_LASTSALEPRICE", $B$1,$L$5)</f>
        <v>#NAME?</v>
      </c>
      <c r="J33" s="59" t="e">
        <f ca="1">_xll.ciqfunctions.udf.CIQ($A33, "IQ_MARKETCAP", $L$2, $L$5, $L$6)</f>
        <v>#NAME?</v>
      </c>
      <c r="K33" s="59" t="e">
        <f ca="1">_xll.ciqfunctions.udf.CIQ($A33, "IQ_TOTAL_DEBT", IQ_LTM, $L$2,$L$4, $L$3, $L$5, $L$6)</f>
        <v>#NAME?</v>
      </c>
      <c r="L33" s="59" t="e">
        <f ca="1">_xll.ciqfunctions.udf.CIQ($A33, "IQ_PREF_EQUITY", IQ_LTM, $L$2, $L$4, $L$3, $L$5, $L$6)</f>
        <v>#NAME?</v>
      </c>
      <c r="M33" s="59" t="e">
        <f ca="1">_xll.ciqfunctions.udf.CIQ($A33, "IQ_MINORITY_INTEREST_TOTAL", IQ_LTM, $L$2, $L$4, $L$3, $L$5, $L$6)</f>
        <v>#NAME?</v>
      </c>
      <c r="N33" s="59" t="e">
        <f ca="1">_xll.ciqfunctions.udf.CIQ($A33, "IQ_CASH_ST_INVEST", IQ_LTM, $L$2, $L$4, $L$3, $L$5, $L$6)</f>
        <v>#NAME?</v>
      </c>
      <c r="O33" s="59" t="e">
        <f ca="1">_xll.ciqfunctions.udf.CIQ($A33, "IQ_TOTAL_REV", IQ_LTM-8, $L$2, $L$4, $L$3, $L$5, $L$6)</f>
        <v>#NAME?</v>
      </c>
      <c r="P33" s="59" t="e">
        <f ca="1">_xll.ciqfunctions.udf.CIQ($A33, "IQ_TOTAL_REV", IQ_LTM - 4, $L$2, $L$4, $L$3, $L$5,$L$6)</f>
        <v>#NAME?</v>
      </c>
      <c r="Q33" s="59" t="e">
        <f ca="1">_xll.ciqfunctions.udf.CIQ($A33, "IQ_TOTAL_REV", IQ_LTM, $L$2, $L$4, $L$3, $L$5, $L$6)</f>
        <v>#NAME?</v>
      </c>
      <c r="R33" s="59" t="e">
        <f ca="1">_xll.ciqfunctions.udf.CIQ($A33, "IQ_TOTAL_REV", $B$2, $L$2, $L$4, $L$3, $L$5, $L$6)</f>
        <v>#NAME?</v>
      </c>
      <c r="S33" s="59" t="e">
        <f ca="1">IF(_xll.ciqfunctions.udf.CIQ($A33, "IQ_TOTAL_REV", $B$3, $L$2,$L$4, $L$3, $L$5, $L$6)=0,Q33,_xll.ciqfunctions.udf.CIQ($A33, "IQ_TOTAL_REV", $B$3, $L$2,$L$4, $L$3, $L$5, $L$6))</f>
        <v>#NAME?</v>
      </c>
      <c r="T33" s="59" t="e">
        <f ca="1">IF(_xll.ciqfunctions.udf.CIQ($A33, "IQ_REVENUE_EST",$B$4, $L$2, "CON", $L$3, $L$5, $L$6)=0,"n/a",_xll.ciqfunctions.udf.CIQ($A33, "IQ_REVENUE_EST",$B$4, $L$2, "CON", $L$3, $L$5, $L$6))</f>
        <v>#NAME?</v>
      </c>
      <c r="U33" s="59" t="e">
        <f ca="1">IF(_xll.ciqfunctions.udf.CIQ($A33, "IQ_REVENUE_EST",$B$5, $L$2, "CON", $L$3, $L$5, $L$6)=0,"n/a",_xll.ciqfunctions.udf.CIQ($A33, "IQ_REVENUE_EST",$B$5, $L$2, "CON", $L$3, $L$5, $L$6))</f>
        <v>#NAME?</v>
      </c>
      <c r="V33" s="59" t="e">
        <f ca="1">IF(_xll.ciqfunctions.udf.CIQ($A33, "IQ_REVENUE_EST",$B$6, $L$2, "CON", $L$3, $L$5, $L$6)=0,"n/a",_xll.ciqfunctions.udf.CIQ($A33, "IQ_REVENUE_EST",$B$6, $L$2, "CON", $L$3, $L$5, $L$6))</f>
        <v>#NAME?</v>
      </c>
      <c r="W33" s="59" t="e">
        <f ca="1">IF(_xll.ciqfunctions.udf.CIQ($A33, "IQ_REVENUE_EST", $B$7, $L$2, "CON", $L$3, $L$5, $L$6)=0,"n/a",_xll.ciqfunctions.udf.CIQ($A33, "IQ_REVENUE_EST",$B$7, $L$2, "CON", $L$3, $L$5, $L$6))</f>
        <v>#NAME?</v>
      </c>
      <c r="X33" s="59" t="e">
        <f ca="1">_xll.ciqfunctions.udf.CIQ($A33, "IQ_EBITDA", IQ_LTM-8, $L$2, $L$4, $L$3, $L$5, $L$6)</f>
        <v>#NAME?</v>
      </c>
      <c r="Y33" s="59" t="e">
        <f ca="1">_xll.ciqfunctions.udf.CIQ($A33, "IQ_EBITDA", IQ_LTM-4, $L$2,$L$4, $L$3, $L$5, $L$6)</f>
        <v>#NAME?</v>
      </c>
      <c r="Z33" s="59" t="e">
        <f ca="1">_xll.ciqfunctions.udf.CIQ($A33, "IQ_EBITDA", IQ_LTM, $L$2, $L$4, $L$3, $L$5, $L$6)</f>
        <v>#NAME?</v>
      </c>
      <c r="AA33" s="59" t="e">
        <f ca="1">_xll.ciqfunctions.udf.CIQ($A33, "IQ_EBITDA", $B$2, $L$2, $L$4, $L$3, $L$5, $L$6)</f>
        <v>#NAME?</v>
      </c>
      <c r="AB33" s="59" t="e">
        <f ca="1">IF(_xll.ciqfunctions.udf.CIQ($A33, "IQ_EBITDA", $B$3, $L$2,$L$4, $L$3, $L$5, $L$6)=0,Z33,_xll.ciqfunctions.udf.CIQ($A33, "IQ_EBITDA", $B$3, $L$2,$L$4, $L$3, $L$5, $L$6))</f>
        <v>#NAME?</v>
      </c>
      <c r="AC33" s="59" t="e">
        <f ca="1">IF(_xll.ciqfunctions.udf.CIQ($A33, "IQ_EBITDA_EST",$B$4, $L$2, "CON", $L$3, $L$5, $L$6)=0,"n/a",_xll.ciqfunctions.udf.CIQ($A33, "IQ_EBITDA_EST",$B$4, $L$2, "CON", $L$3, $L$5, $L$6))</f>
        <v>#NAME?</v>
      </c>
      <c r="AD33" s="59" t="e">
        <f ca="1">IF(_xll.ciqfunctions.udf.CIQ($A33, "IQ_EBITDA_EST",$B$5, $L$2, "CON", $L$3, $L$5, $L$6)=0,"n/a",_xll.ciqfunctions.udf.CIQ($A33, "IQ_EBITDA_EST",$B$5, $L$2, "CON", $L$3, $L$5, $L$6))</f>
        <v>#NAME?</v>
      </c>
      <c r="AE33" s="59" t="e">
        <f ca="1">IF(_xll.ciqfunctions.udf.CIQ($A33, "IQ_EBITDA_EST",$B$6, $L$2, "CON", $L$3, $L$5, $L$6)=0,"n/a",_xll.ciqfunctions.udf.CIQ($A33, "IQ_EBITDA_EST",$B$6, $L$2, "CON", $L$3, $L$5, $L$6))</f>
        <v>#NAME?</v>
      </c>
      <c r="AF33" s="47" t="str">
        <f ca="1">IF(ISERROR(_xll.ciqfunctions.udf.CIQ($A33, "IQ_GROSS_MARGIN", IQ_LTM, $L$2,$L$4, $L$3, $L$5, $L$6)/100), "n/a", _xll.ciqfunctions.udf.CIQ($A33,  "IQ_GROSS_MARGIN", IQ_LTM, $L$2, $L$4, $L$3, $L$5, $L$6)/100)</f>
        <v>n/a</v>
      </c>
      <c r="AG33" s="47" t="str">
        <f ca="1">IF(ISERROR(_xll.ciqfunctions.udf.CIQ($A33,"IQ_EBITDA_MARGIN", IQ_LTM, $L$2, $L$4, $L$3, $L$5, $L$6)/100), "n/a", _xll.ciqfunctions.udf.CIQ($A33, "IQ_EBITDA_MARGIN", IQ_LTM, $L$2, $L$4, $L$3, $L$5, $L$6)/100)</f>
        <v>n/a</v>
      </c>
      <c r="AH33" s="47" t="str">
        <f ca="1">IF(ISERROR(_xll.ciqfunctions.udf.CIQ($A33,"IQ_EBIT_MARGIN", IQ_LTM, $L$2, $L$4, $L$3, $L$5, $L$6)/100), "n/a", _xll.ciqfunctions.udf.CIQ($A33, "IQ_EBIT_MARGIN", IQ_LTM, $L$2, $L$4, $L$3, $L$5, $L$6)/100)</f>
        <v>n/a</v>
      </c>
      <c r="AI33" s="47" t="str">
        <f ca="1">IF(ISERROR(_xll.ciqfunctions.udf.CIQ($A33,"IQ_NI_MARGIN", IQ_LTM, $L$2, $L$4, $L$3, $L$5, $L$6)/100), "n/a", _xll.ciqfunctions.udf.CIQ($A33, "IQ_NI_MARGIN", IQ_LTM, $L$2, $L$4, $L$3, $L$5, $L$6)/100)</f>
        <v>n/a</v>
      </c>
      <c r="AJ33" s="59" t="str">
        <f ca="1">IF(ISERROR(_xll.ciqfunctions.udf.CIQ($A33, "IQ_NET_WORKING_CAP", IQ_LTM-8, $L$2, $L$4, $L$3, $L$5, $L$6)), "n/a", _xll.ciqfunctions.udf.CIQ($A33, "IQ_NET_WORKING_CAP", IQ_LTM-8, $L$2, $L$4, $L$3, $L$5, $L$6))</f>
        <v>n/a</v>
      </c>
      <c r="AK33" s="59" t="str">
        <f ca="1">IF(ISERROR(_xll.ciqfunctions.udf.CIQ($A33, "IQ_NET_WORKING_CAP", IQ_LTM-4, $L$2, $L$4, $L$3, $L$5, $L$6)), "n/a", _xll.ciqfunctions.udf.CIQ($A33, "IQ_NET_WORKING_CAP", IQ_LTM-4, $L$2, $L$4, $L$3, $L$5, $L$6))</f>
        <v>n/a</v>
      </c>
      <c r="AL33" s="59" t="str">
        <f ca="1">IF(ISERROR(_xll.ciqfunctions.udf.CIQ($A33, "IQ_NET_WORKING_CAP", IQ_LTM, $L$2,$L$4, $L$3, $L$5, $L$6)), "n/a", _xll.ciqfunctions.udf.CIQ($A33, "IQ_NET_WORKING_CAP", IQ_LTM, $L$2, $L$4, $L$3, $L$5, $L$6))</f>
        <v>n/a</v>
      </c>
      <c r="AM33" s="59" t="str">
        <f ca="1">IF(ISERROR(_xll.ciqfunctions.udf.CIQ($A33, "IQ_Capex", IQ_LTM-8, $L$2,$L$4, $L$3, $L$5, $L$6)), "n/a", _xll.ciqfunctions.udf.CIQ($A33, "IQ_Capex", IQ_LTM-8, $L$2, $L$4, $L$3, $L$5, $L$6))</f>
        <v>n/a</v>
      </c>
      <c r="AN33" s="59" t="str">
        <f ca="1">IF(ISERROR(_xll.ciqfunctions.udf.CIQ($A33, "IQ_Capex", IQ_LTM-4, $L$2,$L$4, $L$3, $L$5, $L$6)), "n/a", _xll.ciqfunctions.udf.CIQ($A33, "IQ_Capex", IQ_LTM-4, $L$2,$L$4, $L$3, $L$5, $L$6))</f>
        <v>n/a</v>
      </c>
      <c r="AO33" s="59" t="str">
        <f ca="1">IF(ISERROR(_xll.ciqfunctions.udf.CIQ($A33, "IQ_Capex", IQ_LTM, $L$2, $L$4, $L$3, $L$5, $L$6)), "n/a", _xll.ciqfunctions.udf.CIQ($A33, "IQ_Capex", IQ_LTM, $L$2, $L$4, $L$3, $L$5, $L$6))</f>
        <v>n/a</v>
      </c>
      <c r="AP33" s="44" t="e">
        <f ca="1">_xll.ciqfunctions.udf.CIQ(A33, "IQ_BUSINESS_DESCRIPTION")</f>
        <v>#NAME?</v>
      </c>
      <c r="AQ33" s="60" t="e">
        <f ca="1">_xll.ciqfunctions.udf.CIQ($A33, "IQ_BETA_1YR", $B$1)</f>
        <v>#NAME?</v>
      </c>
      <c r="AR33" s="60" t="e">
        <f ca="1">_xll.ciqfunctions.udf.CIQ($A33, "IQ_BETA_2YR", $B$1)</f>
        <v>#NAME?</v>
      </c>
      <c r="AS33" s="60" t="e">
        <f ca="1">_xll.ciqfunctions.udf.CIQ($A33, "IQ_BETA_5YR", $B$1)</f>
        <v>#NAME?</v>
      </c>
      <c r="AT33" s="47" t="e">
        <f ca="1">_xll.ciqfunctions.udf.CIQ($A33, "IQ_DIVIDEND_YIELD", $B$1)/100</f>
        <v>#NAME?</v>
      </c>
      <c r="AU33" s="59" t="e">
        <f ca="1">_xll.ciqfunctions.udf.CIQ($A33, "IQ_EARNING_CO", IQ_LTM-8, $L$2, $L$4, $L$3, $L$5, $L$6)</f>
        <v>#NAME?</v>
      </c>
      <c r="AV33" s="59" t="e">
        <f ca="1">_xll.ciqfunctions.udf.CIQ($A33, "IQ_EARNING_CO", IQ_LTM-4, $L$2, $L$4, $L$3, $L$5, $L$6)</f>
        <v>#NAME?</v>
      </c>
      <c r="AW33" s="59" t="e">
        <f ca="1">_xll.ciqfunctions.udf.CIQ($A33, "IQ_EARNING_CO", IQ_LTM, $L$2, $L$4, $L$3, $L$5, $L$6)</f>
        <v>#NAME?</v>
      </c>
      <c r="AX33" s="59" t="e">
        <f ca="1">_xll.ciqfunctions.udf.CIQ($A33, "IQ_EARNING_CO", $B$2, $L$2, $L$4, $L$3, $L$5, $L$6)</f>
        <v>#NAME?</v>
      </c>
      <c r="AY33" s="59" t="e">
        <f ca="1">IF(_xll.ciqfunctions.udf.CIQ($A33, "IQ_EARNING_CO", $B$3, $L$2,$L$4, $L$3, $L$5, $L$6)=0,AW33,_xll.ciqfunctions.udf.CIQ($A33, "IQ_EARNING_CO", $B$3, $L$2,$L$4, $L$3, $L$5, $L$6))</f>
        <v>#NAME?</v>
      </c>
      <c r="AZ33" s="59" t="e">
        <f ca="1">_xll.ciqfunctions.udf.CIQ($A33, "IQ_TOTAL_EQUITY", IQ_LTM-8, $L$2, $L$4, $L$3, $L$5, $L$6)</f>
        <v>#NAME?</v>
      </c>
      <c r="BA33" s="59" t="e">
        <f ca="1">_xll.ciqfunctions.udf.CIQ($A33, "IQ_TOTAL_EQUITY", IQ_LTM-4, $L$2, $L$4, $L$3, $L$5, $L$6)</f>
        <v>#NAME?</v>
      </c>
      <c r="BB33" s="59" t="e">
        <f ca="1">_xll.ciqfunctions.udf.CIQ($A33, "IQ_TOTAL_EQUITY", IQ_LTM, $L$2, $L$4, $L$3, $L$5, $L$6)</f>
        <v>#NAME?</v>
      </c>
      <c r="BC33" s="59" t="e">
        <f ca="1">_xll.ciqfunctions.udf.CIQ($A33, "IQ_TOTAL_EQUITY", $B$2, $L$2, $L$4, $L$3, $L$5, $L$6)</f>
        <v>#NAME?</v>
      </c>
      <c r="BD33" s="59" t="e">
        <f ca="1">IF(_xll.ciqfunctions.udf.CIQ($A33, "IQ_TOTAL_EQUITY", $B$3, $L$2,$L$4, $L$3, $L$5, $L$6)=0,BB33,_xll.ciqfunctions.udf.CIQ($A33, "IQ_TOTAL_EQUITY", $B$3, $L$2,$L$4, $L$3, $L$5, $L$6))</f>
        <v>#NAME?</v>
      </c>
      <c r="BE33" s="59" t="e">
        <f ca="1">_xll.ciqfunctions.udf.CIQ(A33, "IQ_LASTSALEPRICE", $B$8)</f>
        <v>#NAME?</v>
      </c>
      <c r="BF33" s="59" t="e">
        <f ca="1">_xll.ciqfunctions.udf.CIQ($A33, "IQ_MARKETCAP", $B$8, $L$5, $L$6)</f>
        <v>#NAME?</v>
      </c>
      <c r="BG33" s="59" t="e">
        <f ca="1">_xll.ciqfunctions.udf.CIQ($A33, "IQ_TOTAL_DEBT", IQ_LTM, $B$8,$L$4, $L$3, $L$5, $L$6)</f>
        <v>#NAME?</v>
      </c>
      <c r="BH33" s="45" t="e">
        <f ca="1">_xll.ciqfunctions.udf.CIQ($A33,"IQ_PREF_EQUITY",IQ_LTM,$B$8,$L$4,$L$3,$L$5,$L$6)</f>
        <v>#NAME?</v>
      </c>
      <c r="BI33" s="45" t="e">
        <f ca="1">_xll.ciqfunctions.udf.CIQ($A33, "IQ_MINORITY_INTEREST_TOTAL", IQ_LTM,$B$8,$L$4,$L$3,$L$5,$L$6)</f>
        <v>#NAME?</v>
      </c>
      <c r="BJ33" s="59" t="e">
        <f ca="1">_xll.ciqfunctions.udf.CIQ($A33, "IQ_CASH_ST_INVEST", IQ_LTM, $B$8, $L$4, $L$3, $L$5, $L$6)</f>
        <v>#NAME?</v>
      </c>
      <c r="BK33" s="45" t="e">
        <f ca="1">_xll.ciqfunctions.udf.CIQ($A33, "IQ_EFFECT_TAX_RATE")</f>
        <v>#NAME?</v>
      </c>
      <c r="BL33" s="45" t="e">
        <f ca="1">IF(_xll.ciqfunctions.udf.CIQ($A33, "IQ_TOTAL_REV_2YR_ANN_CAGR", IQ_LTM, $B$1,$L$4, $L$3, $L$5, $L$6)="NM","n/a",(_xll.ciqfunctions.udf.CIQ($A33, "IQ_TOTAL_REV_2YR_ANN_CAGR", IQ_LTM, $B$1,$L$4, $L$3, $L$5, $L$6)/100))</f>
        <v>#NAME?</v>
      </c>
      <c r="BM33" s="45" t="e">
        <f ca="1">IF(_xll.ciqfunctions.udf.CIQ($A33, "IQ_TOTAL_REV_3YR_ANN_CAGR", IQ_LTM, $B$1,$L$4, $L$3, $L$5, $L$6)="NM","n/a",(_xll.ciqfunctions.udf.CIQ($A33, "IQ_TOTAL_REV_3YR_ANN_CAGR", IQ_LTM, $B$1,$L$4, $L$3, $L$5, $L$6)/100))</f>
        <v>#NAME?</v>
      </c>
      <c r="BN33" s="45" t="e">
        <f ca="1">IF(_xll.ciqfunctions.udf.CIQ($A33, "IQ_TOTAL_REV_5YR_ANN_CAGR", IQ_LTM, $B$1,$L$4, $L$3, $L$5, $L$6)="NM","n/a",(_xll.ciqfunctions.udf.CIQ($A33, "IQ_TOTAL_REV_5YR_ANN_CAGR", IQ_LTM, $B$1,$L$4, $L$3, $L$5, $L$6)/100))</f>
        <v>#NAME?</v>
      </c>
      <c r="BO33" s="45" t="e">
        <f ca="1">IF(_xll.ciqfunctions.udf.CIQ($A33,"IQ_EBITDA_2YR_ANN_CAGR", IQ_LTM,$B$1,$L$4, $L$3, $L$5, $L$6)="NM","n/a",(_xll.ciqfunctions.udf.CIQ($A33,"IQ_EBITDA_2YR_ANN_CAGR", IQ_LTM,$B$1,$L$4, $L$3, $L$5, $L$6)/100))</f>
        <v>#NAME?</v>
      </c>
      <c r="BP33" s="45" t="e">
        <f ca="1">IF(_xll.ciqfunctions.udf.CIQ($A33,"IQ_EBITDA_3YR_ANN_CAGR", IQ_LTM,$B$1,$L$4, $L$3, $L$5, $L$6)="NM","n/a",(_xll.ciqfunctions.udf.CIQ($A33,"IQ_EBITDA_3YR_ANN_CAGR", IQ_LTM,$B$1,$L$4, $L$3, $L$5, $L$6)/100))</f>
        <v>#NAME?</v>
      </c>
      <c r="BQ33" s="45" t="e">
        <f ca="1">IF(_xll.ciqfunctions.udf.CIQ($A33,"IQ_EBITDA_5YR_ANN_CAGR", IQ_LTM,$B$1,$L$4, $L$3, $L$5, $L$6)="NM","n/a",(_xll.ciqfunctions.udf.CIQ($A33,"IQ_EBITDA_5YR_ANN_CAGR", IQ_LTM,$B$1,$L$4, $L$3, $L$5, $L$6)/100))</f>
        <v>#NAME?</v>
      </c>
      <c r="BR33" s="47" t="str">
        <f ca="1">IFERROR((_xll.ciqfunctions.udf.CIQ($A33, "IQ_DA_CF", IQ_LTM, $B$1, $L$4, $L$3, $L$5, $L$6)/Q33),"NM")</f>
        <v>NM</v>
      </c>
      <c r="BS33" s="61" t="e">
        <f>'Capital IQ Sheet-GPC'!BS33</f>
        <v>#VALUE!</v>
      </c>
      <c r="BT33" s="61" t="e">
        <f>'Capital IQ Sheet-GPC'!BT33</f>
        <v>#VALUE!</v>
      </c>
      <c r="BU33" s="61" t="e">
        <f>'Capital IQ Sheet-GPC'!BU33</f>
        <v>#VALUE!</v>
      </c>
      <c r="BV33" s="61" t="e">
        <f>'Capital IQ Sheet-GPC'!BV33</f>
        <v>#VALUE!</v>
      </c>
      <c r="BW33" s="61" t="e">
        <f>'Capital IQ Sheet-GPC'!BW33</f>
        <v>#VALUE!</v>
      </c>
      <c r="BX33" s="61" t="e">
        <f>'Capital IQ Sheet-GPC'!BX33</f>
        <v>#VALUE!</v>
      </c>
      <c r="BY33" s="61" t="e">
        <f>'Capital IQ Sheet-GPC'!BY33</f>
        <v>#VALUE!</v>
      </c>
      <c r="BZ33" s="61" t="e">
        <f>'Capital IQ Sheet-GPC'!BZ33</f>
        <v>#VALUE!</v>
      </c>
      <c r="CB33" s="45">
        <v>2</v>
      </c>
      <c r="CC33" s="85" t="s">
        <v>306</v>
      </c>
      <c r="CD33" s="85" t="s">
        <v>305</v>
      </c>
      <c r="CE33" s="46">
        <f t="shared" si="1"/>
        <v>42515</v>
      </c>
    </row>
    <row r="34" spans="1:83" s="45" customFormat="1" ht="12.75">
      <c r="A34" s="45" t="e">
        <f ca="1">_xll.ciqfunctions.udf.CIQ($B34,"IQ_COMPANY_TICKER")</f>
        <v>#NAME?</v>
      </c>
      <c r="B34" s="45" t="str">
        <f>'Capital IQ Sheet-GPC'!B34</f>
        <v>(Invalid Identifier)</v>
      </c>
      <c r="C34" s="45" t="e">
        <f ca="1">_xll.ciqfunctions.udf.CIQ($A34,"IQ_COMPANY_NAME")</f>
        <v>#NAME?</v>
      </c>
      <c r="D34" s="45" t="e">
        <f ca="1">_xll.ciqfunctions.udf.CIQ($A34, "IQ_EXCHANGE")</f>
        <v>#NAME?</v>
      </c>
      <c r="E34" s="46" t="e">
        <f ca="1">_xll.ciqfunctions.udf.CIQ($A34, "IQ_PERIODDATE_IS", IQ_FY)</f>
        <v>#NAME?</v>
      </c>
      <c r="F34" s="46" t="e">
        <f ca="1">_xll.ciqfunctions.udf.CIQ(A34, "IQ_PERIODDATE_IS", IQ_LTM, $B$1,$L$4,$L$3)</f>
        <v>#NAME?</v>
      </c>
      <c r="G34" s="46" t="e">
        <f ca="1">_xll.ciqfunctions.udf.CIQ($A34, "IQ_FIRSTPRICINGDATE")</f>
        <v>#NAME?</v>
      </c>
      <c r="H34" s="59" t="e">
        <f ca="1">_xll.ciqfunctions.udf.CIQ($A34, "IQ_TEV", $L$2, $L$5, $L$6)</f>
        <v>#NAME?</v>
      </c>
      <c r="I34" s="59" t="e">
        <f ca="1">_xll.ciqfunctions.udf.CIQ(A34, "IQ_LASTSALEPRICE", $B$1,$L$5)</f>
        <v>#NAME?</v>
      </c>
      <c r="J34" s="59" t="e">
        <f ca="1">_xll.ciqfunctions.udf.CIQ($A34, "IQ_MARKETCAP", $L$2, $L$5, $L$6)</f>
        <v>#NAME?</v>
      </c>
      <c r="K34" s="59" t="e">
        <f ca="1">_xll.ciqfunctions.udf.CIQ($A34, "IQ_TOTAL_DEBT", IQ_LTM, $L$2,$L$4, $L$3, $L$5, $L$6)</f>
        <v>#NAME?</v>
      </c>
      <c r="L34" s="59" t="e">
        <f ca="1">_xll.ciqfunctions.udf.CIQ($A34, "IQ_PREF_EQUITY", IQ_LTM, $L$2, $L$4, $L$3, $L$5, $L$6)</f>
        <v>#NAME?</v>
      </c>
      <c r="M34" s="59" t="e">
        <f ca="1">_xll.ciqfunctions.udf.CIQ($A34, "IQ_MINORITY_INTEREST_TOTAL", IQ_LTM, $L$2, $L$4, $L$3, $L$5, $L$6)</f>
        <v>#NAME?</v>
      </c>
      <c r="N34" s="59" t="e">
        <f ca="1">_xll.ciqfunctions.udf.CIQ($A34, "IQ_CASH_ST_INVEST", IQ_LTM, $L$2, $L$4, $L$3, $L$5, $L$6)</f>
        <v>#NAME?</v>
      </c>
      <c r="O34" s="59" t="e">
        <f ca="1">_xll.ciqfunctions.udf.CIQ($A34, "IQ_TOTAL_REV", IQ_LTM-8, $L$2, $L$4, $L$3, $L$5, $L$6)</f>
        <v>#NAME?</v>
      </c>
      <c r="P34" s="59" t="e">
        <f ca="1">_xll.ciqfunctions.udf.CIQ($A34, "IQ_TOTAL_REV", IQ_LTM - 4, $L$2, $L$4, $L$3, $L$5,$L$6)</f>
        <v>#NAME?</v>
      </c>
      <c r="Q34" s="59" t="e">
        <f ca="1">_xll.ciqfunctions.udf.CIQ($A34, "IQ_TOTAL_REV", IQ_LTM, $L$2, $L$4, $L$3, $L$5, $L$6)</f>
        <v>#NAME?</v>
      </c>
      <c r="R34" s="59" t="e">
        <f ca="1">_xll.ciqfunctions.udf.CIQ($A34, "IQ_TOTAL_REV", $B$2, $L$2, $L$4, $L$3, $L$5, $L$6)</f>
        <v>#NAME?</v>
      </c>
      <c r="S34" s="59" t="e">
        <f ca="1">IF(_xll.ciqfunctions.udf.CIQ($A34, "IQ_TOTAL_REV", $B$3, $L$2,$L$4, $L$3, $L$5, $L$6)=0,Q34,_xll.ciqfunctions.udf.CIQ($A34, "IQ_TOTAL_REV", $B$3, $L$2,$L$4, $L$3, $L$5, $L$6))</f>
        <v>#NAME?</v>
      </c>
      <c r="T34" s="59" t="e">
        <f ca="1">IF(_xll.ciqfunctions.udf.CIQ($A34, "IQ_REVENUE_EST",$B$4, $L$2, "CON", $L$3, $L$5, $L$6)=0,"n/a",_xll.ciqfunctions.udf.CIQ($A34, "IQ_REVENUE_EST",$B$4, $L$2, "CON", $L$3, $L$5, $L$6))</f>
        <v>#NAME?</v>
      </c>
      <c r="U34" s="59" t="e">
        <f ca="1">IF(_xll.ciqfunctions.udf.CIQ($A34, "IQ_REVENUE_EST",$B$5, $L$2, "CON", $L$3, $L$5, $L$6)=0,"n/a",_xll.ciqfunctions.udf.CIQ($A34, "IQ_REVENUE_EST",$B$5, $L$2, "CON", $L$3, $L$5, $L$6))</f>
        <v>#NAME?</v>
      </c>
      <c r="V34" s="59" t="e">
        <f ca="1">IF(_xll.ciqfunctions.udf.CIQ($A34, "IQ_REVENUE_EST",$B$6, $L$2, "CON", $L$3, $L$5, $L$6)=0,"n/a",_xll.ciqfunctions.udf.CIQ($A34, "IQ_REVENUE_EST",$B$6, $L$2, "CON", $L$3, $L$5, $L$6))</f>
        <v>#NAME?</v>
      </c>
      <c r="W34" s="59" t="e">
        <f ca="1">IF(_xll.ciqfunctions.udf.CIQ($A34, "IQ_REVENUE_EST", $B$7, $L$2, "CON", $L$3, $L$5, $L$6)=0,"n/a",_xll.ciqfunctions.udf.CIQ($A34, "IQ_REVENUE_EST",$B$7, $L$2, "CON", $L$3, $L$5, $L$6))</f>
        <v>#NAME?</v>
      </c>
      <c r="X34" s="59" t="e">
        <f ca="1">_xll.ciqfunctions.udf.CIQ($A34, "IQ_EBITDA", IQ_LTM-8, $L$2, $L$4, $L$3, $L$5, $L$6)</f>
        <v>#NAME?</v>
      </c>
      <c r="Y34" s="59" t="e">
        <f ca="1">_xll.ciqfunctions.udf.CIQ($A34, "IQ_EBITDA", IQ_LTM-4, $L$2,$L$4, $L$3, $L$5, $L$6)</f>
        <v>#NAME?</v>
      </c>
      <c r="Z34" s="59" t="e">
        <f ca="1">_xll.ciqfunctions.udf.CIQ($A34, "IQ_EBITDA", IQ_LTM, $L$2, $L$4, $L$3, $L$5, $L$6)</f>
        <v>#NAME?</v>
      </c>
      <c r="AA34" s="59" t="e">
        <f ca="1">_xll.ciqfunctions.udf.CIQ($A34, "IQ_EBITDA", $B$2, $L$2, $L$4, $L$3, $L$5, $L$6)</f>
        <v>#NAME?</v>
      </c>
      <c r="AB34" s="59" t="e">
        <f ca="1">IF(_xll.ciqfunctions.udf.CIQ($A34, "IQ_EBITDA", $B$3, $L$2,$L$4, $L$3, $L$5, $L$6)=0,Z34,_xll.ciqfunctions.udf.CIQ($A34, "IQ_EBITDA", $B$3, $L$2,$L$4, $L$3, $L$5, $L$6))</f>
        <v>#NAME?</v>
      </c>
      <c r="AC34" s="59" t="e">
        <f ca="1">IF(_xll.ciqfunctions.udf.CIQ($A34, "IQ_EBITDA_EST",$B$4, $L$2, "CON", $L$3, $L$5, $L$6)=0,"n/a",_xll.ciqfunctions.udf.CIQ($A34, "IQ_EBITDA_EST",$B$4, $L$2, "CON", $L$3, $L$5, $L$6))</f>
        <v>#NAME?</v>
      </c>
      <c r="AD34" s="59" t="e">
        <f ca="1">IF(_xll.ciqfunctions.udf.CIQ($A34, "IQ_EBITDA_EST",$B$5, $L$2, "CON", $L$3, $L$5, $L$6)=0,"n/a",_xll.ciqfunctions.udf.CIQ($A34, "IQ_EBITDA_EST",$B$5, $L$2, "CON", $L$3, $L$5, $L$6))</f>
        <v>#NAME?</v>
      </c>
      <c r="AE34" s="59" t="e">
        <f ca="1">IF(_xll.ciqfunctions.udf.CIQ($A34, "IQ_EBITDA_EST",$B$6, $L$2, "CON", $L$3, $L$5, $L$6)=0,"n/a",_xll.ciqfunctions.udf.CIQ($A34, "IQ_EBITDA_EST",$B$6, $L$2, "CON", $L$3, $L$5, $L$6))</f>
        <v>#NAME?</v>
      </c>
      <c r="AF34" s="47" t="str">
        <f ca="1">IF(ISERROR(_xll.ciqfunctions.udf.CIQ($A34, "IQ_GROSS_MARGIN", IQ_LTM, $L$2,$L$4, $L$3, $L$5, $L$6)/100), "n/a", _xll.ciqfunctions.udf.CIQ($A34,  "IQ_GROSS_MARGIN", IQ_LTM, $L$2, $L$4, $L$3, $L$5, $L$6)/100)</f>
        <v>n/a</v>
      </c>
      <c r="AG34" s="47" t="str">
        <f ca="1">IF(ISERROR(_xll.ciqfunctions.udf.CIQ($A34,"IQ_EBITDA_MARGIN", IQ_LTM, $L$2, $L$4, $L$3, $L$5, $L$6)/100), "n/a", _xll.ciqfunctions.udf.CIQ($A34, "IQ_EBITDA_MARGIN", IQ_LTM, $L$2, $L$4, $L$3, $L$5, $L$6)/100)</f>
        <v>n/a</v>
      </c>
      <c r="AH34" s="47" t="str">
        <f ca="1">IF(ISERROR(_xll.ciqfunctions.udf.CIQ($A34,"IQ_EBIT_MARGIN", IQ_LTM, $L$2, $L$4, $L$3, $L$5, $L$6)/100), "n/a", _xll.ciqfunctions.udf.CIQ($A34, "IQ_EBIT_MARGIN", IQ_LTM, $L$2, $L$4, $L$3, $L$5, $L$6)/100)</f>
        <v>n/a</v>
      </c>
      <c r="AI34" s="47" t="str">
        <f ca="1">IF(ISERROR(_xll.ciqfunctions.udf.CIQ($A34,"IQ_NI_MARGIN", IQ_LTM, $L$2, $L$4, $L$3, $L$5, $L$6)/100), "n/a", _xll.ciqfunctions.udf.CIQ($A34, "IQ_NI_MARGIN", IQ_LTM, $L$2, $L$4, $L$3, $L$5, $L$6)/100)</f>
        <v>n/a</v>
      </c>
      <c r="AJ34" s="59" t="str">
        <f ca="1">IF(ISERROR(_xll.ciqfunctions.udf.CIQ($A34, "IQ_NET_WORKING_CAP", IQ_LTM-8, $L$2, $L$4, $L$3, $L$5, $L$6)), "n/a", _xll.ciqfunctions.udf.CIQ($A34, "IQ_NET_WORKING_CAP", IQ_LTM-8, $L$2, $L$4, $L$3, $L$5, $L$6))</f>
        <v>n/a</v>
      </c>
      <c r="AK34" s="59" t="str">
        <f ca="1">IF(ISERROR(_xll.ciqfunctions.udf.CIQ($A34, "IQ_NET_WORKING_CAP", IQ_LTM-4, $L$2, $L$4, $L$3, $L$5, $L$6)), "n/a", _xll.ciqfunctions.udf.CIQ($A34, "IQ_NET_WORKING_CAP", IQ_LTM-4, $L$2, $L$4, $L$3, $L$5, $L$6))</f>
        <v>n/a</v>
      </c>
      <c r="AL34" s="59" t="str">
        <f ca="1">IF(ISERROR(_xll.ciqfunctions.udf.CIQ($A34, "IQ_NET_WORKING_CAP", IQ_LTM, $L$2,$L$4, $L$3, $L$5, $L$6)), "n/a", _xll.ciqfunctions.udf.CIQ($A34, "IQ_NET_WORKING_CAP", IQ_LTM, $L$2, $L$4, $L$3, $L$5, $L$6))</f>
        <v>n/a</v>
      </c>
      <c r="AM34" s="59" t="str">
        <f ca="1">IF(ISERROR(_xll.ciqfunctions.udf.CIQ($A34, "IQ_Capex", IQ_LTM-8, $L$2,$L$4, $L$3, $L$5, $L$6)), "n/a", _xll.ciqfunctions.udf.CIQ($A34, "IQ_Capex", IQ_LTM-8, $L$2, $L$4, $L$3, $L$5, $L$6))</f>
        <v>n/a</v>
      </c>
      <c r="AN34" s="59" t="str">
        <f ca="1">IF(ISERROR(_xll.ciqfunctions.udf.CIQ($A34, "IQ_Capex", IQ_LTM-4, $L$2,$L$4, $L$3, $L$5, $L$6)), "n/a", _xll.ciqfunctions.udf.CIQ($A34, "IQ_Capex", IQ_LTM-4, $L$2,$L$4, $L$3, $L$5, $L$6))</f>
        <v>n/a</v>
      </c>
      <c r="AO34" s="59" t="str">
        <f ca="1">IF(ISERROR(_xll.ciqfunctions.udf.CIQ($A34, "IQ_Capex", IQ_LTM, $L$2, $L$4, $L$3, $L$5, $L$6)), "n/a", _xll.ciqfunctions.udf.CIQ($A34, "IQ_Capex", IQ_LTM, $L$2, $L$4, $L$3, $L$5, $L$6))</f>
        <v>n/a</v>
      </c>
      <c r="AP34" s="44" t="e">
        <f ca="1">_xll.ciqfunctions.udf.CIQ(A34, "IQ_BUSINESS_DESCRIPTION")</f>
        <v>#NAME?</v>
      </c>
      <c r="AQ34" s="60" t="e">
        <f ca="1">_xll.ciqfunctions.udf.CIQ($A34, "IQ_BETA_1YR", $B$1)</f>
        <v>#NAME?</v>
      </c>
      <c r="AR34" s="60" t="e">
        <f ca="1">_xll.ciqfunctions.udf.CIQ($A34, "IQ_BETA_2YR", $B$1)</f>
        <v>#NAME?</v>
      </c>
      <c r="AS34" s="60" t="e">
        <f ca="1">_xll.ciqfunctions.udf.CIQ($A34, "IQ_BETA_5YR", $B$1)</f>
        <v>#NAME?</v>
      </c>
      <c r="AT34" s="47" t="e">
        <f ca="1">_xll.ciqfunctions.udf.CIQ($A34, "IQ_DIVIDEND_YIELD", $B$1)/100</f>
        <v>#NAME?</v>
      </c>
      <c r="AU34" s="59" t="e">
        <f ca="1">_xll.ciqfunctions.udf.CIQ($A34, "IQ_EARNING_CO", IQ_LTM-8, $L$2, $L$4, $L$3, $L$5, $L$6)</f>
        <v>#NAME?</v>
      </c>
      <c r="AV34" s="59" t="e">
        <f ca="1">_xll.ciqfunctions.udf.CIQ($A34, "IQ_EARNING_CO", IQ_LTM-4, $L$2, $L$4, $L$3, $L$5, $L$6)</f>
        <v>#NAME?</v>
      </c>
      <c r="AW34" s="59" t="e">
        <f ca="1">_xll.ciqfunctions.udf.CIQ($A34, "IQ_EARNING_CO", IQ_LTM, $L$2, $L$4, $L$3, $L$5, $L$6)</f>
        <v>#NAME?</v>
      </c>
      <c r="AX34" s="59" t="e">
        <f ca="1">_xll.ciqfunctions.udf.CIQ($A34, "IQ_EARNING_CO", $B$2, $L$2, $L$4, $L$3, $L$5, $L$6)</f>
        <v>#NAME?</v>
      </c>
      <c r="AY34" s="59" t="e">
        <f ca="1">IF(_xll.ciqfunctions.udf.CIQ($A34, "IQ_EARNING_CO", $B$3, $L$2,$L$4, $L$3, $L$5, $L$6)=0,AW34,_xll.ciqfunctions.udf.CIQ($A34, "IQ_EARNING_CO", $B$3, $L$2,$L$4, $L$3, $L$5, $L$6))</f>
        <v>#NAME?</v>
      </c>
      <c r="AZ34" s="59" t="e">
        <f ca="1">_xll.ciqfunctions.udf.CIQ($A34, "IQ_TOTAL_EQUITY", IQ_LTM-8, $L$2, $L$4, $L$3, $L$5, $L$6)</f>
        <v>#NAME?</v>
      </c>
      <c r="BA34" s="59" t="e">
        <f ca="1">_xll.ciqfunctions.udf.CIQ($A34, "IQ_TOTAL_EQUITY", IQ_LTM-4, $L$2, $L$4, $L$3, $L$5, $L$6)</f>
        <v>#NAME?</v>
      </c>
      <c r="BB34" s="59" t="e">
        <f ca="1">_xll.ciqfunctions.udf.CIQ($A34, "IQ_TOTAL_EQUITY", IQ_LTM, $L$2, $L$4, $L$3, $L$5, $L$6)</f>
        <v>#NAME?</v>
      </c>
      <c r="BC34" s="59" t="e">
        <f ca="1">_xll.ciqfunctions.udf.CIQ($A34, "IQ_TOTAL_EQUITY", $B$2, $L$2, $L$4, $L$3, $L$5, $L$6)</f>
        <v>#NAME?</v>
      </c>
      <c r="BD34" s="59" t="e">
        <f ca="1">IF(_xll.ciqfunctions.udf.CIQ($A34, "IQ_TOTAL_EQUITY", $B$3, $L$2,$L$4, $L$3, $L$5, $L$6)=0,BB34,_xll.ciqfunctions.udf.CIQ($A34, "IQ_TOTAL_EQUITY", $B$3, $L$2,$L$4, $L$3, $L$5, $L$6))</f>
        <v>#NAME?</v>
      </c>
      <c r="BE34" s="59" t="e">
        <f ca="1">_xll.ciqfunctions.udf.CIQ(A34, "IQ_LASTSALEPRICE", $B$8)</f>
        <v>#NAME?</v>
      </c>
      <c r="BF34" s="59" t="e">
        <f ca="1">_xll.ciqfunctions.udf.CIQ($A34, "IQ_MARKETCAP", $B$8, $L$5, $L$6)</f>
        <v>#NAME?</v>
      </c>
      <c r="BG34" s="59" t="e">
        <f ca="1">_xll.ciqfunctions.udf.CIQ($A34, "IQ_TOTAL_DEBT", IQ_LTM, $B$8,$L$4, $L$3, $L$5, $L$6)</f>
        <v>#NAME?</v>
      </c>
      <c r="BH34" s="45" t="e">
        <f ca="1">_xll.ciqfunctions.udf.CIQ($A34,"IQ_PREF_EQUITY",IQ_LTM,$B$8,$L$4,$L$3,$L$5,$L$6)</f>
        <v>#NAME?</v>
      </c>
      <c r="BI34" s="45" t="e">
        <f ca="1">_xll.ciqfunctions.udf.CIQ($A34, "IQ_MINORITY_INTEREST_TOTAL", IQ_LTM,$B$8,$L$4,$L$3,$L$5,$L$6)</f>
        <v>#NAME?</v>
      </c>
      <c r="BJ34" s="59" t="e">
        <f ca="1">_xll.ciqfunctions.udf.CIQ($A34, "IQ_CASH_ST_INVEST", IQ_LTM, $B$8, $L$4, $L$3, $L$5, $L$6)</f>
        <v>#NAME?</v>
      </c>
      <c r="BK34" s="45" t="e">
        <f ca="1">_xll.ciqfunctions.udf.CIQ($A34, "IQ_EFFECT_TAX_RATE")</f>
        <v>#NAME?</v>
      </c>
      <c r="BL34" s="45" t="e">
        <f ca="1">IF(_xll.ciqfunctions.udf.CIQ($A34, "IQ_TOTAL_REV_2YR_ANN_CAGR", IQ_LTM, $B$1,$L$4, $L$3, $L$5, $L$6)="NM","n/a",(_xll.ciqfunctions.udf.CIQ($A34, "IQ_TOTAL_REV_2YR_ANN_CAGR", IQ_LTM, $B$1,$L$4, $L$3, $L$5, $L$6)/100))</f>
        <v>#NAME?</v>
      </c>
      <c r="BM34" s="45" t="e">
        <f ca="1">IF(_xll.ciqfunctions.udf.CIQ($A34, "IQ_TOTAL_REV_3YR_ANN_CAGR", IQ_LTM, $B$1,$L$4, $L$3, $L$5, $L$6)="NM","n/a",(_xll.ciqfunctions.udf.CIQ($A34, "IQ_TOTAL_REV_3YR_ANN_CAGR", IQ_LTM, $B$1,$L$4, $L$3, $L$5, $L$6)/100))</f>
        <v>#NAME?</v>
      </c>
      <c r="BN34" s="45" t="e">
        <f ca="1">IF(_xll.ciqfunctions.udf.CIQ($A34, "IQ_TOTAL_REV_5YR_ANN_CAGR", IQ_LTM, $B$1,$L$4, $L$3, $L$5, $L$6)="NM","n/a",(_xll.ciqfunctions.udf.CIQ($A34, "IQ_TOTAL_REV_5YR_ANN_CAGR", IQ_LTM, $B$1,$L$4, $L$3, $L$5, $L$6)/100))</f>
        <v>#NAME?</v>
      </c>
      <c r="BO34" s="45" t="e">
        <f ca="1">IF(_xll.ciqfunctions.udf.CIQ($A34,"IQ_EBITDA_2YR_ANN_CAGR", IQ_LTM,$B$1,$L$4, $L$3, $L$5, $L$6)="NM","n/a",(_xll.ciqfunctions.udf.CIQ($A34,"IQ_EBITDA_2YR_ANN_CAGR", IQ_LTM,$B$1,$L$4, $L$3, $L$5, $L$6)/100))</f>
        <v>#NAME?</v>
      </c>
      <c r="BP34" s="45" t="e">
        <f ca="1">IF(_xll.ciqfunctions.udf.CIQ($A34,"IQ_EBITDA_3YR_ANN_CAGR", IQ_LTM,$B$1,$L$4, $L$3, $L$5, $L$6)="NM","n/a",(_xll.ciqfunctions.udf.CIQ($A34,"IQ_EBITDA_3YR_ANN_CAGR", IQ_LTM,$B$1,$L$4, $L$3, $L$5, $L$6)/100))</f>
        <v>#NAME?</v>
      </c>
      <c r="BQ34" s="45" t="e">
        <f ca="1">IF(_xll.ciqfunctions.udf.CIQ($A34,"IQ_EBITDA_5YR_ANN_CAGR", IQ_LTM,$B$1,$L$4, $L$3, $L$5, $L$6)="NM","n/a",(_xll.ciqfunctions.udf.CIQ($A34,"IQ_EBITDA_5YR_ANN_CAGR", IQ_LTM,$B$1,$L$4, $L$3, $L$5, $L$6)/100))</f>
        <v>#NAME?</v>
      </c>
      <c r="BR34" s="47" t="str">
        <f ca="1">IFERROR((_xll.ciqfunctions.udf.CIQ($A34, "IQ_DA_CF", IQ_LTM, $B$1, $L$4, $L$3, $L$5, $L$6)/Q34),"NM")</f>
        <v>NM</v>
      </c>
      <c r="BS34" s="61" t="e">
        <f>'Capital IQ Sheet-GPC'!BS34</f>
        <v>#VALUE!</v>
      </c>
      <c r="BT34" s="61" t="e">
        <f>'Capital IQ Sheet-GPC'!BT34</f>
        <v>#VALUE!</v>
      </c>
      <c r="BU34" s="61" t="e">
        <f>'Capital IQ Sheet-GPC'!BU34</f>
        <v>#VALUE!</v>
      </c>
      <c r="BV34" s="61" t="e">
        <f>'Capital IQ Sheet-GPC'!BV34</f>
        <v>#VALUE!</v>
      </c>
      <c r="BW34" s="61" t="e">
        <f>'Capital IQ Sheet-GPC'!BW34</f>
        <v>#VALUE!</v>
      </c>
      <c r="BX34" s="61" t="e">
        <f>'Capital IQ Sheet-GPC'!BX34</f>
        <v>#VALUE!</v>
      </c>
      <c r="BY34" s="61" t="e">
        <f>'Capital IQ Sheet-GPC'!BY34</f>
        <v>#VALUE!</v>
      </c>
      <c r="BZ34" s="61" t="e">
        <f>'Capital IQ Sheet-GPC'!BZ34</f>
        <v>#VALUE!</v>
      </c>
      <c r="CB34" s="45">
        <v>2</v>
      </c>
      <c r="CC34" s="85" t="s">
        <v>306</v>
      </c>
      <c r="CD34" s="85" t="s">
        <v>305</v>
      </c>
      <c r="CE34" s="46">
        <f t="shared" si="1"/>
        <v>42515</v>
      </c>
    </row>
    <row r="35" spans="1:83" s="45" customFormat="1" ht="12.75">
      <c r="A35" s="45" t="e">
        <f ca="1">_xll.ciqfunctions.udf.CIQ($B35,"IQ_COMPANY_TICKER")</f>
        <v>#NAME?</v>
      </c>
      <c r="B35" s="45" t="str">
        <f>'Capital IQ Sheet-GPC'!B35</f>
        <v>(Invalid Identifier)</v>
      </c>
      <c r="C35" s="45" t="e">
        <f ca="1">_xll.ciqfunctions.udf.CIQ($A35,"IQ_COMPANY_NAME")</f>
        <v>#NAME?</v>
      </c>
      <c r="D35" s="45" t="e">
        <f ca="1">_xll.ciqfunctions.udf.CIQ($A35, "IQ_EXCHANGE")</f>
        <v>#NAME?</v>
      </c>
      <c r="E35" s="46" t="e">
        <f ca="1">_xll.ciqfunctions.udf.CIQ($A35, "IQ_PERIODDATE_IS", IQ_FY)</f>
        <v>#NAME?</v>
      </c>
      <c r="F35" s="46" t="e">
        <f ca="1">_xll.ciqfunctions.udf.CIQ(A35, "IQ_PERIODDATE_IS", IQ_LTM, $B$1,$L$4,$L$3)</f>
        <v>#NAME?</v>
      </c>
      <c r="G35" s="46" t="e">
        <f ca="1">_xll.ciqfunctions.udf.CIQ($A35, "IQ_FIRSTPRICINGDATE")</f>
        <v>#NAME?</v>
      </c>
      <c r="H35" s="59" t="e">
        <f ca="1">_xll.ciqfunctions.udf.CIQ($A35, "IQ_TEV", $L$2, $L$5, $L$6)</f>
        <v>#NAME?</v>
      </c>
      <c r="I35" s="59" t="e">
        <f ca="1">_xll.ciqfunctions.udf.CIQ(A35, "IQ_LASTSALEPRICE", $B$1,$L$5)</f>
        <v>#NAME?</v>
      </c>
      <c r="J35" s="59" t="e">
        <f ca="1">_xll.ciqfunctions.udf.CIQ($A35, "IQ_MARKETCAP", $L$2, $L$5, $L$6)</f>
        <v>#NAME?</v>
      </c>
      <c r="K35" s="59" t="e">
        <f ca="1">_xll.ciqfunctions.udf.CIQ($A35, "IQ_TOTAL_DEBT", IQ_LTM, $L$2,$L$4, $L$3, $L$5, $L$6)</f>
        <v>#NAME?</v>
      </c>
      <c r="L35" s="59" t="e">
        <f ca="1">_xll.ciqfunctions.udf.CIQ($A35, "IQ_PREF_EQUITY", IQ_LTM, $L$2, $L$4, $L$3, $L$5, $L$6)</f>
        <v>#NAME?</v>
      </c>
      <c r="M35" s="59" t="e">
        <f ca="1">_xll.ciqfunctions.udf.CIQ($A35, "IQ_MINORITY_INTEREST_TOTAL", IQ_LTM, $L$2, $L$4, $L$3, $L$5, $L$6)</f>
        <v>#NAME?</v>
      </c>
      <c r="N35" s="59" t="e">
        <f ca="1">_xll.ciqfunctions.udf.CIQ($A35, "IQ_CASH_ST_INVEST", IQ_LTM, $L$2, $L$4, $L$3, $L$5, $L$6)</f>
        <v>#NAME?</v>
      </c>
      <c r="O35" s="59" t="e">
        <f ca="1">_xll.ciqfunctions.udf.CIQ($A35, "IQ_TOTAL_REV", IQ_LTM-8, $L$2, $L$4, $L$3, $L$5, $L$6)</f>
        <v>#NAME?</v>
      </c>
      <c r="P35" s="59" t="e">
        <f ca="1">_xll.ciqfunctions.udf.CIQ($A35, "IQ_TOTAL_REV", IQ_LTM - 4, $L$2, $L$4, $L$3, $L$5,$L$6)</f>
        <v>#NAME?</v>
      </c>
      <c r="Q35" s="59" t="e">
        <f ca="1">_xll.ciqfunctions.udf.CIQ($A35, "IQ_TOTAL_REV", IQ_LTM, $L$2, $L$4, $L$3, $L$5, $L$6)</f>
        <v>#NAME?</v>
      </c>
      <c r="R35" s="59" t="e">
        <f ca="1">_xll.ciqfunctions.udf.CIQ($A35, "IQ_TOTAL_REV", $B$2, $L$2, $L$4, $L$3, $L$5, $L$6)</f>
        <v>#NAME?</v>
      </c>
      <c r="S35" s="59" t="e">
        <f ca="1">IF(_xll.ciqfunctions.udf.CIQ($A35, "IQ_TOTAL_REV", $B$3, $L$2,$L$4, $L$3, $L$5, $L$6)=0,Q35,_xll.ciqfunctions.udf.CIQ($A35, "IQ_TOTAL_REV", $B$3, $L$2,$L$4, $L$3, $L$5, $L$6))</f>
        <v>#NAME?</v>
      </c>
      <c r="T35" s="59" t="e">
        <f ca="1">IF(_xll.ciqfunctions.udf.CIQ($A35, "IQ_REVENUE_EST",$B$4, $L$2, "CON", $L$3, $L$5, $L$6)=0,"n/a",_xll.ciqfunctions.udf.CIQ($A35, "IQ_REVENUE_EST",$B$4, $L$2, "CON", $L$3, $L$5, $L$6))</f>
        <v>#NAME?</v>
      </c>
      <c r="U35" s="59" t="e">
        <f ca="1">IF(_xll.ciqfunctions.udf.CIQ($A35, "IQ_REVENUE_EST",$B$5, $L$2, "CON", $L$3, $L$5, $L$6)=0,"n/a",_xll.ciqfunctions.udf.CIQ($A35, "IQ_REVENUE_EST",$B$5, $L$2, "CON", $L$3, $L$5, $L$6))</f>
        <v>#NAME?</v>
      </c>
      <c r="V35" s="59" t="e">
        <f ca="1">IF(_xll.ciqfunctions.udf.CIQ($A35, "IQ_REVENUE_EST",$B$6, $L$2, "CON", $L$3, $L$5, $L$6)=0,"n/a",_xll.ciqfunctions.udf.CIQ($A35, "IQ_REVENUE_EST",$B$6, $L$2, "CON", $L$3, $L$5, $L$6))</f>
        <v>#NAME?</v>
      </c>
      <c r="W35" s="59" t="e">
        <f ca="1">IF(_xll.ciqfunctions.udf.CIQ($A35, "IQ_REVENUE_EST", $B$7, $L$2, "CON", $L$3, $L$5, $L$6)=0,"n/a",_xll.ciqfunctions.udf.CIQ($A35, "IQ_REVENUE_EST",$B$7, $L$2, "CON", $L$3, $L$5, $L$6))</f>
        <v>#NAME?</v>
      </c>
      <c r="X35" s="59" t="e">
        <f ca="1">_xll.ciqfunctions.udf.CIQ($A35, "IQ_EBITDA", IQ_LTM-8, $L$2, $L$4, $L$3, $L$5, $L$6)</f>
        <v>#NAME?</v>
      </c>
      <c r="Y35" s="59" t="e">
        <f ca="1">_xll.ciqfunctions.udf.CIQ($A35, "IQ_EBITDA", IQ_LTM-4, $L$2,$L$4, $L$3, $L$5, $L$6)</f>
        <v>#NAME?</v>
      </c>
      <c r="Z35" s="59" t="e">
        <f ca="1">_xll.ciqfunctions.udf.CIQ($A35, "IQ_EBITDA", IQ_LTM, $L$2, $L$4, $L$3, $L$5, $L$6)</f>
        <v>#NAME?</v>
      </c>
      <c r="AA35" s="59" t="e">
        <f ca="1">_xll.ciqfunctions.udf.CIQ($A35, "IQ_EBITDA", $B$2, $L$2, $L$4, $L$3, $L$5, $L$6)</f>
        <v>#NAME?</v>
      </c>
      <c r="AB35" s="59" t="e">
        <f ca="1">IF(_xll.ciqfunctions.udf.CIQ($A35, "IQ_EBITDA", $B$3, $L$2,$L$4, $L$3, $L$5, $L$6)=0,Z35,_xll.ciqfunctions.udf.CIQ($A35, "IQ_EBITDA", $B$3, $L$2,$L$4, $L$3, $L$5, $L$6))</f>
        <v>#NAME?</v>
      </c>
      <c r="AC35" s="59" t="e">
        <f ca="1">IF(_xll.ciqfunctions.udf.CIQ($A35, "IQ_EBITDA_EST",$B$4, $L$2, "CON", $L$3, $L$5, $L$6)=0,"n/a",_xll.ciqfunctions.udf.CIQ($A35, "IQ_EBITDA_EST",$B$4, $L$2, "CON", $L$3, $L$5, $L$6))</f>
        <v>#NAME?</v>
      </c>
      <c r="AD35" s="59" t="e">
        <f ca="1">IF(_xll.ciqfunctions.udf.CIQ($A35, "IQ_EBITDA_EST",$B$5, $L$2, "CON", $L$3, $L$5, $L$6)=0,"n/a",_xll.ciqfunctions.udf.CIQ($A35, "IQ_EBITDA_EST",$B$5, $L$2, "CON", $L$3, $L$5, $L$6))</f>
        <v>#NAME?</v>
      </c>
      <c r="AE35" s="59" t="e">
        <f ca="1">IF(_xll.ciqfunctions.udf.CIQ($A35, "IQ_EBITDA_EST",$B$6, $L$2, "CON", $L$3, $L$5, $L$6)=0,"n/a",_xll.ciqfunctions.udf.CIQ($A35, "IQ_EBITDA_EST",$B$6, $L$2, "CON", $L$3, $L$5, $L$6))</f>
        <v>#NAME?</v>
      </c>
      <c r="AF35" s="47" t="str">
        <f ca="1">IF(ISERROR(_xll.ciqfunctions.udf.CIQ($A35, "IQ_GROSS_MARGIN", IQ_LTM, $L$2,$L$4, $L$3, $L$5, $L$6)/100), "n/a", _xll.ciqfunctions.udf.CIQ($A35,  "IQ_GROSS_MARGIN", IQ_LTM, $L$2, $L$4, $L$3, $L$5, $L$6)/100)</f>
        <v>n/a</v>
      </c>
      <c r="AG35" s="47" t="str">
        <f ca="1">IF(ISERROR(_xll.ciqfunctions.udf.CIQ($A35,"IQ_EBITDA_MARGIN", IQ_LTM, $L$2, $L$4, $L$3, $L$5, $L$6)/100), "n/a", _xll.ciqfunctions.udf.CIQ($A35, "IQ_EBITDA_MARGIN", IQ_LTM, $L$2, $L$4, $L$3, $L$5, $L$6)/100)</f>
        <v>n/a</v>
      </c>
      <c r="AH35" s="47" t="str">
        <f ca="1">IF(ISERROR(_xll.ciqfunctions.udf.CIQ($A35,"IQ_EBIT_MARGIN", IQ_LTM, $L$2, $L$4, $L$3, $L$5, $L$6)/100), "n/a", _xll.ciqfunctions.udf.CIQ($A35, "IQ_EBIT_MARGIN", IQ_LTM, $L$2, $L$4, $L$3, $L$5, $L$6)/100)</f>
        <v>n/a</v>
      </c>
      <c r="AI35" s="47" t="str">
        <f ca="1">IF(ISERROR(_xll.ciqfunctions.udf.CIQ($A35,"IQ_NI_MARGIN", IQ_LTM, $L$2, $L$4, $L$3, $L$5, $L$6)/100), "n/a", _xll.ciqfunctions.udf.CIQ($A35, "IQ_NI_MARGIN", IQ_LTM, $L$2, $L$4, $L$3, $L$5, $L$6)/100)</f>
        <v>n/a</v>
      </c>
      <c r="AJ35" s="59" t="str">
        <f ca="1">IF(ISERROR(_xll.ciqfunctions.udf.CIQ($A35, "IQ_NET_WORKING_CAP", IQ_LTM-8, $L$2, $L$4, $L$3, $L$5, $L$6)), "n/a", _xll.ciqfunctions.udf.CIQ($A35, "IQ_NET_WORKING_CAP", IQ_LTM-8, $L$2, $L$4, $L$3, $L$5, $L$6))</f>
        <v>n/a</v>
      </c>
      <c r="AK35" s="59" t="str">
        <f ca="1">IF(ISERROR(_xll.ciqfunctions.udf.CIQ($A35, "IQ_NET_WORKING_CAP", IQ_LTM-4, $L$2, $L$4, $L$3, $L$5, $L$6)), "n/a", _xll.ciqfunctions.udf.CIQ($A35, "IQ_NET_WORKING_CAP", IQ_LTM-4, $L$2, $L$4, $L$3, $L$5, $L$6))</f>
        <v>n/a</v>
      </c>
      <c r="AL35" s="59" t="str">
        <f ca="1">IF(ISERROR(_xll.ciqfunctions.udf.CIQ($A35, "IQ_NET_WORKING_CAP", IQ_LTM, $L$2,$L$4, $L$3, $L$5, $L$6)), "n/a", _xll.ciqfunctions.udf.CIQ($A35, "IQ_NET_WORKING_CAP", IQ_LTM, $L$2, $L$4, $L$3, $L$5, $L$6))</f>
        <v>n/a</v>
      </c>
      <c r="AM35" s="59" t="str">
        <f ca="1">IF(ISERROR(_xll.ciqfunctions.udf.CIQ($A35, "IQ_Capex", IQ_LTM-8, $L$2,$L$4, $L$3, $L$5, $L$6)), "n/a", _xll.ciqfunctions.udf.CIQ($A35, "IQ_Capex", IQ_LTM-8, $L$2, $L$4, $L$3, $L$5, $L$6))</f>
        <v>n/a</v>
      </c>
      <c r="AN35" s="59" t="str">
        <f ca="1">IF(ISERROR(_xll.ciqfunctions.udf.CIQ($A35, "IQ_Capex", IQ_LTM-4, $L$2,$L$4, $L$3, $L$5, $L$6)), "n/a", _xll.ciqfunctions.udf.CIQ($A35, "IQ_Capex", IQ_LTM-4, $L$2,$L$4, $L$3, $L$5, $L$6))</f>
        <v>n/a</v>
      </c>
      <c r="AO35" s="59" t="str">
        <f ca="1">IF(ISERROR(_xll.ciqfunctions.udf.CIQ($A35, "IQ_Capex", IQ_LTM, $L$2, $L$4, $L$3, $L$5, $L$6)), "n/a", _xll.ciqfunctions.udf.CIQ($A35, "IQ_Capex", IQ_LTM, $L$2, $L$4, $L$3, $L$5, $L$6))</f>
        <v>n/a</v>
      </c>
      <c r="AP35" s="44" t="e">
        <f ca="1">_xll.ciqfunctions.udf.CIQ(A35, "IQ_BUSINESS_DESCRIPTION")</f>
        <v>#NAME?</v>
      </c>
      <c r="AQ35" s="60" t="e">
        <f ca="1">_xll.ciqfunctions.udf.CIQ($A35, "IQ_BETA_1YR", $B$1)</f>
        <v>#NAME?</v>
      </c>
      <c r="AR35" s="60" t="e">
        <f ca="1">_xll.ciqfunctions.udf.CIQ($A35, "IQ_BETA_2YR", $B$1)</f>
        <v>#NAME?</v>
      </c>
      <c r="AS35" s="60" t="e">
        <f ca="1">_xll.ciqfunctions.udf.CIQ($A35, "IQ_BETA_5YR", $B$1)</f>
        <v>#NAME?</v>
      </c>
      <c r="AT35" s="47" t="e">
        <f ca="1">_xll.ciqfunctions.udf.CIQ($A35, "IQ_DIVIDEND_YIELD", $B$1)/100</f>
        <v>#NAME?</v>
      </c>
      <c r="AU35" s="59" t="e">
        <f ca="1">_xll.ciqfunctions.udf.CIQ($A35, "IQ_EARNING_CO", IQ_LTM-8, $L$2, $L$4, $L$3, $L$5, $L$6)</f>
        <v>#NAME?</v>
      </c>
      <c r="AV35" s="59" t="e">
        <f ca="1">_xll.ciqfunctions.udf.CIQ($A35, "IQ_EARNING_CO", IQ_LTM-4, $L$2, $L$4, $L$3, $L$5, $L$6)</f>
        <v>#NAME?</v>
      </c>
      <c r="AW35" s="59" t="e">
        <f ca="1">_xll.ciqfunctions.udf.CIQ($A35, "IQ_EARNING_CO", IQ_LTM, $L$2, $L$4, $L$3, $L$5, $L$6)</f>
        <v>#NAME?</v>
      </c>
      <c r="AX35" s="59" t="e">
        <f ca="1">_xll.ciqfunctions.udf.CIQ($A35, "IQ_EARNING_CO", $B$2, $L$2, $L$4, $L$3, $L$5, $L$6)</f>
        <v>#NAME?</v>
      </c>
      <c r="AY35" s="59" t="e">
        <f ca="1">IF(_xll.ciqfunctions.udf.CIQ($A35, "IQ_EARNING_CO", $B$3, $L$2,$L$4, $L$3, $L$5, $L$6)=0,AW35,_xll.ciqfunctions.udf.CIQ($A35, "IQ_EARNING_CO", $B$3, $L$2,$L$4, $L$3, $L$5, $L$6))</f>
        <v>#NAME?</v>
      </c>
      <c r="AZ35" s="59" t="e">
        <f ca="1">_xll.ciqfunctions.udf.CIQ($A35, "IQ_TOTAL_EQUITY", IQ_LTM-8, $L$2, $L$4, $L$3, $L$5, $L$6)</f>
        <v>#NAME?</v>
      </c>
      <c r="BA35" s="59" t="e">
        <f ca="1">_xll.ciqfunctions.udf.CIQ($A35, "IQ_TOTAL_EQUITY", IQ_LTM-4, $L$2, $L$4, $L$3, $L$5, $L$6)</f>
        <v>#NAME?</v>
      </c>
      <c r="BB35" s="59" t="e">
        <f ca="1">_xll.ciqfunctions.udf.CIQ($A35, "IQ_TOTAL_EQUITY", IQ_LTM, $L$2, $L$4, $L$3, $L$5, $L$6)</f>
        <v>#NAME?</v>
      </c>
      <c r="BC35" s="59" t="e">
        <f ca="1">_xll.ciqfunctions.udf.CIQ($A35, "IQ_TOTAL_EQUITY", $B$2, $L$2, $L$4, $L$3, $L$5, $L$6)</f>
        <v>#NAME?</v>
      </c>
      <c r="BD35" s="59" t="e">
        <f ca="1">IF(_xll.ciqfunctions.udf.CIQ($A35, "IQ_TOTAL_EQUITY", $B$3, $L$2,$L$4, $L$3, $L$5, $L$6)=0,BB35,_xll.ciqfunctions.udf.CIQ($A35, "IQ_TOTAL_EQUITY", $B$3, $L$2,$L$4, $L$3, $L$5, $L$6))</f>
        <v>#NAME?</v>
      </c>
      <c r="BE35" s="59" t="e">
        <f ca="1">_xll.ciqfunctions.udf.CIQ(A35, "IQ_LASTSALEPRICE", $B$8)</f>
        <v>#NAME?</v>
      </c>
      <c r="BF35" s="59" t="e">
        <f ca="1">_xll.ciqfunctions.udf.CIQ($A35, "IQ_MARKETCAP", $B$8, $L$5, $L$6)</f>
        <v>#NAME?</v>
      </c>
      <c r="BG35" s="59" t="e">
        <f ca="1">_xll.ciqfunctions.udf.CIQ($A35, "IQ_TOTAL_DEBT", IQ_LTM, $B$8,$L$4, $L$3, $L$5, $L$6)</f>
        <v>#NAME?</v>
      </c>
      <c r="BH35" s="45" t="e">
        <f ca="1">_xll.ciqfunctions.udf.CIQ($A35,"IQ_PREF_EQUITY",IQ_LTM,$B$8,$L$4,$L$3,$L$5,$L$6)</f>
        <v>#NAME?</v>
      </c>
      <c r="BI35" s="45" t="e">
        <f ca="1">_xll.ciqfunctions.udf.CIQ($A35, "IQ_MINORITY_INTEREST_TOTAL", IQ_LTM,$B$8,$L$4,$L$3,$L$5,$L$6)</f>
        <v>#NAME?</v>
      </c>
      <c r="BJ35" s="59" t="e">
        <f ca="1">_xll.ciqfunctions.udf.CIQ($A35, "IQ_CASH_ST_INVEST", IQ_LTM, $B$8, $L$4, $L$3, $L$5, $L$6)</f>
        <v>#NAME?</v>
      </c>
      <c r="BK35" s="45" t="e">
        <f ca="1">_xll.ciqfunctions.udf.CIQ($A35, "IQ_EFFECT_TAX_RATE")</f>
        <v>#NAME?</v>
      </c>
      <c r="BL35" s="45" t="e">
        <f ca="1">IF(_xll.ciqfunctions.udf.CIQ($A35, "IQ_TOTAL_REV_2YR_ANN_CAGR", IQ_LTM, $B$1,$L$4, $L$3, $L$5, $L$6)="NM","n/a",(_xll.ciqfunctions.udf.CIQ($A35, "IQ_TOTAL_REV_2YR_ANN_CAGR", IQ_LTM, $B$1,$L$4, $L$3, $L$5, $L$6)/100))</f>
        <v>#NAME?</v>
      </c>
      <c r="BM35" s="45" t="e">
        <f ca="1">IF(_xll.ciqfunctions.udf.CIQ($A35, "IQ_TOTAL_REV_3YR_ANN_CAGR", IQ_LTM, $B$1,$L$4, $L$3, $L$5, $L$6)="NM","n/a",(_xll.ciqfunctions.udf.CIQ($A35, "IQ_TOTAL_REV_3YR_ANN_CAGR", IQ_LTM, $B$1,$L$4, $L$3, $L$5, $L$6)/100))</f>
        <v>#NAME?</v>
      </c>
      <c r="BN35" s="45" t="e">
        <f ca="1">IF(_xll.ciqfunctions.udf.CIQ($A35, "IQ_TOTAL_REV_5YR_ANN_CAGR", IQ_LTM, $B$1,$L$4, $L$3, $L$5, $L$6)="NM","n/a",(_xll.ciqfunctions.udf.CIQ($A35, "IQ_TOTAL_REV_5YR_ANN_CAGR", IQ_LTM, $B$1,$L$4, $L$3, $L$5, $L$6)/100))</f>
        <v>#NAME?</v>
      </c>
      <c r="BO35" s="45" t="e">
        <f ca="1">IF(_xll.ciqfunctions.udf.CIQ($A35,"IQ_EBITDA_2YR_ANN_CAGR", IQ_LTM,$B$1,$L$4, $L$3, $L$5, $L$6)="NM","n/a",(_xll.ciqfunctions.udf.CIQ($A35,"IQ_EBITDA_2YR_ANN_CAGR", IQ_LTM,$B$1,$L$4, $L$3, $L$5, $L$6)/100))</f>
        <v>#NAME?</v>
      </c>
      <c r="BP35" s="45" t="e">
        <f ca="1">IF(_xll.ciqfunctions.udf.CIQ($A35,"IQ_EBITDA_3YR_ANN_CAGR", IQ_LTM,$B$1,$L$4, $L$3, $L$5, $L$6)="NM","n/a",(_xll.ciqfunctions.udf.CIQ($A35,"IQ_EBITDA_3YR_ANN_CAGR", IQ_LTM,$B$1,$L$4, $L$3, $L$5, $L$6)/100))</f>
        <v>#NAME?</v>
      </c>
      <c r="BQ35" s="45" t="e">
        <f ca="1">IF(_xll.ciqfunctions.udf.CIQ($A35,"IQ_EBITDA_5YR_ANN_CAGR", IQ_LTM,$B$1,$L$4, $L$3, $L$5, $L$6)="NM","n/a",(_xll.ciqfunctions.udf.CIQ($A35,"IQ_EBITDA_5YR_ANN_CAGR", IQ_LTM,$B$1,$L$4, $L$3, $L$5, $L$6)/100))</f>
        <v>#NAME?</v>
      </c>
      <c r="BR35" s="47" t="str">
        <f ca="1">IFERROR((_xll.ciqfunctions.udf.CIQ($A35, "IQ_DA_CF", IQ_LTM, $B$1, $L$4, $L$3, $L$5, $L$6)/Q35),"NM")</f>
        <v>NM</v>
      </c>
      <c r="BS35" s="61" t="e">
        <f>'Capital IQ Sheet-GPC'!BS35</f>
        <v>#VALUE!</v>
      </c>
      <c r="BT35" s="61" t="e">
        <f>'Capital IQ Sheet-GPC'!BT35</f>
        <v>#VALUE!</v>
      </c>
      <c r="BU35" s="61" t="e">
        <f>'Capital IQ Sheet-GPC'!BU35</f>
        <v>#VALUE!</v>
      </c>
      <c r="BV35" s="61" t="e">
        <f>'Capital IQ Sheet-GPC'!BV35</f>
        <v>#VALUE!</v>
      </c>
      <c r="BW35" s="61" t="e">
        <f>'Capital IQ Sheet-GPC'!BW35</f>
        <v>#VALUE!</v>
      </c>
      <c r="BX35" s="61" t="e">
        <f>'Capital IQ Sheet-GPC'!BX35</f>
        <v>#VALUE!</v>
      </c>
      <c r="BY35" s="61" t="e">
        <f>'Capital IQ Sheet-GPC'!BY35</f>
        <v>#VALUE!</v>
      </c>
      <c r="BZ35" s="61" t="e">
        <f>'Capital IQ Sheet-GPC'!BZ35</f>
        <v>#VALUE!</v>
      </c>
      <c r="CB35" s="45">
        <v>2</v>
      </c>
      <c r="CC35" s="85" t="s">
        <v>306</v>
      </c>
      <c r="CD35" s="85" t="s">
        <v>305</v>
      </c>
      <c r="CE35" s="46">
        <f t="shared" si="0"/>
        <v>42515</v>
      </c>
    </row>
    <row r="36" spans="1:83" s="45" customFormat="1" ht="12.75">
      <c r="A36" s="45" t="e">
        <f ca="1">_xll.ciqfunctions.udf.CIQ($B36,"IQ_COMPANY_TICKER")</f>
        <v>#NAME?</v>
      </c>
      <c r="B36" s="45" t="str">
        <f>'Capital IQ Sheet-GPC'!B36</f>
        <v>(Invalid Identifier)</v>
      </c>
      <c r="C36" s="45" t="e">
        <f ca="1">_xll.ciqfunctions.udf.CIQ($A36,"IQ_COMPANY_NAME")</f>
        <v>#NAME?</v>
      </c>
      <c r="D36" s="45" t="e">
        <f ca="1">_xll.ciqfunctions.udf.CIQ($A36, "IQ_EXCHANGE")</f>
        <v>#NAME?</v>
      </c>
      <c r="E36" s="46" t="e">
        <f ca="1">_xll.ciqfunctions.udf.CIQ($A36, "IQ_PERIODDATE_IS", IQ_FY)</f>
        <v>#NAME?</v>
      </c>
      <c r="F36" s="46" t="e">
        <f ca="1">_xll.ciqfunctions.udf.CIQ(A36, "IQ_PERIODDATE_IS", IQ_LTM, $B$1,$L$4,$L$3)</f>
        <v>#NAME?</v>
      </c>
      <c r="G36" s="46" t="e">
        <f ca="1">_xll.ciqfunctions.udf.CIQ($A36, "IQ_FIRSTPRICINGDATE")</f>
        <v>#NAME?</v>
      </c>
      <c r="H36" s="59" t="e">
        <f ca="1">_xll.ciqfunctions.udf.CIQ($A36, "IQ_TEV", $L$2, $L$5, $L$6)</f>
        <v>#NAME?</v>
      </c>
      <c r="I36" s="59" t="e">
        <f ca="1">_xll.ciqfunctions.udf.CIQ(A36, "IQ_LASTSALEPRICE", $B$1,$L$5)</f>
        <v>#NAME?</v>
      </c>
      <c r="J36" s="59" t="e">
        <f ca="1">_xll.ciqfunctions.udf.CIQ($A36, "IQ_MARKETCAP", $L$2, $L$5, $L$6)</f>
        <v>#NAME?</v>
      </c>
      <c r="K36" s="59" t="e">
        <f ca="1">_xll.ciqfunctions.udf.CIQ($A36, "IQ_TOTAL_DEBT", IQ_LTM, $L$2,$L$4, $L$3, $L$5, $L$6)</f>
        <v>#NAME?</v>
      </c>
      <c r="L36" s="59" t="e">
        <f ca="1">_xll.ciqfunctions.udf.CIQ($A36, "IQ_PREF_EQUITY", IQ_LTM, $L$2, $L$4, $L$3, $L$5, $L$6)</f>
        <v>#NAME?</v>
      </c>
      <c r="M36" s="59" t="e">
        <f ca="1">_xll.ciqfunctions.udf.CIQ($A36, "IQ_MINORITY_INTEREST_TOTAL", IQ_LTM, $L$2, $L$4, $L$3, $L$5, $L$6)</f>
        <v>#NAME?</v>
      </c>
      <c r="N36" s="59" t="e">
        <f ca="1">_xll.ciqfunctions.udf.CIQ($A36, "IQ_CASH_ST_INVEST", IQ_LTM, $L$2, $L$4, $L$3, $L$5, $L$6)</f>
        <v>#NAME?</v>
      </c>
      <c r="O36" s="59" t="e">
        <f ca="1">_xll.ciqfunctions.udf.CIQ($A36, "IQ_TOTAL_REV", IQ_LTM-8, $L$2, $L$4, $L$3, $L$5, $L$6)</f>
        <v>#NAME?</v>
      </c>
      <c r="P36" s="59" t="e">
        <f ca="1">_xll.ciqfunctions.udf.CIQ($A36, "IQ_TOTAL_REV", IQ_LTM - 4, $L$2, $L$4, $L$3, $L$5,$L$6)</f>
        <v>#NAME?</v>
      </c>
      <c r="Q36" s="59" t="e">
        <f ca="1">_xll.ciqfunctions.udf.CIQ($A36, "IQ_TOTAL_REV", IQ_LTM, $L$2, $L$4, $L$3, $L$5, $L$6)</f>
        <v>#NAME?</v>
      </c>
      <c r="R36" s="59" t="e">
        <f ca="1">_xll.ciqfunctions.udf.CIQ($A36, "IQ_TOTAL_REV", $B$2, $L$2, $L$4, $L$3, $L$5, $L$6)</f>
        <v>#NAME?</v>
      </c>
      <c r="S36" s="59" t="e">
        <f ca="1">IF(_xll.ciqfunctions.udf.CIQ($A36, "IQ_TOTAL_REV", $B$3, $L$2,$L$4, $L$3, $L$5, $L$6)=0,Q36,_xll.ciqfunctions.udf.CIQ($A36, "IQ_TOTAL_REV", $B$3, $L$2,$L$4, $L$3, $L$5, $L$6))</f>
        <v>#NAME?</v>
      </c>
      <c r="T36" s="59" t="e">
        <f ca="1">IF(_xll.ciqfunctions.udf.CIQ($A36, "IQ_REVENUE_EST",$B$4, $L$2, "CON", $L$3, $L$5, $L$6)=0,"n/a",_xll.ciqfunctions.udf.CIQ($A36, "IQ_REVENUE_EST",$B$4, $L$2, "CON", $L$3, $L$5, $L$6))</f>
        <v>#NAME?</v>
      </c>
      <c r="U36" s="59" t="e">
        <f ca="1">IF(_xll.ciqfunctions.udf.CIQ($A36, "IQ_REVENUE_EST",$B$5, $L$2, "CON", $L$3, $L$5, $L$6)=0,"n/a",_xll.ciqfunctions.udf.CIQ($A36, "IQ_REVENUE_EST",$B$5, $L$2, "CON", $L$3, $L$5, $L$6))</f>
        <v>#NAME?</v>
      </c>
      <c r="V36" s="59" t="e">
        <f ca="1">IF(_xll.ciqfunctions.udf.CIQ($A36, "IQ_REVENUE_EST",$B$6, $L$2, "CON", $L$3, $L$5, $L$6)=0,"n/a",_xll.ciqfunctions.udf.CIQ($A36, "IQ_REVENUE_EST",$B$6, $L$2, "CON", $L$3, $L$5, $L$6))</f>
        <v>#NAME?</v>
      </c>
      <c r="W36" s="59" t="e">
        <f ca="1">IF(_xll.ciqfunctions.udf.CIQ($A36, "IQ_REVENUE_EST", $B$7, $L$2, "CON", $L$3, $L$5, $L$6)=0,"n/a",_xll.ciqfunctions.udf.CIQ($A36, "IQ_REVENUE_EST",$B$7, $L$2, "CON", $L$3, $L$5, $L$6))</f>
        <v>#NAME?</v>
      </c>
      <c r="X36" s="59" t="e">
        <f ca="1">_xll.ciqfunctions.udf.CIQ($A36, "IQ_EBITDA", IQ_LTM-8, $L$2, $L$4, $L$3, $L$5, $L$6)</f>
        <v>#NAME?</v>
      </c>
      <c r="Y36" s="59" t="e">
        <f ca="1">_xll.ciqfunctions.udf.CIQ($A36, "IQ_EBITDA", IQ_LTM-4, $L$2,$L$4, $L$3, $L$5, $L$6)</f>
        <v>#NAME?</v>
      </c>
      <c r="Z36" s="59" t="e">
        <f ca="1">_xll.ciqfunctions.udf.CIQ($A36, "IQ_EBITDA", IQ_LTM, $L$2, $L$4, $L$3, $L$5, $L$6)</f>
        <v>#NAME?</v>
      </c>
      <c r="AA36" s="59" t="e">
        <f ca="1">_xll.ciqfunctions.udf.CIQ($A36, "IQ_EBITDA", $B$2, $L$2, $L$4, $L$3, $L$5, $L$6)</f>
        <v>#NAME?</v>
      </c>
      <c r="AB36" s="59" t="e">
        <f ca="1">IF(_xll.ciqfunctions.udf.CIQ($A36, "IQ_EBITDA", $B$3, $L$2,$L$4, $L$3, $L$5, $L$6)=0,Z36,_xll.ciqfunctions.udf.CIQ($A36, "IQ_EBITDA", $B$3, $L$2,$L$4, $L$3, $L$5, $L$6))</f>
        <v>#NAME?</v>
      </c>
      <c r="AC36" s="59" t="e">
        <f ca="1">IF(_xll.ciqfunctions.udf.CIQ($A36, "IQ_EBITDA_EST",$B$4, $L$2, "CON", $L$3, $L$5, $L$6)=0,"n/a",_xll.ciqfunctions.udf.CIQ($A36, "IQ_EBITDA_EST",$B$4, $L$2, "CON", $L$3, $L$5, $L$6))</f>
        <v>#NAME?</v>
      </c>
      <c r="AD36" s="59" t="e">
        <f ca="1">IF(_xll.ciqfunctions.udf.CIQ($A36, "IQ_EBITDA_EST",$B$5, $L$2, "CON", $L$3, $L$5, $L$6)=0,"n/a",_xll.ciqfunctions.udf.CIQ($A36, "IQ_EBITDA_EST",$B$5, $L$2, "CON", $L$3, $L$5, $L$6))</f>
        <v>#NAME?</v>
      </c>
      <c r="AE36" s="59" t="e">
        <f ca="1">IF(_xll.ciqfunctions.udf.CIQ($A36, "IQ_EBITDA_EST",$B$6, $L$2, "CON", $L$3, $L$5, $L$6)=0,"n/a",_xll.ciqfunctions.udf.CIQ($A36, "IQ_EBITDA_EST",$B$6, $L$2, "CON", $L$3, $L$5, $L$6))</f>
        <v>#NAME?</v>
      </c>
      <c r="AF36" s="47" t="str">
        <f ca="1">IF(ISERROR(_xll.ciqfunctions.udf.CIQ($A36, "IQ_GROSS_MARGIN", IQ_LTM, $L$2,$L$4, $L$3, $L$5, $L$6)/100), "n/a", _xll.ciqfunctions.udf.CIQ($A36,  "IQ_GROSS_MARGIN", IQ_LTM, $L$2, $L$4, $L$3, $L$5, $L$6)/100)</f>
        <v>n/a</v>
      </c>
      <c r="AG36" s="47" t="str">
        <f ca="1">IF(ISERROR(_xll.ciqfunctions.udf.CIQ($A36,"IQ_EBITDA_MARGIN", IQ_LTM, $L$2, $L$4, $L$3, $L$5, $L$6)/100), "n/a", _xll.ciqfunctions.udf.CIQ($A36, "IQ_EBITDA_MARGIN", IQ_LTM, $L$2, $L$4, $L$3, $L$5, $L$6)/100)</f>
        <v>n/a</v>
      </c>
      <c r="AH36" s="47" t="str">
        <f ca="1">IF(ISERROR(_xll.ciqfunctions.udf.CIQ($A36,"IQ_EBIT_MARGIN", IQ_LTM, $L$2, $L$4, $L$3, $L$5, $L$6)/100), "n/a", _xll.ciqfunctions.udf.CIQ($A36, "IQ_EBIT_MARGIN", IQ_LTM, $L$2, $L$4, $L$3, $L$5, $L$6)/100)</f>
        <v>n/a</v>
      </c>
      <c r="AI36" s="47" t="str">
        <f ca="1">IF(ISERROR(_xll.ciqfunctions.udf.CIQ($A36,"IQ_NI_MARGIN", IQ_LTM, $L$2, $L$4, $L$3, $L$5, $L$6)/100), "n/a", _xll.ciqfunctions.udf.CIQ($A36, "IQ_NI_MARGIN", IQ_LTM, $L$2, $L$4, $L$3, $L$5, $L$6)/100)</f>
        <v>n/a</v>
      </c>
      <c r="AJ36" s="59" t="str">
        <f ca="1">IF(ISERROR(_xll.ciqfunctions.udf.CIQ($A36, "IQ_NET_WORKING_CAP", IQ_LTM-8, $L$2, $L$4, $L$3, $L$5, $L$6)), "n/a", _xll.ciqfunctions.udf.CIQ($A36, "IQ_NET_WORKING_CAP", IQ_LTM-8, $L$2, $L$4, $L$3, $L$5, $L$6))</f>
        <v>n/a</v>
      </c>
      <c r="AK36" s="59" t="str">
        <f ca="1">IF(ISERROR(_xll.ciqfunctions.udf.CIQ($A36, "IQ_NET_WORKING_CAP", IQ_LTM-4, $L$2, $L$4, $L$3, $L$5, $L$6)), "n/a", _xll.ciqfunctions.udf.CIQ($A36, "IQ_NET_WORKING_CAP", IQ_LTM-4, $L$2, $L$4, $L$3, $L$5, $L$6))</f>
        <v>n/a</v>
      </c>
      <c r="AL36" s="59" t="str">
        <f ca="1">IF(ISERROR(_xll.ciqfunctions.udf.CIQ($A36, "IQ_NET_WORKING_CAP", IQ_LTM, $L$2,$L$4, $L$3, $L$5, $L$6)), "n/a", _xll.ciqfunctions.udf.CIQ($A36, "IQ_NET_WORKING_CAP", IQ_LTM, $L$2, $L$4, $L$3, $L$5, $L$6))</f>
        <v>n/a</v>
      </c>
      <c r="AM36" s="59" t="str">
        <f ca="1">IF(ISERROR(_xll.ciqfunctions.udf.CIQ($A36, "IQ_Capex", IQ_LTM-8, $L$2,$L$4, $L$3, $L$5, $L$6)), "n/a", _xll.ciqfunctions.udf.CIQ($A36, "IQ_Capex", IQ_LTM-8, $L$2, $L$4, $L$3, $L$5, $L$6))</f>
        <v>n/a</v>
      </c>
      <c r="AN36" s="59" t="str">
        <f ca="1">IF(ISERROR(_xll.ciqfunctions.udf.CIQ($A36, "IQ_Capex", IQ_LTM-4, $L$2,$L$4, $L$3, $L$5, $L$6)), "n/a", _xll.ciqfunctions.udf.CIQ($A36, "IQ_Capex", IQ_LTM-4, $L$2,$L$4, $L$3, $L$5, $L$6))</f>
        <v>n/a</v>
      </c>
      <c r="AO36" s="59" t="str">
        <f ca="1">IF(ISERROR(_xll.ciqfunctions.udf.CIQ($A36, "IQ_Capex", IQ_LTM, $L$2, $L$4, $L$3, $L$5, $L$6)), "n/a", _xll.ciqfunctions.udf.CIQ($A36, "IQ_Capex", IQ_LTM, $L$2, $L$4, $L$3, $L$5, $L$6))</f>
        <v>n/a</v>
      </c>
      <c r="AP36" s="44" t="e">
        <f ca="1">_xll.ciqfunctions.udf.CIQ(A36, "IQ_BUSINESS_DESCRIPTION")</f>
        <v>#NAME?</v>
      </c>
      <c r="AQ36" s="60" t="e">
        <f ca="1">_xll.ciqfunctions.udf.CIQ($A36, "IQ_BETA_1YR", $B$1)</f>
        <v>#NAME?</v>
      </c>
      <c r="AR36" s="60" t="e">
        <f ca="1">_xll.ciqfunctions.udf.CIQ($A36, "IQ_BETA_2YR", $B$1)</f>
        <v>#NAME?</v>
      </c>
      <c r="AS36" s="60" t="e">
        <f ca="1">_xll.ciqfunctions.udf.CIQ($A36, "IQ_BETA_5YR", $B$1)</f>
        <v>#NAME?</v>
      </c>
      <c r="AT36" s="47" t="e">
        <f ca="1">_xll.ciqfunctions.udf.CIQ($A36, "IQ_DIVIDEND_YIELD", $B$1)/100</f>
        <v>#NAME?</v>
      </c>
      <c r="AU36" s="59" t="e">
        <f ca="1">_xll.ciqfunctions.udf.CIQ($A36, "IQ_EARNING_CO", IQ_LTM-8, $L$2, $L$4, $L$3, $L$5, $L$6)</f>
        <v>#NAME?</v>
      </c>
      <c r="AV36" s="59" t="e">
        <f ca="1">_xll.ciqfunctions.udf.CIQ($A36, "IQ_EARNING_CO", IQ_LTM-4, $L$2, $L$4, $L$3, $L$5, $L$6)</f>
        <v>#NAME?</v>
      </c>
      <c r="AW36" s="59" t="e">
        <f ca="1">_xll.ciqfunctions.udf.CIQ($A36, "IQ_EARNING_CO", IQ_LTM, $L$2, $L$4, $L$3, $L$5, $L$6)</f>
        <v>#NAME?</v>
      </c>
      <c r="AX36" s="59" t="e">
        <f ca="1">_xll.ciqfunctions.udf.CIQ($A36, "IQ_EARNING_CO", $B$2, $L$2, $L$4, $L$3, $L$5, $L$6)</f>
        <v>#NAME?</v>
      </c>
      <c r="AY36" s="59" t="e">
        <f ca="1">IF(_xll.ciqfunctions.udf.CIQ($A36, "IQ_EARNING_CO", $B$3, $L$2,$L$4, $L$3, $L$5, $L$6)=0,AW36,_xll.ciqfunctions.udf.CIQ($A36, "IQ_EARNING_CO", $B$3, $L$2,$L$4, $L$3, $L$5, $L$6))</f>
        <v>#NAME?</v>
      </c>
      <c r="AZ36" s="59" t="e">
        <f ca="1">_xll.ciqfunctions.udf.CIQ($A36, "IQ_TOTAL_EQUITY", IQ_LTM-8, $L$2, $L$4, $L$3, $L$5, $L$6)</f>
        <v>#NAME?</v>
      </c>
      <c r="BA36" s="59" t="e">
        <f ca="1">_xll.ciqfunctions.udf.CIQ($A36, "IQ_TOTAL_EQUITY", IQ_LTM-4, $L$2, $L$4, $L$3, $L$5, $L$6)</f>
        <v>#NAME?</v>
      </c>
      <c r="BB36" s="59" t="e">
        <f ca="1">_xll.ciqfunctions.udf.CIQ($A36, "IQ_TOTAL_EQUITY", IQ_LTM, $L$2, $L$4, $L$3, $L$5, $L$6)</f>
        <v>#NAME?</v>
      </c>
      <c r="BC36" s="59" t="e">
        <f ca="1">_xll.ciqfunctions.udf.CIQ($A36, "IQ_TOTAL_EQUITY", $B$2, $L$2, $L$4, $L$3, $L$5, $L$6)</f>
        <v>#NAME?</v>
      </c>
      <c r="BD36" s="59" t="e">
        <f ca="1">IF(_xll.ciqfunctions.udf.CIQ($A36, "IQ_TOTAL_EQUITY", $B$3, $L$2,$L$4, $L$3, $L$5, $L$6)=0,BB36,_xll.ciqfunctions.udf.CIQ($A36, "IQ_TOTAL_EQUITY", $B$3, $L$2,$L$4, $L$3, $L$5, $L$6))</f>
        <v>#NAME?</v>
      </c>
      <c r="BE36" s="59" t="e">
        <f ca="1">_xll.ciqfunctions.udf.CIQ(A36, "IQ_LASTSALEPRICE", $B$8)</f>
        <v>#NAME?</v>
      </c>
      <c r="BF36" s="59" t="e">
        <f ca="1">_xll.ciqfunctions.udf.CIQ($A36, "IQ_MARKETCAP", $B$8, $L$5, $L$6)</f>
        <v>#NAME?</v>
      </c>
      <c r="BG36" s="59" t="e">
        <f ca="1">_xll.ciqfunctions.udf.CIQ($A36, "IQ_TOTAL_DEBT", IQ_LTM, $B$8,$L$4, $L$3, $L$5, $L$6)</f>
        <v>#NAME?</v>
      </c>
      <c r="BH36" s="45" t="e">
        <f ca="1">_xll.ciqfunctions.udf.CIQ($A36,"IQ_PREF_EQUITY",IQ_LTM,$B$8,$L$4,$L$3,$L$5,$L$6)</f>
        <v>#NAME?</v>
      </c>
      <c r="BI36" s="45" t="e">
        <f ca="1">_xll.ciqfunctions.udf.CIQ($A36, "IQ_MINORITY_INTEREST_TOTAL", IQ_LTM,$B$8,$L$4,$L$3,$L$5,$L$6)</f>
        <v>#NAME?</v>
      </c>
      <c r="BJ36" s="59" t="e">
        <f ca="1">_xll.ciqfunctions.udf.CIQ($A36, "IQ_CASH_ST_INVEST", IQ_LTM, $B$8, $L$4, $L$3, $L$5, $L$6)</f>
        <v>#NAME?</v>
      </c>
      <c r="BK36" s="45" t="e">
        <f ca="1">_xll.ciqfunctions.udf.CIQ($A36, "IQ_EFFECT_TAX_RATE")</f>
        <v>#NAME?</v>
      </c>
      <c r="BL36" s="45" t="e">
        <f ca="1">IF(_xll.ciqfunctions.udf.CIQ($A36, "IQ_TOTAL_REV_2YR_ANN_CAGR", IQ_LTM, $B$1,$L$4, $L$3, $L$5, $L$6)="NM","n/a",(_xll.ciqfunctions.udf.CIQ($A36, "IQ_TOTAL_REV_2YR_ANN_CAGR", IQ_LTM, $B$1,$L$4, $L$3, $L$5, $L$6)/100))</f>
        <v>#NAME?</v>
      </c>
      <c r="BM36" s="45" t="e">
        <f ca="1">IF(_xll.ciqfunctions.udf.CIQ($A36, "IQ_TOTAL_REV_3YR_ANN_CAGR", IQ_LTM, $B$1,$L$4, $L$3, $L$5, $L$6)="NM","n/a",(_xll.ciqfunctions.udf.CIQ($A36, "IQ_TOTAL_REV_3YR_ANN_CAGR", IQ_LTM, $B$1,$L$4, $L$3, $L$5, $L$6)/100))</f>
        <v>#NAME?</v>
      </c>
      <c r="BN36" s="45" t="e">
        <f ca="1">IF(_xll.ciqfunctions.udf.CIQ($A36, "IQ_TOTAL_REV_5YR_ANN_CAGR", IQ_LTM, $B$1,$L$4, $L$3, $L$5, $L$6)="NM","n/a",(_xll.ciqfunctions.udf.CIQ($A36, "IQ_TOTAL_REV_5YR_ANN_CAGR", IQ_LTM, $B$1,$L$4, $L$3, $L$5, $L$6)/100))</f>
        <v>#NAME?</v>
      </c>
      <c r="BO36" s="45" t="e">
        <f ca="1">IF(_xll.ciqfunctions.udf.CIQ($A36,"IQ_EBITDA_2YR_ANN_CAGR", IQ_LTM,$B$1,$L$4, $L$3, $L$5, $L$6)="NM","n/a",(_xll.ciqfunctions.udf.CIQ($A36,"IQ_EBITDA_2YR_ANN_CAGR", IQ_LTM,$B$1,$L$4, $L$3, $L$5, $L$6)/100))</f>
        <v>#NAME?</v>
      </c>
      <c r="BP36" s="45" t="e">
        <f ca="1">IF(_xll.ciqfunctions.udf.CIQ($A36,"IQ_EBITDA_3YR_ANN_CAGR", IQ_LTM,$B$1,$L$4, $L$3, $L$5, $L$6)="NM","n/a",(_xll.ciqfunctions.udf.CIQ($A36,"IQ_EBITDA_3YR_ANN_CAGR", IQ_LTM,$B$1,$L$4, $L$3, $L$5, $L$6)/100))</f>
        <v>#NAME?</v>
      </c>
      <c r="BQ36" s="45" t="e">
        <f ca="1">IF(_xll.ciqfunctions.udf.CIQ($A36,"IQ_EBITDA_5YR_ANN_CAGR", IQ_LTM,$B$1,$L$4, $L$3, $L$5, $L$6)="NM","n/a",(_xll.ciqfunctions.udf.CIQ($A36,"IQ_EBITDA_5YR_ANN_CAGR", IQ_LTM,$B$1,$L$4, $L$3, $L$5, $L$6)/100))</f>
        <v>#NAME?</v>
      </c>
      <c r="BR36" s="47" t="str">
        <f ca="1">IFERROR((_xll.ciqfunctions.udf.CIQ($A36, "IQ_DA_CF", IQ_LTM, $B$1, $L$4, $L$3, $L$5, $L$6)/Q36),"NM")</f>
        <v>NM</v>
      </c>
      <c r="BS36" s="61" t="e">
        <f>'Capital IQ Sheet-GPC'!BS36</f>
        <v>#VALUE!</v>
      </c>
      <c r="BT36" s="61" t="e">
        <f>'Capital IQ Sheet-GPC'!BT36</f>
        <v>#VALUE!</v>
      </c>
      <c r="BU36" s="61" t="e">
        <f>'Capital IQ Sheet-GPC'!BU36</f>
        <v>#VALUE!</v>
      </c>
      <c r="BV36" s="61" t="e">
        <f>'Capital IQ Sheet-GPC'!BV36</f>
        <v>#VALUE!</v>
      </c>
      <c r="BW36" s="61" t="e">
        <f>'Capital IQ Sheet-GPC'!BW36</f>
        <v>#VALUE!</v>
      </c>
      <c r="BX36" s="61" t="e">
        <f>'Capital IQ Sheet-GPC'!BX36</f>
        <v>#VALUE!</v>
      </c>
      <c r="BY36" s="61" t="e">
        <f>'Capital IQ Sheet-GPC'!BY36</f>
        <v>#VALUE!</v>
      </c>
      <c r="BZ36" s="61" t="e">
        <f>'Capital IQ Sheet-GPC'!BZ36</f>
        <v>#VALUE!</v>
      </c>
      <c r="CB36" s="45">
        <v>2</v>
      </c>
      <c r="CC36" s="85" t="s">
        <v>306</v>
      </c>
      <c r="CD36" s="85" t="s">
        <v>305</v>
      </c>
      <c r="CE36" s="46">
        <f t="shared" si="0"/>
        <v>42515</v>
      </c>
    </row>
    <row r="37" spans="1:83" s="45" customFormat="1" ht="12.75">
      <c r="A37" s="45" t="e">
        <f ca="1">_xll.ciqfunctions.udf.CIQ($B37,"IQ_COMPANY_TICKER")</f>
        <v>#NAME?</v>
      </c>
      <c r="B37" s="45" t="str">
        <f>'Capital IQ Sheet-GPC'!B37</f>
        <v>(Invalid Identifier)</v>
      </c>
      <c r="C37" s="45" t="e">
        <f ca="1">_xll.ciqfunctions.udf.CIQ($A37,"IQ_COMPANY_NAME")</f>
        <v>#NAME?</v>
      </c>
      <c r="D37" s="45" t="e">
        <f ca="1">_xll.ciqfunctions.udf.CIQ($A37, "IQ_EXCHANGE")</f>
        <v>#NAME?</v>
      </c>
      <c r="E37" s="46" t="e">
        <f ca="1">_xll.ciqfunctions.udf.CIQ($A37, "IQ_PERIODDATE_IS", IQ_FY)</f>
        <v>#NAME?</v>
      </c>
      <c r="F37" s="46" t="e">
        <f ca="1">_xll.ciqfunctions.udf.CIQ(A37, "IQ_PERIODDATE_IS", IQ_LTM, $B$1,$L$4,$L$3)</f>
        <v>#NAME?</v>
      </c>
      <c r="G37" s="46" t="e">
        <f ca="1">_xll.ciqfunctions.udf.CIQ($A37, "IQ_FIRSTPRICINGDATE")</f>
        <v>#NAME?</v>
      </c>
      <c r="H37" s="59" t="e">
        <f ca="1">_xll.ciqfunctions.udf.CIQ($A37, "IQ_TEV", $L$2, $L$5, $L$6)</f>
        <v>#NAME?</v>
      </c>
      <c r="I37" s="59" t="e">
        <f ca="1">_xll.ciqfunctions.udf.CIQ(A37, "IQ_LASTSALEPRICE", $B$1,$L$5)</f>
        <v>#NAME?</v>
      </c>
      <c r="J37" s="59" t="e">
        <f ca="1">_xll.ciqfunctions.udf.CIQ($A37, "IQ_MARKETCAP", $L$2, $L$5, $L$6)</f>
        <v>#NAME?</v>
      </c>
      <c r="K37" s="59" t="e">
        <f ca="1">_xll.ciqfunctions.udf.CIQ($A37, "IQ_TOTAL_DEBT", IQ_LTM, $L$2,$L$4, $L$3, $L$5, $L$6)</f>
        <v>#NAME?</v>
      </c>
      <c r="L37" s="59" t="e">
        <f ca="1">_xll.ciqfunctions.udf.CIQ($A37, "IQ_PREF_EQUITY", IQ_LTM, $L$2, $L$4, $L$3, $L$5, $L$6)</f>
        <v>#NAME?</v>
      </c>
      <c r="M37" s="59" t="e">
        <f ca="1">_xll.ciqfunctions.udf.CIQ($A37, "IQ_MINORITY_INTEREST_TOTAL", IQ_LTM, $L$2, $L$4, $L$3, $L$5, $L$6)</f>
        <v>#NAME?</v>
      </c>
      <c r="N37" s="59" t="e">
        <f ca="1">_xll.ciqfunctions.udf.CIQ($A37, "IQ_CASH_ST_INVEST", IQ_LTM, $L$2, $L$4, $L$3, $L$5, $L$6)</f>
        <v>#NAME?</v>
      </c>
      <c r="O37" s="59" t="e">
        <f ca="1">_xll.ciqfunctions.udf.CIQ($A37, "IQ_TOTAL_REV", IQ_LTM-8, $L$2, $L$4, $L$3, $L$5, $L$6)</f>
        <v>#NAME?</v>
      </c>
      <c r="P37" s="59" t="e">
        <f ca="1">_xll.ciqfunctions.udf.CIQ($A37, "IQ_TOTAL_REV", IQ_LTM - 4, $L$2, $L$4, $L$3, $L$5,$L$6)</f>
        <v>#NAME?</v>
      </c>
      <c r="Q37" s="59" t="e">
        <f ca="1">_xll.ciqfunctions.udf.CIQ($A37, "IQ_TOTAL_REV", IQ_LTM, $L$2, $L$4, $L$3, $L$5, $L$6)</f>
        <v>#NAME?</v>
      </c>
      <c r="R37" s="59" t="e">
        <f ca="1">_xll.ciqfunctions.udf.CIQ($A37, "IQ_TOTAL_REV", $B$2, $L$2, $L$4, $L$3, $L$5, $L$6)</f>
        <v>#NAME?</v>
      </c>
      <c r="S37" s="59" t="e">
        <f ca="1">IF(_xll.ciqfunctions.udf.CIQ($A37, "IQ_TOTAL_REV", $B$3, $L$2,$L$4, $L$3, $L$5, $L$6)=0,Q37,_xll.ciqfunctions.udf.CIQ($A37, "IQ_TOTAL_REV", $B$3, $L$2,$L$4, $L$3, $L$5, $L$6))</f>
        <v>#NAME?</v>
      </c>
      <c r="T37" s="59" t="e">
        <f ca="1">IF(_xll.ciqfunctions.udf.CIQ($A37, "IQ_REVENUE_EST",$B$4, $L$2, "CON", $L$3, $L$5, $L$6)=0,"n/a",_xll.ciqfunctions.udf.CIQ($A37, "IQ_REVENUE_EST",$B$4, $L$2, "CON", $L$3, $L$5, $L$6))</f>
        <v>#NAME?</v>
      </c>
      <c r="U37" s="59" t="e">
        <f ca="1">IF(_xll.ciqfunctions.udf.CIQ($A37, "IQ_REVENUE_EST",$B$5, $L$2, "CON", $L$3, $L$5, $L$6)=0,"n/a",_xll.ciqfunctions.udf.CIQ($A37, "IQ_REVENUE_EST",$B$5, $L$2, "CON", $L$3, $L$5, $L$6))</f>
        <v>#NAME?</v>
      </c>
      <c r="V37" s="59" t="e">
        <f ca="1">IF(_xll.ciqfunctions.udf.CIQ($A37, "IQ_REVENUE_EST",$B$6, $L$2, "CON", $L$3, $L$5, $L$6)=0,"n/a",_xll.ciqfunctions.udf.CIQ($A37, "IQ_REVENUE_EST",$B$6, $L$2, "CON", $L$3, $L$5, $L$6))</f>
        <v>#NAME?</v>
      </c>
      <c r="W37" s="59" t="e">
        <f ca="1">IF(_xll.ciqfunctions.udf.CIQ($A37, "IQ_REVENUE_EST", $B$7, $L$2, "CON", $L$3, $L$5, $L$6)=0,"n/a",_xll.ciqfunctions.udf.CIQ($A37, "IQ_REVENUE_EST",$B$7, $L$2, "CON", $L$3, $L$5, $L$6))</f>
        <v>#NAME?</v>
      </c>
      <c r="X37" s="59" t="e">
        <f ca="1">_xll.ciqfunctions.udf.CIQ($A37, "IQ_EBITDA", IQ_LTM-8, $L$2, $L$4, $L$3, $L$5, $L$6)</f>
        <v>#NAME?</v>
      </c>
      <c r="Y37" s="59" t="e">
        <f ca="1">_xll.ciqfunctions.udf.CIQ($A37, "IQ_EBITDA", IQ_LTM-4, $L$2,$L$4, $L$3, $L$5, $L$6)</f>
        <v>#NAME?</v>
      </c>
      <c r="Z37" s="59" t="e">
        <f ca="1">_xll.ciqfunctions.udf.CIQ($A37, "IQ_EBITDA", IQ_LTM, $L$2, $L$4, $L$3, $L$5, $L$6)</f>
        <v>#NAME?</v>
      </c>
      <c r="AA37" s="59" t="e">
        <f ca="1">_xll.ciqfunctions.udf.CIQ($A37, "IQ_EBITDA", $B$2, $L$2, $L$4, $L$3, $L$5, $L$6)</f>
        <v>#NAME?</v>
      </c>
      <c r="AB37" s="59" t="e">
        <f ca="1">IF(_xll.ciqfunctions.udf.CIQ($A37, "IQ_EBITDA", $B$3, $L$2,$L$4, $L$3, $L$5, $L$6)=0,Z37,_xll.ciqfunctions.udf.CIQ($A37, "IQ_EBITDA", $B$3, $L$2,$L$4, $L$3, $L$5, $L$6))</f>
        <v>#NAME?</v>
      </c>
      <c r="AC37" s="59" t="e">
        <f ca="1">IF(_xll.ciqfunctions.udf.CIQ($A37, "IQ_EBITDA_EST",$B$4, $L$2, "CON", $L$3, $L$5, $L$6)=0,"n/a",_xll.ciqfunctions.udf.CIQ($A37, "IQ_EBITDA_EST",$B$4, $L$2, "CON", $L$3, $L$5, $L$6))</f>
        <v>#NAME?</v>
      </c>
      <c r="AD37" s="59" t="e">
        <f ca="1">IF(_xll.ciqfunctions.udf.CIQ($A37, "IQ_EBITDA_EST",$B$5, $L$2, "CON", $L$3, $L$5, $L$6)=0,"n/a",_xll.ciqfunctions.udf.CIQ($A37, "IQ_EBITDA_EST",$B$5, $L$2, "CON", $L$3, $L$5, $L$6))</f>
        <v>#NAME?</v>
      </c>
      <c r="AE37" s="59" t="e">
        <f ca="1">IF(_xll.ciqfunctions.udf.CIQ($A37, "IQ_EBITDA_EST",$B$6, $L$2, "CON", $L$3, $L$5, $L$6)=0,"n/a",_xll.ciqfunctions.udf.CIQ($A37, "IQ_EBITDA_EST",$B$6, $L$2, "CON", $L$3, $L$5, $L$6))</f>
        <v>#NAME?</v>
      </c>
      <c r="AF37" s="47" t="str">
        <f ca="1">IF(ISERROR(_xll.ciqfunctions.udf.CIQ($A37, "IQ_GROSS_MARGIN", IQ_LTM, $L$2,$L$4, $L$3, $L$5, $L$6)/100), "n/a", _xll.ciqfunctions.udf.CIQ($A37,  "IQ_GROSS_MARGIN", IQ_LTM, $L$2, $L$4, $L$3, $L$5, $L$6)/100)</f>
        <v>n/a</v>
      </c>
      <c r="AG37" s="47" t="str">
        <f ca="1">IF(ISERROR(_xll.ciqfunctions.udf.CIQ($A37,"IQ_EBITDA_MARGIN", IQ_LTM, $L$2, $L$4, $L$3, $L$5, $L$6)/100), "n/a", _xll.ciqfunctions.udf.CIQ($A37, "IQ_EBITDA_MARGIN", IQ_LTM, $L$2, $L$4, $L$3, $L$5, $L$6)/100)</f>
        <v>n/a</v>
      </c>
      <c r="AH37" s="47" t="str">
        <f ca="1">IF(ISERROR(_xll.ciqfunctions.udf.CIQ($A37,"IQ_EBIT_MARGIN", IQ_LTM, $L$2, $L$4, $L$3, $L$5, $L$6)/100), "n/a", _xll.ciqfunctions.udf.CIQ($A37, "IQ_EBIT_MARGIN", IQ_LTM, $L$2, $L$4, $L$3, $L$5, $L$6)/100)</f>
        <v>n/a</v>
      </c>
      <c r="AI37" s="47" t="str">
        <f ca="1">IF(ISERROR(_xll.ciqfunctions.udf.CIQ($A37,"IQ_NI_MARGIN", IQ_LTM, $L$2, $L$4, $L$3, $L$5, $L$6)/100), "n/a", _xll.ciqfunctions.udf.CIQ($A37, "IQ_NI_MARGIN", IQ_LTM, $L$2, $L$4, $L$3, $L$5, $L$6)/100)</f>
        <v>n/a</v>
      </c>
      <c r="AJ37" s="59" t="str">
        <f ca="1">IF(ISERROR(_xll.ciqfunctions.udf.CIQ($A37, "IQ_NET_WORKING_CAP", IQ_LTM-8, $L$2, $L$4, $L$3, $L$5, $L$6)), "n/a", _xll.ciqfunctions.udf.CIQ($A37, "IQ_NET_WORKING_CAP", IQ_LTM-8, $L$2, $L$4, $L$3, $L$5, $L$6))</f>
        <v>n/a</v>
      </c>
      <c r="AK37" s="59" t="str">
        <f ca="1">IF(ISERROR(_xll.ciqfunctions.udf.CIQ($A37, "IQ_NET_WORKING_CAP", IQ_LTM-4, $L$2, $L$4, $L$3, $L$5, $L$6)), "n/a", _xll.ciqfunctions.udf.CIQ($A37, "IQ_NET_WORKING_CAP", IQ_LTM-4, $L$2, $L$4, $L$3, $L$5, $L$6))</f>
        <v>n/a</v>
      </c>
      <c r="AL37" s="59" t="str">
        <f ca="1">IF(ISERROR(_xll.ciqfunctions.udf.CIQ($A37, "IQ_NET_WORKING_CAP", IQ_LTM, $L$2,$L$4, $L$3, $L$5, $L$6)), "n/a", _xll.ciqfunctions.udf.CIQ($A37, "IQ_NET_WORKING_CAP", IQ_LTM, $L$2, $L$4, $L$3, $L$5, $L$6))</f>
        <v>n/a</v>
      </c>
      <c r="AM37" s="59" t="str">
        <f ca="1">IF(ISERROR(_xll.ciqfunctions.udf.CIQ($A37, "IQ_Capex", IQ_LTM-8, $L$2,$L$4, $L$3, $L$5, $L$6)), "n/a", _xll.ciqfunctions.udf.CIQ($A37, "IQ_Capex", IQ_LTM-8, $L$2, $L$4, $L$3, $L$5, $L$6))</f>
        <v>n/a</v>
      </c>
      <c r="AN37" s="59" t="str">
        <f ca="1">IF(ISERROR(_xll.ciqfunctions.udf.CIQ($A37, "IQ_Capex", IQ_LTM-4, $L$2,$L$4, $L$3, $L$5, $L$6)), "n/a", _xll.ciqfunctions.udf.CIQ($A37, "IQ_Capex", IQ_LTM-4, $L$2,$L$4, $L$3, $L$5, $L$6))</f>
        <v>n/a</v>
      </c>
      <c r="AO37" s="59" t="str">
        <f ca="1">IF(ISERROR(_xll.ciqfunctions.udf.CIQ($A37, "IQ_Capex", IQ_LTM, $L$2, $L$4, $L$3, $L$5, $L$6)), "n/a", _xll.ciqfunctions.udf.CIQ($A37, "IQ_Capex", IQ_LTM, $L$2, $L$4, $L$3, $L$5, $L$6))</f>
        <v>n/a</v>
      </c>
      <c r="AP37" s="44" t="e">
        <f ca="1">_xll.ciqfunctions.udf.CIQ(A37, "IQ_BUSINESS_DESCRIPTION")</f>
        <v>#NAME?</v>
      </c>
      <c r="AQ37" s="60" t="e">
        <f ca="1">_xll.ciqfunctions.udf.CIQ($A37, "IQ_BETA_1YR", $B$1)</f>
        <v>#NAME?</v>
      </c>
      <c r="AR37" s="60" t="e">
        <f ca="1">_xll.ciqfunctions.udf.CIQ($A37, "IQ_BETA_2YR", $B$1)</f>
        <v>#NAME?</v>
      </c>
      <c r="AS37" s="60" t="e">
        <f ca="1">_xll.ciqfunctions.udf.CIQ($A37, "IQ_BETA_5YR", $B$1)</f>
        <v>#NAME?</v>
      </c>
      <c r="AT37" s="47" t="e">
        <f ca="1">_xll.ciqfunctions.udf.CIQ($A37, "IQ_DIVIDEND_YIELD", $B$1)/100</f>
        <v>#NAME?</v>
      </c>
      <c r="AU37" s="59" t="e">
        <f ca="1">_xll.ciqfunctions.udf.CIQ($A37, "IQ_EARNING_CO", IQ_LTM-8, $L$2, $L$4, $L$3, $L$5, $L$6)</f>
        <v>#NAME?</v>
      </c>
      <c r="AV37" s="59" t="e">
        <f ca="1">_xll.ciqfunctions.udf.CIQ($A37, "IQ_EARNING_CO", IQ_LTM-4, $L$2, $L$4, $L$3, $L$5, $L$6)</f>
        <v>#NAME?</v>
      </c>
      <c r="AW37" s="59" t="e">
        <f ca="1">_xll.ciqfunctions.udf.CIQ($A37, "IQ_EARNING_CO", IQ_LTM, $L$2, $L$4, $L$3, $L$5, $L$6)</f>
        <v>#NAME?</v>
      </c>
      <c r="AX37" s="59" t="e">
        <f ca="1">_xll.ciqfunctions.udf.CIQ($A37, "IQ_EARNING_CO", $B$2, $L$2, $L$4, $L$3, $L$5, $L$6)</f>
        <v>#NAME?</v>
      </c>
      <c r="AY37" s="59" t="e">
        <f ca="1">IF(_xll.ciqfunctions.udf.CIQ($A37, "IQ_EARNING_CO", $B$3, $L$2,$L$4, $L$3, $L$5, $L$6)=0,AW37,_xll.ciqfunctions.udf.CIQ($A37, "IQ_EARNING_CO", $B$3, $L$2,$L$4, $L$3, $L$5, $L$6))</f>
        <v>#NAME?</v>
      </c>
      <c r="AZ37" s="59" t="e">
        <f ca="1">_xll.ciqfunctions.udf.CIQ($A37, "IQ_TOTAL_EQUITY", IQ_LTM-8, $L$2, $L$4, $L$3, $L$5, $L$6)</f>
        <v>#NAME?</v>
      </c>
      <c r="BA37" s="59" t="e">
        <f ca="1">_xll.ciqfunctions.udf.CIQ($A37, "IQ_TOTAL_EQUITY", IQ_LTM-4, $L$2, $L$4, $L$3, $L$5, $L$6)</f>
        <v>#NAME?</v>
      </c>
      <c r="BB37" s="59" t="e">
        <f ca="1">_xll.ciqfunctions.udf.CIQ($A37, "IQ_TOTAL_EQUITY", IQ_LTM, $L$2, $L$4, $L$3, $L$5, $L$6)</f>
        <v>#NAME?</v>
      </c>
      <c r="BC37" s="59" t="e">
        <f ca="1">_xll.ciqfunctions.udf.CIQ($A37, "IQ_TOTAL_EQUITY", $B$2, $L$2, $L$4, $L$3, $L$5, $L$6)</f>
        <v>#NAME?</v>
      </c>
      <c r="BD37" s="59" t="e">
        <f ca="1">IF(_xll.ciqfunctions.udf.CIQ($A37, "IQ_TOTAL_EQUITY", $B$3, $L$2,$L$4, $L$3, $L$5, $L$6)=0,BB37,_xll.ciqfunctions.udf.CIQ($A37, "IQ_TOTAL_EQUITY", $B$3, $L$2,$L$4, $L$3, $L$5, $L$6))</f>
        <v>#NAME?</v>
      </c>
      <c r="BE37" s="59" t="e">
        <f ca="1">_xll.ciqfunctions.udf.CIQ(A37, "IQ_LASTSALEPRICE", $B$8)</f>
        <v>#NAME?</v>
      </c>
      <c r="BF37" s="59" t="e">
        <f ca="1">_xll.ciqfunctions.udf.CIQ($A37, "IQ_MARKETCAP", $B$8, $L$5, $L$6)</f>
        <v>#NAME?</v>
      </c>
      <c r="BG37" s="59" t="e">
        <f ca="1">_xll.ciqfunctions.udf.CIQ($A37, "IQ_TOTAL_DEBT", IQ_LTM, $B$8,$L$4, $L$3, $L$5, $L$6)</f>
        <v>#NAME?</v>
      </c>
      <c r="BH37" s="45" t="e">
        <f ca="1">_xll.ciqfunctions.udf.CIQ($A37,"IQ_PREF_EQUITY",IQ_LTM,$B$8,$L$4,$L$3,$L$5,$L$6)</f>
        <v>#NAME?</v>
      </c>
      <c r="BI37" s="45" t="e">
        <f ca="1">_xll.ciqfunctions.udf.CIQ($A37, "IQ_MINORITY_INTEREST_TOTAL", IQ_LTM,$B$8,$L$4,$L$3,$L$5,$L$6)</f>
        <v>#NAME?</v>
      </c>
      <c r="BJ37" s="59" t="e">
        <f ca="1">_xll.ciqfunctions.udf.CIQ($A37, "IQ_CASH_ST_INVEST", IQ_LTM, $B$8, $L$4, $L$3, $L$5, $L$6)</f>
        <v>#NAME?</v>
      </c>
      <c r="BK37" s="45" t="e">
        <f ca="1">_xll.ciqfunctions.udf.CIQ($A37, "IQ_EFFECT_TAX_RATE")</f>
        <v>#NAME?</v>
      </c>
      <c r="BL37" s="45" t="e">
        <f ca="1">IF(_xll.ciqfunctions.udf.CIQ($A37, "IQ_TOTAL_REV_2YR_ANN_CAGR", IQ_LTM, $B$1,$L$4, $L$3, $L$5, $L$6)="NM","n/a",(_xll.ciqfunctions.udf.CIQ($A37, "IQ_TOTAL_REV_2YR_ANN_CAGR", IQ_LTM, $B$1,$L$4, $L$3, $L$5, $L$6)/100))</f>
        <v>#NAME?</v>
      </c>
      <c r="BM37" s="45" t="e">
        <f ca="1">IF(_xll.ciqfunctions.udf.CIQ($A37, "IQ_TOTAL_REV_3YR_ANN_CAGR", IQ_LTM, $B$1,$L$4, $L$3, $L$5, $L$6)="NM","n/a",(_xll.ciqfunctions.udf.CIQ($A37, "IQ_TOTAL_REV_3YR_ANN_CAGR", IQ_LTM, $B$1,$L$4, $L$3, $L$5, $L$6)/100))</f>
        <v>#NAME?</v>
      </c>
      <c r="BN37" s="45" t="e">
        <f ca="1">IF(_xll.ciqfunctions.udf.CIQ($A37, "IQ_TOTAL_REV_5YR_ANN_CAGR", IQ_LTM, $B$1,$L$4, $L$3, $L$5, $L$6)="NM","n/a",(_xll.ciqfunctions.udf.CIQ($A37, "IQ_TOTAL_REV_5YR_ANN_CAGR", IQ_LTM, $B$1,$L$4, $L$3, $L$5, $L$6)/100))</f>
        <v>#NAME?</v>
      </c>
      <c r="BO37" s="45" t="e">
        <f ca="1">IF(_xll.ciqfunctions.udf.CIQ($A37,"IQ_EBITDA_2YR_ANN_CAGR", IQ_LTM,$B$1,$L$4, $L$3, $L$5, $L$6)="NM","n/a",(_xll.ciqfunctions.udf.CIQ($A37,"IQ_EBITDA_2YR_ANN_CAGR", IQ_LTM,$B$1,$L$4, $L$3, $L$5, $L$6)/100))</f>
        <v>#NAME?</v>
      </c>
      <c r="BP37" s="45" t="e">
        <f ca="1">IF(_xll.ciqfunctions.udf.CIQ($A37,"IQ_EBITDA_3YR_ANN_CAGR", IQ_LTM,$B$1,$L$4, $L$3, $L$5, $L$6)="NM","n/a",(_xll.ciqfunctions.udf.CIQ($A37,"IQ_EBITDA_3YR_ANN_CAGR", IQ_LTM,$B$1,$L$4, $L$3, $L$5, $L$6)/100))</f>
        <v>#NAME?</v>
      </c>
      <c r="BQ37" s="45" t="e">
        <f ca="1">IF(_xll.ciqfunctions.udf.CIQ($A37,"IQ_EBITDA_5YR_ANN_CAGR", IQ_LTM,$B$1,$L$4, $L$3, $L$5, $L$6)="NM","n/a",(_xll.ciqfunctions.udf.CIQ($A37,"IQ_EBITDA_5YR_ANN_CAGR", IQ_LTM,$B$1,$L$4, $L$3, $L$5, $L$6)/100))</f>
        <v>#NAME?</v>
      </c>
      <c r="BR37" s="47" t="str">
        <f ca="1">IFERROR((_xll.ciqfunctions.udf.CIQ($A37, "IQ_DA_CF", IQ_LTM, $B$1, $L$4, $L$3, $L$5, $L$6)/Q37),"NM")</f>
        <v>NM</v>
      </c>
      <c r="BS37" s="61" t="e">
        <f>'Capital IQ Sheet-GPC'!BS37</f>
        <v>#VALUE!</v>
      </c>
      <c r="BT37" s="61" t="e">
        <f>'Capital IQ Sheet-GPC'!BT37</f>
        <v>#VALUE!</v>
      </c>
      <c r="BU37" s="61" t="e">
        <f>'Capital IQ Sheet-GPC'!BU37</f>
        <v>#VALUE!</v>
      </c>
      <c r="BV37" s="61" t="e">
        <f>'Capital IQ Sheet-GPC'!BV37</f>
        <v>#VALUE!</v>
      </c>
      <c r="BW37" s="61" t="e">
        <f>'Capital IQ Sheet-GPC'!BW37</f>
        <v>#VALUE!</v>
      </c>
      <c r="BX37" s="61" t="e">
        <f>'Capital IQ Sheet-GPC'!BX37</f>
        <v>#VALUE!</v>
      </c>
      <c r="BY37" s="61" t="e">
        <f>'Capital IQ Sheet-GPC'!BY37</f>
        <v>#VALUE!</v>
      </c>
      <c r="BZ37" s="61" t="e">
        <f>'Capital IQ Sheet-GPC'!BZ37</f>
        <v>#VALUE!</v>
      </c>
      <c r="CB37" s="45">
        <v>2</v>
      </c>
      <c r="CC37" s="85" t="s">
        <v>306</v>
      </c>
      <c r="CD37" s="85" t="s">
        <v>305</v>
      </c>
      <c r="CE37" s="46">
        <f t="shared" si="0"/>
        <v>42515</v>
      </c>
    </row>
    <row r="38" spans="1:83" s="45" customFormat="1" ht="12.75">
      <c r="A38" s="45" t="e">
        <f ca="1">_xll.ciqfunctions.udf.CIQ($B38,"IQ_COMPANY_TICKER")</f>
        <v>#NAME?</v>
      </c>
      <c r="B38" s="45" t="str">
        <f>'Capital IQ Sheet-GPC'!B38</f>
        <v>(Invalid Identifier)</v>
      </c>
      <c r="C38" s="45" t="e">
        <f ca="1">_xll.ciqfunctions.udf.CIQ($A38,"IQ_COMPANY_NAME")</f>
        <v>#NAME?</v>
      </c>
      <c r="D38" s="45" t="e">
        <f ca="1">_xll.ciqfunctions.udf.CIQ($A38, "IQ_EXCHANGE")</f>
        <v>#NAME?</v>
      </c>
      <c r="E38" s="46" t="e">
        <f ca="1">_xll.ciqfunctions.udf.CIQ($A38, "IQ_PERIODDATE_IS", IQ_FY)</f>
        <v>#NAME?</v>
      </c>
      <c r="F38" s="46" t="e">
        <f ca="1">_xll.ciqfunctions.udf.CIQ(A38, "IQ_PERIODDATE_IS", IQ_LTM, $B$1,$L$4,$L$3)</f>
        <v>#NAME?</v>
      </c>
      <c r="G38" s="46" t="e">
        <f ca="1">_xll.ciqfunctions.udf.CIQ($A38, "IQ_FIRSTPRICINGDATE")</f>
        <v>#NAME?</v>
      </c>
      <c r="H38" s="59" t="e">
        <f ca="1">_xll.ciqfunctions.udf.CIQ($A38, "IQ_TEV", $L$2, $L$5, $L$6)</f>
        <v>#NAME?</v>
      </c>
      <c r="I38" s="59" t="e">
        <f ca="1">_xll.ciqfunctions.udf.CIQ(A38, "IQ_LASTSALEPRICE", $B$1,$L$5)</f>
        <v>#NAME?</v>
      </c>
      <c r="J38" s="59" t="e">
        <f ca="1">_xll.ciqfunctions.udf.CIQ($A38, "IQ_MARKETCAP", $L$2, $L$5, $L$6)</f>
        <v>#NAME?</v>
      </c>
      <c r="K38" s="59" t="e">
        <f ca="1">_xll.ciqfunctions.udf.CIQ($A38, "IQ_TOTAL_DEBT", IQ_LTM, $L$2,$L$4, $L$3, $L$5, $L$6)</f>
        <v>#NAME?</v>
      </c>
      <c r="L38" s="59" t="e">
        <f ca="1">_xll.ciqfunctions.udf.CIQ($A38, "IQ_PREF_EQUITY", IQ_LTM, $L$2, $L$4, $L$3, $L$5, $L$6)</f>
        <v>#NAME?</v>
      </c>
      <c r="M38" s="59" t="e">
        <f ca="1">_xll.ciqfunctions.udf.CIQ($A38, "IQ_MINORITY_INTEREST_TOTAL", IQ_LTM, $L$2, $L$4, $L$3, $L$5, $L$6)</f>
        <v>#NAME?</v>
      </c>
      <c r="N38" s="59" t="e">
        <f ca="1">_xll.ciqfunctions.udf.CIQ($A38, "IQ_CASH_ST_INVEST", IQ_LTM, $L$2, $L$4, $L$3, $L$5, $L$6)</f>
        <v>#NAME?</v>
      </c>
      <c r="O38" s="59" t="e">
        <f ca="1">_xll.ciqfunctions.udf.CIQ($A38, "IQ_TOTAL_REV", IQ_LTM-8, $L$2, $L$4, $L$3, $L$5, $L$6)</f>
        <v>#NAME?</v>
      </c>
      <c r="P38" s="59" t="e">
        <f ca="1">_xll.ciqfunctions.udf.CIQ($A38, "IQ_TOTAL_REV", IQ_LTM - 4, $L$2, $L$4, $L$3, $L$5,$L$6)</f>
        <v>#NAME?</v>
      </c>
      <c r="Q38" s="59" t="e">
        <f ca="1">_xll.ciqfunctions.udf.CIQ($A38, "IQ_TOTAL_REV", IQ_LTM, $L$2, $L$4, $L$3, $L$5, $L$6)</f>
        <v>#NAME?</v>
      </c>
      <c r="R38" s="59" t="e">
        <f ca="1">_xll.ciqfunctions.udf.CIQ($A38, "IQ_TOTAL_REV", $B$2, $L$2, $L$4, $L$3, $L$5, $L$6)</f>
        <v>#NAME?</v>
      </c>
      <c r="S38" s="59" t="e">
        <f ca="1">IF(_xll.ciqfunctions.udf.CIQ($A38, "IQ_TOTAL_REV", $B$3, $L$2,$L$4, $L$3, $L$5, $L$6)=0,Q38,_xll.ciqfunctions.udf.CIQ($A38, "IQ_TOTAL_REV", $B$3, $L$2,$L$4, $L$3, $L$5, $L$6))</f>
        <v>#NAME?</v>
      </c>
      <c r="T38" s="59" t="e">
        <f ca="1">IF(_xll.ciqfunctions.udf.CIQ($A38, "IQ_REVENUE_EST",$B$4, $L$2, "CON", $L$3, $L$5, $L$6)=0,"n/a",_xll.ciqfunctions.udf.CIQ($A38, "IQ_REVENUE_EST",$B$4, $L$2, "CON", $L$3, $L$5, $L$6))</f>
        <v>#NAME?</v>
      </c>
      <c r="U38" s="59" t="e">
        <f ca="1">IF(_xll.ciqfunctions.udf.CIQ($A38, "IQ_REVENUE_EST",$B$5, $L$2, "CON", $L$3, $L$5, $L$6)=0,"n/a",_xll.ciqfunctions.udf.CIQ($A38, "IQ_REVENUE_EST",$B$5, $L$2, "CON", $L$3, $L$5, $L$6))</f>
        <v>#NAME?</v>
      </c>
      <c r="V38" s="59" t="e">
        <f ca="1">IF(_xll.ciqfunctions.udf.CIQ($A38, "IQ_REVENUE_EST",$B$6, $L$2, "CON", $L$3, $L$5, $L$6)=0,"n/a",_xll.ciqfunctions.udf.CIQ($A38, "IQ_REVENUE_EST",$B$6, $L$2, "CON", $L$3, $L$5, $L$6))</f>
        <v>#NAME?</v>
      </c>
      <c r="W38" s="59" t="e">
        <f ca="1">IF(_xll.ciqfunctions.udf.CIQ($A38, "IQ_REVENUE_EST", $B$7, $L$2, "CON", $L$3, $L$5, $L$6)=0,"n/a",_xll.ciqfunctions.udf.CIQ($A38, "IQ_REVENUE_EST",$B$7, $L$2, "CON", $L$3, $L$5, $L$6))</f>
        <v>#NAME?</v>
      </c>
      <c r="X38" s="59" t="e">
        <f ca="1">_xll.ciqfunctions.udf.CIQ($A38, "IQ_EBITDA", IQ_LTM-8, $L$2, $L$4, $L$3, $L$5, $L$6)</f>
        <v>#NAME?</v>
      </c>
      <c r="Y38" s="59" t="e">
        <f ca="1">_xll.ciqfunctions.udf.CIQ($A38, "IQ_EBITDA", IQ_LTM-4, $L$2,$L$4, $L$3, $L$5, $L$6)</f>
        <v>#NAME?</v>
      </c>
      <c r="Z38" s="59" t="e">
        <f ca="1">_xll.ciqfunctions.udf.CIQ($A38, "IQ_EBITDA", IQ_LTM, $L$2, $L$4, $L$3, $L$5, $L$6)</f>
        <v>#NAME?</v>
      </c>
      <c r="AA38" s="59" t="e">
        <f ca="1">_xll.ciqfunctions.udf.CIQ($A38, "IQ_EBITDA", $B$2, $L$2, $L$4, $L$3, $L$5, $L$6)</f>
        <v>#NAME?</v>
      </c>
      <c r="AB38" s="59" t="e">
        <f ca="1">IF(_xll.ciqfunctions.udf.CIQ($A38, "IQ_EBITDA", $B$3, $L$2,$L$4, $L$3, $L$5, $L$6)=0,Z38,_xll.ciqfunctions.udf.CIQ($A38, "IQ_EBITDA", $B$3, $L$2,$L$4, $L$3, $L$5, $L$6))</f>
        <v>#NAME?</v>
      </c>
      <c r="AC38" s="59" t="e">
        <f ca="1">IF(_xll.ciqfunctions.udf.CIQ($A38, "IQ_EBITDA_EST",$B$4, $L$2, "CON", $L$3, $L$5, $L$6)=0,"n/a",_xll.ciqfunctions.udf.CIQ($A38, "IQ_EBITDA_EST",$B$4, $L$2, "CON", $L$3, $L$5, $L$6))</f>
        <v>#NAME?</v>
      </c>
      <c r="AD38" s="59" t="e">
        <f ca="1">IF(_xll.ciqfunctions.udf.CIQ($A38, "IQ_EBITDA_EST",$B$5, $L$2, "CON", $L$3, $L$5, $L$6)=0,"n/a",_xll.ciqfunctions.udf.CIQ($A38, "IQ_EBITDA_EST",$B$5, $L$2, "CON", $L$3, $L$5, $L$6))</f>
        <v>#NAME?</v>
      </c>
      <c r="AE38" s="59" t="e">
        <f ca="1">IF(_xll.ciqfunctions.udf.CIQ($A38, "IQ_EBITDA_EST",$B$6, $L$2, "CON", $L$3, $L$5, $L$6)=0,"n/a",_xll.ciqfunctions.udf.CIQ($A38, "IQ_EBITDA_EST",$B$6, $L$2, "CON", $L$3, $L$5, $L$6))</f>
        <v>#NAME?</v>
      </c>
      <c r="AF38" s="47" t="str">
        <f ca="1">IF(ISERROR(_xll.ciqfunctions.udf.CIQ($A38, "IQ_GROSS_MARGIN", IQ_LTM, $L$2,$L$4, $L$3, $L$5, $L$6)/100), "n/a", _xll.ciqfunctions.udf.CIQ($A38,  "IQ_GROSS_MARGIN", IQ_LTM, $L$2, $L$4, $L$3, $L$5, $L$6)/100)</f>
        <v>n/a</v>
      </c>
      <c r="AG38" s="47" t="str">
        <f ca="1">IF(ISERROR(_xll.ciqfunctions.udf.CIQ($A38,"IQ_EBITDA_MARGIN", IQ_LTM, $L$2, $L$4, $L$3, $L$5, $L$6)/100), "n/a", _xll.ciqfunctions.udf.CIQ($A38, "IQ_EBITDA_MARGIN", IQ_LTM, $L$2, $L$4, $L$3, $L$5, $L$6)/100)</f>
        <v>n/a</v>
      </c>
      <c r="AH38" s="47" t="str">
        <f ca="1">IF(ISERROR(_xll.ciqfunctions.udf.CIQ($A38,"IQ_EBIT_MARGIN", IQ_LTM, $L$2, $L$4, $L$3, $L$5, $L$6)/100), "n/a", _xll.ciqfunctions.udf.CIQ($A38, "IQ_EBIT_MARGIN", IQ_LTM, $L$2, $L$4, $L$3, $L$5, $L$6)/100)</f>
        <v>n/a</v>
      </c>
      <c r="AI38" s="47" t="str">
        <f ca="1">IF(ISERROR(_xll.ciqfunctions.udf.CIQ($A38,"IQ_NI_MARGIN", IQ_LTM, $L$2, $L$4, $L$3, $L$5, $L$6)/100), "n/a", _xll.ciqfunctions.udf.CIQ($A38, "IQ_NI_MARGIN", IQ_LTM, $L$2, $L$4, $L$3, $L$5, $L$6)/100)</f>
        <v>n/a</v>
      </c>
      <c r="AJ38" s="59" t="str">
        <f ca="1">IF(ISERROR(_xll.ciqfunctions.udf.CIQ($A38, "IQ_NET_WORKING_CAP", IQ_LTM-8, $L$2, $L$4, $L$3, $L$5, $L$6)), "n/a", _xll.ciqfunctions.udf.CIQ($A38, "IQ_NET_WORKING_CAP", IQ_LTM-8, $L$2, $L$4, $L$3, $L$5, $L$6))</f>
        <v>n/a</v>
      </c>
      <c r="AK38" s="59" t="str">
        <f ca="1">IF(ISERROR(_xll.ciqfunctions.udf.CIQ($A38, "IQ_NET_WORKING_CAP", IQ_LTM-4, $L$2, $L$4, $L$3, $L$5, $L$6)), "n/a", _xll.ciqfunctions.udf.CIQ($A38, "IQ_NET_WORKING_CAP", IQ_LTM-4, $L$2, $L$4, $L$3, $L$5, $L$6))</f>
        <v>n/a</v>
      </c>
      <c r="AL38" s="59" t="str">
        <f ca="1">IF(ISERROR(_xll.ciqfunctions.udf.CIQ($A38, "IQ_NET_WORKING_CAP", IQ_LTM, $L$2,$L$4, $L$3, $L$5, $L$6)), "n/a", _xll.ciqfunctions.udf.CIQ($A38, "IQ_NET_WORKING_CAP", IQ_LTM, $L$2, $L$4, $L$3, $L$5, $L$6))</f>
        <v>n/a</v>
      </c>
      <c r="AM38" s="59" t="str">
        <f ca="1">IF(ISERROR(_xll.ciqfunctions.udf.CIQ($A38, "IQ_Capex", IQ_LTM-8, $L$2,$L$4, $L$3, $L$5, $L$6)), "n/a", _xll.ciqfunctions.udf.CIQ($A38, "IQ_Capex", IQ_LTM-8, $L$2, $L$4, $L$3, $L$5, $L$6))</f>
        <v>n/a</v>
      </c>
      <c r="AN38" s="59" t="str">
        <f ca="1">IF(ISERROR(_xll.ciqfunctions.udf.CIQ($A38, "IQ_Capex", IQ_LTM-4, $L$2,$L$4, $L$3, $L$5, $L$6)), "n/a", _xll.ciqfunctions.udf.CIQ($A38, "IQ_Capex", IQ_LTM-4, $L$2,$L$4, $L$3, $L$5, $L$6))</f>
        <v>n/a</v>
      </c>
      <c r="AO38" s="59" t="str">
        <f ca="1">IF(ISERROR(_xll.ciqfunctions.udf.CIQ($A38, "IQ_Capex", IQ_LTM, $L$2, $L$4, $L$3, $L$5, $L$6)), "n/a", _xll.ciqfunctions.udf.CIQ($A38, "IQ_Capex", IQ_LTM, $L$2, $L$4, $L$3, $L$5, $L$6))</f>
        <v>n/a</v>
      </c>
      <c r="AP38" s="44" t="e">
        <f ca="1">_xll.ciqfunctions.udf.CIQ(A38, "IQ_BUSINESS_DESCRIPTION")</f>
        <v>#NAME?</v>
      </c>
      <c r="AQ38" s="60" t="e">
        <f ca="1">_xll.ciqfunctions.udf.CIQ($A38, "IQ_BETA_1YR", $B$1)</f>
        <v>#NAME?</v>
      </c>
      <c r="AR38" s="60" t="e">
        <f ca="1">_xll.ciqfunctions.udf.CIQ($A38, "IQ_BETA_2YR", $B$1)</f>
        <v>#NAME?</v>
      </c>
      <c r="AS38" s="60" t="e">
        <f ca="1">_xll.ciqfunctions.udf.CIQ($A38, "IQ_BETA_5YR", $B$1)</f>
        <v>#NAME?</v>
      </c>
      <c r="AT38" s="47" t="e">
        <f ca="1">_xll.ciqfunctions.udf.CIQ($A38, "IQ_DIVIDEND_YIELD", $B$1)/100</f>
        <v>#NAME?</v>
      </c>
      <c r="AU38" s="59" t="e">
        <f ca="1">_xll.ciqfunctions.udf.CIQ($A38, "IQ_EARNING_CO", IQ_LTM-8, $L$2, $L$4, $L$3, $L$5, $L$6)</f>
        <v>#NAME?</v>
      </c>
      <c r="AV38" s="59" t="e">
        <f ca="1">_xll.ciqfunctions.udf.CIQ($A38, "IQ_EARNING_CO", IQ_LTM-4, $L$2, $L$4, $L$3, $L$5, $L$6)</f>
        <v>#NAME?</v>
      </c>
      <c r="AW38" s="59" t="e">
        <f ca="1">_xll.ciqfunctions.udf.CIQ($A38, "IQ_EARNING_CO", IQ_LTM, $L$2, $L$4, $L$3, $L$5, $L$6)</f>
        <v>#NAME?</v>
      </c>
      <c r="AX38" s="59" t="e">
        <f ca="1">_xll.ciqfunctions.udf.CIQ($A38, "IQ_EARNING_CO", $B$2, $L$2, $L$4, $L$3, $L$5, $L$6)</f>
        <v>#NAME?</v>
      </c>
      <c r="AY38" s="59" t="e">
        <f ca="1">IF(_xll.ciqfunctions.udf.CIQ($A38, "IQ_EARNING_CO", $B$3, $L$2,$L$4, $L$3, $L$5, $L$6)=0,AW38,_xll.ciqfunctions.udf.CIQ($A38, "IQ_EARNING_CO", $B$3, $L$2,$L$4, $L$3, $L$5, $L$6))</f>
        <v>#NAME?</v>
      </c>
      <c r="AZ38" s="59" t="e">
        <f ca="1">_xll.ciqfunctions.udf.CIQ($A38, "IQ_TOTAL_EQUITY", IQ_LTM-8, $L$2, $L$4, $L$3, $L$5, $L$6)</f>
        <v>#NAME?</v>
      </c>
      <c r="BA38" s="59" t="e">
        <f ca="1">_xll.ciqfunctions.udf.CIQ($A38, "IQ_TOTAL_EQUITY", IQ_LTM-4, $L$2, $L$4, $L$3, $L$5, $L$6)</f>
        <v>#NAME?</v>
      </c>
      <c r="BB38" s="59" t="e">
        <f ca="1">_xll.ciqfunctions.udf.CIQ($A38, "IQ_TOTAL_EQUITY", IQ_LTM, $L$2, $L$4, $L$3, $L$5, $L$6)</f>
        <v>#NAME?</v>
      </c>
      <c r="BC38" s="59" t="e">
        <f ca="1">_xll.ciqfunctions.udf.CIQ($A38, "IQ_TOTAL_EQUITY", $B$2, $L$2, $L$4, $L$3, $L$5, $L$6)</f>
        <v>#NAME?</v>
      </c>
      <c r="BD38" s="59" t="e">
        <f ca="1">IF(_xll.ciqfunctions.udf.CIQ($A38, "IQ_TOTAL_EQUITY", $B$3, $L$2,$L$4, $L$3, $L$5, $L$6)=0,BB38,_xll.ciqfunctions.udf.CIQ($A38, "IQ_TOTAL_EQUITY", $B$3, $L$2,$L$4, $L$3, $L$5, $L$6))</f>
        <v>#NAME?</v>
      </c>
      <c r="BE38" s="59" t="e">
        <f ca="1">_xll.ciqfunctions.udf.CIQ(A38, "IQ_LASTSALEPRICE", $B$8)</f>
        <v>#NAME?</v>
      </c>
      <c r="BF38" s="59" t="e">
        <f ca="1">_xll.ciqfunctions.udf.CIQ($A38, "IQ_MARKETCAP", $B$8, $L$5, $L$6)</f>
        <v>#NAME?</v>
      </c>
      <c r="BG38" s="59" t="e">
        <f ca="1">_xll.ciqfunctions.udf.CIQ($A38, "IQ_TOTAL_DEBT", IQ_LTM, $B$8,$L$4, $L$3, $L$5, $L$6)</f>
        <v>#NAME?</v>
      </c>
      <c r="BH38" s="45" t="e">
        <f ca="1">_xll.ciqfunctions.udf.CIQ($A38,"IQ_PREF_EQUITY",IQ_LTM,$B$8,$L$4,$L$3,$L$5,$L$6)</f>
        <v>#NAME?</v>
      </c>
      <c r="BI38" s="45" t="e">
        <f ca="1">_xll.ciqfunctions.udf.CIQ($A38, "IQ_MINORITY_INTEREST_TOTAL", IQ_LTM,$B$8,$L$4,$L$3,$L$5,$L$6)</f>
        <v>#NAME?</v>
      </c>
      <c r="BJ38" s="59" t="e">
        <f ca="1">_xll.ciqfunctions.udf.CIQ($A38, "IQ_CASH_ST_INVEST", IQ_LTM, $B$8, $L$4, $L$3, $L$5, $L$6)</f>
        <v>#NAME?</v>
      </c>
      <c r="BK38" s="45" t="e">
        <f ca="1">_xll.ciqfunctions.udf.CIQ($A38, "IQ_EFFECT_TAX_RATE")</f>
        <v>#NAME?</v>
      </c>
      <c r="BL38" s="45" t="e">
        <f ca="1">IF(_xll.ciqfunctions.udf.CIQ($A38, "IQ_TOTAL_REV_2YR_ANN_CAGR", IQ_LTM, $B$1,$L$4, $L$3, $L$5, $L$6)="NM","n/a",(_xll.ciqfunctions.udf.CIQ($A38, "IQ_TOTAL_REV_2YR_ANN_CAGR", IQ_LTM, $B$1,$L$4, $L$3, $L$5, $L$6)/100))</f>
        <v>#NAME?</v>
      </c>
      <c r="BM38" s="45" t="e">
        <f ca="1">IF(_xll.ciqfunctions.udf.CIQ($A38, "IQ_TOTAL_REV_3YR_ANN_CAGR", IQ_LTM, $B$1,$L$4, $L$3, $L$5, $L$6)="NM","n/a",(_xll.ciqfunctions.udf.CIQ($A38, "IQ_TOTAL_REV_3YR_ANN_CAGR", IQ_LTM, $B$1,$L$4, $L$3, $L$5, $L$6)/100))</f>
        <v>#NAME?</v>
      </c>
      <c r="BN38" s="45" t="e">
        <f ca="1">IF(_xll.ciqfunctions.udf.CIQ($A38, "IQ_TOTAL_REV_5YR_ANN_CAGR", IQ_LTM, $B$1,$L$4, $L$3, $L$5, $L$6)="NM","n/a",(_xll.ciqfunctions.udf.CIQ($A38, "IQ_TOTAL_REV_5YR_ANN_CAGR", IQ_LTM, $B$1,$L$4, $L$3, $L$5, $L$6)/100))</f>
        <v>#NAME?</v>
      </c>
      <c r="BO38" s="45" t="e">
        <f ca="1">IF(_xll.ciqfunctions.udf.CIQ($A38,"IQ_EBITDA_2YR_ANN_CAGR", IQ_LTM,$B$1,$L$4, $L$3, $L$5, $L$6)="NM","n/a",(_xll.ciqfunctions.udf.CIQ($A38,"IQ_EBITDA_2YR_ANN_CAGR", IQ_LTM,$B$1,$L$4, $L$3, $L$5, $L$6)/100))</f>
        <v>#NAME?</v>
      </c>
      <c r="BP38" s="45" t="e">
        <f ca="1">IF(_xll.ciqfunctions.udf.CIQ($A38,"IQ_EBITDA_3YR_ANN_CAGR", IQ_LTM,$B$1,$L$4, $L$3, $L$5, $L$6)="NM","n/a",(_xll.ciqfunctions.udf.CIQ($A38,"IQ_EBITDA_3YR_ANN_CAGR", IQ_LTM,$B$1,$L$4, $L$3, $L$5, $L$6)/100))</f>
        <v>#NAME?</v>
      </c>
      <c r="BQ38" s="45" t="e">
        <f ca="1">IF(_xll.ciqfunctions.udf.CIQ($A38,"IQ_EBITDA_5YR_ANN_CAGR", IQ_LTM,$B$1,$L$4, $L$3, $L$5, $L$6)="NM","n/a",(_xll.ciqfunctions.udf.CIQ($A38,"IQ_EBITDA_5YR_ANN_CAGR", IQ_LTM,$B$1,$L$4, $L$3, $L$5, $L$6)/100))</f>
        <v>#NAME?</v>
      </c>
      <c r="BR38" s="47" t="str">
        <f ca="1">IFERROR((_xll.ciqfunctions.udf.CIQ($A38, "IQ_DA_CF", IQ_LTM, $B$1, $L$4, $L$3, $L$5, $L$6)/Q38),"NM")</f>
        <v>NM</v>
      </c>
      <c r="BS38" s="61" t="e">
        <f>'Capital IQ Sheet-GPC'!BS38</f>
        <v>#VALUE!</v>
      </c>
      <c r="BT38" s="61" t="e">
        <f>'Capital IQ Sheet-GPC'!BT38</f>
        <v>#VALUE!</v>
      </c>
      <c r="BU38" s="61" t="e">
        <f>'Capital IQ Sheet-GPC'!BU38</f>
        <v>#VALUE!</v>
      </c>
      <c r="BV38" s="61" t="e">
        <f>'Capital IQ Sheet-GPC'!BV38</f>
        <v>#VALUE!</v>
      </c>
      <c r="BW38" s="61" t="e">
        <f>'Capital IQ Sheet-GPC'!BW38</f>
        <v>#VALUE!</v>
      </c>
      <c r="BX38" s="61" t="e">
        <f>'Capital IQ Sheet-GPC'!BX38</f>
        <v>#VALUE!</v>
      </c>
      <c r="BY38" s="61" t="e">
        <f>'Capital IQ Sheet-GPC'!BY38</f>
        <v>#VALUE!</v>
      </c>
      <c r="BZ38" s="61" t="e">
        <f>'Capital IQ Sheet-GPC'!BZ38</f>
        <v>#VALUE!</v>
      </c>
      <c r="CB38" s="45">
        <v>2</v>
      </c>
      <c r="CC38" s="85" t="s">
        <v>306</v>
      </c>
      <c r="CD38" s="85" t="s">
        <v>305</v>
      </c>
      <c r="CE38" s="46">
        <f t="shared" si="0"/>
        <v>42515</v>
      </c>
    </row>
    <row r="39" spans="1:83" s="45" customFormat="1" ht="12.75">
      <c r="A39" s="45" t="e">
        <f ca="1">_xll.ciqfunctions.udf.CIQ($B39,"IQ_COMPANY_TICKER")</f>
        <v>#NAME?</v>
      </c>
      <c r="B39" s="45" t="str">
        <f>'Capital IQ Sheet-GPC'!B39</f>
        <v>(Invalid Identifier)</v>
      </c>
      <c r="C39" s="45" t="e">
        <f ca="1">_xll.ciqfunctions.udf.CIQ($A39,"IQ_COMPANY_NAME")</f>
        <v>#NAME?</v>
      </c>
      <c r="D39" s="45" t="e">
        <f ca="1">_xll.ciqfunctions.udf.CIQ($A39, "IQ_EXCHANGE")</f>
        <v>#NAME?</v>
      </c>
      <c r="E39" s="46" t="e">
        <f ca="1">_xll.ciqfunctions.udf.CIQ($A39, "IQ_PERIODDATE_IS", IQ_FY)</f>
        <v>#NAME?</v>
      </c>
      <c r="F39" s="46" t="e">
        <f ca="1">_xll.ciqfunctions.udf.CIQ(A39, "IQ_PERIODDATE_IS", IQ_LTM, $B$1,$L$4,$L$3)</f>
        <v>#NAME?</v>
      </c>
      <c r="G39" s="46" t="e">
        <f ca="1">_xll.ciqfunctions.udf.CIQ($A39, "IQ_FIRSTPRICINGDATE")</f>
        <v>#NAME?</v>
      </c>
      <c r="H39" s="59" t="e">
        <f ca="1">_xll.ciqfunctions.udf.CIQ($A39, "IQ_TEV", $L$2, $L$5, $L$6)</f>
        <v>#NAME?</v>
      </c>
      <c r="I39" s="59" t="e">
        <f ca="1">_xll.ciqfunctions.udf.CIQ(A39, "IQ_LASTSALEPRICE", $B$1,$L$5)</f>
        <v>#NAME?</v>
      </c>
      <c r="J39" s="59" t="e">
        <f ca="1">_xll.ciqfunctions.udf.CIQ($A39, "IQ_MARKETCAP", $L$2, $L$5, $L$6)</f>
        <v>#NAME?</v>
      </c>
      <c r="K39" s="59" t="e">
        <f ca="1">_xll.ciqfunctions.udf.CIQ($A39, "IQ_TOTAL_DEBT", IQ_LTM, $L$2,$L$4, $L$3, $L$5, $L$6)</f>
        <v>#NAME?</v>
      </c>
      <c r="L39" s="59" t="e">
        <f ca="1">_xll.ciqfunctions.udf.CIQ($A39, "IQ_PREF_EQUITY", IQ_LTM, $L$2, $L$4, $L$3, $L$5, $L$6)</f>
        <v>#NAME?</v>
      </c>
      <c r="M39" s="59" t="e">
        <f ca="1">_xll.ciqfunctions.udf.CIQ($A39, "IQ_MINORITY_INTEREST_TOTAL", IQ_LTM, $L$2, $L$4, $L$3, $L$5, $L$6)</f>
        <v>#NAME?</v>
      </c>
      <c r="N39" s="59" t="e">
        <f ca="1">_xll.ciqfunctions.udf.CIQ($A39, "IQ_CASH_ST_INVEST", IQ_LTM, $L$2, $L$4, $L$3, $L$5, $L$6)</f>
        <v>#NAME?</v>
      </c>
      <c r="O39" s="59" t="e">
        <f ca="1">_xll.ciqfunctions.udf.CIQ($A39, "IQ_TOTAL_REV", IQ_LTM-8, $L$2, $L$4, $L$3, $L$5, $L$6)</f>
        <v>#NAME?</v>
      </c>
      <c r="P39" s="59" t="e">
        <f ca="1">_xll.ciqfunctions.udf.CIQ($A39, "IQ_TOTAL_REV", IQ_LTM - 4, $L$2, $L$4, $L$3, $L$5,$L$6)</f>
        <v>#NAME?</v>
      </c>
      <c r="Q39" s="59" t="e">
        <f ca="1">_xll.ciqfunctions.udf.CIQ($A39, "IQ_TOTAL_REV", IQ_LTM, $L$2, $L$4, $L$3, $L$5, $L$6)</f>
        <v>#NAME?</v>
      </c>
      <c r="R39" s="59" t="e">
        <f ca="1">_xll.ciqfunctions.udf.CIQ($A39, "IQ_TOTAL_REV", $B$2, $L$2, $L$4, $L$3, $L$5, $L$6)</f>
        <v>#NAME?</v>
      </c>
      <c r="S39" s="59" t="e">
        <f ca="1">IF(_xll.ciqfunctions.udf.CIQ($A39, "IQ_TOTAL_REV", $B$3, $L$2,$L$4, $L$3, $L$5, $L$6)=0,Q39,_xll.ciqfunctions.udf.CIQ($A39, "IQ_TOTAL_REV", $B$3, $L$2,$L$4, $L$3, $L$5, $L$6))</f>
        <v>#NAME?</v>
      </c>
      <c r="T39" s="59" t="e">
        <f ca="1">IF(_xll.ciqfunctions.udf.CIQ($A39, "IQ_REVENUE_EST",$B$4, $L$2, "CON", $L$3, $L$5, $L$6)=0,"n/a",_xll.ciqfunctions.udf.CIQ($A39, "IQ_REVENUE_EST",$B$4, $L$2, "CON", $L$3, $L$5, $L$6))</f>
        <v>#NAME?</v>
      </c>
      <c r="U39" s="59" t="e">
        <f ca="1">IF(_xll.ciqfunctions.udf.CIQ($A39, "IQ_REVENUE_EST",$B$5, $L$2, "CON", $L$3, $L$5, $L$6)=0,"n/a",_xll.ciqfunctions.udf.CIQ($A39, "IQ_REVENUE_EST",$B$5, $L$2, "CON", $L$3, $L$5, $L$6))</f>
        <v>#NAME?</v>
      </c>
      <c r="V39" s="59" t="e">
        <f ca="1">IF(_xll.ciqfunctions.udf.CIQ($A39, "IQ_REVENUE_EST",$B$6, $L$2, "CON", $L$3, $L$5, $L$6)=0,"n/a",_xll.ciqfunctions.udf.CIQ($A39, "IQ_REVENUE_EST",$B$6, $L$2, "CON", $L$3, $L$5, $L$6))</f>
        <v>#NAME?</v>
      </c>
      <c r="W39" s="59" t="e">
        <f ca="1">IF(_xll.ciqfunctions.udf.CIQ($A39, "IQ_REVENUE_EST", $B$7, $L$2, "CON", $L$3, $L$5, $L$6)=0,"n/a",_xll.ciqfunctions.udf.CIQ($A39, "IQ_REVENUE_EST",$B$7, $L$2, "CON", $L$3, $L$5, $L$6))</f>
        <v>#NAME?</v>
      </c>
      <c r="X39" s="59" t="e">
        <f ca="1">_xll.ciqfunctions.udf.CIQ($A39, "IQ_EBITDA", IQ_LTM-8, $L$2, $L$4, $L$3, $L$5, $L$6)</f>
        <v>#NAME?</v>
      </c>
      <c r="Y39" s="59" t="e">
        <f ca="1">_xll.ciqfunctions.udf.CIQ($A39, "IQ_EBITDA", IQ_LTM-4, $L$2,$L$4, $L$3, $L$5, $L$6)</f>
        <v>#NAME?</v>
      </c>
      <c r="Z39" s="59" t="e">
        <f ca="1">_xll.ciqfunctions.udf.CIQ($A39, "IQ_EBITDA", IQ_LTM, $L$2, $L$4, $L$3, $L$5, $L$6)</f>
        <v>#NAME?</v>
      </c>
      <c r="AA39" s="59" t="e">
        <f ca="1">_xll.ciqfunctions.udf.CIQ($A39, "IQ_EBITDA", $B$2, $L$2, $L$4, $L$3, $L$5, $L$6)</f>
        <v>#NAME?</v>
      </c>
      <c r="AB39" s="59" t="e">
        <f ca="1">IF(_xll.ciqfunctions.udf.CIQ($A39, "IQ_EBITDA", $B$3, $L$2,$L$4, $L$3, $L$5, $L$6)=0,Z39,_xll.ciqfunctions.udf.CIQ($A39, "IQ_EBITDA", $B$3, $L$2,$L$4, $L$3, $L$5, $L$6))</f>
        <v>#NAME?</v>
      </c>
      <c r="AC39" s="59" t="e">
        <f ca="1">IF(_xll.ciqfunctions.udf.CIQ($A39, "IQ_EBITDA_EST",$B$4, $L$2, "CON", $L$3, $L$5, $L$6)=0,"n/a",_xll.ciqfunctions.udf.CIQ($A39, "IQ_EBITDA_EST",$B$4, $L$2, "CON", $L$3, $L$5, $L$6))</f>
        <v>#NAME?</v>
      </c>
      <c r="AD39" s="59" t="e">
        <f ca="1">IF(_xll.ciqfunctions.udf.CIQ($A39, "IQ_EBITDA_EST",$B$5, $L$2, "CON", $L$3, $L$5, $L$6)=0,"n/a",_xll.ciqfunctions.udf.CIQ($A39, "IQ_EBITDA_EST",$B$5, $L$2, "CON", $L$3, $L$5, $L$6))</f>
        <v>#NAME?</v>
      </c>
      <c r="AE39" s="59" t="e">
        <f ca="1">IF(_xll.ciqfunctions.udf.CIQ($A39, "IQ_EBITDA_EST",$B$6, $L$2, "CON", $L$3, $L$5, $L$6)=0,"n/a",_xll.ciqfunctions.udf.CIQ($A39, "IQ_EBITDA_EST",$B$6, $L$2, "CON", $L$3, $L$5, $L$6))</f>
        <v>#NAME?</v>
      </c>
      <c r="AF39" s="47" t="str">
        <f ca="1">IF(ISERROR(_xll.ciqfunctions.udf.CIQ($A39, "IQ_GROSS_MARGIN", IQ_LTM, $L$2,$L$4, $L$3, $L$5, $L$6)/100), "n/a", _xll.ciqfunctions.udf.CIQ($A39,  "IQ_GROSS_MARGIN", IQ_LTM, $L$2, $L$4, $L$3, $L$5, $L$6)/100)</f>
        <v>n/a</v>
      </c>
      <c r="AG39" s="47" t="str">
        <f ca="1">IF(ISERROR(_xll.ciqfunctions.udf.CIQ($A39,"IQ_EBITDA_MARGIN", IQ_LTM, $L$2, $L$4, $L$3, $L$5, $L$6)/100), "n/a", _xll.ciqfunctions.udf.CIQ($A39, "IQ_EBITDA_MARGIN", IQ_LTM, $L$2, $L$4, $L$3, $L$5, $L$6)/100)</f>
        <v>n/a</v>
      </c>
      <c r="AH39" s="47" t="str">
        <f ca="1">IF(ISERROR(_xll.ciqfunctions.udf.CIQ($A39,"IQ_EBIT_MARGIN", IQ_LTM, $L$2, $L$4, $L$3, $L$5, $L$6)/100), "n/a", _xll.ciqfunctions.udf.CIQ($A39, "IQ_EBIT_MARGIN", IQ_LTM, $L$2, $L$4, $L$3, $L$5, $L$6)/100)</f>
        <v>n/a</v>
      </c>
      <c r="AI39" s="47" t="str">
        <f ca="1">IF(ISERROR(_xll.ciqfunctions.udf.CIQ($A39,"IQ_NI_MARGIN", IQ_LTM, $L$2, $L$4, $L$3, $L$5, $L$6)/100), "n/a", _xll.ciqfunctions.udf.CIQ($A39, "IQ_NI_MARGIN", IQ_LTM, $L$2, $L$4, $L$3, $L$5, $L$6)/100)</f>
        <v>n/a</v>
      </c>
      <c r="AJ39" s="59" t="str">
        <f ca="1">IF(ISERROR(_xll.ciqfunctions.udf.CIQ($A39, "IQ_NET_WORKING_CAP", IQ_LTM-8, $L$2, $L$4, $L$3, $L$5, $L$6)), "n/a", _xll.ciqfunctions.udf.CIQ($A39, "IQ_NET_WORKING_CAP", IQ_LTM-8, $L$2, $L$4, $L$3, $L$5, $L$6))</f>
        <v>n/a</v>
      </c>
      <c r="AK39" s="59" t="str">
        <f ca="1">IF(ISERROR(_xll.ciqfunctions.udf.CIQ($A39, "IQ_NET_WORKING_CAP", IQ_LTM-4, $L$2, $L$4, $L$3, $L$5, $L$6)), "n/a", _xll.ciqfunctions.udf.CIQ($A39, "IQ_NET_WORKING_CAP", IQ_LTM-4, $L$2, $L$4, $L$3, $L$5, $L$6))</f>
        <v>n/a</v>
      </c>
      <c r="AL39" s="59" t="str">
        <f ca="1">IF(ISERROR(_xll.ciqfunctions.udf.CIQ($A39, "IQ_NET_WORKING_CAP", IQ_LTM, $L$2,$L$4, $L$3, $L$5, $L$6)), "n/a", _xll.ciqfunctions.udf.CIQ($A39, "IQ_NET_WORKING_CAP", IQ_LTM, $L$2, $L$4, $L$3, $L$5, $L$6))</f>
        <v>n/a</v>
      </c>
      <c r="AM39" s="59" t="str">
        <f ca="1">IF(ISERROR(_xll.ciqfunctions.udf.CIQ($A39, "IQ_Capex", IQ_LTM-8, $L$2,$L$4, $L$3, $L$5, $L$6)), "n/a", _xll.ciqfunctions.udf.CIQ($A39, "IQ_Capex", IQ_LTM-8, $L$2, $L$4, $L$3, $L$5, $L$6))</f>
        <v>n/a</v>
      </c>
      <c r="AN39" s="59" t="str">
        <f ca="1">IF(ISERROR(_xll.ciqfunctions.udf.CIQ($A39, "IQ_Capex", IQ_LTM-4, $L$2,$L$4, $L$3, $L$5, $L$6)), "n/a", _xll.ciqfunctions.udf.CIQ($A39, "IQ_Capex", IQ_LTM-4, $L$2,$L$4, $L$3, $L$5, $L$6))</f>
        <v>n/a</v>
      </c>
      <c r="AO39" s="59" t="str">
        <f ca="1">IF(ISERROR(_xll.ciqfunctions.udf.CIQ($A39, "IQ_Capex", IQ_LTM, $L$2, $L$4, $L$3, $L$5, $L$6)), "n/a", _xll.ciqfunctions.udf.CIQ($A39, "IQ_Capex", IQ_LTM, $L$2, $L$4, $L$3, $L$5, $L$6))</f>
        <v>n/a</v>
      </c>
      <c r="AP39" s="44" t="e">
        <f ca="1">_xll.ciqfunctions.udf.CIQ(A39, "IQ_BUSINESS_DESCRIPTION")</f>
        <v>#NAME?</v>
      </c>
      <c r="AQ39" s="60" t="e">
        <f ca="1">_xll.ciqfunctions.udf.CIQ($A39, "IQ_BETA_1YR", $B$1)</f>
        <v>#NAME?</v>
      </c>
      <c r="AR39" s="60" t="e">
        <f ca="1">_xll.ciqfunctions.udf.CIQ($A39, "IQ_BETA_2YR", $B$1)</f>
        <v>#NAME?</v>
      </c>
      <c r="AS39" s="60" t="e">
        <f ca="1">_xll.ciqfunctions.udf.CIQ($A39, "IQ_BETA_5YR", $B$1)</f>
        <v>#NAME?</v>
      </c>
      <c r="AT39" s="47" t="e">
        <f ca="1">_xll.ciqfunctions.udf.CIQ($A39, "IQ_DIVIDEND_YIELD", $B$1)/100</f>
        <v>#NAME?</v>
      </c>
      <c r="AU39" s="59" t="e">
        <f ca="1">_xll.ciqfunctions.udf.CIQ($A39, "IQ_EARNING_CO", IQ_LTM-8, $L$2, $L$4, $L$3, $L$5, $L$6)</f>
        <v>#NAME?</v>
      </c>
      <c r="AV39" s="59" t="e">
        <f ca="1">_xll.ciqfunctions.udf.CIQ($A39, "IQ_EARNING_CO", IQ_LTM-4, $L$2, $L$4, $L$3, $L$5, $L$6)</f>
        <v>#NAME?</v>
      </c>
      <c r="AW39" s="59" t="e">
        <f ca="1">_xll.ciqfunctions.udf.CIQ($A39, "IQ_EARNING_CO", IQ_LTM, $L$2, $L$4, $L$3, $L$5, $L$6)</f>
        <v>#NAME?</v>
      </c>
      <c r="AX39" s="59" t="e">
        <f ca="1">_xll.ciqfunctions.udf.CIQ($A39, "IQ_EARNING_CO", $B$2, $L$2, $L$4, $L$3, $L$5, $L$6)</f>
        <v>#NAME?</v>
      </c>
      <c r="AY39" s="59" t="e">
        <f ca="1">IF(_xll.ciqfunctions.udf.CIQ($A39, "IQ_EARNING_CO", $B$3, $L$2,$L$4, $L$3, $L$5, $L$6)=0,AW39,_xll.ciqfunctions.udf.CIQ($A39, "IQ_EARNING_CO", $B$3, $L$2,$L$4, $L$3, $L$5, $L$6))</f>
        <v>#NAME?</v>
      </c>
      <c r="AZ39" s="59" t="e">
        <f ca="1">_xll.ciqfunctions.udf.CIQ($A39, "IQ_TOTAL_EQUITY", IQ_LTM-8, $L$2, $L$4, $L$3, $L$5, $L$6)</f>
        <v>#NAME?</v>
      </c>
      <c r="BA39" s="59" t="e">
        <f ca="1">_xll.ciqfunctions.udf.CIQ($A39, "IQ_TOTAL_EQUITY", IQ_LTM-4, $L$2, $L$4, $L$3, $L$5, $L$6)</f>
        <v>#NAME?</v>
      </c>
      <c r="BB39" s="59" t="e">
        <f ca="1">_xll.ciqfunctions.udf.CIQ($A39, "IQ_TOTAL_EQUITY", IQ_LTM, $L$2, $L$4, $L$3, $L$5, $L$6)</f>
        <v>#NAME?</v>
      </c>
      <c r="BC39" s="59" t="e">
        <f ca="1">_xll.ciqfunctions.udf.CIQ($A39, "IQ_TOTAL_EQUITY", $B$2, $L$2, $L$4, $L$3, $L$5, $L$6)</f>
        <v>#NAME?</v>
      </c>
      <c r="BD39" s="59" t="e">
        <f ca="1">IF(_xll.ciqfunctions.udf.CIQ($A39, "IQ_TOTAL_EQUITY", $B$3, $L$2,$L$4, $L$3, $L$5, $L$6)=0,BB39,_xll.ciqfunctions.udf.CIQ($A39, "IQ_TOTAL_EQUITY", $B$3, $L$2,$L$4, $L$3, $L$5, $L$6))</f>
        <v>#NAME?</v>
      </c>
      <c r="BE39" s="59" t="e">
        <f ca="1">_xll.ciqfunctions.udf.CIQ(A39, "IQ_LASTSALEPRICE", $B$8)</f>
        <v>#NAME?</v>
      </c>
      <c r="BF39" s="59" t="e">
        <f ca="1">_xll.ciqfunctions.udf.CIQ($A39, "IQ_MARKETCAP", $B$8, $L$5, $L$6)</f>
        <v>#NAME?</v>
      </c>
      <c r="BG39" s="59" t="e">
        <f ca="1">_xll.ciqfunctions.udf.CIQ($A39, "IQ_TOTAL_DEBT", IQ_LTM, $B$8,$L$4, $L$3, $L$5, $L$6)</f>
        <v>#NAME?</v>
      </c>
      <c r="BH39" s="45" t="e">
        <f ca="1">_xll.ciqfunctions.udf.CIQ($A39,"IQ_PREF_EQUITY",IQ_LTM,$B$8,$L$4,$L$3,$L$5,$L$6)</f>
        <v>#NAME?</v>
      </c>
      <c r="BI39" s="45" t="e">
        <f ca="1">_xll.ciqfunctions.udf.CIQ($A39, "IQ_MINORITY_INTEREST_TOTAL", IQ_LTM,$B$8,$L$4,$L$3,$L$5,$L$6)</f>
        <v>#NAME?</v>
      </c>
      <c r="BJ39" s="59" t="e">
        <f ca="1">_xll.ciqfunctions.udf.CIQ($A39, "IQ_CASH_ST_INVEST", IQ_LTM, $B$8, $L$4, $L$3, $L$5, $L$6)</f>
        <v>#NAME?</v>
      </c>
      <c r="BK39" s="45" t="e">
        <f ca="1">_xll.ciqfunctions.udf.CIQ($A39, "IQ_EFFECT_TAX_RATE")</f>
        <v>#NAME?</v>
      </c>
      <c r="BL39" s="45" t="e">
        <f ca="1">IF(_xll.ciqfunctions.udf.CIQ($A39, "IQ_TOTAL_REV_2YR_ANN_CAGR", IQ_LTM, $B$1,$L$4, $L$3, $L$5, $L$6)="NM","n/a",(_xll.ciqfunctions.udf.CIQ($A39, "IQ_TOTAL_REV_2YR_ANN_CAGR", IQ_LTM, $B$1,$L$4, $L$3, $L$5, $L$6)/100))</f>
        <v>#NAME?</v>
      </c>
      <c r="BM39" s="45" t="e">
        <f ca="1">IF(_xll.ciqfunctions.udf.CIQ($A39, "IQ_TOTAL_REV_3YR_ANN_CAGR", IQ_LTM, $B$1,$L$4, $L$3, $L$5, $L$6)="NM","n/a",(_xll.ciqfunctions.udf.CIQ($A39, "IQ_TOTAL_REV_3YR_ANN_CAGR", IQ_LTM, $B$1,$L$4, $L$3, $L$5, $L$6)/100))</f>
        <v>#NAME?</v>
      </c>
      <c r="BN39" s="45" t="e">
        <f ca="1">IF(_xll.ciqfunctions.udf.CIQ($A39, "IQ_TOTAL_REV_5YR_ANN_CAGR", IQ_LTM, $B$1,$L$4, $L$3, $L$5, $L$6)="NM","n/a",(_xll.ciqfunctions.udf.CIQ($A39, "IQ_TOTAL_REV_5YR_ANN_CAGR", IQ_LTM, $B$1,$L$4, $L$3, $L$5, $L$6)/100))</f>
        <v>#NAME?</v>
      </c>
      <c r="BO39" s="45" t="e">
        <f ca="1">IF(_xll.ciqfunctions.udf.CIQ($A39,"IQ_EBITDA_2YR_ANN_CAGR", IQ_LTM,$B$1,$L$4, $L$3, $L$5, $L$6)="NM","n/a",(_xll.ciqfunctions.udf.CIQ($A39,"IQ_EBITDA_2YR_ANN_CAGR", IQ_LTM,$B$1,$L$4, $L$3, $L$5, $L$6)/100))</f>
        <v>#NAME?</v>
      </c>
      <c r="BP39" s="45" t="e">
        <f ca="1">IF(_xll.ciqfunctions.udf.CIQ($A39,"IQ_EBITDA_3YR_ANN_CAGR", IQ_LTM,$B$1,$L$4, $L$3, $L$5, $L$6)="NM","n/a",(_xll.ciqfunctions.udf.CIQ($A39,"IQ_EBITDA_3YR_ANN_CAGR", IQ_LTM,$B$1,$L$4, $L$3, $L$5, $L$6)/100))</f>
        <v>#NAME?</v>
      </c>
      <c r="BQ39" s="45" t="e">
        <f ca="1">IF(_xll.ciqfunctions.udf.CIQ($A39,"IQ_EBITDA_5YR_ANN_CAGR", IQ_LTM,$B$1,$L$4, $L$3, $L$5, $L$6)="NM","n/a",(_xll.ciqfunctions.udf.CIQ($A39,"IQ_EBITDA_5YR_ANN_CAGR", IQ_LTM,$B$1,$L$4, $L$3, $L$5, $L$6)/100))</f>
        <v>#NAME?</v>
      </c>
      <c r="BR39" s="47" t="str">
        <f ca="1">IFERROR((_xll.ciqfunctions.udf.CIQ($A39, "IQ_DA_CF", IQ_LTM, $B$1, $L$4, $L$3, $L$5, $L$6)/Q39),"NM")</f>
        <v>NM</v>
      </c>
      <c r="BS39" s="61" t="e">
        <f>'Capital IQ Sheet-GPC'!BS39</f>
        <v>#VALUE!</v>
      </c>
      <c r="BT39" s="61" t="e">
        <f>'Capital IQ Sheet-GPC'!BT39</f>
        <v>#VALUE!</v>
      </c>
      <c r="BU39" s="61" t="e">
        <f>'Capital IQ Sheet-GPC'!BU39</f>
        <v>#VALUE!</v>
      </c>
      <c r="BV39" s="61" t="e">
        <f>'Capital IQ Sheet-GPC'!BV39</f>
        <v>#VALUE!</v>
      </c>
      <c r="BW39" s="61" t="e">
        <f>'Capital IQ Sheet-GPC'!BW39</f>
        <v>#VALUE!</v>
      </c>
      <c r="BX39" s="61" t="e">
        <f>'Capital IQ Sheet-GPC'!BX39</f>
        <v>#VALUE!</v>
      </c>
      <c r="BY39" s="61" t="e">
        <f>'Capital IQ Sheet-GPC'!BY39</f>
        <v>#VALUE!</v>
      </c>
      <c r="BZ39" s="61" t="e">
        <f>'Capital IQ Sheet-GPC'!BZ39</f>
        <v>#VALUE!</v>
      </c>
      <c r="CB39" s="45">
        <v>2</v>
      </c>
      <c r="CC39" s="85" t="s">
        <v>306</v>
      </c>
      <c r="CD39" s="85" t="s">
        <v>305</v>
      </c>
      <c r="CE39" s="46">
        <f t="shared" si="0"/>
        <v>42515</v>
      </c>
    </row>
    <row r="40" spans="1:83" s="45" customFormat="1" ht="12.75">
      <c r="A40" s="45" t="e">
        <f ca="1">_xll.ciqfunctions.udf.CIQ($B40,"IQ_COMPANY_TICKER")</f>
        <v>#NAME?</v>
      </c>
      <c r="B40" s="45" t="str">
        <f>'Capital IQ Sheet-GPC'!B40</f>
        <v>(Invalid Identifier)</v>
      </c>
      <c r="C40" s="45" t="e">
        <f ca="1">_xll.ciqfunctions.udf.CIQ($A40,"IQ_COMPANY_NAME")</f>
        <v>#NAME?</v>
      </c>
      <c r="D40" s="45" t="e">
        <f ca="1">_xll.ciqfunctions.udf.CIQ($A40, "IQ_EXCHANGE")</f>
        <v>#NAME?</v>
      </c>
      <c r="E40" s="46" t="e">
        <f ca="1">_xll.ciqfunctions.udf.CIQ($A40, "IQ_PERIODDATE_IS", IQ_FY)</f>
        <v>#NAME?</v>
      </c>
      <c r="F40" s="46" t="e">
        <f ca="1">_xll.ciqfunctions.udf.CIQ(A40, "IQ_PERIODDATE_IS", IQ_LTM, $B$1,$L$4,$L$3)</f>
        <v>#NAME?</v>
      </c>
      <c r="G40" s="46" t="e">
        <f ca="1">_xll.ciqfunctions.udf.CIQ($A40, "IQ_FIRSTPRICINGDATE")</f>
        <v>#NAME?</v>
      </c>
      <c r="H40" s="59" t="e">
        <f ca="1">_xll.ciqfunctions.udf.CIQ($A40, "IQ_TEV", $L$2, $L$5, $L$6)</f>
        <v>#NAME?</v>
      </c>
      <c r="I40" s="59" t="e">
        <f ca="1">_xll.ciqfunctions.udf.CIQ(A40, "IQ_LASTSALEPRICE", $B$1,$L$5)</f>
        <v>#NAME?</v>
      </c>
      <c r="J40" s="59" t="e">
        <f ca="1">_xll.ciqfunctions.udf.CIQ($A40, "IQ_MARKETCAP", $L$2, $L$5, $L$6)</f>
        <v>#NAME?</v>
      </c>
      <c r="K40" s="59" t="e">
        <f ca="1">_xll.ciqfunctions.udf.CIQ($A40, "IQ_TOTAL_DEBT", IQ_LTM, $L$2,$L$4, $L$3, $L$5, $L$6)</f>
        <v>#NAME?</v>
      </c>
      <c r="L40" s="59" t="e">
        <f ca="1">_xll.ciqfunctions.udf.CIQ($A40, "IQ_PREF_EQUITY", IQ_LTM, $L$2, $L$4, $L$3, $L$5, $L$6)</f>
        <v>#NAME?</v>
      </c>
      <c r="M40" s="59" t="e">
        <f ca="1">_xll.ciqfunctions.udf.CIQ($A40, "IQ_MINORITY_INTEREST_TOTAL", IQ_LTM, $L$2, $L$4, $L$3, $L$5, $L$6)</f>
        <v>#NAME?</v>
      </c>
      <c r="N40" s="59" t="e">
        <f ca="1">_xll.ciqfunctions.udf.CIQ($A40, "IQ_CASH_ST_INVEST", IQ_LTM, $L$2, $L$4, $L$3, $L$5, $L$6)</f>
        <v>#NAME?</v>
      </c>
      <c r="O40" s="59" t="e">
        <f ca="1">_xll.ciqfunctions.udf.CIQ($A40, "IQ_TOTAL_REV", IQ_LTM-8, $L$2, $L$4, $L$3, $L$5, $L$6)</f>
        <v>#NAME?</v>
      </c>
      <c r="P40" s="59" t="e">
        <f ca="1">_xll.ciqfunctions.udf.CIQ($A40, "IQ_TOTAL_REV", IQ_LTM - 4, $L$2, $L$4, $L$3, $L$5,$L$6)</f>
        <v>#NAME?</v>
      </c>
      <c r="Q40" s="59" t="e">
        <f ca="1">_xll.ciqfunctions.udf.CIQ($A40, "IQ_TOTAL_REV", IQ_LTM, $L$2, $L$4, $L$3, $L$5, $L$6)</f>
        <v>#NAME?</v>
      </c>
      <c r="R40" s="59" t="e">
        <f ca="1">_xll.ciqfunctions.udf.CIQ($A40, "IQ_TOTAL_REV", $B$2, $L$2, $L$4, $L$3, $L$5, $L$6)</f>
        <v>#NAME?</v>
      </c>
      <c r="S40" s="59" t="e">
        <f ca="1">IF(_xll.ciqfunctions.udf.CIQ($A40, "IQ_TOTAL_REV", $B$3, $L$2,$L$4, $L$3, $L$5, $L$6)=0,Q40,_xll.ciqfunctions.udf.CIQ($A40, "IQ_TOTAL_REV", $B$3, $L$2,$L$4, $L$3, $L$5, $L$6))</f>
        <v>#NAME?</v>
      </c>
      <c r="T40" s="59" t="e">
        <f ca="1">IF(_xll.ciqfunctions.udf.CIQ($A40, "IQ_REVENUE_EST",$B$4, $L$2, "CON", $L$3, $L$5, $L$6)=0,"n/a",_xll.ciqfunctions.udf.CIQ($A40, "IQ_REVENUE_EST",$B$4, $L$2, "CON", $L$3, $L$5, $L$6))</f>
        <v>#NAME?</v>
      </c>
      <c r="U40" s="59" t="e">
        <f ca="1">IF(_xll.ciqfunctions.udf.CIQ($A40, "IQ_REVENUE_EST",$B$5, $L$2, "CON", $L$3, $L$5, $L$6)=0,"n/a",_xll.ciqfunctions.udf.CIQ($A40, "IQ_REVENUE_EST",$B$5, $L$2, "CON", $L$3, $L$5, $L$6))</f>
        <v>#NAME?</v>
      </c>
      <c r="V40" s="59" t="e">
        <f ca="1">IF(_xll.ciqfunctions.udf.CIQ($A40, "IQ_REVENUE_EST",$B$6, $L$2, "CON", $L$3, $L$5, $L$6)=0,"n/a",_xll.ciqfunctions.udf.CIQ($A40, "IQ_REVENUE_EST",$B$6, $L$2, "CON", $L$3, $L$5, $L$6))</f>
        <v>#NAME?</v>
      </c>
      <c r="W40" s="59" t="e">
        <f ca="1">IF(_xll.ciqfunctions.udf.CIQ($A40, "IQ_REVENUE_EST", $B$7, $L$2, "CON", $L$3, $L$5, $L$6)=0,"n/a",_xll.ciqfunctions.udf.CIQ($A40, "IQ_REVENUE_EST",$B$7, $L$2, "CON", $L$3, $L$5, $L$6))</f>
        <v>#NAME?</v>
      </c>
      <c r="X40" s="59" t="e">
        <f ca="1">_xll.ciqfunctions.udf.CIQ($A40, "IQ_EBITDA", IQ_LTM-8, $L$2, $L$4, $L$3, $L$5, $L$6)</f>
        <v>#NAME?</v>
      </c>
      <c r="Y40" s="59" t="e">
        <f ca="1">_xll.ciqfunctions.udf.CIQ($A40, "IQ_EBITDA", IQ_LTM-4, $L$2,$L$4, $L$3, $L$5, $L$6)</f>
        <v>#NAME?</v>
      </c>
      <c r="Z40" s="59" t="e">
        <f ca="1">_xll.ciqfunctions.udf.CIQ($A40, "IQ_EBITDA", IQ_LTM, $L$2, $L$4, $L$3, $L$5, $L$6)</f>
        <v>#NAME?</v>
      </c>
      <c r="AA40" s="59" t="e">
        <f ca="1">_xll.ciqfunctions.udf.CIQ($A40, "IQ_EBITDA", $B$2, $L$2, $L$4, $L$3, $L$5, $L$6)</f>
        <v>#NAME?</v>
      </c>
      <c r="AB40" s="59" t="e">
        <f ca="1">IF(_xll.ciqfunctions.udf.CIQ($A40, "IQ_EBITDA", $B$3, $L$2,$L$4, $L$3, $L$5, $L$6)=0,Z40,_xll.ciqfunctions.udf.CIQ($A40, "IQ_EBITDA", $B$3, $L$2,$L$4, $L$3, $L$5, $L$6))</f>
        <v>#NAME?</v>
      </c>
      <c r="AC40" s="59" t="e">
        <f ca="1">IF(_xll.ciqfunctions.udf.CIQ($A40, "IQ_EBITDA_EST",$B$4, $L$2, "CON", $L$3, $L$5, $L$6)=0,"n/a",_xll.ciqfunctions.udf.CIQ($A40, "IQ_EBITDA_EST",$B$4, $L$2, "CON", $L$3, $L$5, $L$6))</f>
        <v>#NAME?</v>
      </c>
      <c r="AD40" s="59" t="e">
        <f ca="1">IF(_xll.ciqfunctions.udf.CIQ($A40, "IQ_EBITDA_EST",$B$5, $L$2, "CON", $L$3, $L$5, $L$6)=0,"n/a",_xll.ciqfunctions.udf.CIQ($A40, "IQ_EBITDA_EST",$B$5, $L$2, "CON", $L$3, $L$5, $L$6))</f>
        <v>#NAME?</v>
      </c>
      <c r="AE40" s="59" t="e">
        <f ca="1">IF(_xll.ciqfunctions.udf.CIQ($A40, "IQ_EBITDA_EST",$B$6, $L$2, "CON", $L$3, $L$5, $L$6)=0,"n/a",_xll.ciqfunctions.udf.CIQ($A40, "IQ_EBITDA_EST",$B$6, $L$2, "CON", $L$3, $L$5, $L$6))</f>
        <v>#NAME?</v>
      </c>
      <c r="AF40" s="47" t="str">
        <f ca="1">IF(ISERROR(_xll.ciqfunctions.udf.CIQ($A40, "IQ_GROSS_MARGIN", IQ_LTM, $L$2,$L$4, $L$3, $L$5, $L$6)/100), "n/a", _xll.ciqfunctions.udf.CIQ($A40,  "IQ_GROSS_MARGIN", IQ_LTM, $L$2, $L$4, $L$3, $L$5, $L$6)/100)</f>
        <v>n/a</v>
      </c>
      <c r="AG40" s="47" t="str">
        <f ca="1">IF(ISERROR(_xll.ciqfunctions.udf.CIQ($A40,"IQ_EBITDA_MARGIN", IQ_LTM, $L$2, $L$4, $L$3, $L$5, $L$6)/100), "n/a", _xll.ciqfunctions.udf.CIQ($A40, "IQ_EBITDA_MARGIN", IQ_LTM, $L$2, $L$4, $L$3, $L$5, $L$6)/100)</f>
        <v>n/a</v>
      </c>
      <c r="AH40" s="47" t="str">
        <f ca="1">IF(ISERROR(_xll.ciqfunctions.udf.CIQ($A40,"IQ_EBIT_MARGIN", IQ_LTM, $L$2, $L$4, $L$3, $L$5, $L$6)/100), "n/a", _xll.ciqfunctions.udf.CIQ($A40, "IQ_EBIT_MARGIN", IQ_LTM, $L$2, $L$4, $L$3, $L$5, $L$6)/100)</f>
        <v>n/a</v>
      </c>
      <c r="AI40" s="47" t="str">
        <f ca="1">IF(ISERROR(_xll.ciqfunctions.udf.CIQ($A40,"IQ_NI_MARGIN", IQ_LTM, $L$2, $L$4, $L$3, $L$5, $L$6)/100), "n/a", _xll.ciqfunctions.udf.CIQ($A40, "IQ_NI_MARGIN", IQ_LTM, $L$2, $L$4, $L$3, $L$5, $L$6)/100)</f>
        <v>n/a</v>
      </c>
      <c r="AJ40" s="59" t="str">
        <f ca="1">IF(ISERROR(_xll.ciqfunctions.udf.CIQ($A40, "IQ_NET_WORKING_CAP", IQ_LTM-8, $L$2, $L$4, $L$3, $L$5, $L$6)), "n/a", _xll.ciqfunctions.udf.CIQ($A40, "IQ_NET_WORKING_CAP", IQ_LTM-8, $L$2, $L$4, $L$3, $L$5, $L$6))</f>
        <v>n/a</v>
      </c>
      <c r="AK40" s="59" t="str">
        <f ca="1">IF(ISERROR(_xll.ciqfunctions.udf.CIQ($A40, "IQ_NET_WORKING_CAP", IQ_LTM-4, $L$2, $L$4, $L$3, $L$5, $L$6)), "n/a", _xll.ciqfunctions.udf.CIQ($A40, "IQ_NET_WORKING_CAP", IQ_LTM-4, $L$2, $L$4, $L$3, $L$5, $L$6))</f>
        <v>n/a</v>
      </c>
      <c r="AL40" s="59" t="str">
        <f ca="1">IF(ISERROR(_xll.ciqfunctions.udf.CIQ($A40, "IQ_NET_WORKING_CAP", IQ_LTM, $L$2,$L$4, $L$3, $L$5, $L$6)), "n/a", _xll.ciqfunctions.udf.CIQ($A40, "IQ_NET_WORKING_CAP", IQ_LTM, $L$2, $L$4, $L$3, $L$5, $L$6))</f>
        <v>n/a</v>
      </c>
      <c r="AM40" s="59" t="str">
        <f ca="1">IF(ISERROR(_xll.ciqfunctions.udf.CIQ($A40, "IQ_Capex", IQ_LTM-8, $L$2,$L$4, $L$3, $L$5, $L$6)), "n/a", _xll.ciqfunctions.udf.CIQ($A40, "IQ_Capex", IQ_LTM-8, $L$2, $L$4, $L$3, $L$5, $L$6))</f>
        <v>n/a</v>
      </c>
      <c r="AN40" s="59" t="str">
        <f ca="1">IF(ISERROR(_xll.ciqfunctions.udf.CIQ($A40, "IQ_Capex", IQ_LTM-4, $L$2,$L$4, $L$3, $L$5, $L$6)), "n/a", _xll.ciqfunctions.udf.CIQ($A40, "IQ_Capex", IQ_LTM-4, $L$2,$L$4, $L$3, $L$5, $L$6))</f>
        <v>n/a</v>
      </c>
      <c r="AO40" s="59" t="str">
        <f ca="1">IF(ISERROR(_xll.ciqfunctions.udf.CIQ($A40, "IQ_Capex", IQ_LTM, $L$2, $L$4, $L$3, $L$5, $L$6)), "n/a", _xll.ciqfunctions.udf.CIQ($A40, "IQ_Capex", IQ_LTM, $L$2, $L$4, $L$3, $L$5, $L$6))</f>
        <v>n/a</v>
      </c>
      <c r="AP40" s="44" t="e">
        <f ca="1">_xll.ciqfunctions.udf.CIQ(A40, "IQ_BUSINESS_DESCRIPTION")</f>
        <v>#NAME?</v>
      </c>
      <c r="AQ40" s="60" t="e">
        <f ca="1">_xll.ciqfunctions.udf.CIQ($A40, "IQ_BETA_1YR", $B$1)</f>
        <v>#NAME?</v>
      </c>
      <c r="AR40" s="60" t="e">
        <f ca="1">_xll.ciqfunctions.udf.CIQ($A40, "IQ_BETA_2YR", $B$1)</f>
        <v>#NAME?</v>
      </c>
      <c r="AS40" s="60" t="e">
        <f ca="1">_xll.ciqfunctions.udf.CIQ($A40, "IQ_BETA_5YR", $B$1)</f>
        <v>#NAME?</v>
      </c>
      <c r="AT40" s="47" t="e">
        <f ca="1">_xll.ciqfunctions.udf.CIQ($A40, "IQ_DIVIDEND_YIELD", $B$1)/100</f>
        <v>#NAME?</v>
      </c>
      <c r="AU40" s="59" t="e">
        <f ca="1">_xll.ciqfunctions.udf.CIQ($A40, "IQ_EARNING_CO", IQ_LTM-8, $L$2, $L$4, $L$3, $L$5, $L$6)</f>
        <v>#NAME?</v>
      </c>
      <c r="AV40" s="59" t="e">
        <f ca="1">_xll.ciqfunctions.udf.CIQ($A40, "IQ_EARNING_CO", IQ_LTM-4, $L$2, $L$4, $L$3, $L$5, $L$6)</f>
        <v>#NAME?</v>
      </c>
      <c r="AW40" s="59" t="e">
        <f ca="1">_xll.ciqfunctions.udf.CIQ($A40, "IQ_EARNING_CO", IQ_LTM, $L$2, $L$4, $L$3, $L$5, $L$6)</f>
        <v>#NAME?</v>
      </c>
      <c r="AX40" s="59" t="e">
        <f ca="1">_xll.ciqfunctions.udf.CIQ($A40, "IQ_EARNING_CO", $B$2, $L$2, $L$4, $L$3, $L$5, $L$6)</f>
        <v>#NAME?</v>
      </c>
      <c r="AY40" s="59" t="e">
        <f ca="1">IF(_xll.ciqfunctions.udf.CIQ($A40, "IQ_EARNING_CO", $B$3, $L$2,$L$4, $L$3, $L$5, $L$6)=0,AW40,_xll.ciqfunctions.udf.CIQ($A40, "IQ_EARNING_CO", $B$3, $L$2,$L$4, $L$3, $L$5, $L$6))</f>
        <v>#NAME?</v>
      </c>
      <c r="AZ40" s="59" t="e">
        <f ca="1">_xll.ciqfunctions.udf.CIQ($A40, "IQ_TOTAL_EQUITY", IQ_LTM-8, $L$2, $L$4, $L$3, $L$5, $L$6)</f>
        <v>#NAME?</v>
      </c>
      <c r="BA40" s="59" t="e">
        <f ca="1">_xll.ciqfunctions.udf.CIQ($A40, "IQ_TOTAL_EQUITY", IQ_LTM-4, $L$2, $L$4, $L$3, $L$5, $L$6)</f>
        <v>#NAME?</v>
      </c>
      <c r="BB40" s="59" t="e">
        <f ca="1">_xll.ciqfunctions.udf.CIQ($A40, "IQ_TOTAL_EQUITY", IQ_LTM, $L$2, $L$4, $L$3, $L$5, $L$6)</f>
        <v>#NAME?</v>
      </c>
      <c r="BC40" s="59" t="e">
        <f ca="1">_xll.ciqfunctions.udf.CIQ($A40, "IQ_TOTAL_EQUITY", $B$2, $L$2, $L$4, $L$3, $L$5, $L$6)</f>
        <v>#NAME?</v>
      </c>
      <c r="BD40" s="59" t="e">
        <f ca="1">IF(_xll.ciqfunctions.udf.CIQ($A40, "IQ_TOTAL_EQUITY", $B$3, $L$2,$L$4, $L$3, $L$5, $L$6)=0,BB40,_xll.ciqfunctions.udf.CIQ($A40, "IQ_TOTAL_EQUITY", $B$3, $L$2,$L$4, $L$3, $L$5, $L$6))</f>
        <v>#NAME?</v>
      </c>
      <c r="BE40" s="59" t="e">
        <f ca="1">_xll.ciqfunctions.udf.CIQ(A40, "IQ_LASTSALEPRICE", $B$8)</f>
        <v>#NAME?</v>
      </c>
      <c r="BF40" s="59" t="e">
        <f ca="1">_xll.ciqfunctions.udf.CIQ($A40, "IQ_MARKETCAP", $B$8, $L$5, $L$6)</f>
        <v>#NAME?</v>
      </c>
      <c r="BG40" s="59" t="e">
        <f ca="1">_xll.ciqfunctions.udf.CIQ($A40, "IQ_TOTAL_DEBT", IQ_LTM, $B$8,$L$4, $L$3, $L$5, $L$6)</f>
        <v>#NAME?</v>
      </c>
      <c r="BH40" s="45" t="e">
        <f ca="1">_xll.ciqfunctions.udf.CIQ($A40,"IQ_PREF_EQUITY",IQ_LTM,$B$8,$L$4,$L$3,$L$5,$L$6)</f>
        <v>#NAME?</v>
      </c>
      <c r="BI40" s="45" t="e">
        <f ca="1">_xll.ciqfunctions.udf.CIQ($A40, "IQ_MINORITY_INTEREST_TOTAL", IQ_LTM,$B$8,$L$4,$L$3,$L$5,$L$6)</f>
        <v>#NAME?</v>
      </c>
      <c r="BJ40" s="59" t="e">
        <f ca="1">_xll.ciqfunctions.udf.CIQ($A40, "IQ_CASH_ST_INVEST", IQ_LTM, $B$8, $L$4, $L$3, $L$5, $L$6)</f>
        <v>#NAME?</v>
      </c>
      <c r="BK40" s="45" t="e">
        <f ca="1">_xll.ciqfunctions.udf.CIQ($A40, "IQ_EFFECT_TAX_RATE")</f>
        <v>#NAME?</v>
      </c>
      <c r="BL40" s="45" t="e">
        <f ca="1">IF(_xll.ciqfunctions.udf.CIQ($A40, "IQ_TOTAL_REV_2YR_ANN_CAGR", IQ_LTM, $B$1,$L$4, $L$3, $L$5, $L$6)="NM","n/a",(_xll.ciqfunctions.udf.CIQ($A40, "IQ_TOTAL_REV_2YR_ANN_CAGR", IQ_LTM, $B$1,$L$4, $L$3, $L$5, $L$6)/100))</f>
        <v>#NAME?</v>
      </c>
      <c r="BM40" s="45" t="e">
        <f ca="1">IF(_xll.ciqfunctions.udf.CIQ($A40, "IQ_TOTAL_REV_3YR_ANN_CAGR", IQ_LTM, $B$1,$L$4, $L$3, $L$5, $L$6)="NM","n/a",(_xll.ciqfunctions.udf.CIQ($A40, "IQ_TOTAL_REV_3YR_ANN_CAGR", IQ_LTM, $B$1,$L$4, $L$3, $L$5, $L$6)/100))</f>
        <v>#NAME?</v>
      </c>
      <c r="BN40" s="45" t="e">
        <f ca="1">IF(_xll.ciqfunctions.udf.CIQ($A40, "IQ_TOTAL_REV_5YR_ANN_CAGR", IQ_LTM, $B$1,$L$4, $L$3, $L$5, $L$6)="NM","n/a",(_xll.ciqfunctions.udf.CIQ($A40, "IQ_TOTAL_REV_5YR_ANN_CAGR", IQ_LTM, $B$1,$L$4, $L$3, $L$5, $L$6)/100))</f>
        <v>#NAME?</v>
      </c>
      <c r="BO40" s="45" t="e">
        <f ca="1">IF(_xll.ciqfunctions.udf.CIQ($A40,"IQ_EBITDA_2YR_ANN_CAGR", IQ_LTM,$B$1,$L$4, $L$3, $L$5, $L$6)="NM","n/a",(_xll.ciqfunctions.udf.CIQ($A40,"IQ_EBITDA_2YR_ANN_CAGR", IQ_LTM,$B$1,$L$4, $L$3, $L$5, $L$6)/100))</f>
        <v>#NAME?</v>
      </c>
      <c r="BP40" s="45" t="e">
        <f ca="1">IF(_xll.ciqfunctions.udf.CIQ($A40,"IQ_EBITDA_3YR_ANN_CAGR", IQ_LTM,$B$1,$L$4, $L$3, $L$5, $L$6)="NM","n/a",(_xll.ciqfunctions.udf.CIQ($A40,"IQ_EBITDA_3YR_ANN_CAGR", IQ_LTM,$B$1,$L$4, $L$3, $L$5, $L$6)/100))</f>
        <v>#NAME?</v>
      </c>
      <c r="BQ40" s="45" t="e">
        <f ca="1">IF(_xll.ciqfunctions.udf.CIQ($A40,"IQ_EBITDA_5YR_ANN_CAGR", IQ_LTM,$B$1,$L$4, $L$3, $L$5, $L$6)="NM","n/a",(_xll.ciqfunctions.udf.CIQ($A40,"IQ_EBITDA_5YR_ANN_CAGR", IQ_LTM,$B$1,$L$4, $L$3, $L$5, $L$6)/100))</f>
        <v>#NAME?</v>
      </c>
      <c r="BR40" s="47" t="str">
        <f ca="1">IFERROR((_xll.ciqfunctions.udf.CIQ($A40, "IQ_DA_CF", IQ_LTM, $B$1, $L$4, $L$3, $L$5, $L$6)/Q40),"NM")</f>
        <v>NM</v>
      </c>
      <c r="BS40" s="61" t="e">
        <f>'Capital IQ Sheet-GPC'!BS40</f>
        <v>#VALUE!</v>
      </c>
      <c r="BT40" s="61" t="e">
        <f>'Capital IQ Sheet-GPC'!BT40</f>
        <v>#VALUE!</v>
      </c>
      <c r="BU40" s="61" t="e">
        <f>'Capital IQ Sheet-GPC'!BU40</f>
        <v>#VALUE!</v>
      </c>
      <c r="BV40" s="61" t="e">
        <f>'Capital IQ Sheet-GPC'!BV40</f>
        <v>#VALUE!</v>
      </c>
      <c r="BW40" s="61" t="e">
        <f>'Capital IQ Sheet-GPC'!BW40</f>
        <v>#VALUE!</v>
      </c>
      <c r="BX40" s="61" t="e">
        <f>'Capital IQ Sheet-GPC'!BX40</f>
        <v>#VALUE!</v>
      </c>
      <c r="BY40" s="61" t="e">
        <f>'Capital IQ Sheet-GPC'!BY40</f>
        <v>#VALUE!</v>
      </c>
      <c r="BZ40" s="61" t="e">
        <f>'Capital IQ Sheet-GPC'!BZ40</f>
        <v>#VALUE!</v>
      </c>
      <c r="CB40" s="45">
        <v>2</v>
      </c>
      <c r="CC40" s="85" t="s">
        <v>306</v>
      </c>
      <c r="CD40" s="85" t="s">
        <v>305</v>
      </c>
      <c r="CE40" s="46">
        <f t="shared" si="0"/>
        <v>42515</v>
      </c>
    </row>
    <row r="41" spans="1:83" s="45" customFormat="1" ht="12.75">
      <c r="A41" s="45" t="e">
        <f ca="1">_xll.ciqfunctions.udf.CIQ($B41,"IQ_COMPANY_TICKER")</f>
        <v>#NAME?</v>
      </c>
      <c r="B41" s="45" t="str">
        <f>'Capital IQ Sheet-GPC'!B41</f>
        <v>(Invalid Identifier)</v>
      </c>
      <c r="C41" s="45" t="e">
        <f ca="1">_xll.ciqfunctions.udf.CIQ($A41,"IQ_COMPANY_NAME")</f>
        <v>#NAME?</v>
      </c>
      <c r="D41" s="45" t="e">
        <f ca="1">_xll.ciqfunctions.udf.CIQ($A41, "IQ_EXCHANGE")</f>
        <v>#NAME?</v>
      </c>
      <c r="E41" s="46" t="e">
        <f ca="1">_xll.ciqfunctions.udf.CIQ($A41, "IQ_PERIODDATE_IS", IQ_FY)</f>
        <v>#NAME?</v>
      </c>
      <c r="F41" s="46" t="e">
        <f ca="1">_xll.ciqfunctions.udf.CIQ(A41, "IQ_PERIODDATE_IS", IQ_LTM, $B$1,$L$4,$L$3)</f>
        <v>#NAME?</v>
      </c>
      <c r="G41" s="46" t="e">
        <f ca="1">_xll.ciqfunctions.udf.CIQ($A41, "IQ_FIRSTPRICINGDATE")</f>
        <v>#NAME?</v>
      </c>
      <c r="H41" s="59" t="e">
        <f ca="1">_xll.ciqfunctions.udf.CIQ($A41, "IQ_TEV", $L$2, $L$5, $L$6)</f>
        <v>#NAME?</v>
      </c>
      <c r="I41" s="59" t="e">
        <f ca="1">_xll.ciqfunctions.udf.CIQ(A41, "IQ_LASTSALEPRICE", $B$1,$L$5)</f>
        <v>#NAME?</v>
      </c>
      <c r="J41" s="59" t="e">
        <f ca="1">_xll.ciqfunctions.udf.CIQ($A41, "IQ_MARKETCAP", $L$2, $L$5, $L$6)</f>
        <v>#NAME?</v>
      </c>
      <c r="K41" s="59" t="e">
        <f ca="1">_xll.ciqfunctions.udf.CIQ($A41, "IQ_TOTAL_DEBT", IQ_LTM, $L$2,$L$4, $L$3, $L$5, $L$6)</f>
        <v>#NAME?</v>
      </c>
      <c r="L41" s="59" t="e">
        <f ca="1">_xll.ciqfunctions.udf.CIQ($A41, "IQ_PREF_EQUITY", IQ_LTM, $L$2, $L$4, $L$3, $L$5, $L$6)</f>
        <v>#NAME?</v>
      </c>
      <c r="M41" s="59" t="e">
        <f ca="1">_xll.ciqfunctions.udf.CIQ($A41, "IQ_MINORITY_INTEREST_TOTAL", IQ_LTM, $L$2, $L$4, $L$3, $L$5, $L$6)</f>
        <v>#NAME?</v>
      </c>
      <c r="N41" s="59" t="e">
        <f ca="1">_xll.ciqfunctions.udf.CIQ($A41, "IQ_CASH_ST_INVEST", IQ_LTM, $L$2, $L$4, $L$3, $L$5, $L$6)</f>
        <v>#NAME?</v>
      </c>
      <c r="O41" s="59" t="e">
        <f ca="1">_xll.ciqfunctions.udf.CIQ($A41, "IQ_TOTAL_REV", IQ_LTM-8, $L$2, $L$4, $L$3, $L$5, $L$6)</f>
        <v>#NAME?</v>
      </c>
      <c r="P41" s="59" t="e">
        <f ca="1">_xll.ciqfunctions.udf.CIQ($A41, "IQ_TOTAL_REV", IQ_LTM - 4, $L$2, $L$4, $L$3, $L$5,$L$6)</f>
        <v>#NAME?</v>
      </c>
      <c r="Q41" s="59" t="e">
        <f ca="1">_xll.ciqfunctions.udf.CIQ($A41, "IQ_TOTAL_REV", IQ_LTM, $L$2, $L$4, $L$3, $L$5, $L$6)</f>
        <v>#NAME?</v>
      </c>
      <c r="R41" s="59" t="e">
        <f ca="1">_xll.ciqfunctions.udf.CIQ($A41, "IQ_TOTAL_REV", $B$2, $L$2, $L$4, $L$3, $L$5, $L$6)</f>
        <v>#NAME?</v>
      </c>
      <c r="S41" s="59" t="e">
        <f ca="1">IF(_xll.ciqfunctions.udf.CIQ($A41, "IQ_TOTAL_REV", $B$3, $L$2,$L$4, $L$3, $L$5, $L$6)=0,Q41,_xll.ciqfunctions.udf.CIQ($A41, "IQ_TOTAL_REV", $B$3, $L$2,$L$4, $L$3, $L$5, $L$6))</f>
        <v>#NAME?</v>
      </c>
      <c r="T41" s="59" t="e">
        <f ca="1">IF(_xll.ciqfunctions.udf.CIQ($A41, "IQ_REVENUE_EST",$B$4, $L$2, "CON", $L$3, $L$5, $L$6)=0,"n/a",_xll.ciqfunctions.udf.CIQ($A41, "IQ_REVENUE_EST",$B$4, $L$2, "CON", $L$3, $L$5, $L$6))</f>
        <v>#NAME?</v>
      </c>
      <c r="U41" s="59" t="e">
        <f ca="1">IF(_xll.ciqfunctions.udf.CIQ($A41, "IQ_REVENUE_EST",$B$5, $L$2, "CON", $L$3, $L$5, $L$6)=0,"n/a",_xll.ciqfunctions.udf.CIQ($A41, "IQ_REVENUE_EST",$B$5, $L$2, "CON", $L$3, $L$5, $L$6))</f>
        <v>#NAME?</v>
      </c>
      <c r="V41" s="59" t="e">
        <f ca="1">IF(_xll.ciqfunctions.udf.CIQ($A41, "IQ_REVENUE_EST",$B$6, $L$2, "CON", $L$3, $L$5, $L$6)=0,"n/a",_xll.ciqfunctions.udf.CIQ($A41, "IQ_REVENUE_EST",$B$6, $L$2, "CON", $L$3, $L$5, $L$6))</f>
        <v>#NAME?</v>
      </c>
      <c r="W41" s="59" t="e">
        <f ca="1">IF(_xll.ciqfunctions.udf.CIQ($A41, "IQ_REVENUE_EST", $B$7, $L$2, "CON", $L$3, $L$5, $L$6)=0,"n/a",_xll.ciqfunctions.udf.CIQ($A41, "IQ_REVENUE_EST",$B$7, $L$2, "CON", $L$3, $L$5, $L$6))</f>
        <v>#NAME?</v>
      </c>
      <c r="X41" s="59" t="e">
        <f ca="1">_xll.ciqfunctions.udf.CIQ($A41, "IQ_EBITDA", IQ_LTM-8, $L$2, $L$4, $L$3, $L$5, $L$6)</f>
        <v>#NAME?</v>
      </c>
      <c r="Y41" s="59" t="e">
        <f ca="1">_xll.ciqfunctions.udf.CIQ($A41, "IQ_EBITDA", IQ_LTM-4, $L$2,$L$4, $L$3, $L$5, $L$6)</f>
        <v>#NAME?</v>
      </c>
      <c r="Z41" s="59" t="e">
        <f ca="1">_xll.ciqfunctions.udf.CIQ($A41, "IQ_EBITDA", IQ_LTM, $L$2, $L$4, $L$3, $L$5, $L$6)</f>
        <v>#NAME?</v>
      </c>
      <c r="AA41" s="59" t="e">
        <f ca="1">_xll.ciqfunctions.udf.CIQ($A41, "IQ_EBITDA", $B$2, $L$2, $L$4, $L$3, $L$5, $L$6)</f>
        <v>#NAME?</v>
      </c>
      <c r="AB41" s="59" t="e">
        <f ca="1">IF(_xll.ciqfunctions.udf.CIQ($A41, "IQ_EBITDA", $B$3, $L$2,$L$4, $L$3, $L$5, $L$6)=0,Z41,_xll.ciqfunctions.udf.CIQ($A41, "IQ_EBITDA", $B$3, $L$2,$L$4, $L$3, $L$5, $L$6))</f>
        <v>#NAME?</v>
      </c>
      <c r="AC41" s="59" t="e">
        <f ca="1">IF(_xll.ciqfunctions.udf.CIQ($A41, "IQ_EBITDA_EST",$B$4, $L$2, "CON", $L$3, $L$5, $L$6)=0,"n/a",_xll.ciqfunctions.udf.CIQ($A41, "IQ_EBITDA_EST",$B$4, $L$2, "CON", $L$3, $L$5, $L$6))</f>
        <v>#NAME?</v>
      </c>
      <c r="AD41" s="59" t="e">
        <f ca="1">IF(_xll.ciqfunctions.udf.CIQ($A41, "IQ_EBITDA_EST",$B$5, $L$2, "CON", $L$3, $L$5, $L$6)=0,"n/a",_xll.ciqfunctions.udf.CIQ($A41, "IQ_EBITDA_EST",$B$5, $L$2, "CON", $L$3, $L$5, $L$6))</f>
        <v>#NAME?</v>
      </c>
      <c r="AE41" s="59" t="e">
        <f ca="1">IF(_xll.ciqfunctions.udf.CIQ($A41, "IQ_EBITDA_EST",$B$6, $L$2, "CON", $L$3, $L$5, $L$6)=0,"n/a",_xll.ciqfunctions.udf.CIQ($A41, "IQ_EBITDA_EST",$B$6, $L$2, "CON", $L$3, $L$5, $L$6))</f>
        <v>#NAME?</v>
      </c>
      <c r="AF41" s="47" t="str">
        <f ca="1">IF(ISERROR(_xll.ciqfunctions.udf.CIQ($A41, "IQ_GROSS_MARGIN", IQ_LTM, $L$2,$L$4, $L$3, $L$5, $L$6)/100), "n/a", _xll.ciqfunctions.udf.CIQ($A41,  "IQ_GROSS_MARGIN", IQ_LTM, $L$2, $L$4, $L$3, $L$5, $L$6)/100)</f>
        <v>n/a</v>
      </c>
      <c r="AG41" s="47" t="str">
        <f ca="1">IF(ISERROR(_xll.ciqfunctions.udf.CIQ($A41,"IQ_EBITDA_MARGIN", IQ_LTM, $L$2, $L$4, $L$3, $L$5, $L$6)/100), "n/a", _xll.ciqfunctions.udf.CIQ($A41, "IQ_EBITDA_MARGIN", IQ_LTM, $L$2, $L$4, $L$3, $L$5, $L$6)/100)</f>
        <v>n/a</v>
      </c>
      <c r="AH41" s="47" t="str">
        <f ca="1">IF(ISERROR(_xll.ciqfunctions.udf.CIQ($A41,"IQ_EBIT_MARGIN", IQ_LTM, $L$2, $L$4, $L$3, $L$5, $L$6)/100), "n/a", _xll.ciqfunctions.udf.CIQ($A41, "IQ_EBIT_MARGIN", IQ_LTM, $L$2, $L$4, $L$3, $L$5, $L$6)/100)</f>
        <v>n/a</v>
      </c>
      <c r="AI41" s="47" t="str">
        <f ca="1">IF(ISERROR(_xll.ciqfunctions.udf.CIQ($A41,"IQ_NI_MARGIN", IQ_LTM, $L$2, $L$4, $L$3, $L$5, $L$6)/100), "n/a", _xll.ciqfunctions.udf.CIQ($A41, "IQ_NI_MARGIN", IQ_LTM, $L$2, $L$4, $L$3, $L$5, $L$6)/100)</f>
        <v>n/a</v>
      </c>
      <c r="AJ41" s="59" t="str">
        <f ca="1">IF(ISERROR(_xll.ciqfunctions.udf.CIQ($A41, "IQ_NET_WORKING_CAP", IQ_LTM-8, $L$2, $L$4, $L$3, $L$5, $L$6)), "n/a", _xll.ciqfunctions.udf.CIQ($A41, "IQ_NET_WORKING_CAP", IQ_LTM-8, $L$2, $L$4, $L$3, $L$5, $L$6))</f>
        <v>n/a</v>
      </c>
      <c r="AK41" s="59" t="str">
        <f ca="1">IF(ISERROR(_xll.ciqfunctions.udf.CIQ($A41, "IQ_NET_WORKING_CAP", IQ_LTM-4, $L$2, $L$4, $L$3, $L$5, $L$6)), "n/a", _xll.ciqfunctions.udf.CIQ($A41, "IQ_NET_WORKING_CAP", IQ_LTM-4, $L$2, $L$4, $L$3, $L$5, $L$6))</f>
        <v>n/a</v>
      </c>
      <c r="AL41" s="59" t="str">
        <f ca="1">IF(ISERROR(_xll.ciqfunctions.udf.CIQ($A41, "IQ_NET_WORKING_CAP", IQ_LTM, $L$2,$L$4, $L$3, $L$5, $L$6)), "n/a", _xll.ciqfunctions.udf.CIQ($A41, "IQ_NET_WORKING_CAP", IQ_LTM, $L$2, $L$4, $L$3, $L$5, $L$6))</f>
        <v>n/a</v>
      </c>
      <c r="AM41" s="59" t="str">
        <f ca="1">IF(ISERROR(_xll.ciqfunctions.udf.CIQ($A41, "IQ_Capex", IQ_LTM-8, $L$2,$L$4, $L$3, $L$5, $L$6)), "n/a", _xll.ciqfunctions.udf.CIQ($A41, "IQ_Capex", IQ_LTM-8, $L$2, $L$4, $L$3, $L$5, $L$6))</f>
        <v>n/a</v>
      </c>
      <c r="AN41" s="59" t="str">
        <f ca="1">IF(ISERROR(_xll.ciqfunctions.udf.CIQ($A41, "IQ_Capex", IQ_LTM-4, $L$2,$L$4, $L$3, $L$5, $L$6)), "n/a", _xll.ciqfunctions.udf.CIQ($A41, "IQ_Capex", IQ_LTM-4, $L$2,$L$4, $L$3, $L$5, $L$6))</f>
        <v>n/a</v>
      </c>
      <c r="AO41" s="59" t="str">
        <f ca="1">IF(ISERROR(_xll.ciqfunctions.udf.CIQ($A41, "IQ_Capex", IQ_LTM, $L$2, $L$4, $L$3, $L$5, $L$6)), "n/a", _xll.ciqfunctions.udf.CIQ($A41, "IQ_Capex", IQ_LTM, $L$2, $L$4, $L$3, $L$5, $L$6))</f>
        <v>n/a</v>
      </c>
      <c r="AP41" s="44" t="e">
        <f ca="1">_xll.ciqfunctions.udf.CIQ(A41, "IQ_BUSINESS_DESCRIPTION")</f>
        <v>#NAME?</v>
      </c>
      <c r="AQ41" s="60" t="e">
        <f ca="1">_xll.ciqfunctions.udf.CIQ($A41, "IQ_BETA_1YR", $B$1)</f>
        <v>#NAME?</v>
      </c>
      <c r="AR41" s="60" t="e">
        <f ca="1">_xll.ciqfunctions.udf.CIQ($A41, "IQ_BETA_2YR", $B$1)</f>
        <v>#NAME?</v>
      </c>
      <c r="AS41" s="60" t="e">
        <f ca="1">_xll.ciqfunctions.udf.CIQ($A41, "IQ_BETA_5YR", $B$1)</f>
        <v>#NAME?</v>
      </c>
      <c r="AT41" s="47" t="e">
        <f ca="1">_xll.ciqfunctions.udf.CIQ($A41, "IQ_DIVIDEND_YIELD", $B$1)/100</f>
        <v>#NAME?</v>
      </c>
      <c r="AU41" s="59" t="e">
        <f ca="1">_xll.ciqfunctions.udf.CIQ($A41, "IQ_EARNING_CO", IQ_LTM-8, $L$2, $L$4, $L$3, $L$5, $L$6)</f>
        <v>#NAME?</v>
      </c>
      <c r="AV41" s="59" t="e">
        <f ca="1">_xll.ciqfunctions.udf.CIQ($A41, "IQ_EARNING_CO", IQ_LTM-4, $L$2, $L$4, $L$3, $L$5, $L$6)</f>
        <v>#NAME?</v>
      </c>
      <c r="AW41" s="59" t="e">
        <f ca="1">_xll.ciqfunctions.udf.CIQ($A41, "IQ_EARNING_CO", IQ_LTM, $L$2, $L$4, $L$3, $L$5, $L$6)</f>
        <v>#NAME?</v>
      </c>
      <c r="AX41" s="59" t="e">
        <f ca="1">_xll.ciqfunctions.udf.CIQ($A41, "IQ_EARNING_CO", $B$2, $L$2, $L$4, $L$3, $L$5, $L$6)</f>
        <v>#NAME?</v>
      </c>
      <c r="AY41" s="59" t="e">
        <f ca="1">IF(_xll.ciqfunctions.udf.CIQ($A41, "IQ_EARNING_CO", $B$3, $L$2,$L$4, $L$3, $L$5, $L$6)=0,AW41,_xll.ciqfunctions.udf.CIQ($A41, "IQ_EARNING_CO", $B$3, $L$2,$L$4, $L$3, $L$5, $L$6))</f>
        <v>#NAME?</v>
      </c>
      <c r="AZ41" s="59" t="e">
        <f ca="1">_xll.ciqfunctions.udf.CIQ($A41, "IQ_TOTAL_EQUITY", IQ_LTM-8, $L$2, $L$4, $L$3, $L$5, $L$6)</f>
        <v>#NAME?</v>
      </c>
      <c r="BA41" s="59" t="e">
        <f ca="1">_xll.ciqfunctions.udf.CIQ($A41, "IQ_TOTAL_EQUITY", IQ_LTM-4, $L$2, $L$4, $L$3, $L$5, $L$6)</f>
        <v>#NAME?</v>
      </c>
      <c r="BB41" s="59" t="e">
        <f ca="1">_xll.ciqfunctions.udf.CIQ($A41, "IQ_TOTAL_EQUITY", IQ_LTM, $L$2, $L$4, $L$3, $L$5, $L$6)</f>
        <v>#NAME?</v>
      </c>
      <c r="BC41" s="59" t="e">
        <f ca="1">_xll.ciqfunctions.udf.CIQ($A41, "IQ_TOTAL_EQUITY", $B$2, $L$2, $L$4, $L$3, $L$5, $L$6)</f>
        <v>#NAME?</v>
      </c>
      <c r="BD41" s="59" t="e">
        <f ca="1">IF(_xll.ciqfunctions.udf.CIQ($A41, "IQ_TOTAL_EQUITY", $B$3, $L$2,$L$4, $L$3, $L$5, $L$6)=0,BB41,_xll.ciqfunctions.udf.CIQ($A41, "IQ_TOTAL_EQUITY", $B$3, $L$2,$L$4, $L$3, $L$5, $L$6))</f>
        <v>#NAME?</v>
      </c>
      <c r="BE41" s="59" t="e">
        <f ca="1">_xll.ciqfunctions.udf.CIQ(A41, "IQ_LASTSALEPRICE", $B$8)</f>
        <v>#NAME?</v>
      </c>
      <c r="BF41" s="59" t="e">
        <f ca="1">_xll.ciqfunctions.udf.CIQ($A41, "IQ_MARKETCAP", $B$8, $L$5, $L$6)</f>
        <v>#NAME?</v>
      </c>
      <c r="BG41" s="59" t="e">
        <f ca="1">_xll.ciqfunctions.udf.CIQ($A41, "IQ_TOTAL_DEBT", IQ_LTM, $B$8,$L$4, $L$3, $L$5, $L$6)</f>
        <v>#NAME?</v>
      </c>
      <c r="BH41" s="45" t="e">
        <f ca="1">_xll.ciqfunctions.udf.CIQ($A41,"IQ_PREF_EQUITY",IQ_LTM,$B$8,$L$4,$L$3,$L$5,$L$6)</f>
        <v>#NAME?</v>
      </c>
      <c r="BI41" s="45" t="e">
        <f ca="1">_xll.ciqfunctions.udf.CIQ($A41, "IQ_MINORITY_INTEREST_TOTAL", IQ_LTM,$B$8,$L$4,$L$3,$L$5,$L$6)</f>
        <v>#NAME?</v>
      </c>
      <c r="BJ41" s="59" t="e">
        <f ca="1">_xll.ciqfunctions.udf.CIQ($A41, "IQ_CASH_ST_INVEST", IQ_LTM, $B$8, $L$4, $L$3, $L$5, $L$6)</f>
        <v>#NAME?</v>
      </c>
      <c r="BK41" s="45" t="e">
        <f ca="1">_xll.ciqfunctions.udf.CIQ($A41, "IQ_EFFECT_TAX_RATE")</f>
        <v>#NAME?</v>
      </c>
      <c r="BL41" s="45" t="e">
        <f ca="1">IF(_xll.ciqfunctions.udf.CIQ($A41, "IQ_TOTAL_REV_2YR_ANN_CAGR", IQ_LTM, $B$1,$L$4, $L$3, $L$5, $L$6)="NM","n/a",(_xll.ciqfunctions.udf.CIQ($A41, "IQ_TOTAL_REV_2YR_ANN_CAGR", IQ_LTM, $B$1,$L$4, $L$3, $L$5, $L$6)/100))</f>
        <v>#NAME?</v>
      </c>
      <c r="BM41" s="45" t="e">
        <f ca="1">IF(_xll.ciqfunctions.udf.CIQ($A41, "IQ_TOTAL_REV_3YR_ANN_CAGR", IQ_LTM, $B$1,$L$4, $L$3, $L$5, $L$6)="NM","n/a",(_xll.ciqfunctions.udf.CIQ($A41, "IQ_TOTAL_REV_3YR_ANN_CAGR", IQ_LTM, $B$1,$L$4, $L$3, $L$5, $L$6)/100))</f>
        <v>#NAME?</v>
      </c>
      <c r="BN41" s="45" t="e">
        <f ca="1">IF(_xll.ciqfunctions.udf.CIQ($A41, "IQ_TOTAL_REV_5YR_ANN_CAGR", IQ_LTM, $B$1,$L$4, $L$3, $L$5, $L$6)="NM","n/a",(_xll.ciqfunctions.udf.CIQ($A41, "IQ_TOTAL_REV_5YR_ANN_CAGR", IQ_LTM, $B$1,$L$4, $L$3, $L$5, $L$6)/100))</f>
        <v>#NAME?</v>
      </c>
      <c r="BO41" s="45" t="e">
        <f ca="1">IF(_xll.ciqfunctions.udf.CIQ($A41,"IQ_EBITDA_2YR_ANN_CAGR", IQ_LTM,$B$1,$L$4, $L$3, $L$5, $L$6)="NM","n/a",(_xll.ciqfunctions.udf.CIQ($A41,"IQ_EBITDA_2YR_ANN_CAGR", IQ_LTM,$B$1,$L$4, $L$3, $L$5, $L$6)/100))</f>
        <v>#NAME?</v>
      </c>
      <c r="BP41" s="45" t="e">
        <f ca="1">IF(_xll.ciqfunctions.udf.CIQ($A41,"IQ_EBITDA_3YR_ANN_CAGR", IQ_LTM,$B$1,$L$4, $L$3, $L$5, $L$6)="NM","n/a",(_xll.ciqfunctions.udf.CIQ($A41,"IQ_EBITDA_3YR_ANN_CAGR", IQ_LTM,$B$1,$L$4, $L$3, $L$5, $L$6)/100))</f>
        <v>#NAME?</v>
      </c>
      <c r="BQ41" s="45" t="e">
        <f ca="1">IF(_xll.ciqfunctions.udf.CIQ($A41,"IQ_EBITDA_5YR_ANN_CAGR", IQ_LTM,$B$1,$L$4, $L$3, $L$5, $L$6)="NM","n/a",(_xll.ciqfunctions.udf.CIQ($A41,"IQ_EBITDA_5YR_ANN_CAGR", IQ_LTM,$B$1,$L$4, $L$3, $L$5, $L$6)/100))</f>
        <v>#NAME?</v>
      </c>
      <c r="BR41" s="47" t="str">
        <f ca="1">IFERROR((_xll.ciqfunctions.udf.CIQ($A41, "IQ_DA_CF", IQ_LTM, $B$1, $L$4, $L$3, $L$5, $L$6)/Q41),"NM")</f>
        <v>NM</v>
      </c>
      <c r="BS41" s="61" t="e">
        <f>'Capital IQ Sheet-GPC'!BS41</f>
        <v>#VALUE!</v>
      </c>
      <c r="BT41" s="61" t="e">
        <f>'Capital IQ Sheet-GPC'!BT41</f>
        <v>#VALUE!</v>
      </c>
      <c r="BU41" s="61" t="e">
        <f>'Capital IQ Sheet-GPC'!BU41</f>
        <v>#VALUE!</v>
      </c>
      <c r="BV41" s="61" t="e">
        <f>'Capital IQ Sheet-GPC'!BV41</f>
        <v>#VALUE!</v>
      </c>
      <c r="BW41" s="61" t="e">
        <f>'Capital IQ Sheet-GPC'!BW41</f>
        <v>#VALUE!</v>
      </c>
      <c r="BX41" s="61" t="e">
        <f>'Capital IQ Sheet-GPC'!BX41</f>
        <v>#VALUE!</v>
      </c>
      <c r="BY41" s="61" t="e">
        <f>'Capital IQ Sheet-GPC'!BY41</f>
        <v>#VALUE!</v>
      </c>
      <c r="BZ41" s="61" t="e">
        <f>'Capital IQ Sheet-GPC'!BZ41</f>
        <v>#VALUE!</v>
      </c>
      <c r="CB41" s="45">
        <v>2</v>
      </c>
      <c r="CC41" s="85" t="s">
        <v>306</v>
      </c>
      <c r="CD41" s="85" t="s">
        <v>305</v>
      </c>
      <c r="CE41" s="46">
        <f t="shared" si="0"/>
        <v>42515</v>
      </c>
    </row>
    <row r="42" spans="1:83" s="45" customFormat="1" ht="12.75">
      <c r="A42" s="45" t="e">
        <f ca="1">_xll.ciqfunctions.udf.CIQ($B42,"IQ_COMPANY_TICKER")</f>
        <v>#NAME?</v>
      </c>
      <c r="B42" s="45" t="str">
        <f>'Capital IQ Sheet-GPC'!B42</f>
        <v>(Invalid Identifier)</v>
      </c>
      <c r="C42" s="45" t="e">
        <f ca="1">_xll.ciqfunctions.udf.CIQ($A42,"IQ_COMPANY_NAME")</f>
        <v>#NAME?</v>
      </c>
      <c r="D42" s="45" t="e">
        <f ca="1">_xll.ciqfunctions.udf.CIQ($A42, "IQ_EXCHANGE")</f>
        <v>#NAME?</v>
      </c>
      <c r="E42" s="46" t="e">
        <f ca="1">_xll.ciqfunctions.udf.CIQ($A42, "IQ_PERIODDATE_IS", IQ_FY)</f>
        <v>#NAME?</v>
      </c>
      <c r="F42" s="46" t="e">
        <f ca="1">_xll.ciqfunctions.udf.CIQ(A42, "IQ_PERIODDATE_IS", IQ_LTM, $B$1,$L$4,$L$3)</f>
        <v>#NAME?</v>
      </c>
      <c r="G42" s="46" t="e">
        <f ca="1">_xll.ciqfunctions.udf.CIQ($A42, "IQ_FIRSTPRICINGDATE")</f>
        <v>#NAME?</v>
      </c>
      <c r="H42" s="59" t="e">
        <f ca="1">_xll.ciqfunctions.udf.CIQ($A42, "IQ_TEV", $L$2, $L$5, $L$6)</f>
        <v>#NAME?</v>
      </c>
      <c r="I42" s="59" t="e">
        <f ca="1">_xll.ciqfunctions.udf.CIQ(A42, "IQ_LASTSALEPRICE", $B$1,$L$5)</f>
        <v>#NAME?</v>
      </c>
      <c r="J42" s="59" t="e">
        <f ca="1">_xll.ciqfunctions.udf.CIQ($A42, "IQ_MARKETCAP", $L$2, $L$5, $L$6)</f>
        <v>#NAME?</v>
      </c>
      <c r="K42" s="59" t="e">
        <f ca="1">_xll.ciqfunctions.udf.CIQ($A42, "IQ_TOTAL_DEBT", IQ_LTM, $L$2,$L$4, $L$3, $L$5, $L$6)</f>
        <v>#NAME?</v>
      </c>
      <c r="L42" s="59" t="e">
        <f ca="1">_xll.ciqfunctions.udf.CIQ($A42, "IQ_PREF_EQUITY", IQ_LTM, $L$2, $L$4, $L$3, $L$5, $L$6)</f>
        <v>#NAME?</v>
      </c>
      <c r="M42" s="59" t="e">
        <f ca="1">_xll.ciqfunctions.udf.CIQ($A42, "IQ_MINORITY_INTEREST_TOTAL", IQ_LTM, $L$2, $L$4, $L$3, $L$5, $L$6)</f>
        <v>#NAME?</v>
      </c>
      <c r="N42" s="59" t="e">
        <f ca="1">_xll.ciqfunctions.udf.CIQ($A42, "IQ_CASH_ST_INVEST", IQ_LTM, $L$2, $L$4, $L$3, $L$5, $L$6)</f>
        <v>#NAME?</v>
      </c>
      <c r="O42" s="59" t="e">
        <f ca="1">_xll.ciqfunctions.udf.CIQ($A42, "IQ_TOTAL_REV", IQ_LTM-8, $L$2, $L$4, $L$3, $L$5, $L$6)</f>
        <v>#NAME?</v>
      </c>
      <c r="P42" s="59" t="e">
        <f ca="1">_xll.ciqfunctions.udf.CIQ($A42, "IQ_TOTAL_REV", IQ_LTM - 4, $L$2, $L$4, $L$3, $L$5,$L$6)</f>
        <v>#NAME?</v>
      </c>
      <c r="Q42" s="59" t="e">
        <f ca="1">_xll.ciqfunctions.udf.CIQ($A42, "IQ_TOTAL_REV", IQ_LTM, $L$2, $L$4, $L$3, $L$5, $L$6)</f>
        <v>#NAME?</v>
      </c>
      <c r="R42" s="59" t="e">
        <f ca="1">_xll.ciqfunctions.udf.CIQ($A42, "IQ_TOTAL_REV", $B$2, $L$2, $L$4, $L$3, $L$5, $L$6)</f>
        <v>#NAME?</v>
      </c>
      <c r="S42" s="59" t="e">
        <f ca="1">IF(_xll.ciqfunctions.udf.CIQ($A42, "IQ_TOTAL_REV", $B$3, $L$2,$L$4, $L$3, $L$5, $L$6)=0,Q42,_xll.ciqfunctions.udf.CIQ($A42, "IQ_TOTAL_REV", $B$3, $L$2,$L$4, $L$3, $L$5, $L$6))</f>
        <v>#NAME?</v>
      </c>
      <c r="T42" s="59" t="e">
        <f ca="1">IF(_xll.ciqfunctions.udf.CIQ($A42, "IQ_REVENUE_EST",$B$4, $L$2, "CON", $L$3, $L$5, $L$6)=0,"n/a",_xll.ciqfunctions.udf.CIQ($A42, "IQ_REVENUE_EST",$B$4, $L$2, "CON", $L$3, $L$5, $L$6))</f>
        <v>#NAME?</v>
      </c>
      <c r="U42" s="59" t="e">
        <f ca="1">IF(_xll.ciqfunctions.udf.CIQ($A42, "IQ_REVENUE_EST",$B$5, $L$2, "CON", $L$3, $L$5, $L$6)=0,"n/a",_xll.ciqfunctions.udf.CIQ($A42, "IQ_REVENUE_EST",$B$5, $L$2, "CON", $L$3, $L$5, $L$6))</f>
        <v>#NAME?</v>
      </c>
      <c r="V42" s="59" t="e">
        <f ca="1">IF(_xll.ciqfunctions.udf.CIQ($A42, "IQ_REVENUE_EST",$B$6, $L$2, "CON", $L$3, $L$5, $L$6)=0,"n/a",_xll.ciqfunctions.udf.CIQ($A42, "IQ_REVENUE_EST",$B$6, $L$2, "CON", $L$3, $L$5, $L$6))</f>
        <v>#NAME?</v>
      </c>
      <c r="W42" s="59" t="e">
        <f ca="1">IF(_xll.ciqfunctions.udf.CIQ($A42, "IQ_REVENUE_EST", $B$7, $L$2, "CON", $L$3, $L$5, $L$6)=0,"n/a",_xll.ciqfunctions.udf.CIQ($A42, "IQ_REVENUE_EST",$B$7, $L$2, "CON", $L$3, $L$5, $L$6))</f>
        <v>#NAME?</v>
      </c>
      <c r="X42" s="59" t="e">
        <f ca="1">_xll.ciqfunctions.udf.CIQ($A42, "IQ_EBITDA", IQ_LTM-8, $L$2, $L$4, $L$3, $L$5, $L$6)</f>
        <v>#NAME?</v>
      </c>
      <c r="Y42" s="59" t="e">
        <f ca="1">_xll.ciqfunctions.udf.CIQ($A42, "IQ_EBITDA", IQ_LTM-4, $L$2,$L$4, $L$3, $L$5, $L$6)</f>
        <v>#NAME?</v>
      </c>
      <c r="Z42" s="59" t="e">
        <f ca="1">_xll.ciqfunctions.udf.CIQ($A42, "IQ_EBITDA", IQ_LTM, $L$2, $L$4, $L$3, $L$5, $L$6)</f>
        <v>#NAME?</v>
      </c>
      <c r="AA42" s="59" t="e">
        <f ca="1">_xll.ciqfunctions.udf.CIQ($A42, "IQ_EBITDA", $B$2, $L$2, $L$4, $L$3, $L$5, $L$6)</f>
        <v>#NAME?</v>
      </c>
      <c r="AB42" s="59" t="e">
        <f ca="1">IF(_xll.ciqfunctions.udf.CIQ($A42, "IQ_EBITDA", $B$3, $L$2,$L$4, $L$3, $L$5, $L$6)=0,Z42,_xll.ciqfunctions.udf.CIQ($A42, "IQ_EBITDA", $B$3, $L$2,$L$4, $L$3, $L$5, $L$6))</f>
        <v>#NAME?</v>
      </c>
      <c r="AC42" s="59" t="e">
        <f ca="1">IF(_xll.ciqfunctions.udf.CIQ($A42, "IQ_EBITDA_EST",$B$4, $L$2, "CON", $L$3, $L$5, $L$6)=0,"n/a",_xll.ciqfunctions.udf.CIQ($A42, "IQ_EBITDA_EST",$B$4, $L$2, "CON", $L$3, $L$5, $L$6))</f>
        <v>#NAME?</v>
      </c>
      <c r="AD42" s="59" t="e">
        <f ca="1">IF(_xll.ciqfunctions.udf.CIQ($A42, "IQ_EBITDA_EST",$B$5, $L$2, "CON", $L$3, $L$5, $L$6)=0,"n/a",_xll.ciqfunctions.udf.CIQ($A42, "IQ_EBITDA_EST",$B$5, $L$2, "CON", $L$3, $L$5, $L$6))</f>
        <v>#NAME?</v>
      </c>
      <c r="AE42" s="59" t="e">
        <f ca="1">IF(_xll.ciqfunctions.udf.CIQ($A42, "IQ_EBITDA_EST",$B$6, $L$2, "CON", $L$3, $L$5, $L$6)=0,"n/a",_xll.ciqfunctions.udf.CIQ($A42, "IQ_EBITDA_EST",$B$6, $L$2, "CON", $L$3, $L$5, $L$6))</f>
        <v>#NAME?</v>
      </c>
      <c r="AF42" s="47" t="str">
        <f ca="1">IF(ISERROR(_xll.ciqfunctions.udf.CIQ($A42, "IQ_GROSS_MARGIN", IQ_LTM, $L$2,$L$4, $L$3, $L$5, $L$6)/100), "n/a", _xll.ciqfunctions.udf.CIQ($A42,  "IQ_GROSS_MARGIN", IQ_LTM, $L$2, $L$4, $L$3, $L$5, $L$6)/100)</f>
        <v>n/a</v>
      </c>
      <c r="AG42" s="47" t="str">
        <f ca="1">IF(ISERROR(_xll.ciqfunctions.udf.CIQ($A42,"IQ_EBITDA_MARGIN", IQ_LTM, $L$2, $L$4, $L$3, $L$5, $L$6)/100), "n/a", _xll.ciqfunctions.udf.CIQ($A42, "IQ_EBITDA_MARGIN", IQ_LTM, $L$2, $L$4, $L$3, $L$5, $L$6)/100)</f>
        <v>n/a</v>
      </c>
      <c r="AH42" s="47" t="str">
        <f ca="1">IF(ISERROR(_xll.ciqfunctions.udf.CIQ($A42,"IQ_EBIT_MARGIN", IQ_LTM, $L$2, $L$4, $L$3, $L$5, $L$6)/100), "n/a", _xll.ciqfunctions.udf.CIQ($A42, "IQ_EBIT_MARGIN", IQ_LTM, $L$2, $L$4, $L$3, $L$5, $L$6)/100)</f>
        <v>n/a</v>
      </c>
      <c r="AI42" s="47" t="str">
        <f ca="1">IF(ISERROR(_xll.ciqfunctions.udf.CIQ($A42,"IQ_NI_MARGIN", IQ_LTM, $L$2, $L$4, $L$3, $L$5, $L$6)/100), "n/a", _xll.ciqfunctions.udf.CIQ($A42, "IQ_NI_MARGIN", IQ_LTM, $L$2, $L$4, $L$3, $L$5, $L$6)/100)</f>
        <v>n/a</v>
      </c>
      <c r="AJ42" s="59" t="str">
        <f ca="1">IF(ISERROR(_xll.ciqfunctions.udf.CIQ($A42, "IQ_NET_WORKING_CAP", IQ_LTM-8, $L$2, $L$4, $L$3, $L$5, $L$6)), "n/a", _xll.ciqfunctions.udf.CIQ($A42, "IQ_NET_WORKING_CAP", IQ_LTM-8, $L$2, $L$4, $L$3, $L$5, $L$6))</f>
        <v>n/a</v>
      </c>
      <c r="AK42" s="59" t="str">
        <f ca="1">IF(ISERROR(_xll.ciqfunctions.udf.CIQ($A42, "IQ_NET_WORKING_CAP", IQ_LTM-4, $L$2, $L$4, $L$3, $L$5, $L$6)), "n/a", _xll.ciqfunctions.udf.CIQ($A42, "IQ_NET_WORKING_CAP", IQ_LTM-4, $L$2, $L$4, $L$3, $L$5, $L$6))</f>
        <v>n/a</v>
      </c>
      <c r="AL42" s="59" t="str">
        <f ca="1">IF(ISERROR(_xll.ciqfunctions.udf.CIQ($A42, "IQ_NET_WORKING_CAP", IQ_LTM, $L$2,$L$4, $L$3, $L$5, $L$6)), "n/a", _xll.ciqfunctions.udf.CIQ($A42, "IQ_NET_WORKING_CAP", IQ_LTM, $L$2, $L$4, $L$3, $L$5, $L$6))</f>
        <v>n/a</v>
      </c>
      <c r="AM42" s="59" t="str">
        <f ca="1">IF(ISERROR(_xll.ciqfunctions.udf.CIQ($A42, "IQ_Capex", IQ_LTM-8, $L$2,$L$4, $L$3, $L$5, $L$6)), "n/a", _xll.ciqfunctions.udf.CIQ($A42, "IQ_Capex", IQ_LTM-8, $L$2, $L$4, $L$3, $L$5, $L$6))</f>
        <v>n/a</v>
      </c>
      <c r="AN42" s="59" t="str">
        <f ca="1">IF(ISERROR(_xll.ciqfunctions.udf.CIQ($A42, "IQ_Capex", IQ_LTM-4, $L$2,$L$4, $L$3, $L$5, $L$6)), "n/a", _xll.ciqfunctions.udf.CIQ($A42, "IQ_Capex", IQ_LTM-4, $L$2,$L$4, $L$3, $L$5, $L$6))</f>
        <v>n/a</v>
      </c>
      <c r="AO42" s="59" t="str">
        <f ca="1">IF(ISERROR(_xll.ciqfunctions.udf.CIQ($A42, "IQ_Capex", IQ_LTM, $L$2, $L$4, $L$3, $L$5, $L$6)), "n/a", _xll.ciqfunctions.udf.CIQ($A42, "IQ_Capex", IQ_LTM, $L$2, $L$4, $L$3, $L$5, $L$6))</f>
        <v>n/a</v>
      </c>
      <c r="AP42" s="44" t="e">
        <f ca="1">_xll.ciqfunctions.udf.CIQ(A42, "IQ_BUSINESS_DESCRIPTION")</f>
        <v>#NAME?</v>
      </c>
      <c r="AQ42" s="60" t="e">
        <f ca="1">_xll.ciqfunctions.udf.CIQ($A42, "IQ_BETA_1YR", $B$1)</f>
        <v>#NAME?</v>
      </c>
      <c r="AR42" s="60" t="e">
        <f ca="1">_xll.ciqfunctions.udf.CIQ($A42, "IQ_BETA_2YR", $B$1)</f>
        <v>#NAME?</v>
      </c>
      <c r="AS42" s="60" t="e">
        <f ca="1">_xll.ciqfunctions.udf.CIQ($A42, "IQ_BETA_5YR", $B$1)</f>
        <v>#NAME?</v>
      </c>
      <c r="AT42" s="47" t="e">
        <f ca="1">_xll.ciqfunctions.udf.CIQ($A42, "IQ_DIVIDEND_YIELD", $B$1)/100</f>
        <v>#NAME?</v>
      </c>
      <c r="AU42" s="59" t="e">
        <f ca="1">_xll.ciqfunctions.udf.CIQ($A42, "IQ_EARNING_CO", IQ_LTM-8, $L$2, $L$4, $L$3, $L$5, $L$6)</f>
        <v>#NAME?</v>
      </c>
      <c r="AV42" s="59" t="e">
        <f ca="1">_xll.ciqfunctions.udf.CIQ($A42, "IQ_EARNING_CO", IQ_LTM-4, $L$2, $L$4, $L$3, $L$5, $L$6)</f>
        <v>#NAME?</v>
      </c>
      <c r="AW42" s="59" t="e">
        <f ca="1">_xll.ciqfunctions.udf.CIQ($A42, "IQ_EARNING_CO", IQ_LTM, $L$2, $L$4, $L$3, $L$5, $L$6)</f>
        <v>#NAME?</v>
      </c>
      <c r="AX42" s="59" t="e">
        <f ca="1">_xll.ciqfunctions.udf.CIQ($A42, "IQ_EARNING_CO", $B$2, $L$2, $L$4, $L$3, $L$5, $L$6)</f>
        <v>#NAME?</v>
      </c>
      <c r="AY42" s="59" t="e">
        <f ca="1">IF(_xll.ciqfunctions.udf.CIQ($A42, "IQ_EARNING_CO", $B$3, $L$2,$L$4, $L$3, $L$5, $L$6)=0,AW42,_xll.ciqfunctions.udf.CIQ($A42, "IQ_EARNING_CO", $B$3, $L$2,$L$4, $L$3, $L$5, $L$6))</f>
        <v>#NAME?</v>
      </c>
      <c r="AZ42" s="59" t="e">
        <f ca="1">_xll.ciqfunctions.udf.CIQ($A42, "IQ_TOTAL_EQUITY", IQ_LTM-8, $L$2, $L$4, $L$3, $L$5, $L$6)</f>
        <v>#NAME?</v>
      </c>
      <c r="BA42" s="59" t="e">
        <f ca="1">_xll.ciqfunctions.udf.CIQ($A42, "IQ_TOTAL_EQUITY", IQ_LTM-4, $L$2, $L$4, $L$3, $L$5, $L$6)</f>
        <v>#NAME?</v>
      </c>
      <c r="BB42" s="59" t="e">
        <f ca="1">_xll.ciqfunctions.udf.CIQ($A42, "IQ_TOTAL_EQUITY", IQ_LTM, $L$2, $L$4, $L$3, $L$5, $L$6)</f>
        <v>#NAME?</v>
      </c>
      <c r="BC42" s="59" t="e">
        <f ca="1">_xll.ciqfunctions.udf.CIQ($A42, "IQ_TOTAL_EQUITY", $B$2, $L$2, $L$4, $L$3, $L$5, $L$6)</f>
        <v>#NAME?</v>
      </c>
      <c r="BD42" s="59" t="e">
        <f ca="1">IF(_xll.ciqfunctions.udf.CIQ($A42, "IQ_TOTAL_EQUITY", $B$3, $L$2,$L$4, $L$3, $L$5, $L$6)=0,BB42,_xll.ciqfunctions.udf.CIQ($A42, "IQ_TOTAL_EQUITY", $B$3, $L$2,$L$4, $L$3, $L$5, $L$6))</f>
        <v>#NAME?</v>
      </c>
      <c r="BE42" s="59" t="e">
        <f ca="1">_xll.ciqfunctions.udf.CIQ(A42, "IQ_LASTSALEPRICE", $B$8)</f>
        <v>#NAME?</v>
      </c>
      <c r="BF42" s="59" t="e">
        <f ca="1">_xll.ciqfunctions.udf.CIQ($A42, "IQ_MARKETCAP", $B$8, $L$5, $L$6)</f>
        <v>#NAME?</v>
      </c>
      <c r="BG42" s="59" t="e">
        <f ca="1">_xll.ciqfunctions.udf.CIQ($A42, "IQ_TOTAL_DEBT", IQ_LTM, $B$8,$L$4, $L$3, $L$5, $L$6)</f>
        <v>#NAME?</v>
      </c>
      <c r="BH42" s="45" t="e">
        <f ca="1">_xll.ciqfunctions.udf.CIQ($A42,"IQ_PREF_EQUITY",IQ_LTM,$B$8,$L$4,$L$3,$L$5,$L$6)</f>
        <v>#NAME?</v>
      </c>
      <c r="BI42" s="45" t="e">
        <f ca="1">_xll.ciqfunctions.udf.CIQ($A42, "IQ_MINORITY_INTEREST_TOTAL", IQ_LTM,$B$8,$L$4,$L$3,$L$5,$L$6)</f>
        <v>#NAME?</v>
      </c>
      <c r="BJ42" s="59" t="e">
        <f ca="1">_xll.ciqfunctions.udf.CIQ($A42, "IQ_CASH_ST_INVEST", IQ_LTM, $B$8, $L$4, $L$3, $L$5, $L$6)</f>
        <v>#NAME?</v>
      </c>
      <c r="BK42" s="45" t="e">
        <f ca="1">_xll.ciqfunctions.udf.CIQ($A42, "IQ_EFFECT_TAX_RATE")</f>
        <v>#NAME?</v>
      </c>
      <c r="BL42" s="45" t="e">
        <f ca="1">IF(_xll.ciqfunctions.udf.CIQ($A42, "IQ_TOTAL_REV_2YR_ANN_CAGR", IQ_LTM, $B$1,$L$4, $L$3, $L$5, $L$6)="NM","n/a",(_xll.ciqfunctions.udf.CIQ($A42, "IQ_TOTAL_REV_2YR_ANN_CAGR", IQ_LTM, $B$1,$L$4, $L$3, $L$5, $L$6)/100))</f>
        <v>#NAME?</v>
      </c>
      <c r="BM42" s="45" t="e">
        <f ca="1">IF(_xll.ciqfunctions.udf.CIQ($A42, "IQ_TOTAL_REV_3YR_ANN_CAGR", IQ_LTM, $B$1,$L$4, $L$3, $L$5, $L$6)="NM","n/a",(_xll.ciqfunctions.udf.CIQ($A42, "IQ_TOTAL_REV_3YR_ANN_CAGR", IQ_LTM, $B$1,$L$4, $L$3, $L$5, $L$6)/100))</f>
        <v>#NAME?</v>
      </c>
      <c r="BN42" s="45" t="e">
        <f ca="1">IF(_xll.ciqfunctions.udf.CIQ($A42, "IQ_TOTAL_REV_5YR_ANN_CAGR", IQ_LTM, $B$1,$L$4, $L$3, $L$5, $L$6)="NM","n/a",(_xll.ciqfunctions.udf.CIQ($A42, "IQ_TOTAL_REV_5YR_ANN_CAGR", IQ_LTM, $B$1,$L$4, $L$3, $L$5, $L$6)/100))</f>
        <v>#NAME?</v>
      </c>
      <c r="BO42" s="45" t="e">
        <f ca="1">IF(_xll.ciqfunctions.udf.CIQ($A42,"IQ_EBITDA_2YR_ANN_CAGR", IQ_LTM,$B$1,$L$4, $L$3, $L$5, $L$6)="NM","n/a",(_xll.ciqfunctions.udf.CIQ($A42,"IQ_EBITDA_2YR_ANN_CAGR", IQ_LTM,$B$1,$L$4, $L$3, $L$5, $L$6)/100))</f>
        <v>#NAME?</v>
      </c>
      <c r="BP42" s="45" t="e">
        <f ca="1">IF(_xll.ciqfunctions.udf.CIQ($A42,"IQ_EBITDA_3YR_ANN_CAGR", IQ_LTM,$B$1,$L$4, $L$3, $L$5, $L$6)="NM","n/a",(_xll.ciqfunctions.udf.CIQ($A42,"IQ_EBITDA_3YR_ANN_CAGR", IQ_LTM,$B$1,$L$4, $L$3, $L$5, $L$6)/100))</f>
        <v>#NAME?</v>
      </c>
      <c r="BQ42" s="45" t="e">
        <f ca="1">IF(_xll.ciqfunctions.udf.CIQ($A42,"IQ_EBITDA_5YR_ANN_CAGR", IQ_LTM,$B$1,$L$4, $L$3, $L$5, $L$6)="NM","n/a",(_xll.ciqfunctions.udf.CIQ($A42,"IQ_EBITDA_5YR_ANN_CAGR", IQ_LTM,$B$1,$L$4, $L$3, $L$5, $L$6)/100))</f>
        <v>#NAME?</v>
      </c>
      <c r="BR42" s="47" t="str">
        <f ca="1">IFERROR((_xll.ciqfunctions.udf.CIQ($A42, "IQ_DA_CF", IQ_LTM, $B$1, $L$4, $L$3, $L$5, $L$6)/Q42),"NM")</f>
        <v>NM</v>
      </c>
      <c r="BS42" s="61" t="e">
        <f>'Capital IQ Sheet-GPC'!BS42</f>
        <v>#VALUE!</v>
      </c>
      <c r="BT42" s="61" t="e">
        <f>'Capital IQ Sheet-GPC'!BT42</f>
        <v>#VALUE!</v>
      </c>
      <c r="BU42" s="61" t="e">
        <f>'Capital IQ Sheet-GPC'!BU42</f>
        <v>#VALUE!</v>
      </c>
      <c r="BV42" s="61" t="e">
        <f>'Capital IQ Sheet-GPC'!BV42</f>
        <v>#VALUE!</v>
      </c>
      <c r="BW42" s="61" t="e">
        <f>'Capital IQ Sheet-GPC'!BW42</f>
        <v>#VALUE!</v>
      </c>
      <c r="BX42" s="61" t="e">
        <f>'Capital IQ Sheet-GPC'!BX42</f>
        <v>#VALUE!</v>
      </c>
      <c r="BY42" s="61" t="e">
        <f>'Capital IQ Sheet-GPC'!BY42</f>
        <v>#VALUE!</v>
      </c>
      <c r="BZ42" s="61" t="e">
        <f>'Capital IQ Sheet-GPC'!BZ42</f>
        <v>#VALUE!</v>
      </c>
      <c r="CB42" s="45">
        <v>2</v>
      </c>
      <c r="CC42" s="85" t="s">
        <v>306</v>
      </c>
      <c r="CD42" s="85" t="s">
        <v>305</v>
      </c>
      <c r="CE42" s="46">
        <f t="shared" si="0"/>
        <v>42515</v>
      </c>
    </row>
    <row r="43" spans="1:83">
      <c r="A43" s="58" t="str">
        <f>'Capital IQ Sheet-GPC'!A43</f>
        <v>Comparable Public Companies (Secondary)</v>
      </c>
      <c r="B43" s="45"/>
      <c r="E43" s="46"/>
      <c r="F43" s="46"/>
      <c r="G43" s="46"/>
      <c r="H43" s="59"/>
      <c r="I43" s="59"/>
      <c r="K43" s="59"/>
      <c r="M43" s="59"/>
      <c r="N43" s="59"/>
      <c r="O43" s="59"/>
      <c r="P43" s="59"/>
      <c r="Q43" s="59"/>
      <c r="R43" s="59"/>
      <c r="S43" s="59"/>
      <c r="U43" s="59"/>
      <c r="V43" s="59"/>
      <c r="W43" s="59"/>
      <c r="X43" s="59"/>
      <c r="Y43" s="59"/>
      <c r="Z43" s="59"/>
      <c r="AA43" s="59"/>
      <c r="AB43" s="59"/>
      <c r="AC43" s="59"/>
      <c r="AE43" s="59"/>
      <c r="AF43" s="47"/>
      <c r="AG43" s="47"/>
      <c r="AH43" s="47"/>
      <c r="AI43" s="47"/>
      <c r="AJ43" s="59"/>
      <c r="AK43" s="59"/>
      <c r="AL43" s="59"/>
      <c r="AM43" s="59"/>
      <c r="AN43" s="59"/>
      <c r="AO43" s="59"/>
      <c r="AP43" s="44"/>
      <c r="AQ43" s="60"/>
      <c r="AR43" s="60"/>
      <c r="AS43" s="60"/>
      <c r="AU43" s="59"/>
      <c r="AV43" s="59"/>
      <c r="AW43" s="59"/>
      <c r="AX43" s="59"/>
      <c r="AY43" s="59"/>
      <c r="AZ43" s="59"/>
      <c r="BA43" s="59"/>
      <c r="BB43" s="59"/>
      <c r="BC43" s="59"/>
      <c r="BD43" s="59"/>
      <c r="BE43" s="59"/>
      <c r="BF43" s="59"/>
      <c r="BG43" s="59"/>
      <c r="BH43" s="42"/>
      <c r="BI43" s="42"/>
      <c r="BJ43" s="59"/>
      <c r="BK43" s="42"/>
      <c r="BL43" s="42"/>
      <c r="BM43" s="42"/>
      <c r="BN43" s="42"/>
      <c r="BO43" s="42"/>
      <c r="BP43" s="42"/>
      <c r="BQ43" s="42"/>
      <c r="BR43" s="42"/>
      <c r="BS43" s="42"/>
      <c r="BT43" s="42"/>
      <c r="BU43" s="42"/>
      <c r="BV43" s="42"/>
      <c r="BW43" s="42"/>
      <c r="BX43" s="42"/>
      <c r="BY43" s="42"/>
      <c r="BZ43" s="42"/>
    </row>
    <row r="44" spans="1:83">
      <c r="A44" s="45" t="e">
        <f ca="1">_xll.ciqfunctions.udf.CIQ($B44,"IQ_COMPANY_TICKER")</f>
        <v>#NAME?</v>
      </c>
      <c r="B44" s="45" t="str">
        <f>'Capital IQ Sheet-GPC'!B44</f>
        <v>IQ426471</v>
      </c>
      <c r="C44" s="45" t="e">
        <f ca="1">_xll.ciqfunctions.udf.CIQ($A44,"IQ_COMPANY_NAME")</f>
        <v>#NAME?</v>
      </c>
      <c r="D44" s="45" t="e">
        <f ca="1">_xll.ciqfunctions.udf.CIQ($A44, "IQ_EXCHANGE")</f>
        <v>#NAME?</v>
      </c>
      <c r="E44" s="46" t="e">
        <f ca="1">_xll.ciqfunctions.udf.CIQ($A44, "IQ_PERIODDATE_IS", IQ_FY)</f>
        <v>#NAME?</v>
      </c>
      <c r="F44" s="46" t="e">
        <f ca="1">_xll.ciqfunctions.udf.CIQ(A44, "IQ_PERIODDATE_IS", IQ_LTM, $B$1,$L$4,$L$3)</f>
        <v>#NAME?</v>
      </c>
      <c r="G44" s="46" t="e">
        <f ca="1">_xll.ciqfunctions.udf.CIQ($A44, "IQ_FIRSTPRICINGDATE")</f>
        <v>#NAME?</v>
      </c>
      <c r="H44" s="59" t="e">
        <f ca="1">_xll.ciqfunctions.udf.CIQ($A44, "IQ_TEV", $L$2, $L$5, $L$6)</f>
        <v>#NAME?</v>
      </c>
      <c r="I44" s="59" t="e">
        <f ca="1">_xll.ciqfunctions.udf.CIQ(A44, "IQ_LASTSALEPRICE", $B$1,$L$5)</f>
        <v>#NAME?</v>
      </c>
      <c r="J44" s="46" t="e">
        <f ca="1">_xll.ciqfunctions.udf.CIQ($B44, "IQ_FIRSTPRICINGDATE")</f>
        <v>#NAME?</v>
      </c>
      <c r="K44" s="59" t="e">
        <f ca="1">_xll.ciqfunctions.udf.CIQ($A44, "IQ_TOTAL_DEBT", IQ_LTM, $L$2,$L$4, $L$3, $L$5, $L$6)</f>
        <v>#NAME?</v>
      </c>
      <c r="L44" s="59" t="e">
        <f ca="1">_xll.ciqfunctions.udf.CIQ($A44, "IQ_PREF_EQUITY", IQ_LTM, $L$2, $L$4, $L$3, $L$5, $L$6)</f>
        <v>#NAME?</v>
      </c>
      <c r="M44" s="59" t="e">
        <f ca="1">_xll.ciqfunctions.udf.CIQ($A44, "IQ_MINORITY_INTEREST_TOTAL", IQ_LTM, $L$2, $L$4, $L$3, $L$5, $L$6)</f>
        <v>#NAME?</v>
      </c>
      <c r="N44" s="59" t="e">
        <f ca="1">_xll.ciqfunctions.udf.CIQ($A44, "IQ_CASH_ST_INVEST", IQ_LTM, $L$2, $L$4, $L$3, $L$5, $L$6)</f>
        <v>#NAME?</v>
      </c>
      <c r="O44" s="59" t="e">
        <f ca="1">_xll.ciqfunctions.udf.CIQ($A44, "IQ_TOTAL_REV", IQ_LTM-8, $L$2, $L$4, $L$3, $L$5, $L$6)</f>
        <v>#NAME?</v>
      </c>
      <c r="P44" s="59" t="e">
        <f ca="1">_xll.ciqfunctions.udf.CIQ($A44, "IQ_TOTAL_REV", IQ_LTM - 4, $L$2, $L$4, $L$3, $L$5,$L$6)</f>
        <v>#NAME?</v>
      </c>
      <c r="Q44" s="59" t="e">
        <f ca="1">_xll.ciqfunctions.udf.CIQ($A44, "IQ_TOTAL_REV", IQ_LTM, $L$2, $L$4, $L$3, $L$5, $L$6)</f>
        <v>#NAME?</v>
      </c>
      <c r="R44" s="59" t="e">
        <f ca="1">_xll.ciqfunctions.udf.CIQ($A44, "IQ_TOTAL_REV", $B$2, $L$2, $L$4, $L$3, $L$5, $L$6)</f>
        <v>#NAME?</v>
      </c>
      <c r="S44" s="59" t="e">
        <f ca="1">IF(_xll.ciqfunctions.udf.CIQ($A44, "IQ_TOTAL_REV", $B$3, $L$2,$L$4, $L$3, $L$5, $L$6)=0,Q44,_xll.ciqfunctions.udf.CIQ($A44, "IQ_TOTAL_REV", $B$3, $L$2,$L$4, $L$3, $L$5, $L$6))</f>
        <v>#NAME?</v>
      </c>
      <c r="T44" s="59" t="e">
        <f ca="1">IF(_xll.ciqfunctions.udf.CIQ($A44, "IQ_REVENUE_EST",$B$4, $L$2, "CON", $L$3, $L$5, $L$6)=0,"n/a",_xll.ciqfunctions.udf.CIQ($A44, "IQ_REVENUE_EST",$B$4, $L$2, "CON", $L$3, $L$5, $L$6))</f>
        <v>#NAME?</v>
      </c>
      <c r="U44" s="59" t="e">
        <f ca="1">IF(_xll.ciqfunctions.udf.CIQ($A44, "IQ_REVENUE_EST",$B$5, $L$2, "CON", $L$3, $L$5, $L$6)=0,"n/a",_xll.ciqfunctions.udf.CIQ($A44, "IQ_REVENUE_EST",$B$5, $L$2, "CON", $L$3, $L$5, $L$6))</f>
        <v>#NAME?</v>
      </c>
      <c r="V44" s="59" t="e">
        <f ca="1">IF(_xll.ciqfunctions.udf.CIQ($A44, "IQ_REVENUE_EST",$B$6, $L$2, "CON", $L$3, $L$5, $L$6)=0,"n/a",_xll.ciqfunctions.udf.CIQ($A44, "IQ_REVENUE_EST",$B$6, $L$2, "CON", $L$3, $L$5, $L$6))</f>
        <v>#NAME?</v>
      </c>
      <c r="W44" s="59" t="e">
        <f ca="1">IF(_xll.ciqfunctions.udf.CIQ($A44, "IQ_REVENUE_EST", $B$7, $L$2, "CON", $L$3, $L$5, $L$6)=0,"n/a",_xll.ciqfunctions.udf.CIQ($A44, "IQ_REVENUE_EST",$B$7, $L$2, "CON", $L$3, $L$5, $L$6))</f>
        <v>#NAME?</v>
      </c>
      <c r="X44" s="59" t="e">
        <f ca="1">_xll.ciqfunctions.udf.CIQ($A44, "IQ_EBITDA", IQ_LTM-8, $L$2, $L$4, $L$3, $L$5, $L$6)</f>
        <v>#NAME?</v>
      </c>
      <c r="Y44" s="59" t="e">
        <f ca="1">_xll.ciqfunctions.udf.CIQ($A44, "IQ_EBITDA", IQ_LTM-4, $L$2,$L$4, $L$3, $L$5, $L$6)</f>
        <v>#NAME?</v>
      </c>
      <c r="Z44" s="59" t="e">
        <f ca="1">_xll.ciqfunctions.udf.CIQ($A44, "IQ_EBITDA", IQ_LTM, $L$2, $L$4, $L$3, $L$5, $L$6)</f>
        <v>#NAME?</v>
      </c>
      <c r="AA44" s="59" t="e">
        <f ca="1">_xll.ciqfunctions.udf.CIQ($A44, "IQ_EBITDA", $B$2, $L$2, $L$4, $L$3, $L$5, $L$6)</f>
        <v>#NAME?</v>
      </c>
      <c r="AB44" s="59" t="e">
        <f ca="1">IF(_xll.ciqfunctions.udf.CIQ($A44, "IQ_EBITDA", $B$3, $L$2,$L$4, $L$3, $L$5, $L$6)=0,Z44,_xll.ciqfunctions.udf.CIQ($A44, "IQ_EBITDA", $B$3, $L$2,$L$4, $L$3, $L$5, $L$6))</f>
        <v>#NAME?</v>
      </c>
      <c r="AC44" s="59" t="e">
        <f ca="1">IF(_xll.ciqfunctions.udf.CIQ($A44, "IQ_EBITDA_EST",$B$4, $L$2, "CON", $L$3, $L$5, $L$6)=0,"n/a",_xll.ciqfunctions.udf.CIQ($A44, "IQ_EBITDA_EST",$B$4, $L$2, "CON", $L$3, $L$5, $L$6))</f>
        <v>#NAME?</v>
      </c>
      <c r="AD44" s="45" t="e">
        <f ca="1">IF(_xll.ciqfunctions.udf.CIQ($A44, "IQ_EBITDA_EST",$B$5, $L$2, "CON", $L$3, $L$5, $L$6)=0,"n/a",_xll.ciqfunctions.udf.CIQ($A44, "IQ_EBITDA_EST",$B$5, $L$2, "CON", $L$3, $L$5, $L$6))</f>
        <v>#NAME?</v>
      </c>
      <c r="AE44" s="59" t="e">
        <f ca="1">IF(_xll.ciqfunctions.udf.CIQ($A44, "IQ_EBITDA_EST",$B$6, $L$2, "CON", $L$3, $L$5, $L$6)=0,"n/a",_xll.ciqfunctions.udf.CIQ($A44, "IQ_EBITDA_EST",$B$6, $L$2, "CON", $L$3, $L$5, $L$6))</f>
        <v>#NAME?</v>
      </c>
      <c r="AF44" s="47" t="str">
        <f ca="1">IF(ISERROR(_xll.ciqfunctions.udf.CIQ($A44, "IQ_GROSS_MARGIN", IQ_LTM, $L$2,$L$4, $L$3, $L$5, $L$6)/100), "n/a", _xll.ciqfunctions.udf.CIQ($A44,  "IQ_GROSS_MARGIN", IQ_LTM, $L$2, $L$4, $L$3, $L$5, $L$6)/100)</f>
        <v>n/a</v>
      </c>
      <c r="AG44" s="47" t="str">
        <f ca="1">IF(ISERROR(_xll.ciqfunctions.udf.CIQ($A44,"IQ_EBITDA_MARGIN", IQ_LTM, $L$2, $L$4, $L$3, $L$5, $L$6)/100), "n/a", _xll.ciqfunctions.udf.CIQ($A44, "IQ_EBITDA_MARGIN", IQ_LTM, $L$2, $L$4, $L$3, $L$5, $L$6)/100)</f>
        <v>n/a</v>
      </c>
      <c r="AH44" s="47" t="str">
        <f ca="1">IF(ISERROR(_xll.ciqfunctions.udf.CIQ($A44,"IQ_EBIT_MARGIN", IQ_LTM, $L$2, $L$4, $L$3, $L$5, $L$6)/100), "n/a", _xll.ciqfunctions.udf.CIQ($A44, "IQ_EBIT_MARGIN", IQ_LTM, $L$2, $L$4, $L$3, $L$5, $L$6)/100)</f>
        <v>n/a</v>
      </c>
      <c r="AI44" s="47" t="str">
        <f ca="1">IF(ISERROR(_xll.ciqfunctions.udf.CIQ($A44,"IQ_NI_MARGIN", IQ_LTM, $L$2, $L$4, $L$3, $L$5, $L$6)/100), "n/a", _xll.ciqfunctions.udf.CIQ($A44, "IQ_NI_MARGIN", IQ_LTM, $L$2, $L$4, $L$3, $L$5, $L$6)/100)</f>
        <v>n/a</v>
      </c>
      <c r="AJ44" s="59" t="str">
        <f ca="1">IF(ISERROR(_xll.ciqfunctions.udf.CIQ($A44, "IQ_NET_WORKING_CAP", IQ_LTM-8, $L$2, $L$4, $L$3, $L$5, $L$6)), "n/a", _xll.ciqfunctions.udf.CIQ($A44, "IQ_NET_WORKING_CAP", IQ_LTM-8, $L$2, $L$4, $L$3, $L$5, $L$6))</f>
        <v>n/a</v>
      </c>
      <c r="AK44" s="59" t="str">
        <f ca="1">IF(ISERROR(_xll.ciqfunctions.udf.CIQ($A44, "IQ_NET_WORKING_CAP", IQ_LTM-4, $L$2, $L$4, $L$3, $L$5, $L$6)), "n/a", _xll.ciqfunctions.udf.CIQ($A44, "IQ_NET_WORKING_CAP", IQ_LTM-4, $L$2, $L$4, $L$3, $L$5, $L$6))</f>
        <v>n/a</v>
      </c>
      <c r="AL44" s="59" t="str">
        <f ca="1">IF(ISERROR(_xll.ciqfunctions.udf.CIQ($A44, "IQ_NET_WORKING_CAP", IQ_LTM, $L$2,$L$4, $L$3, $L$5, $L$6)), "n/a", _xll.ciqfunctions.udf.CIQ($A44, "IQ_NET_WORKING_CAP", IQ_LTM, $L$2, $L$4, $L$3, $L$5, $L$6))</f>
        <v>n/a</v>
      </c>
      <c r="AM44" s="59" t="str">
        <f ca="1">IF(ISERROR(_xll.ciqfunctions.udf.CIQ($A44, "IQ_Capex", IQ_LTM-8, $L$2,$L$4, $L$3, $L$5, $L$6)), "n/a", _xll.ciqfunctions.udf.CIQ($A44, "IQ_Capex", IQ_LTM-8, $L$2, $L$4, $L$3, $L$5, $L$6))</f>
        <v>n/a</v>
      </c>
      <c r="AN44" s="59" t="str">
        <f ca="1">IF(ISERROR(_xll.ciqfunctions.udf.CIQ($A44, "IQ_Capex", IQ_LTM-4, $L$2,$L$4, $L$3, $L$5, $L$6)), "n/a", _xll.ciqfunctions.udf.CIQ($A44, "IQ_Capex", IQ_LTM-4, $L$2,$L$4, $L$3, $L$5, $L$6))</f>
        <v>n/a</v>
      </c>
      <c r="AO44" s="59" t="str">
        <f ca="1">IF(ISERROR(_xll.ciqfunctions.udf.CIQ($A44, "IQ_Capex", IQ_LTM, $L$2, $L$4, $L$3, $L$5, $L$6)), "n/a", _xll.ciqfunctions.udf.CIQ($A44, "IQ_Capex", IQ_LTM, $L$2, $L$4, $L$3, $L$5, $L$6))</f>
        <v>n/a</v>
      </c>
      <c r="AP44" s="44" t="e">
        <f ca="1">_xll.ciqfunctions.udf.CIQ(A44, "IQ_BUSINESS_DESCRIPTION")</f>
        <v>#NAME?</v>
      </c>
      <c r="AQ44" s="60" t="e">
        <f ca="1">_xll.ciqfunctions.udf.CIQ($A44, "IQ_BETA_1YR", $B$1)</f>
        <v>#NAME?</v>
      </c>
      <c r="AR44" s="60" t="e">
        <f ca="1">_xll.ciqfunctions.udf.CIQ($A44, "IQ_BETA_2YR", $B$1)</f>
        <v>#NAME?</v>
      </c>
      <c r="AS44" s="60" t="e">
        <f ca="1">_xll.ciqfunctions.udf.CIQ($A44, "IQ_BETA_5YR", $B$1)</f>
        <v>#NAME?</v>
      </c>
      <c r="AT44" s="45" t="e">
        <f ca="1">_xll.ciqfunctions.udf.CIQ($B44, "IQ_GP", IQ_LTM,$B$1, ,,"USD")</f>
        <v>#NAME?</v>
      </c>
      <c r="AU44" s="59" t="e">
        <f ca="1">_xll.ciqfunctions.udf.CIQ($A44, "IQ_EARNING_CO", IQ_LTM-8, $L$2, $L$4, $L$3, $L$5, $L$6)</f>
        <v>#NAME?</v>
      </c>
      <c r="AV44" s="59" t="e">
        <f ca="1">_xll.ciqfunctions.udf.CIQ($A44, "IQ_EARNING_CO", IQ_LTM-4, $L$2, $L$4, $L$3, $L$5, $L$6)</f>
        <v>#NAME?</v>
      </c>
      <c r="AW44" s="59" t="e">
        <f ca="1">_xll.ciqfunctions.udf.CIQ($A44, "IQ_EARNING_CO", IQ_LTM, $L$2, $L$4, $L$3, $L$5, $L$6)</f>
        <v>#NAME?</v>
      </c>
      <c r="AX44" s="59" t="e">
        <f ca="1">_xll.ciqfunctions.udf.CIQ($A44, "IQ_EARNING_CO", $B$2, $L$2, $L$4, $L$3, $L$5, $L$6)</f>
        <v>#NAME?</v>
      </c>
      <c r="AY44" s="59" t="e">
        <f ca="1">IF(_xll.ciqfunctions.udf.CIQ($A44, "IQ_EARNING_CO", $B$3, $L$2,$L$4, $L$3, $L$5, $L$6)=0,AW44,_xll.ciqfunctions.udf.CIQ($A44, "IQ_EARNING_CO", $B$3, $L$2,$L$4, $L$3, $L$5, $L$6))</f>
        <v>#NAME?</v>
      </c>
      <c r="AZ44" s="59" t="e">
        <f ca="1">_xll.ciqfunctions.udf.CIQ($A44, "IQ_TOTAL_EQUITY", IQ_LTM-8, $L$2, $L$4, $L$3, $L$5, $L$6)</f>
        <v>#NAME?</v>
      </c>
      <c r="BA44" s="59" t="e">
        <f ca="1">_xll.ciqfunctions.udf.CIQ($A44, "IQ_TOTAL_EQUITY", IQ_LTM-4, $L$2, $L$4, $L$3, $L$5, $L$6)</f>
        <v>#NAME?</v>
      </c>
      <c r="BB44" s="59" t="e">
        <f ca="1">_xll.ciqfunctions.udf.CIQ($A44, "IQ_TOTAL_EQUITY", IQ_LTM, $L$2, $L$4, $L$3, $L$5, $L$6)</f>
        <v>#NAME?</v>
      </c>
      <c r="BC44" s="59" t="e">
        <f ca="1">_xll.ciqfunctions.udf.CIQ($A44, "IQ_TOTAL_EQUITY", $B$2, $L$2, $L$4, $L$3, $L$5, $L$6)</f>
        <v>#NAME?</v>
      </c>
      <c r="BD44" s="59" t="e">
        <f ca="1">IF(_xll.ciqfunctions.udf.CIQ($A44, "IQ_TOTAL_EQUITY", $B$3, $L$2,$L$4, $L$3, $L$5, $L$6)=0,BB44,_xll.ciqfunctions.udf.CIQ($A44, "IQ_TOTAL_EQUITY", $B$3, $L$2,$L$4, $L$3, $L$5, $L$6))</f>
        <v>#NAME?</v>
      </c>
      <c r="BE44" s="59" t="e">
        <f ca="1">_xll.ciqfunctions.udf.CIQ(A44, "IQ_LASTSALEPRICE", $B$8)</f>
        <v>#NAME?</v>
      </c>
      <c r="BF44" s="59" t="e">
        <f ca="1">_xll.ciqfunctions.udf.CIQ($A44, "IQ_MARKETCAP", $B$8, $L$5, $L$6)</f>
        <v>#NAME?</v>
      </c>
      <c r="BG44" s="59" t="e">
        <f ca="1">_xll.ciqfunctions.udf.CIQ($A44, "IQ_TOTAL_DEBT", IQ_LTM, $B$8,$L$4, $L$3, $L$5, $L$6)</f>
        <v>#NAME?</v>
      </c>
      <c r="BH44" s="45" t="e">
        <f ca="1">_xll.ciqfunctions.udf.CIQ($A44,"IQ_PREF_EQUITY",IQ_LTM,$B$8,$L$4,$L$3,$L$5,$L$6)</f>
        <v>#NAME?</v>
      </c>
      <c r="BI44" s="45" t="e">
        <f ca="1">_xll.ciqfunctions.udf.CIQ($A44, "IQ_MINORITY_INTEREST_TOTAL", IQ_LTM,$B$8,$L$4,$L$3,$L$5,$L$6)</f>
        <v>#NAME?</v>
      </c>
      <c r="BJ44" s="59" t="e">
        <f ca="1">_xll.ciqfunctions.udf.CIQ($A44, "IQ_CASH_ST_INVEST", IQ_LTM, $B$8, $L$4, $L$3, $L$5, $L$6)</f>
        <v>#NAME?</v>
      </c>
      <c r="BK44" s="45" t="e">
        <f ca="1">_xll.ciqfunctions.udf.CIQ($A44, "IQ_EFFECT_TAX_RATE")</f>
        <v>#NAME?</v>
      </c>
      <c r="BL44" s="45" t="e">
        <f ca="1">IF(_xll.ciqfunctions.udf.CIQ($A44, "IQ_TOTAL_REV_2YR_ANN_CAGR", IQ_LTM, $B$1,$L$4, $L$3, $L$5, $L$6)="NM","n/a",(_xll.ciqfunctions.udf.CIQ($A44, "IQ_TOTAL_REV_2YR_ANN_CAGR", IQ_LTM, $B$1,$L$4, $L$3, $L$5, $L$6)/100))</f>
        <v>#NAME?</v>
      </c>
      <c r="BM44" s="45" t="e">
        <f ca="1">IF(_xll.ciqfunctions.udf.CIQ($A44, "IQ_TOTAL_REV_3YR_ANN_CAGR", IQ_LTM, $B$1,$L$4, $L$3, $L$5, $L$6)="NM","n/a",(_xll.ciqfunctions.udf.CIQ($A44, "IQ_TOTAL_REV_3YR_ANN_CAGR", IQ_LTM, $B$1,$L$4, $L$3, $L$5, $L$6)/100))</f>
        <v>#NAME?</v>
      </c>
      <c r="BN44" s="45" t="e">
        <f ca="1">IF(_xll.ciqfunctions.udf.CIQ($A44, "IQ_TOTAL_REV_5YR_ANN_CAGR", IQ_LTM, $B$1,$L$4, $L$3, $L$5, $L$6)="NM","n/a",(_xll.ciqfunctions.udf.CIQ($A44, "IQ_TOTAL_REV_5YR_ANN_CAGR", IQ_LTM, $B$1,$L$4, $L$3, $L$5, $L$6)/100))</f>
        <v>#NAME?</v>
      </c>
      <c r="BO44" s="45" t="e">
        <f ca="1">IF(_xll.ciqfunctions.udf.CIQ($A44,"IQ_EBITDA_2YR_ANN_CAGR", IQ_LTM,$B$1,$L$4, $L$3, $L$5, $L$6)="NM","n/a",(_xll.ciqfunctions.udf.CIQ($A44,"IQ_EBITDA_2YR_ANN_CAGR", IQ_LTM,$B$1,$L$4, $L$3, $L$5, $L$6)/100))</f>
        <v>#NAME?</v>
      </c>
      <c r="BP44" s="45" t="e">
        <f ca="1">IF(_xll.ciqfunctions.udf.CIQ($A44,"IQ_EBITDA_3YR_ANN_CAGR", IQ_LTM,$B$1,$L$4, $L$3, $L$5, $L$6)="NM","n/a",(_xll.ciqfunctions.udf.CIQ($A44,"IQ_EBITDA_3YR_ANN_CAGR", IQ_LTM,$B$1,$L$4, $L$3, $L$5, $L$6)/100))</f>
        <v>#NAME?</v>
      </c>
      <c r="BQ44" s="45" t="e">
        <f ca="1">IF(_xll.ciqfunctions.udf.CIQ($A44,"IQ_EBITDA_5YR_ANN_CAGR", IQ_LTM,$B$1,$L$4, $L$3, $L$5, $L$6)="NM","n/a",(_xll.ciqfunctions.udf.CIQ($A44,"IQ_EBITDA_5YR_ANN_CAGR", IQ_LTM,$B$1,$L$4, $L$3, $L$5, $L$6)/100))</f>
        <v>#NAME?</v>
      </c>
      <c r="BR44" s="47" t="str">
        <f ca="1">IFERROR((_xll.ciqfunctions.udf.CIQ($A44, "IQ_DA_CF", IQ_LTM, $B$1, $L$4, $L$3, $L$5, $L$6)/Q44),"NM")</f>
        <v>NM</v>
      </c>
      <c r="BS44" s="47">
        <f>'Capital IQ Sheet-GPC'!BS44</f>
        <v>0.24667328110833076</v>
      </c>
      <c r="BT44" s="47">
        <f>'Capital IQ Sheet-GPC'!BT44</f>
        <v>0.23269266626938309</v>
      </c>
      <c r="BU44" s="47">
        <f>'Capital IQ Sheet-GPC'!BU44</f>
        <v>0.23519878453022161</v>
      </c>
      <c r="BV44" s="47">
        <f>'Capital IQ Sheet-GPC'!BV44</f>
        <v>0.23317103930938773</v>
      </c>
      <c r="BW44" s="47">
        <f>'Capital IQ Sheet-GPC'!BW44</f>
        <v>0.22651183691343624</v>
      </c>
      <c r="BX44" s="47">
        <f>'Capital IQ Sheet-GPC'!BX44</f>
        <v>0.22748252115891895</v>
      </c>
      <c r="BY44" s="47">
        <f>'Capital IQ Sheet-GPC'!BY44</f>
        <v>0.24022151039897602</v>
      </c>
      <c r="BZ44" s="47">
        <f>'Capital IQ Sheet-GPC'!BZ44</f>
        <v>0.24694643097437827</v>
      </c>
    </row>
    <row r="45" spans="1:83">
      <c r="A45" s="45" t="e">
        <f ca="1">_xll.ciqfunctions.udf.CIQ($B45,"IQ_COMPANY_TICKER")</f>
        <v>#NAME?</v>
      </c>
      <c r="B45" s="45" t="str">
        <f>'Capital IQ Sheet-GPC'!B45</f>
        <v>IQ419113</v>
      </c>
      <c r="C45" s="45" t="e">
        <f ca="1">_xll.ciqfunctions.udf.CIQ($A45,"IQ_COMPANY_NAME")</f>
        <v>#NAME?</v>
      </c>
      <c r="D45" s="45" t="e">
        <f ca="1">_xll.ciqfunctions.udf.CIQ($A45, "IQ_EXCHANGE")</f>
        <v>#NAME?</v>
      </c>
      <c r="E45" s="46" t="e">
        <f ca="1">_xll.ciqfunctions.udf.CIQ($A45, "IQ_PERIODDATE_IS", IQ_FY)</f>
        <v>#NAME?</v>
      </c>
      <c r="F45" s="46" t="e">
        <f ca="1">_xll.ciqfunctions.udf.CIQ(A45, "IQ_PERIODDATE_IS", IQ_LTM, $B$1,$L$4,$L$3)</f>
        <v>#NAME?</v>
      </c>
      <c r="G45" s="46" t="e">
        <f ca="1">_xll.ciqfunctions.udf.CIQ($A45, "IQ_FIRSTPRICINGDATE")</f>
        <v>#NAME?</v>
      </c>
      <c r="H45" s="59" t="e">
        <f ca="1">_xll.ciqfunctions.udf.CIQ($A45, "IQ_TEV", $L$2, $L$5, $L$6)</f>
        <v>#NAME?</v>
      </c>
      <c r="I45" s="59" t="e">
        <f ca="1">_xll.ciqfunctions.udf.CIQ(A45, "IQ_LASTSALEPRICE", $B$1,$L$5)</f>
        <v>#NAME?</v>
      </c>
      <c r="J45" s="46" t="e">
        <f ca="1">_xll.ciqfunctions.udf.CIQ($B45, "IQ_FIRSTPRICINGDATE")</f>
        <v>#NAME?</v>
      </c>
      <c r="K45" s="59" t="e">
        <f ca="1">_xll.ciqfunctions.udf.CIQ($A45, "IQ_TOTAL_DEBT", IQ_LTM, $L$2,$L$4, $L$3, $L$5, $L$6)</f>
        <v>#NAME?</v>
      </c>
      <c r="L45" s="59" t="e">
        <f ca="1">_xll.ciqfunctions.udf.CIQ($A45, "IQ_PREF_EQUITY", IQ_LTM, $L$2, $L$4, $L$3, $L$5, $L$6)</f>
        <v>#NAME?</v>
      </c>
      <c r="M45" s="59" t="e">
        <f ca="1">_xll.ciqfunctions.udf.CIQ($A45, "IQ_MINORITY_INTEREST_TOTAL", IQ_LTM, $L$2, $L$4, $L$3, $L$5, $L$6)</f>
        <v>#NAME?</v>
      </c>
      <c r="N45" s="59" t="e">
        <f ca="1">_xll.ciqfunctions.udf.CIQ($A45, "IQ_CASH_ST_INVEST", IQ_LTM, $L$2, $L$4, $L$3, $L$5, $L$6)</f>
        <v>#NAME?</v>
      </c>
      <c r="O45" s="59" t="e">
        <f ca="1">_xll.ciqfunctions.udf.CIQ($A45, "IQ_TOTAL_REV", IQ_LTM-8, $L$2, $L$4, $L$3, $L$5, $L$6)</f>
        <v>#NAME?</v>
      </c>
      <c r="P45" s="59" t="e">
        <f ca="1">_xll.ciqfunctions.udf.CIQ($A45, "IQ_TOTAL_REV", IQ_LTM - 4, $L$2, $L$4, $L$3, $L$5,$L$6)</f>
        <v>#NAME?</v>
      </c>
      <c r="Q45" s="59" t="e">
        <f ca="1">_xll.ciqfunctions.udf.CIQ($A45, "IQ_TOTAL_REV", IQ_LTM, $L$2, $L$4, $L$3, $L$5, $L$6)</f>
        <v>#NAME?</v>
      </c>
      <c r="R45" s="59" t="e">
        <f ca="1">_xll.ciqfunctions.udf.CIQ($A45, "IQ_TOTAL_REV", $B$2, $L$2, $L$4, $L$3, $L$5, $L$6)</f>
        <v>#NAME?</v>
      </c>
      <c r="S45" s="59" t="e">
        <f ca="1">IF(_xll.ciqfunctions.udf.CIQ($A45, "IQ_TOTAL_REV", $B$3, $L$2,$L$4, $L$3, $L$5, $L$6)=0,Q45,_xll.ciqfunctions.udf.CIQ($A45, "IQ_TOTAL_REV", $B$3, $L$2,$L$4, $L$3, $L$5, $L$6))</f>
        <v>#NAME?</v>
      </c>
      <c r="T45" s="59" t="e">
        <f ca="1">IF(_xll.ciqfunctions.udf.CIQ($A45, "IQ_REVENUE_EST",$B$4, $L$2, "CON", $L$3, $L$5, $L$6)=0,"n/a",_xll.ciqfunctions.udf.CIQ($A45, "IQ_REVENUE_EST",$B$4, $L$2, "CON", $L$3, $L$5, $L$6))</f>
        <v>#NAME?</v>
      </c>
      <c r="U45" s="59" t="e">
        <f ca="1">IF(_xll.ciqfunctions.udf.CIQ($A45, "IQ_REVENUE_EST",$B$5, $L$2, "CON", $L$3, $L$5, $L$6)=0,"n/a",_xll.ciqfunctions.udf.CIQ($A45, "IQ_REVENUE_EST",$B$5, $L$2, "CON", $L$3, $L$5, $L$6))</f>
        <v>#NAME?</v>
      </c>
      <c r="V45" s="59" t="e">
        <f ca="1">IF(_xll.ciqfunctions.udf.CIQ($A45, "IQ_REVENUE_EST",$B$6, $L$2, "CON", $L$3, $L$5, $L$6)=0,"n/a",_xll.ciqfunctions.udf.CIQ($A45, "IQ_REVENUE_EST",$B$6, $L$2, "CON", $L$3, $L$5, $L$6))</f>
        <v>#NAME?</v>
      </c>
      <c r="W45" s="59" t="e">
        <f ca="1">IF(_xll.ciqfunctions.udf.CIQ($A45, "IQ_REVENUE_EST", $B$7, $L$2, "CON", $L$3, $L$5, $L$6)=0,"n/a",_xll.ciqfunctions.udf.CIQ($A45, "IQ_REVENUE_EST",$B$7, $L$2, "CON", $L$3, $L$5, $L$6))</f>
        <v>#NAME?</v>
      </c>
      <c r="X45" s="59" t="e">
        <f ca="1">_xll.ciqfunctions.udf.CIQ($A45, "IQ_EBITDA", IQ_LTM-8, $L$2, $L$4, $L$3, $L$5, $L$6)</f>
        <v>#NAME?</v>
      </c>
      <c r="Y45" s="59" t="e">
        <f ca="1">_xll.ciqfunctions.udf.CIQ($A45, "IQ_EBITDA", IQ_LTM-4, $L$2,$L$4, $L$3, $L$5, $L$6)</f>
        <v>#NAME?</v>
      </c>
      <c r="Z45" s="59" t="e">
        <f ca="1">_xll.ciqfunctions.udf.CIQ($A45, "IQ_EBITDA", IQ_LTM, $L$2, $L$4, $L$3, $L$5, $L$6)</f>
        <v>#NAME?</v>
      </c>
      <c r="AA45" s="59" t="e">
        <f ca="1">_xll.ciqfunctions.udf.CIQ($A45, "IQ_EBITDA", $B$2, $L$2, $L$4, $L$3, $L$5, $L$6)</f>
        <v>#NAME?</v>
      </c>
      <c r="AB45" s="59" t="e">
        <f ca="1">IF(_xll.ciqfunctions.udf.CIQ($A45, "IQ_EBITDA", $B$3, $L$2,$L$4, $L$3, $L$5, $L$6)=0,Z45,_xll.ciqfunctions.udf.CIQ($A45, "IQ_EBITDA", $B$3, $L$2,$L$4, $L$3, $L$5, $L$6))</f>
        <v>#NAME?</v>
      </c>
      <c r="AC45" s="59" t="e">
        <f ca="1">IF(_xll.ciqfunctions.udf.CIQ($A45, "IQ_EBITDA_EST",$B$4, $L$2, "CON", $L$3, $L$5, $L$6)=0,"n/a",_xll.ciqfunctions.udf.CIQ($A45, "IQ_EBITDA_EST",$B$4, $L$2, "CON", $L$3, $L$5, $L$6))</f>
        <v>#NAME?</v>
      </c>
      <c r="AD45" s="45" t="e">
        <f ca="1">IF(_xll.ciqfunctions.udf.CIQ($A45, "IQ_EBITDA_EST",$B$5, $L$2, "CON", $L$3, $L$5, $L$6)=0,"n/a",_xll.ciqfunctions.udf.CIQ($A45, "IQ_EBITDA_EST",$B$5, $L$2, "CON", $L$3, $L$5, $L$6))</f>
        <v>#NAME?</v>
      </c>
      <c r="AE45" s="59" t="e">
        <f ca="1">IF(_xll.ciqfunctions.udf.CIQ($A45, "IQ_EBITDA_EST",$B$6, $L$2, "CON", $L$3, $L$5, $L$6)=0,"n/a",_xll.ciqfunctions.udf.CIQ($A45, "IQ_EBITDA_EST",$B$6, $L$2, "CON", $L$3, $L$5, $L$6))</f>
        <v>#NAME?</v>
      </c>
      <c r="AF45" s="47" t="str">
        <f ca="1">IF(ISERROR(_xll.ciqfunctions.udf.CIQ($A45, "IQ_GROSS_MARGIN", IQ_LTM, $L$2,$L$4, $L$3, $L$5, $L$6)/100), "n/a", _xll.ciqfunctions.udf.CIQ($A45,  "IQ_GROSS_MARGIN", IQ_LTM, $L$2, $L$4, $L$3, $L$5, $L$6)/100)</f>
        <v>n/a</v>
      </c>
      <c r="AG45" s="47" t="str">
        <f ca="1">IF(ISERROR(_xll.ciqfunctions.udf.CIQ($A45,"IQ_EBITDA_MARGIN", IQ_LTM, $L$2, $L$4, $L$3, $L$5, $L$6)/100), "n/a", _xll.ciqfunctions.udf.CIQ($A45, "IQ_EBITDA_MARGIN", IQ_LTM, $L$2, $L$4, $L$3, $L$5, $L$6)/100)</f>
        <v>n/a</v>
      </c>
      <c r="AH45" s="47" t="str">
        <f ca="1">IF(ISERROR(_xll.ciqfunctions.udf.CIQ($A45,"IQ_EBIT_MARGIN", IQ_LTM, $L$2, $L$4, $L$3, $L$5, $L$6)/100), "n/a", _xll.ciqfunctions.udf.CIQ($A45, "IQ_EBIT_MARGIN", IQ_LTM, $L$2, $L$4, $L$3, $L$5, $L$6)/100)</f>
        <v>n/a</v>
      </c>
      <c r="AI45" s="47" t="str">
        <f ca="1">IF(ISERROR(_xll.ciqfunctions.udf.CIQ($A45,"IQ_NI_MARGIN", IQ_LTM, $L$2, $L$4, $L$3, $L$5, $L$6)/100), "n/a", _xll.ciqfunctions.udf.CIQ($A45, "IQ_NI_MARGIN", IQ_LTM, $L$2, $L$4, $L$3, $L$5, $L$6)/100)</f>
        <v>n/a</v>
      </c>
      <c r="AJ45" s="59" t="str">
        <f ca="1">IF(ISERROR(_xll.ciqfunctions.udf.CIQ($A45, "IQ_NET_WORKING_CAP", IQ_LTM-8, $L$2, $L$4, $L$3, $L$5, $L$6)), "n/a", _xll.ciqfunctions.udf.CIQ($A45, "IQ_NET_WORKING_CAP", IQ_LTM-8, $L$2, $L$4, $L$3, $L$5, $L$6))</f>
        <v>n/a</v>
      </c>
      <c r="AK45" s="59" t="str">
        <f ca="1">IF(ISERROR(_xll.ciqfunctions.udf.CIQ($A45, "IQ_NET_WORKING_CAP", IQ_LTM-4, $L$2, $L$4, $L$3, $L$5, $L$6)), "n/a", _xll.ciqfunctions.udf.CIQ($A45, "IQ_NET_WORKING_CAP", IQ_LTM-4, $L$2, $L$4, $L$3, $L$5, $L$6))</f>
        <v>n/a</v>
      </c>
      <c r="AL45" s="59" t="str">
        <f ca="1">IF(ISERROR(_xll.ciqfunctions.udf.CIQ($A45, "IQ_NET_WORKING_CAP", IQ_LTM, $L$2,$L$4, $L$3, $L$5, $L$6)), "n/a", _xll.ciqfunctions.udf.CIQ($A45, "IQ_NET_WORKING_CAP", IQ_LTM, $L$2, $L$4, $L$3, $L$5, $L$6))</f>
        <v>n/a</v>
      </c>
      <c r="AM45" s="59" t="str">
        <f ca="1">IF(ISERROR(_xll.ciqfunctions.udf.CIQ($A45, "IQ_Capex", IQ_LTM-8, $L$2,$L$4, $L$3, $L$5, $L$6)), "n/a", _xll.ciqfunctions.udf.CIQ($A45, "IQ_Capex", IQ_LTM-8, $L$2, $L$4, $L$3, $L$5, $L$6))</f>
        <v>n/a</v>
      </c>
      <c r="AN45" s="59" t="str">
        <f ca="1">IF(ISERROR(_xll.ciqfunctions.udf.CIQ($A45, "IQ_Capex", IQ_LTM-4, $L$2,$L$4, $L$3, $L$5, $L$6)), "n/a", _xll.ciqfunctions.udf.CIQ($A45, "IQ_Capex", IQ_LTM-4, $L$2,$L$4, $L$3, $L$5, $L$6))</f>
        <v>n/a</v>
      </c>
      <c r="AO45" s="59" t="str">
        <f ca="1">IF(ISERROR(_xll.ciqfunctions.udf.CIQ($A45, "IQ_Capex", IQ_LTM, $L$2, $L$4, $L$3, $L$5, $L$6)), "n/a", _xll.ciqfunctions.udf.CIQ($A45, "IQ_Capex", IQ_LTM, $L$2, $L$4, $L$3, $L$5, $L$6))</f>
        <v>n/a</v>
      </c>
      <c r="AP45" s="44" t="e">
        <f ca="1">_xll.ciqfunctions.udf.CIQ(A45, "IQ_BUSINESS_DESCRIPTION")</f>
        <v>#NAME?</v>
      </c>
      <c r="AQ45" s="60" t="e">
        <f ca="1">_xll.ciqfunctions.udf.CIQ($A45, "IQ_BETA_1YR", $B$1)</f>
        <v>#NAME?</v>
      </c>
      <c r="AR45" s="60" t="e">
        <f ca="1">_xll.ciqfunctions.udf.CIQ($A45, "IQ_BETA_2YR", $B$1)</f>
        <v>#NAME?</v>
      </c>
      <c r="AS45" s="60" t="e">
        <f ca="1">_xll.ciqfunctions.udf.CIQ($A45, "IQ_BETA_5YR", $B$1)</f>
        <v>#NAME?</v>
      </c>
      <c r="AT45" s="45" t="e">
        <f ca="1">_xll.ciqfunctions.udf.CIQ($B45, "IQ_GP", IQ_LTM,$B$1, ,,"USD")</f>
        <v>#NAME?</v>
      </c>
      <c r="AU45" s="59" t="e">
        <f ca="1">_xll.ciqfunctions.udf.CIQ($A45, "IQ_EARNING_CO", IQ_LTM-8, $L$2, $L$4, $L$3, $L$5, $L$6)</f>
        <v>#NAME?</v>
      </c>
      <c r="AV45" s="59" t="e">
        <f ca="1">_xll.ciqfunctions.udf.CIQ($A45, "IQ_EARNING_CO", IQ_LTM-4, $L$2, $L$4, $L$3, $L$5, $L$6)</f>
        <v>#NAME?</v>
      </c>
      <c r="AW45" s="59" t="e">
        <f ca="1">_xll.ciqfunctions.udf.CIQ($A45, "IQ_EARNING_CO", IQ_LTM, $L$2, $L$4, $L$3, $L$5, $L$6)</f>
        <v>#NAME?</v>
      </c>
      <c r="AX45" s="59" t="e">
        <f ca="1">_xll.ciqfunctions.udf.CIQ($A45, "IQ_EARNING_CO", $B$2, $L$2, $L$4, $L$3, $L$5, $L$6)</f>
        <v>#NAME?</v>
      </c>
      <c r="AY45" s="59" t="e">
        <f ca="1">IF(_xll.ciqfunctions.udf.CIQ($A45, "IQ_EARNING_CO", $B$3, $L$2,$L$4, $L$3, $L$5, $L$6)=0,AW45,_xll.ciqfunctions.udf.CIQ($A45, "IQ_EARNING_CO", $B$3, $L$2,$L$4, $L$3, $L$5, $L$6))</f>
        <v>#NAME?</v>
      </c>
      <c r="AZ45" s="59" t="e">
        <f ca="1">_xll.ciqfunctions.udf.CIQ($A45, "IQ_TOTAL_EQUITY", IQ_LTM-8, $L$2, $L$4, $L$3, $L$5, $L$6)</f>
        <v>#NAME?</v>
      </c>
      <c r="BA45" s="59" t="e">
        <f ca="1">_xll.ciqfunctions.udf.CIQ($A45, "IQ_TOTAL_EQUITY", IQ_LTM-4, $L$2, $L$4, $L$3, $L$5, $L$6)</f>
        <v>#NAME?</v>
      </c>
      <c r="BB45" s="59" t="e">
        <f ca="1">_xll.ciqfunctions.udf.CIQ($A45, "IQ_TOTAL_EQUITY", IQ_LTM, $L$2, $L$4, $L$3, $L$5, $L$6)</f>
        <v>#NAME?</v>
      </c>
      <c r="BC45" s="59" t="e">
        <f ca="1">_xll.ciqfunctions.udf.CIQ($A45, "IQ_TOTAL_EQUITY", $B$2, $L$2, $L$4, $L$3, $L$5, $L$6)</f>
        <v>#NAME?</v>
      </c>
      <c r="BD45" s="59" t="e">
        <f ca="1">IF(_xll.ciqfunctions.udf.CIQ($A45, "IQ_TOTAL_EQUITY", $B$3, $L$2,$L$4, $L$3, $L$5, $L$6)=0,BB45,_xll.ciqfunctions.udf.CIQ($A45, "IQ_TOTAL_EQUITY", $B$3, $L$2,$L$4, $L$3, $L$5, $L$6))</f>
        <v>#NAME?</v>
      </c>
      <c r="BE45" s="59" t="e">
        <f ca="1">_xll.ciqfunctions.udf.CIQ(A45, "IQ_LASTSALEPRICE", $B$8)</f>
        <v>#NAME?</v>
      </c>
      <c r="BF45" s="59" t="e">
        <f ca="1">_xll.ciqfunctions.udf.CIQ($A45, "IQ_MARKETCAP", $B$8, $L$5, $L$6)</f>
        <v>#NAME?</v>
      </c>
      <c r="BG45" s="59" t="e">
        <f ca="1">_xll.ciqfunctions.udf.CIQ($A45, "IQ_TOTAL_DEBT", IQ_LTM, $B$8,$L$4, $L$3, $L$5, $L$6)</f>
        <v>#NAME?</v>
      </c>
      <c r="BH45" s="45" t="e">
        <f ca="1">_xll.ciqfunctions.udf.CIQ($A45,"IQ_PREF_EQUITY",IQ_LTM,$B$8,$L$4,$L$3,$L$5,$L$6)</f>
        <v>#NAME?</v>
      </c>
      <c r="BI45" s="45" t="e">
        <f ca="1">_xll.ciqfunctions.udf.CIQ($A45, "IQ_MINORITY_INTEREST_TOTAL", IQ_LTM,$B$8,$L$4,$L$3,$L$5,$L$6)</f>
        <v>#NAME?</v>
      </c>
      <c r="BJ45" s="59" t="e">
        <f ca="1">_xll.ciqfunctions.udf.CIQ($A45, "IQ_CASH_ST_INVEST", IQ_LTM, $B$8, $L$4, $L$3, $L$5, $L$6)</f>
        <v>#NAME?</v>
      </c>
      <c r="BK45" s="45" t="e">
        <f ca="1">_xll.ciqfunctions.udf.CIQ($A45, "IQ_EFFECT_TAX_RATE")</f>
        <v>#NAME?</v>
      </c>
      <c r="BL45" s="45" t="e">
        <f ca="1">IF(_xll.ciqfunctions.udf.CIQ($A45, "IQ_TOTAL_REV_2YR_ANN_CAGR", IQ_LTM, $B$1,$L$4, $L$3, $L$5, $L$6)="NM","n/a",(_xll.ciqfunctions.udf.CIQ($A45, "IQ_TOTAL_REV_2YR_ANN_CAGR", IQ_LTM, $B$1,$L$4, $L$3, $L$5, $L$6)/100))</f>
        <v>#NAME?</v>
      </c>
      <c r="BM45" s="45" t="e">
        <f ca="1">IF(_xll.ciqfunctions.udf.CIQ($A45, "IQ_TOTAL_REV_3YR_ANN_CAGR", IQ_LTM, $B$1,$L$4, $L$3, $L$5, $L$6)="NM","n/a",(_xll.ciqfunctions.udf.CIQ($A45, "IQ_TOTAL_REV_3YR_ANN_CAGR", IQ_LTM, $B$1,$L$4, $L$3, $L$5, $L$6)/100))</f>
        <v>#NAME?</v>
      </c>
      <c r="BN45" s="45" t="e">
        <f ca="1">IF(_xll.ciqfunctions.udf.CIQ($A45, "IQ_TOTAL_REV_5YR_ANN_CAGR", IQ_LTM, $B$1,$L$4, $L$3, $L$5, $L$6)="NM","n/a",(_xll.ciqfunctions.udf.CIQ($A45, "IQ_TOTAL_REV_5YR_ANN_CAGR", IQ_LTM, $B$1,$L$4, $L$3, $L$5, $L$6)/100))</f>
        <v>#NAME?</v>
      </c>
      <c r="BO45" s="45" t="e">
        <f ca="1">IF(_xll.ciqfunctions.udf.CIQ($A45,"IQ_EBITDA_2YR_ANN_CAGR", IQ_LTM,$B$1,$L$4, $L$3, $L$5, $L$6)="NM","n/a",(_xll.ciqfunctions.udf.CIQ($A45,"IQ_EBITDA_2YR_ANN_CAGR", IQ_LTM,$B$1,$L$4, $L$3, $L$5, $L$6)/100))</f>
        <v>#NAME?</v>
      </c>
      <c r="BP45" s="45" t="e">
        <f ca="1">IF(_xll.ciqfunctions.udf.CIQ($A45,"IQ_EBITDA_3YR_ANN_CAGR", IQ_LTM,$B$1,$L$4, $L$3, $L$5, $L$6)="NM","n/a",(_xll.ciqfunctions.udf.CIQ($A45,"IQ_EBITDA_3YR_ANN_CAGR", IQ_LTM,$B$1,$L$4, $L$3, $L$5, $L$6)/100))</f>
        <v>#NAME?</v>
      </c>
      <c r="BQ45" s="45" t="e">
        <f ca="1">IF(_xll.ciqfunctions.udf.CIQ($A45,"IQ_EBITDA_5YR_ANN_CAGR", IQ_LTM,$B$1,$L$4, $L$3, $L$5, $L$6)="NM","n/a",(_xll.ciqfunctions.udf.CIQ($A45,"IQ_EBITDA_5YR_ANN_CAGR", IQ_LTM,$B$1,$L$4, $L$3, $L$5, $L$6)/100))</f>
        <v>#NAME?</v>
      </c>
      <c r="BR45" s="47" t="str">
        <f ca="1">IFERROR((_xll.ciqfunctions.udf.CIQ($A45, "IQ_DA_CF", IQ_LTM, $B$1, $L$4, $L$3, $L$5, $L$6)/Q45),"NM")</f>
        <v>NM</v>
      </c>
      <c r="BS45" s="47">
        <f>'Capital IQ Sheet-GPC'!BS45</f>
        <v>0.21338887443262552</v>
      </c>
      <c r="BT45" s="47">
        <f>'Capital IQ Sheet-GPC'!BT45</f>
        <v>0.22266903813571626</v>
      </c>
      <c r="BU45" s="47">
        <f>'Capital IQ Sheet-GPC'!BU45</f>
        <v>0.256785444476819</v>
      </c>
      <c r="BV45" s="47">
        <f>'Capital IQ Sheet-GPC'!BV45</f>
        <v>0.25504585688851317</v>
      </c>
      <c r="BW45" s="47">
        <f>'Capital IQ Sheet-GPC'!BW45</f>
        <v>0.26663013143749792</v>
      </c>
      <c r="BX45" s="47">
        <f>'Capital IQ Sheet-GPC'!BX45</f>
        <v>0.26561713407528725</v>
      </c>
      <c r="BY45" s="47">
        <f>'Capital IQ Sheet-GPC'!BY45</f>
        <v>0.31305656568793017</v>
      </c>
      <c r="BZ45" s="47">
        <f>'Capital IQ Sheet-GPC'!BZ45</f>
        <v>0.30415491365137115</v>
      </c>
    </row>
    <row r="46" spans="1:83">
      <c r="A46" s="45" t="e">
        <f ca="1">_xll.ciqfunctions.udf.CIQ($B46,"IQ_COMPANY_TICKER")</f>
        <v>#NAME?</v>
      </c>
      <c r="B46" s="45" t="str">
        <f>'Capital IQ Sheet-GPC'!B46</f>
        <v>IQ1002655</v>
      </c>
      <c r="C46" s="45" t="e">
        <f ca="1">_xll.ciqfunctions.udf.CIQ($A46,"IQ_COMPANY_NAME")</f>
        <v>#NAME?</v>
      </c>
      <c r="D46" s="45" t="e">
        <f ca="1">_xll.ciqfunctions.udf.CIQ($A46, "IQ_EXCHANGE")</f>
        <v>#NAME?</v>
      </c>
      <c r="E46" s="46" t="e">
        <f ca="1">_xll.ciqfunctions.udf.CIQ($A46, "IQ_PERIODDATE_IS", IQ_FY)</f>
        <v>#NAME?</v>
      </c>
      <c r="F46" s="46" t="e">
        <f ca="1">_xll.ciqfunctions.udf.CIQ(A46, "IQ_PERIODDATE_IS", IQ_LTM, $B$1,$L$4,$L$3)</f>
        <v>#NAME?</v>
      </c>
      <c r="G46" s="46" t="e">
        <f ca="1">_xll.ciqfunctions.udf.CIQ($A46, "IQ_FIRSTPRICINGDATE")</f>
        <v>#NAME?</v>
      </c>
      <c r="H46" s="59" t="e">
        <f ca="1">_xll.ciqfunctions.udf.CIQ($A46, "IQ_TEV", $L$2, $L$5, $L$6)</f>
        <v>#NAME?</v>
      </c>
      <c r="I46" s="59" t="e">
        <f ca="1">_xll.ciqfunctions.udf.CIQ(A46, "IQ_LASTSALEPRICE", $B$1,$L$5)</f>
        <v>#NAME?</v>
      </c>
      <c r="J46" s="46" t="e">
        <f ca="1">_xll.ciqfunctions.udf.CIQ($B46, "IQ_FIRSTPRICINGDATE")</f>
        <v>#NAME?</v>
      </c>
      <c r="K46" s="59" t="e">
        <f ca="1">_xll.ciqfunctions.udf.CIQ($A46, "IQ_TOTAL_DEBT", IQ_LTM, $L$2,$L$4, $L$3, $L$5, $L$6)</f>
        <v>#NAME?</v>
      </c>
      <c r="L46" s="59" t="e">
        <f ca="1">_xll.ciqfunctions.udf.CIQ($A46, "IQ_PREF_EQUITY", IQ_LTM, $L$2, $L$4, $L$3, $L$5, $L$6)</f>
        <v>#NAME?</v>
      </c>
      <c r="M46" s="59" t="e">
        <f ca="1">_xll.ciqfunctions.udf.CIQ($A46, "IQ_MINORITY_INTEREST_TOTAL", IQ_LTM, $L$2, $L$4, $L$3, $L$5, $L$6)</f>
        <v>#NAME?</v>
      </c>
      <c r="N46" s="59" t="e">
        <f ca="1">_xll.ciqfunctions.udf.CIQ($A46, "IQ_CASH_ST_INVEST", IQ_LTM, $L$2, $L$4, $L$3, $L$5, $L$6)</f>
        <v>#NAME?</v>
      </c>
      <c r="O46" s="59" t="e">
        <f ca="1">_xll.ciqfunctions.udf.CIQ($A46, "IQ_TOTAL_REV", IQ_LTM-8, $L$2, $L$4, $L$3, $L$5, $L$6)</f>
        <v>#NAME?</v>
      </c>
      <c r="P46" s="59" t="e">
        <f ca="1">_xll.ciqfunctions.udf.CIQ($A46, "IQ_TOTAL_REV", IQ_LTM - 4, $L$2, $L$4, $L$3, $L$5,$L$6)</f>
        <v>#NAME?</v>
      </c>
      <c r="Q46" s="59" t="e">
        <f ca="1">_xll.ciqfunctions.udf.CIQ($A46, "IQ_TOTAL_REV", IQ_LTM, $L$2, $L$4, $L$3, $L$5, $L$6)</f>
        <v>#NAME?</v>
      </c>
      <c r="R46" s="59" t="e">
        <f ca="1">_xll.ciqfunctions.udf.CIQ($A46, "IQ_TOTAL_REV", $B$2, $L$2, $L$4, $L$3, $L$5, $L$6)</f>
        <v>#NAME?</v>
      </c>
      <c r="S46" s="59" t="e">
        <f ca="1">IF(_xll.ciqfunctions.udf.CIQ($A46, "IQ_TOTAL_REV", $B$3, $L$2,$L$4, $L$3, $L$5, $L$6)=0,Q46,_xll.ciqfunctions.udf.CIQ($A46, "IQ_TOTAL_REV", $B$3, $L$2,$L$4, $L$3, $L$5, $L$6))</f>
        <v>#NAME?</v>
      </c>
      <c r="T46" s="59" t="e">
        <f ca="1">IF(_xll.ciqfunctions.udf.CIQ($A46, "IQ_REVENUE_EST",$B$4, $L$2, "CON", $L$3, $L$5, $L$6)=0,"n/a",_xll.ciqfunctions.udf.CIQ($A46, "IQ_REVENUE_EST",$B$4, $L$2, "CON", $L$3, $L$5, $L$6))</f>
        <v>#NAME?</v>
      </c>
      <c r="U46" s="59" t="e">
        <f ca="1">IF(_xll.ciqfunctions.udf.CIQ($A46, "IQ_REVENUE_EST",$B$5, $L$2, "CON", $L$3, $L$5, $L$6)=0,"n/a",_xll.ciqfunctions.udf.CIQ($A46, "IQ_REVENUE_EST",$B$5, $L$2, "CON", $L$3, $L$5, $L$6))</f>
        <v>#NAME?</v>
      </c>
      <c r="V46" s="59" t="e">
        <f ca="1">IF(_xll.ciqfunctions.udf.CIQ($A46, "IQ_REVENUE_EST",$B$6, $L$2, "CON", $L$3, $L$5, $L$6)=0,"n/a",_xll.ciqfunctions.udf.CIQ($A46, "IQ_REVENUE_EST",$B$6, $L$2, "CON", $L$3, $L$5, $L$6))</f>
        <v>#NAME?</v>
      </c>
      <c r="W46" s="59" t="e">
        <f ca="1">IF(_xll.ciqfunctions.udf.CIQ($A46, "IQ_REVENUE_EST", $B$7, $L$2, "CON", $L$3, $L$5, $L$6)=0,"n/a",_xll.ciqfunctions.udf.CIQ($A46, "IQ_REVENUE_EST",$B$7, $L$2, "CON", $L$3, $L$5, $L$6))</f>
        <v>#NAME?</v>
      </c>
      <c r="X46" s="59" t="e">
        <f ca="1">_xll.ciqfunctions.udf.CIQ($A46, "IQ_EBITDA", IQ_LTM-8, $L$2, $L$4, $L$3, $L$5, $L$6)</f>
        <v>#NAME?</v>
      </c>
      <c r="Y46" s="59" t="e">
        <f ca="1">_xll.ciqfunctions.udf.CIQ($A46, "IQ_EBITDA", IQ_LTM-4, $L$2,$L$4, $L$3, $L$5, $L$6)</f>
        <v>#NAME?</v>
      </c>
      <c r="Z46" s="59" t="e">
        <f ca="1">_xll.ciqfunctions.udf.CIQ($A46, "IQ_EBITDA", IQ_LTM, $L$2, $L$4, $L$3, $L$5, $L$6)</f>
        <v>#NAME?</v>
      </c>
      <c r="AA46" s="59" t="e">
        <f ca="1">_xll.ciqfunctions.udf.CIQ($A46, "IQ_EBITDA", $B$2, $L$2, $L$4, $L$3, $L$5, $L$6)</f>
        <v>#NAME?</v>
      </c>
      <c r="AB46" s="59" t="e">
        <f ca="1">IF(_xll.ciqfunctions.udf.CIQ($A46, "IQ_EBITDA", $B$3, $L$2,$L$4, $L$3, $L$5, $L$6)=0,Z46,_xll.ciqfunctions.udf.CIQ($A46, "IQ_EBITDA", $B$3, $L$2,$L$4, $L$3, $L$5, $L$6))</f>
        <v>#NAME?</v>
      </c>
      <c r="AC46" s="59" t="e">
        <f ca="1">IF(_xll.ciqfunctions.udf.CIQ($A46, "IQ_EBITDA_EST",$B$4, $L$2, "CON", $L$3, $L$5, $L$6)=0,"n/a",_xll.ciqfunctions.udf.CIQ($A46, "IQ_EBITDA_EST",$B$4, $L$2, "CON", $L$3, $L$5, $L$6))</f>
        <v>#NAME?</v>
      </c>
      <c r="AD46" s="45" t="e">
        <f ca="1">IF(_xll.ciqfunctions.udf.CIQ($A46, "IQ_EBITDA_EST",$B$5, $L$2, "CON", $L$3, $L$5, $L$6)=0,"n/a",_xll.ciqfunctions.udf.CIQ($A46, "IQ_EBITDA_EST",$B$5, $L$2, "CON", $L$3, $L$5, $L$6))</f>
        <v>#NAME?</v>
      </c>
      <c r="AE46" s="59" t="e">
        <f ca="1">IF(_xll.ciqfunctions.udf.CIQ($A46, "IQ_EBITDA_EST",$B$6, $L$2, "CON", $L$3, $L$5, $L$6)=0,"n/a",_xll.ciqfunctions.udf.CIQ($A46, "IQ_EBITDA_EST",$B$6, $L$2, "CON", $L$3, $L$5, $L$6))</f>
        <v>#NAME?</v>
      </c>
      <c r="AF46" s="47" t="str">
        <f ca="1">IF(ISERROR(_xll.ciqfunctions.udf.CIQ($A46, "IQ_GROSS_MARGIN", IQ_LTM, $L$2,$L$4, $L$3, $L$5, $L$6)/100), "n/a", _xll.ciqfunctions.udf.CIQ($A46,  "IQ_GROSS_MARGIN", IQ_LTM, $L$2, $L$4, $L$3, $L$5, $L$6)/100)</f>
        <v>n/a</v>
      </c>
      <c r="AG46" s="47" t="str">
        <f ca="1">IF(ISERROR(_xll.ciqfunctions.udf.CIQ($A46,"IQ_EBITDA_MARGIN", IQ_LTM, $L$2, $L$4, $L$3, $L$5, $L$6)/100), "n/a", _xll.ciqfunctions.udf.CIQ($A46, "IQ_EBITDA_MARGIN", IQ_LTM, $L$2, $L$4, $L$3, $L$5, $L$6)/100)</f>
        <v>n/a</v>
      </c>
      <c r="AH46" s="47" t="str">
        <f ca="1">IF(ISERROR(_xll.ciqfunctions.udf.CIQ($A46,"IQ_EBIT_MARGIN", IQ_LTM, $L$2, $L$4, $L$3, $L$5, $L$6)/100), "n/a", _xll.ciqfunctions.udf.CIQ($A46, "IQ_EBIT_MARGIN", IQ_LTM, $L$2, $L$4, $L$3, $L$5, $L$6)/100)</f>
        <v>n/a</v>
      </c>
      <c r="AI46" s="47" t="str">
        <f ca="1">IF(ISERROR(_xll.ciqfunctions.udf.CIQ($A46,"IQ_NI_MARGIN", IQ_LTM, $L$2, $L$4, $L$3, $L$5, $L$6)/100), "n/a", _xll.ciqfunctions.udf.CIQ($A46, "IQ_NI_MARGIN", IQ_LTM, $L$2, $L$4, $L$3, $L$5, $L$6)/100)</f>
        <v>n/a</v>
      </c>
      <c r="AJ46" s="59" t="str">
        <f ca="1">IF(ISERROR(_xll.ciqfunctions.udf.CIQ($A46, "IQ_NET_WORKING_CAP", IQ_LTM-8, $L$2, $L$4, $L$3, $L$5, $L$6)), "n/a", _xll.ciqfunctions.udf.CIQ($A46, "IQ_NET_WORKING_CAP", IQ_LTM-8, $L$2, $L$4, $L$3, $L$5, $L$6))</f>
        <v>n/a</v>
      </c>
      <c r="AK46" s="59" t="str">
        <f ca="1">IF(ISERROR(_xll.ciqfunctions.udf.CIQ($A46, "IQ_NET_WORKING_CAP", IQ_LTM-4, $L$2, $L$4, $L$3, $L$5, $L$6)), "n/a", _xll.ciqfunctions.udf.CIQ($A46, "IQ_NET_WORKING_CAP", IQ_LTM-4, $L$2, $L$4, $L$3, $L$5, $L$6))</f>
        <v>n/a</v>
      </c>
      <c r="AL46" s="59" t="str">
        <f ca="1">IF(ISERROR(_xll.ciqfunctions.udf.CIQ($A46, "IQ_NET_WORKING_CAP", IQ_LTM, $L$2,$L$4, $L$3, $L$5, $L$6)), "n/a", _xll.ciqfunctions.udf.CIQ($A46, "IQ_NET_WORKING_CAP", IQ_LTM, $L$2, $L$4, $L$3, $L$5, $L$6))</f>
        <v>n/a</v>
      </c>
      <c r="AM46" s="59" t="str">
        <f ca="1">IF(ISERROR(_xll.ciqfunctions.udf.CIQ($A46, "IQ_Capex", IQ_LTM-8, $L$2,$L$4, $L$3, $L$5, $L$6)), "n/a", _xll.ciqfunctions.udf.CIQ($A46, "IQ_Capex", IQ_LTM-8, $L$2, $L$4, $L$3, $L$5, $L$6))</f>
        <v>n/a</v>
      </c>
      <c r="AN46" s="59" t="str">
        <f ca="1">IF(ISERROR(_xll.ciqfunctions.udf.CIQ($A46, "IQ_Capex", IQ_LTM-4, $L$2,$L$4, $L$3, $L$5, $L$6)), "n/a", _xll.ciqfunctions.udf.CIQ($A46, "IQ_Capex", IQ_LTM-4, $L$2,$L$4, $L$3, $L$5, $L$6))</f>
        <v>n/a</v>
      </c>
      <c r="AO46" s="59" t="str">
        <f ca="1">IF(ISERROR(_xll.ciqfunctions.udf.CIQ($A46, "IQ_Capex", IQ_LTM, $L$2, $L$4, $L$3, $L$5, $L$6)), "n/a", _xll.ciqfunctions.udf.CIQ($A46, "IQ_Capex", IQ_LTM, $L$2, $L$4, $L$3, $L$5, $L$6))</f>
        <v>n/a</v>
      </c>
      <c r="AP46" s="44" t="e">
        <f ca="1">_xll.ciqfunctions.udf.CIQ(A46, "IQ_BUSINESS_DESCRIPTION")</f>
        <v>#NAME?</v>
      </c>
      <c r="AQ46" s="60" t="e">
        <f ca="1">_xll.ciqfunctions.udf.CIQ($A46, "IQ_BETA_1YR", $B$1)</f>
        <v>#NAME?</v>
      </c>
      <c r="AR46" s="60" t="e">
        <f ca="1">_xll.ciqfunctions.udf.CIQ($A46, "IQ_BETA_2YR", $B$1)</f>
        <v>#NAME?</v>
      </c>
      <c r="AS46" s="60" t="e">
        <f ca="1">_xll.ciqfunctions.udf.CIQ($A46, "IQ_BETA_5YR", $B$1)</f>
        <v>#NAME?</v>
      </c>
      <c r="AT46" s="45" t="e">
        <f ca="1">_xll.ciqfunctions.udf.CIQ($B46, "IQ_GP", IQ_LTM,$B$1, ,,"USD")</f>
        <v>#NAME?</v>
      </c>
      <c r="AU46" s="59" t="e">
        <f ca="1">_xll.ciqfunctions.udf.CIQ($A46, "IQ_EARNING_CO", IQ_LTM-8, $L$2, $L$4, $L$3, $L$5, $L$6)</f>
        <v>#NAME?</v>
      </c>
      <c r="AV46" s="59" t="e">
        <f ca="1">_xll.ciqfunctions.udf.CIQ($A46, "IQ_EARNING_CO", IQ_LTM-4, $L$2, $L$4, $L$3, $L$5, $L$6)</f>
        <v>#NAME?</v>
      </c>
      <c r="AW46" s="59" t="e">
        <f ca="1">_xll.ciqfunctions.udf.CIQ($A46, "IQ_EARNING_CO", IQ_LTM, $L$2, $L$4, $L$3, $L$5, $L$6)</f>
        <v>#NAME?</v>
      </c>
      <c r="AX46" s="59" t="e">
        <f ca="1">_xll.ciqfunctions.udf.CIQ($A46, "IQ_EARNING_CO", $B$2, $L$2, $L$4, $L$3, $L$5, $L$6)</f>
        <v>#NAME?</v>
      </c>
      <c r="AY46" s="59" t="e">
        <f ca="1">IF(_xll.ciqfunctions.udf.CIQ($A46, "IQ_EARNING_CO", $B$3, $L$2,$L$4, $L$3, $L$5, $L$6)=0,AW46,_xll.ciqfunctions.udf.CIQ($A46, "IQ_EARNING_CO", $B$3, $L$2,$L$4, $L$3, $L$5, $L$6))</f>
        <v>#NAME?</v>
      </c>
      <c r="AZ46" s="59" t="e">
        <f ca="1">_xll.ciqfunctions.udf.CIQ($A46, "IQ_TOTAL_EQUITY", IQ_LTM-8, $L$2, $L$4, $L$3, $L$5, $L$6)</f>
        <v>#NAME?</v>
      </c>
      <c r="BA46" s="59" t="e">
        <f ca="1">_xll.ciqfunctions.udf.CIQ($A46, "IQ_TOTAL_EQUITY", IQ_LTM-4, $L$2, $L$4, $L$3, $L$5, $L$6)</f>
        <v>#NAME?</v>
      </c>
      <c r="BB46" s="59" t="e">
        <f ca="1">_xll.ciqfunctions.udf.CIQ($A46, "IQ_TOTAL_EQUITY", IQ_LTM, $L$2, $L$4, $L$3, $L$5, $L$6)</f>
        <v>#NAME?</v>
      </c>
      <c r="BC46" s="59" t="e">
        <f ca="1">_xll.ciqfunctions.udf.CIQ($A46, "IQ_TOTAL_EQUITY", $B$2, $L$2, $L$4, $L$3, $L$5, $L$6)</f>
        <v>#NAME?</v>
      </c>
      <c r="BD46" s="59" t="e">
        <f ca="1">IF(_xll.ciqfunctions.udf.CIQ($A46, "IQ_TOTAL_EQUITY", $B$3, $L$2,$L$4, $L$3, $L$5, $L$6)=0,BB46,_xll.ciqfunctions.udf.CIQ($A46, "IQ_TOTAL_EQUITY", $B$3, $L$2,$L$4, $L$3, $L$5, $L$6))</f>
        <v>#NAME?</v>
      </c>
      <c r="BE46" s="59" t="e">
        <f ca="1">_xll.ciqfunctions.udf.CIQ(A46, "IQ_LASTSALEPRICE", $B$8)</f>
        <v>#NAME?</v>
      </c>
      <c r="BF46" s="59" t="e">
        <f ca="1">_xll.ciqfunctions.udf.CIQ($A46, "IQ_MARKETCAP", $B$8, $L$5, $L$6)</f>
        <v>#NAME?</v>
      </c>
      <c r="BG46" s="59" t="e">
        <f ca="1">_xll.ciqfunctions.udf.CIQ($A46, "IQ_TOTAL_DEBT", IQ_LTM, $B$8,$L$4, $L$3, $L$5, $L$6)</f>
        <v>#NAME?</v>
      </c>
      <c r="BH46" s="45" t="e">
        <f ca="1">_xll.ciqfunctions.udf.CIQ($A46,"IQ_PREF_EQUITY",IQ_LTM,$B$8,$L$4,$L$3,$L$5,$L$6)</f>
        <v>#NAME?</v>
      </c>
      <c r="BI46" s="45" t="e">
        <f ca="1">_xll.ciqfunctions.udf.CIQ($A46, "IQ_MINORITY_INTEREST_TOTAL", IQ_LTM,$B$8,$L$4,$L$3,$L$5,$L$6)</f>
        <v>#NAME?</v>
      </c>
      <c r="BJ46" s="59" t="e">
        <f ca="1">_xll.ciqfunctions.udf.CIQ($A46, "IQ_CASH_ST_INVEST", IQ_LTM, $B$8, $L$4, $L$3, $L$5, $L$6)</f>
        <v>#NAME?</v>
      </c>
      <c r="BK46" s="45" t="e">
        <f ca="1">_xll.ciqfunctions.udf.CIQ($A46, "IQ_EFFECT_TAX_RATE")</f>
        <v>#NAME?</v>
      </c>
      <c r="BL46" s="45" t="e">
        <f ca="1">IF(_xll.ciqfunctions.udf.CIQ($A46, "IQ_TOTAL_REV_2YR_ANN_CAGR", IQ_LTM, $B$1,$L$4, $L$3, $L$5, $L$6)="NM","n/a",(_xll.ciqfunctions.udf.CIQ($A46, "IQ_TOTAL_REV_2YR_ANN_CAGR", IQ_LTM, $B$1,$L$4, $L$3, $L$5, $L$6)/100))</f>
        <v>#NAME?</v>
      </c>
      <c r="BM46" s="45" t="e">
        <f ca="1">IF(_xll.ciqfunctions.udf.CIQ($A46, "IQ_TOTAL_REV_3YR_ANN_CAGR", IQ_LTM, $B$1,$L$4, $L$3, $L$5, $L$6)="NM","n/a",(_xll.ciqfunctions.udf.CIQ($A46, "IQ_TOTAL_REV_3YR_ANN_CAGR", IQ_LTM, $B$1,$L$4, $L$3, $L$5, $L$6)/100))</f>
        <v>#NAME?</v>
      </c>
      <c r="BN46" s="45" t="e">
        <f ca="1">IF(_xll.ciqfunctions.udf.CIQ($A46, "IQ_TOTAL_REV_5YR_ANN_CAGR", IQ_LTM, $B$1,$L$4, $L$3, $L$5, $L$6)="NM","n/a",(_xll.ciqfunctions.udf.CIQ($A46, "IQ_TOTAL_REV_5YR_ANN_CAGR", IQ_LTM, $B$1,$L$4, $L$3, $L$5, $L$6)/100))</f>
        <v>#NAME?</v>
      </c>
      <c r="BO46" s="45" t="e">
        <f ca="1">IF(_xll.ciqfunctions.udf.CIQ($A46,"IQ_EBITDA_2YR_ANN_CAGR", IQ_LTM,$B$1,$L$4, $L$3, $L$5, $L$6)="NM","n/a",(_xll.ciqfunctions.udf.CIQ($A46,"IQ_EBITDA_2YR_ANN_CAGR", IQ_LTM,$B$1,$L$4, $L$3, $L$5, $L$6)/100))</f>
        <v>#NAME?</v>
      </c>
      <c r="BP46" s="45" t="e">
        <f ca="1">IF(_xll.ciqfunctions.udf.CIQ($A46,"IQ_EBITDA_3YR_ANN_CAGR", IQ_LTM,$B$1,$L$4, $L$3, $L$5, $L$6)="NM","n/a",(_xll.ciqfunctions.udf.CIQ($A46,"IQ_EBITDA_3YR_ANN_CAGR", IQ_LTM,$B$1,$L$4, $L$3, $L$5, $L$6)/100))</f>
        <v>#NAME?</v>
      </c>
      <c r="BQ46" s="45" t="e">
        <f ca="1">IF(_xll.ciqfunctions.udf.CIQ($A46,"IQ_EBITDA_5YR_ANN_CAGR", IQ_LTM,$B$1,$L$4, $L$3, $L$5, $L$6)="NM","n/a",(_xll.ciqfunctions.udf.CIQ($A46,"IQ_EBITDA_5YR_ANN_CAGR", IQ_LTM,$B$1,$L$4, $L$3, $L$5, $L$6)/100))</f>
        <v>#NAME?</v>
      </c>
      <c r="BR46" s="47" t="str">
        <f ca="1">IFERROR((_xll.ciqfunctions.udf.CIQ($A46, "IQ_DA_CF", IQ_LTM, $B$1, $L$4, $L$3, $L$5, $L$6)/Q46),"NM")</f>
        <v>NM</v>
      </c>
      <c r="BS46" s="47">
        <f>'Capital IQ Sheet-GPC'!BS46</f>
        <v>0.24227178754694109</v>
      </c>
      <c r="BT46" s="47">
        <f>'Capital IQ Sheet-GPC'!BT46</f>
        <v>0.25595218945759446</v>
      </c>
      <c r="BU46" s="47">
        <f>'Capital IQ Sheet-GPC'!BU46</f>
        <v>0.26344954486034894</v>
      </c>
      <c r="BV46" s="47">
        <f>'Capital IQ Sheet-GPC'!BV46</f>
        <v>0.25559720003828573</v>
      </c>
      <c r="BW46" s="47">
        <f>'Capital IQ Sheet-GPC'!BW46</f>
        <v>0.25236727378393736</v>
      </c>
      <c r="BX46" s="47">
        <f>'Capital IQ Sheet-GPC'!BX46</f>
        <v>0.2652711833093786</v>
      </c>
      <c r="BY46" s="47">
        <f>'Capital IQ Sheet-GPC'!BY46</f>
        <v>0.29030742623277744</v>
      </c>
      <c r="BZ46" s="47">
        <f>'Capital IQ Sheet-GPC'!BZ46</f>
        <v>0.29353410379629646</v>
      </c>
    </row>
    <row r="47" spans="1:83">
      <c r="A47" s="45" t="e">
        <f ca="1">_xll.ciqfunctions.udf.CIQ($B47,"IQ_COMPANY_TICKER")</f>
        <v>#NAME?</v>
      </c>
      <c r="B47" s="45" t="str">
        <f>'Capital IQ Sheet-GPC'!B47</f>
        <v>IQ5631624</v>
      </c>
      <c r="C47" s="45" t="e">
        <f ca="1">_xll.ciqfunctions.udf.CIQ($A47,"IQ_COMPANY_NAME")</f>
        <v>#NAME?</v>
      </c>
      <c r="D47" s="45" t="e">
        <f ca="1">_xll.ciqfunctions.udf.CIQ($A47, "IQ_EXCHANGE")</f>
        <v>#NAME?</v>
      </c>
      <c r="E47" s="46" t="e">
        <f ca="1">_xll.ciqfunctions.udf.CIQ($A47, "IQ_PERIODDATE_IS", IQ_FY)</f>
        <v>#NAME?</v>
      </c>
      <c r="F47" s="46" t="e">
        <f ca="1">_xll.ciqfunctions.udf.CIQ(A47, "IQ_PERIODDATE_IS", IQ_LTM, $B$1,$L$4,$L$3)</f>
        <v>#NAME?</v>
      </c>
      <c r="G47" s="46" t="e">
        <f ca="1">_xll.ciqfunctions.udf.CIQ($A47, "IQ_FIRSTPRICINGDATE")</f>
        <v>#NAME?</v>
      </c>
      <c r="H47" s="59" t="e">
        <f ca="1">_xll.ciqfunctions.udf.CIQ($A47, "IQ_TEV", $L$2, $L$5, $L$6)</f>
        <v>#NAME?</v>
      </c>
      <c r="I47" s="59" t="e">
        <f ca="1">_xll.ciqfunctions.udf.CIQ(A47, "IQ_LASTSALEPRICE", $B$1,$L$5)</f>
        <v>#NAME?</v>
      </c>
      <c r="J47" s="46" t="e">
        <f ca="1">_xll.ciqfunctions.udf.CIQ($B47, "IQ_FIRSTPRICINGDATE")</f>
        <v>#NAME?</v>
      </c>
      <c r="K47" s="59" t="e">
        <f ca="1">_xll.ciqfunctions.udf.CIQ($A47, "IQ_TOTAL_DEBT", IQ_LTM, $L$2,$L$4, $L$3, $L$5, $L$6)</f>
        <v>#NAME?</v>
      </c>
      <c r="L47" s="59" t="e">
        <f ca="1">_xll.ciqfunctions.udf.CIQ($A47, "IQ_PREF_EQUITY", IQ_LTM, $L$2, $L$4, $L$3, $L$5, $L$6)</f>
        <v>#NAME?</v>
      </c>
      <c r="M47" s="59" t="e">
        <f ca="1">_xll.ciqfunctions.udf.CIQ($A47, "IQ_MINORITY_INTEREST_TOTAL", IQ_LTM, $L$2, $L$4, $L$3, $L$5, $L$6)</f>
        <v>#NAME?</v>
      </c>
      <c r="N47" s="59" t="e">
        <f ca="1">_xll.ciqfunctions.udf.CIQ($A47, "IQ_CASH_ST_INVEST", IQ_LTM, $L$2, $L$4, $L$3, $L$5, $L$6)</f>
        <v>#NAME?</v>
      </c>
      <c r="O47" s="59" t="e">
        <f ca="1">_xll.ciqfunctions.udf.CIQ($A47, "IQ_TOTAL_REV", IQ_LTM-8, $L$2, $L$4, $L$3, $L$5, $L$6)</f>
        <v>#NAME?</v>
      </c>
      <c r="P47" s="59" t="e">
        <f ca="1">_xll.ciqfunctions.udf.CIQ($A47, "IQ_TOTAL_REV", IQ_LTM - 4, $L$2, $L$4, $L$3, $L$5,$L$6)</f>
        <v>#NAME?</v>
      </c>
      <c r="Q47" s="59" t="e">
        <f ca="1">_xll.ciqfunctions.udf.CIQ($A47, "IQ_TOTAL_REV", IQ_LTM, $L$2, $L$4, $L$3, $L$5, $L$6)</f>
        <v>#NAME?</v>
      </c>
      <c r="R47" s="59" t="e">
        <f ca="1">_xll.ciqfunctions.udf.CIQ($A47, "IQ_TOTAL_REV", $B$2, $L$2, $L$4, $L$3, $L$5, $L$6)</f>
        <v>#NAME?</v>
      </c>
      <c r="S47" s="59" t="e">
        <f ca="1">IF(_xll.ciqfunctions.udf.CIQ($A47, "IQ_TOTAL_REV", $B$3, $L$2,$L$4, $L$3, $L$5, $L$6)=0,Q47,_xll.ciqfunctions.udf.CIQ($A47, "IQ_TOTAL_REV", $B$3, $L$2,$L$4, $L$3, $L$5, $L$6))</f>
        <v>#NAME?</v>
      </c>
      <c r="T47" s="59" t="e">
        <f ca="1">IF(_xll.ciqfunctions.udf.CIQ($A47, "IQ_REVENUE_EST",$B$4, $L$2, "CON", $L$3, $L$5, $L$6)=0,"n/a",_xll.ciqfunctions.udf.CIQ($A47, "IQ_REVENUE_EST",$B$4, $L$2, "CON", $L$3, $L$5, $L$6))</f>
        <v>#NAME?</v>
      </c>
      <c r="U47" s="59" t="e">
        <f ca="1">IF(_xll.ciqfunctions.udf.CIQ($A47, "IQ_REVENUE_EST",$B$5, $L$2, "CON", $L$3, $L$5, $L$6)=0,"n/a",_xll.ciqfunctions.udf.CIQ($A47, "IQ_REVENUE_EST",$B$5, $L$2, "CON", $L$3, $L$5, $L$6))</f>
        <v>#NAME?</v>
      </c>
      <c r="V47" s="59" t="e">
        <f ca="1">IF(_xll.ciqfunctions.udf.CIQ($A47, "IQ_REVENUE_EST",$B$6, $L$2, "CON", $L$3, $L$5, $L$6)=0,"n/a",_xll.ciqfunctions.udf.CIQ($A47, "IQ_REVENUE_EST",$B$6, $L$2, "CON", $L$3, $L$5, $L$6))</f>
        <v>#NAME?</v>
      </c>
      <c r="W47" s="59" t="e">
        <f ca="1">IF(_xll.ciqfunctions.udf.CIQ($A47, "IQ_REVENUE_EST", $B$7, $L$2, "CON", $L$3, $L$5, $L$6)=0,"n/a",_xll.ciqfunctions.udf.CIQ($A47, "IQ_REVENUE_EST",$B$7, $L$2, "CON", $L$3, $L$5, $L$6))</f>
        <v>#NAME?</v>
      </c>
      <c r="X47" s="59" t="e">
        <f ca="1">_xll.ciqfunctions.udf.CIQ($A47, "IQ_EBITDA", IQ_LTM-8, $L$2, $L$4, $L$3, $L$5, $L$6)</f>
        <v>#NAME?</v>
      </c>
      <c r="Y47" s="59" t="e">
        <f ca="1">_xll.ciqfunctions.udf.CIQ($A47, "IQ_EBITDA", IQ_LTM-4, $L$2,$L$4, $L$3, $L$5, $L$6)</f>
        <v>#NAME?</v>
      </c>
      <c r="Z47" s="59" t="e">
        <f ca="1">_xll.ciqfunctions.udf.CIQ($A47, "IQ_EBITDA", IQ_LTM, $L$2, $L$4, $L$3, $L$5, $L$6)</f>
        <v>#NAME?</v>
      </c>
      <c r="AA47" s="59" t="e">
        <f ca="1">_xll.ciqfunctions.udf.CIQ($A47, "IQ_EBITDA", $B$2, $L$2, $L$4, $L$3, $L$5, $L$6)</f>
        <v>#NAME?</v>
      </c>
      <c r="AB47" s="59" t="e">
        <f ca="1">IF(_xll.ciqfunctions.udf.CIQ($A47, "IQ_EBITDA", $B$3, $L$2,$L$4, $L$3, $L$5, $L$6)=0,Z47,_xll.ciqfunctions.udf.CIQ($A47, "IQ_EBITDA", $B$3, $L$2,$L$4, $L$3, $L$5, $L$6))</f>
        <v>#NAME?</v>
      </c>
      <c r="AC47" s="59" t="e">
        <f ca="1">IF(_xll.ciqfunctions.udf.CIQ($A47, "IQ_EBITDA_EST",$B$4, $L$2, "CON", $L$3, $L$5, $L$6)=0,"n/a",_xll.ciqfunctions.udf.CIQ($A47, "IQ_EBITDA_EST",$B$4, $L$2, "CON", $L$3, $L$5, $L$6))</f>
        <v>#NAME?</v>
      </c>
      <c r="AD47" s="45" t="e">
        <f ca="1">IF(_xll.ciqfunctions.udf.CIQ($A47, "IQ_EBITDA_EST",$B$5, $L$2, "CON", $L$3, $L$5, $L$6)=0,"n/a",_xll.ciqfunctions.udf.CIQ($A47, "IQ_EBITDA_EST",$B$5, $L$2, "CON", $L$3, $L$5, $L$6))</f>
        <v>#NAME?</v>
      </c>
      <c r="AE47" s="59" t="e">
        <f ca="1">IF(_xll.ciqfunctions.udf.CIQ($A47, "IQ_EBITDA_EST",$B$6, $L$2, "CON", $L$3, $L$5, $L$6)=0,"n/a",_xll.ciqfunctions.udf.CIQ($A47, "IQ_EBITDA_EST",$B$6, $L$2, "CON", $L$3, $L$5, $L$6))</f>
        <v>#NAME?</v>
      </c>
      <c r="AF47" s="47" t="str">
        <f ca="1">IF(ISERROR(_xll.ciqfunctions.udf.CIQ($A47, "IQ_GROSS_MARGIN", IQ_LTM, $L$2,$L$4, $L$3, $L$5, $L$6)/100), "n/a", _xll.ciqfunctions.udf.CIQ($A47,  "IQ_GROSS_MARGIN", IQ_LTM, $L$2, $L$4, $L$3, $L$5, $L$6)/100)</f>
        <v>n/a</v>
      </c>
      <c r="AG47" s="47" t="str">
        <f ca="1">IF(ISERROR(_xll.ciqfunctions.udf.CIQ($A47,"IQ_EBITDA_MARGIN", IQ_LTM, $L$2, $L$4, $L$3, $L$5, $L$6)/100), "n/a", _xll.ciqfunctions.udf.CIQ($A47, "IQ_EBITDA_MARGIN", IQ_LTM, $L$2, $L$4, $L$3, $L$5, $L$6)/100)</f>
        <v>n/a</v>
      </c>
      <c r="AH47" s="47" t="str">
        <f ca="1">IF(ISERROR(_xll.ciqfunctions.udf.CIQ($A47,"IQ_EBIT_MARGIN", IQ_LTM, $L$2, $L$4, $L$3, $L$5, $L$6)/100), "n/a", _xll.ciqfunctions.udf.CIQ($A47, "IQ_EBIT_MARGIN", IQ_LTM, $L$2, $L$4, $L$3, $L$5, $L$6)/100)</f>
        <v>n/a</v>
      </c>
      <c r="AI47" s="47" t="str">
        <f ca="1">IF(ISERROR(_xll.ciqfunctions.udf.CIQ($A47,"IQ_NI_MARGIN", IQ_LTM, $L$2, $L$4, $L$3, $L$5, $L$6)/100), "n/a", _xll.ciqfunctions.udf.CIQ($A47, "IQ_NI_MARGIN", IQ_LTM, $L$2, $L$4, $L$3, $L$5, $L$6)/100)</f>
        <v>n/a</v>
      </c>
      <c r="AJ47" s="59" t="str">
        <f ca="1">IF(ISERROR(_xll.ciqfunctions.udf.CIQ($A47, "IQ_NET_WORKING_CAP", IQ_LTM-8, $L$2, $L$4, $L$3, $L$5, $L$6)), "n/a", _xll.ciqfunctions.udf.CIQ($A47, "IQ_NET_WORKING_CAP", IQ_LTM-8, $L$2, $L$4, $L$3, $L$5, $L$6))</f>
        <v>n/a</v>
      </c>
      <c r="AK47" s="59" t="str">
        <f ca="1">IF(ISERROR(_xll.ciqfunctions.udf.CIQ($A47, "IQ_NET_WORKING_CAP", IQ_LTM-4, $L$2, $L$4, $L$3, $L$5, $L$6)), "n/a", _xll.ciqfunctions.udf.CIQ($A47, "IQ_NET_WORKING_CAP", IQ_LTM-4, $L$2, $L$4, $L$3, $L$5, $L$6))</f>
        <v>n/a</v>
      </c>
      <c r="AL47" s="59" t="str">
        <f ca="1">IF(ISERROR(_xll.ciqfunctions.udf.CIQ($A47, "IQ_NET_WORKING_CAP", IQ_LTM, $L$2,$L$4, $L$3, $L$5, $L$6)), "n/a", _xll.ciqfunctions.udf.CIQ($A47, "IQ_NET_WORKING_CAP", IQ_LTM, $L$2, $L$4, $L$3, $L$5, $L$6))</f>
        <v>n/a</v>
      </c>
      <c r="AM47" s="59" t="str">
        <f ca="1">IF(ISERROR(_xll.ciqfunctions.udf.CIQ($A47, "IQ_Capex", IQ_LTM-8, $L$2,$L$4, $L$3, $L$5, $L$6)), "n/a", _xll.ciqfunctions.udf.CIQ($A47, "IQ_Capex", IQ_LTM-8, $L$2, $L$4, $L$3, $L$5, $L$6))</f>
        <v>n/a</v>
      </c>
      <c r="AN47" s="59" t="str">
        <f ca="1">IF(ISERROR(_xll.ciqfunctions.udf.CIQ($A47, "IQ_Capex", IQ_LTM-4, $L$2,$L$4, $L$3, $L$5, $L$6)), "n/a", _xll.ciqfunctions.udf.CIQ($A47, "IQ_Capex", IQ_LTM-4, $L$2,$L$4, $L$3, $L$5, $L$6))</f>
        <v>n/a</v>
      </c>
      <c r="AO47" s="59" t="str">
        <f ca="1">IF(ISERROR(_xll.ciqfunctions.udf.CIQ($A47, "IQ_Capex", IQ_LTM, $L$2, $L$4, $L$3, $L$5, $L$6)), "n/a", _xll.ciqfunctions.udf.CIQ($A47, "IQ_Capex", IQ_LTM, $L$2, $L$4, $L$3, $L$5, $L$6))</f>
        <v>n/a</v>
      </c>
      <c r="AP47" s="44" t="e">
        <f ca="1">_xll.ciqfunctions.udf.CIQ(A47, "IQ_BUSINESS_DESCRIPTION")</f>
        <v>#NAME?</v>
      </c>
      <c r="AQ47" s="60" t="e">
        <f ca="1">_xll.ciqfunctions.udf.CIQ($A47, "IQ_BETA_1YR", $B$1)</f>
        <v>#NAME?</v>
      </c>
      <c r="AR47" s="60" t="e">
        <f ca="1">_xll.ciqfunctions.udf.CIQ($A47, "IQ_BETA_2YR", $B$1)</f>
        <v>#NAME?</v>
      </c>
      <c r="AS47" s="60" t="e">
        <f ca="1">_xll.ciqfunctions.udf.CIQ($A47, "IQ_BETA_5YR", $B$1)</f>
        <v>#NAME?</v>
      </c>
      <c r="AT47" s="45" t="e">
        <f ca="1">_xll.ciqfunctions.udf.CIQ($B47, "IQ_GP", IQ_LTM,$B$1, ,,"USD")</f>
        <v>#NAME?</v>
      </c>
      <c r="AU47" s="59" t="e">
        <f ca="1">_xll.ciqfunctions.udf.CIQ($A47, "IQ_EARNING_CO", IQ_LTM-8, $L$2, $L$4, $L$3, $L$5, $L$6)</f>
        <v>#NAME?</v>
      </c>
      <c r="AV47" s="59" t="e">
        <f ca="1">_xll.ciqfunctions.udf.CIQ($A47, "IQ_EARNING_CO", IQ_LTM-4, $L$2, $L$4, $L$3, $L$5, $L$6)</f>
        <v>#NAME?</v>
      </c>
      <c r="AW47" s="59" t="e">
        <f ca="1">_xll.ciqfunctions.udf.CIQ($A47, "IQ_EARNING_CO", IQ_LTM, $L$2, $L$4, $L$3, $L$5, $L$6)</f>
        <v>#NAME?</v>
      </c>
      <c r="AX47" s="59" t="e">
        <f ca="1">_xll.ciqfunctions.udf.CIQ($A47, "IQ_EARNING_CO", $B$2, $L$2, $L$4, $L$3, $L$5, $L$6)</f>
        <v>#NAME?</v>
      </c>
      <c r="AY47" s="59" t="e">
        <f ca="1">IF(_xll.ciqfunctions.udf.CIQ($A47, "IQ_EARNING_CO", $B$3, $L$2,$L$4, $L$3, $L$5, $L$6)=0,AW47,_xll.ciqfunctions.udf.CIQ($A47, "IQ_EARNING_CO", $B$3, $L$2,$L$4, $L$3, $L$5, $L$6))</f>
        <v>#NAME?</v>
      </c>
      <c r="AZ47" s="59" t="e">
        <f ca="1">_xll.ciqfunctions.udf.CIQ($A47, "IQ_TOTAL_EQUITY", IQ_LTM-8, $L$2, $L$4, $L$3, $L$5, $L$6)</f>
        <v>#NAME?</v>
      </c>
      <c r="BA47" s="59" t="e">
        <f ca="1">_xll.ciqfunctions.udf.CIQ($A47, "IQ_TOTAL_EQUITY", IQ_LTM-4, $L$2, $L$4, $L$3, $L$5, $L$6)</f>
        <v>#NAME?</v>
      </c>
      <c r="BB47" s="59" t="e">
        <f ca="1">_xll.ciqfunctions.udf.CIQ($A47, "IQ_TOTAL_EQUITY", IQ_LTM, $L$2, $L$4, $L$3, $L$5, $L$6)</f>
        <v>#NAME?</v>
      </c>
      <c r="BC47" s="59" t="e">
        <f ca="1">_xll.ciqfunctions.udf.CIQ($A47, "IQ_TOTAL_EQUITY", $B$2, $L$2, $L$4, $L$3, $L$5, $L$6)</f>
        <v>#NAME?</v>
      </c>
      <c r="BD47" s="59" t="e">
        <f ca="1">IF(_xll.ciqfunctions.udf.CIQ($A47, "IQ_TOTAL_EQUITY", $B$3, $L$2,$L$4, $L$3, $L$5, $L$6)=0,BB47,_xll.ciqfunctions.udf.CIQ($A47, "IQ_TOTAL_EQUITY", $B$3, $L$2,$L$4, $L$3, $L$5, $L$6))</f>
        <v>#NAME?</v>
      </c>
      <c r="BE47" s="59" t="e">
        <f ca="1">_xll.ciqfunctions.udf.CIQ(A47, "IQ_LASTSALEPRICE", $B$8)</f>
        <v>#NAME?</v>
      </c>
      <c r="BF47" s="59" t="e">
        <f ca="1">_xll.ciqfunctions.udf.CIQ($A47, "IQ_MARKETCAP", $B$8, $L$5, $L$6)</f>
        <v>#NAME?</v>
      </c>
      <c r="BG47" s="59" t="e">
        <f ca="1">_xll.ciqfunctions.udf.CIQ($A47, "IQ_TOTAL_DEBT", IQ_LTM, $B$8,$L$4, $L$3, $L$5, $L$6)</f>
        <v>#NAME?</v>
      </c>
      <c r="BH47" s="45" t="e">
        <f ca="1">_xll.ciqfunctions.udf.CIQ($A47,"IQ_PREF_EQUITY",IQ_LTM,$B$8,$L$4,$L$3,$L$5,$L$6)</f>
        <v>#NAME?</v>
      </c>
      <c r="BI47" s="45" t="e">
        <f ca="1">_xll.ciqfunctions.udf.CIQ($A47, "IQ_MINORITY_INTEREST_TOTAL", IQ_LTM,$B$8,$L$4,$L$3,$L$5,$L$6)</f>
        <v>#NAME?</v>
      </c>
      <c r="BJ47" s="59" t="e">
        <f ca="1">_xll.ciqfunctions.udf.CIQ($A47, "IQ_CASH_ST_INVEST", IQ_LTM, $B$8, $L$4, $L$3, $L$5, $L$6)</f>
        <v>#NAME?</v>
      </c>
      <c r="BK47" s="45" t="e">
        <f ca="1">_xll.ciqfunctions.udf.CIQ($A47, "IQ_EFFECT_TAX_RATE")</f>
        <v>#NAME?</v>
      </c>
      <c r="BL47" s="45" t="e">
        <f ca="1">IF(_xll.ciqfunctions.udf.CIQ($A47, "IQ_TOTAL_REV_2YR_ANN_CAGR", IQ_LTM, $B$1,$L$4, $L$3, $L$5, $L$6)="NM","n/a",(_xll.ciqfunctions.udf.CIQ($A47, "IQ_TOTAL_REV_2YR_ANN_CAGR", IQ_LTM, $B$1,$L$4, $L$3, $L$5, $L$6)/100))</f>
        <v>#NAME?</v>
      </c>
      <c r="BM47" s="45" t="e">
        <f ca="1">IF(_xll.ciqfunctions.udf.CIQ($A47, "IQ_TOTAL_REV_3YR_ANN_CAGR", IQ_LTM, $B$1,$L$4, $L$3, $L$5, $L$6)="NM","n/a",(_xll.ciqfunctions.udf.CIQ($A47, "IQ_TOTAL_REV_3YR_ANN_CAGR", IQ_LTM, $B$1,$L$4, $L$3, $L$5, $L$6)/100))</f>
        <v>#NAME?</v>
      </c>
      <c r="BN47" s="45" t="e">
        <f ca="1">IF(_xll.ciqfunctions.udf.CIQ($A47, "IQ_TOTAL_REV_5YR_ANN_CAGR", IQ_LTM, $B$1,$L$4, $L$3, $L$5, $L$6)="NM","n/a",(_xll.ciqfunctions.udf.CIQ($A47, "IQ_TOTAL_REV_5YR_ANN_CAGR", IQ_LTM, $B$1,$L$4, $L$3, $L$5, $L$6)/100))</f>
        <v>#NAME?</v>
      </c>
      <c r="BO47" s="45" t="e">
        <f ca="1">IF(_xll.ciqfunctions.udf.CIQ($A47,"IQ_EBITDA_2YR_ANN_CAGR", IQ_LTM,$B$1,$L$4, $L$3, $L$5, $L$6)="NM","n/a",(_xll.ciqfunctions.udf.CIQ($A47,"IQ_EBITDA_2YR_ANN_CAGR", IQ_LTM,$B$1,$L$4, $L$3, $L$5, $L$6)/100))</f>
        <v>#NAME?</v>
      </c>
      <c r="BP47" s="45" t="e">
        <f ca="1">IF(_xll.ciqfunctions.udf.CIQ($A47,"IQ_EBITDA_3YR_ANN_CAGR", IQ_LTM,$B$1,$L$4, $L$3, $L$5, $L$6)="NM","n/a",(_xll.ciqfunctions.udf.CIQ($A47,"IQ_EBITDA_3YR_ANN_CAGR", IQ_LTM,$B$1,$L$4, $L$3, $L$5, $L$6)/100))</f>
        <v>#NAME?</v>
      </c>
      <c r="BQ47" s="45" t="e">
        <f ca="1">IF(_xll.ciqfunctions.udf.CIQ($A47,"IQ_EBITDA_5YR_ANN_CAGR", IQ_LTM,$B$1,$L$4, $L$3, $L$5, $L$6)="NM","n/a",(_xll.ciqfunctions.udf.CIQ($A47,"IQ_EBITDA_5YR_ANN_CAGR", IQ_LTM,$B$1,$L$4, $L$3, $L$5, $L$6)/100))</f>
        <v>#NAME?</v>
      </c>
      <c r="BR47" s="47" t="str">
        <f ca="1">IFERROR((_xll.ciqfunctions.udf.CIQ($A47, "IQ_DA_CF", IQ_LTM, $B$1, $L$4, $L$3, $L$5, $L$6)/Q47),"NM")</f>
        <v>NM</v>
      </c>
      <c r="BS47" s="47">
        <f>'Capital IQ Sheet-GPC'!BS47</f>
        <v>0.3757902242518214</v>
      </c>
      <c r="BT47" s="47">
        <f>'Capital IQ Sheet-GPC'!BT47</f>
        <v>0.338719462842133</v>
      </c>
      <c r="BU47" s="47">
        <f>'Capital IQ Sheet-GPC'!BU47</f>
        <v>0.33856438005458822</v>
      </c>
      <c r="BV47" s="47">
        <f>'Capital IQ Sheet-GPC'!BV47</f>
        <v>0.33383552388075782</v>
      </c>
      <c r="BW47" s="47">
        <f>'Capital IQ Sheet-GPC'!BW47</f>
        <v>0.33399283582433842</v>
      </c>
      <c r="BX47" s="47">
        <f>'Capital IQ Sheet-GPC'!BX47</f>
        <v>0.36181322148863199</v>
      </c>
      <c r="BY47" s="47">
        <f>'Capital IQ Sheet-GPC'!BY47</f>
        <v>0.39576120790283292</v>
      </c>
      <c r="BZ47" s="47">
        <f>'Capital IQ Sheet-GPC'!BZ47</f>
        <v>0.39118841851838637</v>
      </c>
    </row>
    <row r="48" spans="1:83">
      <c r="A48" s="45" t="e">
        <f ca="1">_xll.ciqfunctions.udf.CIQ($B48,"IQ_COMPANY_TICKER")</f>
        <v>#NAME?</v>
      </c>
      <c r="B48" s="45" t="str">
        <f>'Capital IQ Sheet-GPC'!B48</f>
        <v>(Invalid Identifier)</v>
      </c>
      <c r="C48" s="45" t="e">
        <f ca="1">_xll.ciqfunctions.udf.CIQ($A48,"IQ_COMPANY_NAME")</f>
        <v>#NAME?</v>
      </c>
      <c r="D48" s="45" t="e">
        <f ca="1">_xll.ciqfunctions.udf.CIQ($A48, "IQ_EXCHANGE")</f>
        <v>#NAME?</v>
      </c>
      <c r="E48" s="46" t="e">
        <f ca="1">_xll.ciqfunctions.udf.CIQ($A48, "IQ_PERIODDATE_IS", IQ_FY)</f>
        <v>#NAME?</v>
      </c>
      <c r="F48" s="46" t="e">
        <f ca="1">_xll.ciqfunctions.udf.CIQ(A48, "IQ_PERIODDATE_IS", IQ_LTM, $B$1,$L$4,$L$3)</f>
        <v>#NAME?</v>
      </c>
      <c r="G48" s="46" t="e">
        <f ca="1">_xll.ciqfunctions.udf.CIQ($A48, "IQ_FIRSTPRICINGDATE")</f>
        <v>#NAME?</v>
      </c>
      <c r="H48" s="59" t="e">
        <f ca="1">_xll.ciqfunctions.udf.CIQ($A48, "IQ_TEV", $L$2, $L$5, $L$6)</f>
        <v>#NAME?</v>
      </c>
      <c r="I48" s="59" t="e">
        <f ca="1">_xll.ciqfunctions.udf.CIQ(A48, "IQ_LASTSALEPRICE", $B$1,$L$5)</f>
        <v>#NAME?</v>
      </c>
      <c r="J48" s="46" t="e">
        <f ca="1">_xll.ciqfunctions.udf.CIQ($B48, "IQ_FIRSTPRICINGDATE")</f>
        <v>#NAME?</v>
      </c>
      <c r="K48" s="59" t="e">
        <f ca="1">_xll.ciqfunctions.udf.CIQ($A48, "IQ_TOTAL_DEBT", IQ_LTM, $L$2,$L$4, $L$3, $L$5, $L$6)</f>
        <v>#NAME?</v>
      </c>
      <c r="L48" s="59" t="e">
        <f ca="1">_xll.ciqfunctions.udf.CIQ($A48, "IQ_PREF_EQUITY", IQ_LTM, $L$2, $L$4, $L$3, $L$5, $L$6)</f>
        <v>#NAME?</v>
      </c>
      <c r="M48" s="59" t="e">
        <f ca="1">_xll.ciqfunctions.udf.CIQ($A48, "IQ_MINORITY_INTEREST_TOTAL", IQ_LTM, $L$2, $L$4, $L$3, $L$5, $L$6)</f>
        <v>#NAME?</v>
      </c>
      <c r="N48" s="59" t="e">
        <f ca="1">_xll.ciqfunctions.udf.CIQ($A48, "IQ_CASH_ST_INVEST", IQ_LTM, $L$2, $L$4, $L$3, $L$5, $L$6)</f>
        <v>#NAME?</v>
      </c>
      <c r="O48" s="59" t="e">
        <f ca="1">_xll.ciqfunctions.udf.CIQ($A48, "IQ_TOTAL_REV", IQ_LTM-8, $L$2, $L$4, $L$3, $L$5, $L$6)</f>
        <v>#NAME?</v>
      </c>
      <c r="P48" s="59" t="e">
        <f ca="1">_xll.ciqfunctions.udf.CIQ($A48, "IQ_TOTAL_REV", IQ_LTM - 4, $L$2, $L$4, $L$3, $L$5,$L$6)</f>
        <v>#NAME?</v>
      </c>
      <c r="Q48" s="59" t="e">
        <f ca="1">_xll.ciqfunctions.udf.CIQ($A48, "IQ_TOTAL_REV", IQ_LTM, $L$2, $L$4, $L$3, $L$5, $L$6)</f>
        <v>#NAME?</v>
      </c>
      <c r="R48" s="59" t="e">
        <f ca="1">_xll.ciqfunctions.udf.CIQ($A48, "IQ_TOTAL_REV", $B$2, $L$2, $L$4, $L$3, $L$5, $L$6)</f>
        <v>#NAME?</v>
      </c>
      <c r="S48" s="59" t="e">
        <f ca="1">IF(_xll.ciqfunctions.udf.CIQ($A48, "IQ_TOTAL_REV", $B$3, $L$2,$L$4, $L$3, $L$5, $L$6)=0,Q48,_xll.ciqfunctions.udf.CIQ($A48, "IQ_TOTAL_REV", $B$3, $L$2,$L$4, $L$3, $L$5, $L$6))</f>
        <v>#NAME?</v>
      </c>
      <c r="T48" s="59" t="e">
        <f ca="1">IF(_xll.ciqfunctions.udf.CIQ($A48, "IQ_REVENUE_EST",$B$4, $L$2, "CON", $L$3, $L$5, $L$6)=0,"n/a",_xll.ciqfunctions.udf.CIQ($A48, "IQ_REVENUE_EST",$B$4, $L$2, "CON", $L$3, $L$5, $L$6))</f>
        <v>#NAME?</v>
      </c>
      <c r="U48" s="59" t="e">
        <f ca="1">IF(_xll.ciqfunctions.udf.CIQ($A48, "IQ_REVENUE_EST",$B$5, $L$2, "CON", $L$3, $L$5, $L$6)=0,"n/a",_xll.ciqfunctions.udf.CIQ($A48, "IQ_REVENUE_EST",$B$5, $L$2, "CON", $L$3, $L$5, $L$6))</f>
        <v>#NAME?</v>
      </c>
      <c r="V48" s="59" t="e">
        <f ca="1">IF(_xll.ciqfunctions.udf.CIQ($A48, "IQ_REVENUE_EST",$B$6, $L$2, "CON", $L$3, $L$5, $L$6)=0,"n/a",_xll.ciqfunctions.udf.CIQ($A48, "IQ_REVENUE_EST",$B$6, $L$2, "CON", $L$3, $L$5, $L$6))</f>
        <v>#NAME?</v>
      </c>
      <c r="W48" s="59" t="e">
        <f ca="1">IF(_xll.ciqfunctions.udf.CIQ($A48, "IQ_REVENUE_EST", $B$7, $L$2, "CON", $L$3, $L$5, $L$6)=0,"n/a",_xll.ciqfunctions.udf.CIQ($A48, "IQ_REVENUE_EST",$B$7, $L$2, "CON", $L$3, $L$5, $L$6))</f>
        <v>#NAME?</v>
      </c>
      <c r="X48" s="59" t="e">
        <f ca="1">_xll.ciqfunctions.udf.CIQ($A48, "IQ_EBITDA", IQ_LTM-8, $L$2, $L$4, $L$3, $L$5, $L$6)</f>
        <v>#NAME?</v>
      </c>
      <c r="Y48" s="59" t="e">
        <f ca="1">_xll.ciqfunctions.udf.CIQ($A48, "IQ_EBITDA", IQ_LTM-4, $L$2,$L$4, $L$3, $L$5, $L$6)</f>
        <v>#NAME?</v>
      </c>
      <c r="Z48" s="59" t="e">
        <f ca="1">_xll.ciqfunctions.udf.CIQ($A48, "IQ_EBITDA", IQ_LTM, $L$2, $L$4, $L$3, $L$5, $L$6)</f>
        <v>#NAME?</v>
      </c>
      <c r="AA48" s="59" t="e">
        <f ca="1">_xll.ciqfunctions.udf.CIQ($A48, "IQ_EBITDA", $B$2, $L$2, $L$4, $L$3, $L$5, $L$6)</f>
        <v>#NAME?</v>
      </c>
      <c r="AB48" s="59" t="e">
        <f ca="1">IF(_xll.ciqfunctions.udf.CIQ($A48, "IQ_EBITDA", $B$3, $L$2,$L$4, $L$3, $L$5, $L$6)=0,Z48,_xll.ciqfunctions.udf.CIQ($A48, "IQ_EBITDA", $B$3, $L$2,$L$4, $L$3, $L$5, $L$6))</f>
        <v>#NAME?</v>
      </c>
      <c r="AC48" s="59" t="e">
        <f ca="1">IF(_xll.ciqfunctions.udf.CIQ($A48, "IQ_EBITDA_EST",$B$4, $L$2, "CON", $L$3, $L$5, $L$6)=0,"n/a",_xll.ciqfunctions.udf.CIQ($A48, "IQ_EBITDA_EST",$B$4, $L$2, "CON", $L$3, $L$5, $L$6))</f>
        <v>#NAME?</v>
      </c>
      <c r="AD48" s="45" t="e">
        <f ca="1">IF(_xll.ciqfunctions.udf.CIQ($A48, "IQ_EBITDA_EST",$B$5, $L$2, "CON", $L$3, $L$5, $L$6)=0,"n/a",_xll.ciqfunctions.udf.CIQ($A48, "IQ_EBITDA_EST",$B$5, $L$2, "CON", $L$3, $L$5, $L$6))</f>
        <v>#NAME?</v>
      </c>
      <c r="AE48" s="59" t="e">
        <f ca="1">IF(_xll.ciqfunctions.udf.CIQ($A48, "IQ_EBITDA_EST",$B$6, $L$2, "CON", $L$3, $L$5, $L$6)=0,"n/a",_xll.ciqfunctions.udf.CIQ($A48, "IQ_EBITDA_EST",$B$6, $L$2, "CON", $L$3, $L$5, $L$6))</f>
        <v>#NAME?</v>
      </c>
      <c r="AF48" s="47" t="str">
        <f ca="1">IF(ISERROR(_xll.ciqfunctions.udf.CIQ($A48, "IQ_GROSS_MARGIN", IQ_LTM, $L$2,$L$4, $L$3, $L$5, $L$6)/100), "n/a", _xll.ciqfunctions.udf.CIQ($A48,  "IQ_GROSS_MARGIN", IQ_LTM, $L$2, $L$4, $L$3, $L$5, $L$6)/100)</f>
        <v>n/a</v>
      </c>
      <c r="AG48" s="47" t="str">
        <f ca="1">IF(ISERROR(_xll.ciqfunctions.udf.CIQ($A48,"IQ_EBITDA_MARGIN", IQ_LTM, $L$2, $L$4, $L$3, $L$5, $L$6)/100), "n/a", _xll.ciqfunctions.udf.CIQ($A48, "IQ_EBITDA_MARGIN", IQ_LTM, $L$2, $L$4, $L$3, $L$5, $L$6)/100)</f>
        <v>n/a</v>
      </c>
      <c r="AH48" s="47" t="str">
        <f ca="1">IF(ISERROR(_xll.ciqfunctions.udf.CIQ($A48,"IQ_EBIT_MARGIN", IQ_LTM, $L$2, $L$4, $L$3, $L$5, $L$6)/100), "n/a", _xll.ciqfunctions.udf.CIQ($A48, "IQ_EBIT_MARGIN", IQ_LTM, $L$2, $L$4, $L$3, $L$5, $L$6)/100)</f>
        <v>n/a</v>
      </c>
      <c r="AI48" s="47" t="str">
        <f ca="1">IF(ISERROR(_xll.ciqfunctions.udf.CIQ($A48,"IQ_NI_MARGIN", IQ_LTM, $L$2, $L$4, $L$3, $L$5, $L$6)/100), "n/a", _xll.ciqfunctions.udf.CIQ($A48, "IQ_NI_MARGIN", IQ_LTM, $L$2, $L$4, $L$3, $L$5, $L$6)/100)</f>
        <v>n/a</v>
      </c>
      <c r="AJ48" s="59" t="str">
        <f ca="1">IF(ISERROR(_xll.ciqfunctions.udf.CIQ($A48, "IQ_NET_WORKING_CAP", IQ_LTM-8, $L$2, $L$4, $L$3, $L$5, $L$6)), "n/a", _xll.ciqfunctions.udf.CIQ($A48, "IQ_NET_WORKING_CAP", IQ_LTM-8, $L$2, $L$4, $L$3, $L$5, $L$6))</f>
        <v>n/a</v>
      </c>
      <c r="AK48" s="59" t="str">
        <f ca="1">IF(ISERROR(_xll.ciqfunctions.udf.CIQ($A48, "IQ_NET_WORKING_CAP", IQ_LTM-4, $L$2, $L$4, $L$3, $L$5, $L$6)), "n/a", _xll.ciqfunctions.udf.CIQ($A48, "IQ_NET_WORKING_CAP", IQ_LTM-4, $L$2, $L$4, $L$3, $L$5, $L$6))</f>
        <v>n/a</v>
      </c>
      <c r="AL48" s="59" t="str">
        <f ca="1">IF(ISERROR(_xll.ciqfunctions.udf.CIQ($A48, "IQ_NET_WORKING_CAP", IQ_LTM, $L$2,$L$4, $L$3, $L$5, $L$6)), "n/a", _xll.ciqfunctions.udf.CIQ($A48, "IQ_NET_WORKING_CAP", IQ_LTM, $L$2, $L$4, $L$3, $L$5, $L$6))</f>
        <v>n/a</v>
      </c>
      <c r="AM48" s="59" t="str">
        <f ca="1">IF(ISERROR(_xll.ciqfunctions.udf.CIQ($A48, "IQ_Capex", IQ_LTM-8, $L$2,$L$4, $L$3, $L$5, $L$6)), "n/a", _xll.ciqfunctions.udf.CIQ($A48, "IQ_Capex", IQ_LTM-8, $L$2, $L$4, $L$3, $L$5, $L$6))</f>
        <v>n/a</v>
      </c>
      <c r="AN48" s="59" t="str">
        <f ca="1">IF(ISERROR(_xll.ciqfunctions.udf.CIQ($A48, "IQ_Capex", IQ_LTM-4, $L$2,$L$4, $L$3, $L$5, $L$6)), "n/a", _xll.ciqfunctions.udf.CIQ($A48, "IQ_Capex", IQ_LTM-4, $L$2,$L$4, $L$3, $L$5, $L$6))</f>
        <v>n/a</v>
      </c>
      <c r="AO48" s="59" t="str">
        <f ca="1">IF(ISERROR(_xll.ciqfunctions.udf.CIQ($A48, "IQ_Capex", IQ_LTM, $L$2, $L$4, $L$3, $L$5, $L$6)), "n/a", _xll.ciqfunctions.udf.CIQ($A48, "IQ_Capex", IQ_LTM, $L$2, $L$4, $L$3, $L$5, $L$6))</f>
        <v>n/a</v>
      </c>
      <c r="AP48" s="44" t="e">
        <f ca="1">_xll.ciqfunctions.udf.CIQ(A48, "IQ_BUSINESS_DESCRIPTION")</f>
        <v>#NAME?</v>
      </c>
      <c r="AQ48" s="60" t="e">
        <f ca="1">_xll.ciqfunctions.udf.CIQ($A48, "IQ_BETA_1YR", $B$1)</f>
        <v>#NAME?</v>
      </c>
      <c r="AR48" s="60" t="e">
        <f ca="1">_xll.ciqfunctions.udf.CIQ($A48, "IQ_BETA_2YR", $B$1)</f>
        <v>#NAME?</v>
      </c>
      <c r="AS48" s="60" t="e">
        <f ca="1">_xll.ciqfunctions.udf.CIQ($A48, "IQ_BETA_5YR", $B$1)</f>
        <v>#NAME?</v>
      </c>
      <c r="AT48" s="45" t="e">
        <f ca="1">_xll.ciqfunctions.udf.CIQ($B48, "IQ_GP", IQ_LTM,$B$1, ,,"USD")</f>
        <v>#NAME?</v>
      </c>
      <c r="AU48" s="59" t="e">
        <f ca="1">_xll.ciqfunctions.udf.CIQ($A48, "IQ_EARNING_CO", IQ_LTM-8, $L$2, $L$4, $L$3, $L$5, $L$6)</f>
        <v>#NAME?</v>
      </c>
      <c r="AV48" s="59" t="e">
        <f ca="1">_xll.ciqfunctions.udf.CIQ($A48, "IQ_EARNING_CO", IQ_LTM-4, $L$2, $L$4, $L$3, $L$5, $L$6)</f>
        <v>#NAME?</v>
      </c>
      <c r="AW48" s="59" t="e">
        <f ca="1">_xll.ciqfunctions.udf.CIQ($A48, "IQ_EARNING_CO", IQ_LTM, $L$2, $L$4, $L$3, $L$5, $L$6)</f>
        <v>#NAME?</v>
      </c>
      <c r="AX48" s="59" t="e">
        <f ca="1">_xll.ciqfunctions.udf.CIQ($A48, "IQ_EARNING_CO", $B$2, $L$2, $L$4, $L$3, $L$5, $L$6)</f>
        <v>#NAME?</v>
      </c>
      <c r="AY48" s="59" t="e">
        <f ca="1">IF(_xll.ciqfunctions.udf.CIQ($A48, "IQ_EARNING_CO", $B$3, $L$2,$L$4, $L$3, $L$5, $L$6)=0,AW48,_xll.ciqfunctions.udf.CIQ($A48, "IQ_EARNING_CO", $B$3, $L$2,$L$4, $L$3, $L$5, $L$6))</f>
        <v>#NAME?</v>
      </c>
      <c r="AZ48" s="59" t="e">
        <f ca="1">_xll.ciqfunctions.udf.CIQ($A48, "IQ_TOTAL_EQUITY", IQ_LTM-8, $L$2, $L$4, $L$3, $L$5, $L$6)</f>
        <v>#NAME?</v>
      </c>
      <c r="BA48" s="59" t="e">
        <f ca="1">_xll.ciqfunctions.udf.CIQ($A48, "IQ_TOTAL_EQUITY", IQ_LTM-4, $L$2, $L$4, $L$3, $L$5, $L$6)</f>
        <v>#NAME?</v>
      </c>
      <c r="BB48" s="59" t="e">
        <f ca="1">_xll.ciqfunctions.udf.CIQ($A48, "IQ_TOTAL_EQUITY", IQ_LTM, $L$2, $L$4, $L$3, $L$5, $L$6)</f>
        <v>#NAME?</v>
      </c>
      <c r="BC48" s="59" t="e">
        <f ca="1">_xll.ciqfunctions.udf.CIQ($A48, "IQ_TOTAL_EQUITY", $B$2, $L$2, $L$4, $L$3, $L$5, $L$6)</f>
        <v>#NAME?</v>
      </c>
      <c r="BD48" s="59" t="e">
        <f ca="1">IF(_xll.ciqfunctions.udf.CIQ($A48, "IQ_TOTAL_EQUITY", $B$3, $L$2,$L$4, $L$3, $L$5, $L$6)=0,BB48,_xll.ciqfunctions.udf.CIQ($A48, "IQ_TOTAL_EQUITY", $B$3, $L$2,$L$4, $L$3, $L$5, $L$6))</f>
        <v>#NAME?</v>
      </c>
      <c r="BE48" s="59" t="e">
        <f ca="1">_xll.ciqfunctions.udf.CIQ(A48, "IQ_LASTSALEPRICE", $B$8)</f>
        <v>#NAME?</v>
      </c>
      <c r="BF48" s="59" t="e">
        <f ca="1">_xll.ciqfunctions.udf.CIQ($A48, "IQ_MARKETCAP", $B$8, $L$5, $L$6)</f>
        <v>#NAME?</v>
      </c>
      <c r="BG48" s="59" t="e">
        <f ca="1">_xll.ciqfunctions.udf.CIQ($A48, "IQ_TOTAL_DEBT", IQ_LTM, $B$8,$L$4, $L$3, $L$5, $L$6)</f>
        <v>#NAME?</v>
      </c>
      <c r="BH48" s="45" t="e">
        <f ca="1">_xll.ciqfunctions.udf.CIQ($A48,"IQ_PREF_EQUITY",IQ_LTM,$B$8,$L$4,$L$3,$L$5,$L$6)</f>
        <v>#NAME?</v>
      </c>
      <c r="BI48" s="45" t="e">
        <f ca="1">_xll.ciqfunctions.udf.CIQ($A48, "IQ_MINORITY_INTEREST_TOTAL", IQ_LTM,$B$8,$L$4,$L$3,$L$5,$L$6)</f>
        <v>#NAME?</v>
      </c>
      <c r="BJ48" s="59" t="e">
        <f ca="1">_xll.ciqfunctions.udf.CIQ($A48, "IQ_CASH_ST_INVEST", IQ_LTM, $B$8, $L$4, $L$3, $L$5, $L$6)</f>
        <v>#NAME?</v>
      </c>
      <c r="BK48" s="45" t="e">
        <f ca="1">_xll.ciqfunctions.udf.CIQ($A48, "IQ_EFFECT_TAX_RATE")</f>
        <v>#NAME?</v>
      </c>
      <c r="BL48" s="45" t="e">
        <f ca="1">IF(_xll.ciqfunctions.udf.CIQ($A48, "IQ_TOTAL_REV_2YR_ANN_CAGR", IQ_LTM, $B$1,$L$4, $L$3, $L$5, $L$6)="NM","n/a",(_xll.ciqfunctions.udf.CIQ($A48, "IQ_TOTAL_REV_2YR_ANN_CAGR", IQ_LTM, $B$1,$L$4, $L$3, $L$5, $L$6)/100))</f>
        <v>#NAME?</v>
      </c>
      <c r="BM48" s="45" t="e">
        <f ca="1">IF(_xll.ciqfunctions.udf.CIQ($A48, "IQ_TOTAL_REV_3YR_ANN_CAGR", IQ_LTM, $B$1,$L$4, $L$3, $L$5, $L$6)="NM","n/a",(_xll.ciqfunctions.udf.CIQ($A48, "IQ_TOTAL_REV_3YR_ANN_CAGR", IQ_LTM, $B$1,$L$4, $L$3, $L$5, $L$6)/100))</f>
        <v>#NAME?</v>
      </c>
      <c r="BN48" s="45" t="e">
        <f ca="1">IF(_xll.ciqfunctions.udf.CIQ($A48, "IQ_TOTAL_REV_5YR_ANN_CAGR", IQ_LTM, $B$1,$L$4, $L$3, $L$5, $L$6)="NM","n/a",(_xll.ciqfunctions.udf.CIQ($A48, "IQ_TOTAL_REV_5YR_ANN_CAGR", IQ_LTM, $B$1,$L$4, $L$3, $L$5, $L$6)/100))</f>
        <v>#NAME?</v>
      </c>
      <c r="BO48" s="45" t="e">
        <f ca="1">IF(_xll.ciqfunctions.udf.CIQ($A48,"IQ_EBITDA_2YR_ANN_CAGR", IQ_LTM,$B$1,$L$4, $L$3, $L$5, $L$6)="NM","n/a",(_xll.ciqfunctions.udf.CIQ($A48,"IQ_EBITDA_2YR_ANN_CAGR", IQ_LTM,$B$1,$L$4, $L$3, $L$5, $L$6)/100))</f>
        <v>#NAME?</v>
      </c>
      <c r="BP48" s="45" t="e">
        <f ca="1">IF(_xll.ciqfunctions.udf.CIQ($A48,"IQ_EBITDA_3YR_ANN_CAGR", IQ_LTM,$B$1,$L$4, $L$3, $L$5, $L$6)="NM","n/a",(_xll.ciqfunctions.udf.CIQ($A48,"IQ_EBITDA_3YR_ANN_CAGR", IQ_LTM,$B$1,$L$4, $L$3, $L$5, $L$6)/100))</f>
        <v>#NAME?</v>
      </c>
      <c r="BQ48" s="45" t="e">
        <f ca="1">IF(_xll.ciqfunctions.udf.CIQ($A48,"IQ_EBITDA_5YR_ANN_CAGR", IQ_LTM,$B$1,$L$4, $L$3, $L$5, $L$6)="NM","n/a",(_xll.ciqfunctions.udf.CIQ($A48,"IQ_EBITDA_5YR_ANN_CAGR", IQ_LTM,$B$1,$L$4, $L$3, $L$5, $L$6)/100))</f>
        <v>#NAME?</v>
      </c>
      <c r="BR48" s="47" t="str">
        <f ca="1">IFERROR((_xll.ciqfunctions.udf.CIQ($A48, "IQ_DA_CF", IQ_LTM, $B$1, $L$4, $L$3, $L$5, $L$6)/Q48),"NM")</f>
        <v>NM</v>
      </c>
      <c r="BS48" s="47" t="e">
        <f>'Capital IQ Sheet-GPC'!BS48</f>
        <v>#VALUE!</v>
      </c>
      <c r="BT48" s="47" t="e">
        <f>'Capital IQ Sheet-GPC'!BT48</f>
        <v>#VALUE!</v>
      </c>
      <c r="BU48" s="47" t="e">
        <f>'Capital IQ Sheet-GPC'!BU48</f>
        <v>#VALUE!</v>
      </c>
      <c r="BV48" s="47" t="e">
        <f>'Capital IQ Sheet-GPC'!BV48</f>
        <v>#VALUE!</v>
      </c>
      <c r="BW48" s="47" t="e">
        <f>'Capital IQ Sheet-GPC'!BW48</f>
        <v>#VALUE!</v>
      </c>
      <c r="BX48" s="47" t="e">
        <f>'Capital IQ Sheet-GPC'!BX48</f>
        <v>#VALUE!</v>
      </c>
      <c r="BY48" s="47" t="e">
        <f>'Capital IQ Sheet-GPC'!BY48</f>
        <v>#VALUE!</v>
      </c>
      <c r="BZ48" s="47" t="e">
        <f>'Capital IQ Sheet-GPC'!BZ48</f>
        <v>#VALUE!</v>
      </c>
    </row>
    <row r="49" spans="1:83">
      <c r="A49" s="45" t="e">
        <f ca="1">_xll.ciqfunctions.udf.CIQ($B49,"IQ_COMPANY_TICKER")</f>
        <v>#NAME?</v>
      </c>
      <c r="B49" s="45" t="str">
        <f>'Capital IQ Sheet-GPC'!B49</f>
        <v>(Invalid Identifier)</v>
      </c>
      <c r="C49" s="45" t="e">
        <f ca="1">_xll.ciqfunctions.udf.CIQ($A49,"IQ_COMPANY_NAME")</f>
        <v>#NAME?</v>
      </c>
      <c r="D49" s="45" t="e">
        <f ca="1">_xll.ciqfunctions.udf.CIQ($A49, "IQ_EXCHANGE")</f>
        <v>#NAME?</v>
      </c>
      <c r="E49" s="46" t="e">
        <f ca="1">_xll.ciqfunctions.udf.CIQ($A49, "IQ_PERIODDATE_IS", IQ_FY)</f>
        <v>#NAME?</v>
      </c>
      <c r="F49" s="46" t="e">
        <f ca="1">_xll.ciqfunctions.udf.CIQ(A49, "IQ_PERIODDATE_IS", IQ_LTM, $B$1,$L$4,$L$3)</f>
        <v>#NAME?</v>
      </c>
      <c r="G49" s="46" t="e">
        <f ca="1">_xll.ciqfunctions.udf.CIQ($A49, "IQ_FIRSTPRICINGDATE")</f>
        <v>#NAME?</v>
      </c>
      <c r="H49" s="59" t="e">
        <f ca="1">_xll.ciqfunctions.udf.CIQ($A49, "IQ_TEV", $L$2, $L$5, $L$6)</f>
        <v>#NAME?</v>
      </c>
      <c r="I49" s="59" t="e">
        <f ca="1">_xll.ciqfunctions.udf.CIQ(A49, "IQ_LASTSALEPRICE", $B$1,$L$5)</f>
        <v>#NAME?</v>
      </c>
      <c r="J49" s="46" t="e">
        <f ca="1">_xll.ciqfunctions.udf.CIQ($B49, "IQ_FIRSTPRICINGDATE")</f>
        <v>#NAME?</v>
      </c>
      <c r="K49" s="59" t="e">
        <f ca="1">_xll.ciqfunctions.udf.CIQ($A49, "IQ_TOTAL_DEBT", IQ_LTM, $L$2,$L$4, $L$3, $L$5, $L$6)</f>
        <v>#NAME?</v>
      </c>
      <c r="L49" s="59" t="e">
        <f ca="1">_xll.ciqfunctions.udf.CIQ($A49, "IQ_PREF_EQUITY", IQ_LTM, $L$2, $L$4, $L$3, $L$5, $L$6)</f>
        <v>#NAME?</v>
      </c>
      <c r="M49" s="59" t="e">
        <f ca="1">_xll.ciqfunctions.udf.CIQ($A49, "IQ_MINORITY_INTEREST_TOTAL", IQ_LTM, $L$2, $L$4, $L$3, $L$5, $L$6)</f>
        <v>#NAME?</v>
      </c>
      <c r="N49" s="59" t="e">
        <f ca="1">_xll.ciqfunctions.udf.CIQ($A49, "IQ_CASH_ST_INVEST", IQ_LTM, $L$2, $L$4, $L$3, $L$5, $L$6)</f>
        <v>#NAME?</v>
      </c>
      <c r="O49" s="59" t="e">
        <f ca="1">_xll.ciqfunctions.udf.CIQ($A49, "IQ_TOTAL_REV", IQ_LTM-8, $L$2, $L$4, $L$3, $L$5, $L$6)</f>
        <v>#NAME?</v>
      </c>
      <c r="P49" s="59" t="e">
        <f ca="1">_xll.ciqfunctions.udf.CIQ($A49, "IQ_TOTAL_REV", IQ_LTM - 4, $L$2, $L$4, $L$3, $L$5,$L$6)</f>
        <v>#NAME?</v>
      </c>
      <c r="Q49" s="59" t="e">
        <f ca="1">_xll.ciqfunctions.udf.CIQ($A49, "IQ_TOTAL_REV", IQ_LTM, $L$2, $L$4, $L$3, $L$5, $L$6)</f>
        <v>#NAME?</v>
      </c>
      <c r="R49" s="59" t="e">
        <f ca="1">_xll.ciqfunctions.udf.CIQ($A49, "IQ_TOTAL_REV", $B$2, $L$2, $L$4, $L$3, $L$5, $L$6)</f>
        <v>#NAME?</v>
      </c>
      <c r="S49" s="59" t="e">
        <f ca="1">IF(_xll.ciqfunctions.udf.CIQ($A49, "IQ_TOTAL_REV", $B$3, $L$2,$L$4, $L$3, $L$5, $L$6)=0,Q49,_xll.ciqfunctions.udf.CIQ($A49, "IQ_TOTAL_REV", $B$3, $L$2,$L$4, $L$3, $L$5, $L$6))</f>
        <v>#NAME?</v>
      </c>
      <c r="T49" s="59" t="e">
        <f ca="1">IF(_xll.ciqfunctions.udf.CIQ($A49, "IQ_REVENUE_EST",$B$4, $L$2, "CON", $L$3, $L$5, $L$6)=0,"n/a",_xll.ciqfunctions.udf.CIQ($A49, "IQ_REVENUE_EST",$B$4, $L$2, "CON", $L$3, $L$5, $L$6))</f>
        <v>#NAME?</v>
      </c>
      <c r="U49" s="59" t="e">
        <f ca="1">IF(_xll.ciqfunctions.udf.CIQ($A49, "IQ_REVENUE_EST",$B$5, $L$2, "CON", $L$3, $L$5, $L$6)=0,"n/a",_xll.ciqfunctions.udf.CIQ($A49, "IQ_REVENUE_EST",$B$5, $L$2, "CON", $L$3, $L$5, $L$6))</f>
        <v>#NAME?</v>
      </c>
      <c r="V49" s="59" t="e">
        <f ca="1">IF(_xll.ciqfunctions.udf.CIQ($A49, "IQ_REVENUE_EST",$B$6, $L$2, "CON", $L$3, $L$5, $L$6)=0,"n/a",_xll.ciqfunctions.udf.CIQ($A49, "IQ_REVENUE_EST",$B$6, $L$2, "CON", $L$3, $L$5, $L$6))</f>
        <v>#NAME?</v>
      </c>
      <c r="W49" s="59" t="e">
        <f ca="1">IF(_xll.ciqfunctions.udf.CIQ($A49, "IQ_REVENUE_EST", $B$7, $L$2, "CON", $L$3, $L$5, $L$6)=0,"n/a",_xll.ciqfunctions.udf.CIQ($A49, "IQ_REVENUE_EST",$B$7, $L$2, "CON", $L$3, $L$5, $L$6))</f>
        <v>#NAME?</v>
      </c>
      <c r="X49" s="59" t="e">
        <f ca="1">_xll.ciqfunctions.udf.CIQ($A49, "IQ_EBITDA", IQ_LTM-8, $L$2, $L$4, $L$3, $L$5, $L$6)</f>
        <v>#NAME?</v>
      </c>
      <c r="Y49" s="59" t="e">
        <f ca="1">_xll.ciqfunctions.udf.CIQ($A49, "IQ_EBITDA", IQ_LTM-4, $L$2,$L$4, $L$3, $L$5, $L$6)</f>
        <v>#NAME?</v>
      </c>
      <c r="Z49" s="59" t="e">
        <f ca="1">_xll.ciqfunctions.udf.CIQ($A49, "IQ_EBITDA", IQ_LTM, $L$2, $L$4, $L$3, $L$5, $L$6)</f>
        <v>#NAME?</v>
      </c>
      <c r="AA49" s="59" t="e">
        <f ca="1">_xll.ciqfunctions.udf.CIQ($A49, "IQ_EBITDA", $B$2, $L$2, $L$4, $L$3, $L$5, $L$6)</f>
        <v>#NAME?</v>
      </c>
      <c r="AB49" s="59" t="e">
        <f ca="1">IF(_xll.ciqfunctions.udf.CIQ($A49, "IQ_EBITDA", $B$3, $L$2,$L$4, $L$3, $L$5, $L$6)=0,Z49,_xll.ciqfunctions.udf.CIQ($A49, "IQ_EBITDA", $B$3, $L$2,$L$4, $L$3, $L$5, $L$6))</f>
        <v>#NAME?</v>
      </c>
      <c r="AC49" s="59" t="e">
        <f ca="1">IF(_xll.ciqfunctions.udf.CIQ($A49, "IQ_EBITDA_EST",$B$4, $L$2, "CON", $L$3, $L$5, $L$6)=0,"n/a",_xll.ciqfunctions.udf.CIQ($A49, "IQ_EBITDA_EST",$B$4, $L$2, "CON", $L$3, $L$5, $L$6))</f>
        <v>#NAME?</v>
      </c>
      <c r="AD49" s="45" t="e">
        <f ca="1">IF(_xll.ciqfunctions.udf.CIQ($A49, "IQ_EBITDA_EST",$B$5, $L$2, "CON", $L$3, $L$5, $L$6)=0,"n/a",_xll.ciqfunctions.udf.CIQ($A49, "IQ_EBITDA_EST",$B$5, $L$2, "CON", $L$3, $L$5, $L$6))</f>
        <v>#NAME?</v>
      </c>
      <c r="AE49" s="59" t="e">
        <f ca="1">IF(_xll.ciqfunctions.udf.CIQ($A49, "IQ_EBITDA_EST",$B$6, $L$2, "CON", $L$3, $L$5, $L$6)=0,"n/a",_xll.ciqfunctions.udf.CIQ($A49, "IQ_EBITDA_EST",$B$6, $L$2, "CON", $L$3, $L$5, $L$6))</f>
        <v>#NAME?</v>
      </c>
      <c r="AF49" s="47" t="str">
        <f ca="1">IF(ISERROR(_xll.ciqfunctions.udf.CIQ($A49, "IQ_GROSS_MARGIN", IQ_LTM, $L$2,$L$4, $L$3, $L$5, $L$6)/100), "n/a", _xll.ciqfunctions.udf.CIQ($A49,  "IQ_GROSS_MARGIN", IQ_LTM, $L$2, $L$4, $L$3, $L$5, $L$6)/100)</f>
        <v>n/a</v>
      </c>
      <c r="AG49" s="47" t="str">
        <f ca="1">IF(ISERROR(_xll.ciqfunctions.udf.CIQ($A49,"IQ_EBITDA_MARGIN", IQ_LTM, $L$2, $L$4, $L$3, $L$5, $L$6)/100), "n/a", _xll.ciqfunctions.udf.CIQ($A49, "IQ_EBITDA_MARGIN", IQ_LTM, $L$2, $L$4, $L$3, $L$5, $L$6)/100)</f>
        <v>n/a</v>
      </c>
      <c r="AH49" s="47" t="str">
        <f ca="1">IF(ISERROR(_xll.ciqfunctions.udf.CIQ($A49,"IQ_EBIT_MARGIN", IQ_LTM, $L$2, $L$4, $L$3, $L$5, $L$6)/100), "n/a", _xll.ciqfunctions.udf.CIQ($A49, "IQ_EBIT_MARGIN", IQ_LTM, $L$2, $L$4, $L$3, $L$5, $L$6)/100)</f>
        <v>n/a</v>
      </c>
      <c r="AI49" s="47" t="str">
        <f ca="1">IF(ISERROR(_xll.ciqfunctions.udf.CIQ($A49,"IQ_NI_MARGIN", IQ_LTM, $L$2, $L$4, $L$3, $L$5, $L$6)/100), "n/a", _xll.ciqfunctions.udf.CIQ($A49, "IQ_NI_MARGIN", IQ_LTM, $L$2, $L$4, $L$3, $L$5, $L$6)/100)</f>
        <v>n/a</v>
      </c>
      <c r="AJ49" s="59" t="str">
        <f ca="1">IF(ISERROR(_xll.ciqfunctions.udf.CIQ($A49, "IQ_NET_WORKING_CAP", IQ_LTM-8, $L$2, $L$4, $L$3, $L$5, $L$6)), "n/a", _xll.ciqfunctions.udf.CIQ($A49, "IQ_NET_WORKING_CAP", IQ_LTM-8, $L$2, $L$4, $L$3, $L$5, $L$6))</f>
        <v>n/a</v>
      </c>
      <c r="AK49" s="59" t="str">
        <f ca="1">IF(ISERROR(_xll.ciqfunctions.udf.CIQ($A49, "IQ_NET_WORKING_CAP", IQ_LTM-4, $L$2, $L$4, $L$3, $L$5, $L$6)), "n/a", _xll.ciqfunctions.udf.CIQ($A49, "IQ_NET_WORKING_CAP", IQ_LTM-4, $L$2, $L$4, $L$3, $L$5, $L$6))</f>
        <v>n/a</v>
      </c>
      <c r="AL49" s="59" t="str">
        <f ca="1">IF(ISERROR(_xll.ciqfunctions.udf.CIQ($A49, "IQ_NET_WORKING_CAP", IQ_LTM, $L$2,$L$4, $L$3, $L$5, $L$6)), "n/a", _xll.ciqfunctions.udf.CIQ($A49, "IQ_NET_WORKING_CAP", IQ_LTM, $L$2, $L$4, $L$3, $L$5, $L$6))</f>
        <v>n/a</v>
      </c>
      <c r="AM49" s="59" t="str">
        <f ca="1">IF(ISERROR(_xll.ciqfunctions.udf.CIQ($A49, "IQ_Capex", IQ_LTM-8, $L$2,$L$4, $L$3, $L$5, $L$6)), "n/a", _xll.ciqfunctions.udf.CIQ($A49, "IQ_Capex", IQ_LTM-8, $L$2, $L$4, $L$3, $L$5, $L$6))</f>
        <v>n/a</v>
      </c>
      <c r="AN49" s="59" t="str">
        <f ca="1">IF(ISERROR(_xll.ciqfunctions.udf.CIQ($A49, "IQ_Capex", IQ_LTM-4, $L$2,$L$4, $L$3, $L$5, $L$6)), "n/a", _xll.ciqfunctions.udf.CIQ($A49, "IQ_Capex", IQ_LTM-4, $L$2,$L$4, $L$3, $L$5, $L$6))</f>
        <v>n/a</v>
      </c>
      <c r="AO49" s="59" t="str">
        <f ca="1">IF(ISERROR(_xll.ciqfunctions.udf.CIQ($A49, "IQ_Capex", IQ_LTM, $L$2, $L$4, $L$3, $L$5, $L$6)), "n/a", _xll.ciqfunctions.udf.CIQ($A49, "IQ_Capex", IQ_LTM, $L$2, $L$4, $L$3, $L$5, $L$6))</f>
        <v>n/a</v>
      </c>
      <c r="AP49" s="44" t="e">
        <f ca="1">_xll.ciqfunctions.udf.CIQ(A49, "IQ_BUSINESS_DESCRIPTION")</f>
        <v>#NAME?</v>
      </c>
      <c r="AQ49" s="60" t="e">
        <f ca="1">_xll.ciqfunctions.udf.CIQ($A49, "IQ_BETA_1YR", $B$1)</f>
        <v>#NAME?</v>
      </c>
      <c r="AR49" s="60" t="e">
        <f ca="1">_xll.ciqfunctions.udf.CIQ($A49, "IQ_BETA_2YR", $B$1)</f>
        <v>#NAME?</v>
      </c>
      <c r="AS49" s="60" t="e">
        <f ca="1">_xll.ciqfunctions.udf.CIQ($A49, "IQ_BETA_5YR", $B$1)</f>
        <v>#NAME?</v>
      </c>
      <c r="AT49" s="45" t="e">
        <f ca="1">_xll.ciqfunctions.udf.CIQ($B49, "IQ_GP", IQ_LTM,$B$1, ,,"USD")</f>
        <v>#NAME?</v>
      </c>
      <c r="AU49" s="59" t="e">
        <f ca="1">_xll.ciqfunctions.udf.CIQ($A49, "IQ_EARNING_CO", IQ_LTM-8, $L$2, $L$4, $L$3, $L$5, $L$6)</f>
        <v>#NAME?</v>
      </c>
      <c r="AV49" s="59" t="e">
        <f ca="1">_xll.ciqfunctions.udf.CIQ($A49, "IQ_EARNING_CO", IQ_LTM-4, $L$2, $L$4, $L$3, $L$5, $L$6)</f>
        <v>#NAME?</v>
      </c>
      <c r="AW49" s="59" t="e">
        <f ca="1">_xll.ciqfunctions.udf.CIQ($A49, "IQ_EARNING_CO", IQ_LTM, $L$2, $L$4, $L$3, $L$5, $L$6)</f>
        <v>#NAME?</v>
      </c>
      <c r="AX49" s="59" t="e">
        <f ca="1">_xll.ciqfunctions.udf.CIQ($A49, "IQ_EARNING_CO", $B$2, $L$2, $L$4, $L$3, $L$5, $L$6)</f>
        <v>#NAME?</v>
      </c>
      <c r="AY49" s="59" t="e">
        <f ca="1">IF(_xll.ciqfunctions.udf.CIQ($A49, "IQ_EARNING_CO", $B$3, $L$2,$L$4, $L$3, $L$5, $L$6)=0,AW49,_xll.ciqfunctions.udf.CIQ($A49, "IQ_EARNING_CO", $B$3, $L$2,$L$4, $L$3, $L$5, $L$6))</f>
        <v>#NAME?</v>
      </c>
      <c r="AZ49" s="59" t="e">
        <f ca="1">_xll.ciqfunctions.udf.CIQ($A49, "IQ_TOTAL_EQUITY", IQ_LTM-8, $L$2, $L$4, $L$3, $L$5, $L$6)</f>
        <v>#NAME?</v>
      </c>
      <c r="BA49" s="59" t="e">
        <f ca="1">_xll.ciqfunctions.udf.CIQ($A49, "IQ_TOTAL_EQUITY", IQ_LTM-4, $L$2, $L$4, $L$3, $L$5, $L$6)</f>
        <v>#NAME?</v>
      </c>
      <c r="BB49" s="59" t="e">
        <f ca="1">_xll.ciqfunctions.udf.CIQ($A49, "IQ_TOTAL_EQUITY", IQ_LTM, $L$2, $L$4, $L$3, $L$5, $L$6)</f>
        <v>#NAME?</v>
      </c>
      <c r="BC49" s="59" t="e">
        <f ca="1">_xll.ciqfunctions.udf.CIQ($A49, "IQ_TOTAL_EQUITY", $B$2, $L$2, $L$4, $L$3, $L$5, $L$6)</f>
        <v>#NAME?</v>
      </c>
      <c r="BD49" s="59" t="e">
        <f ca="1">IF(_xll.ciqfunctions.udf.CIQ($A49, "IQ_TOTAL_EQUITY", $B$3, $L$2,$L$4, $L$3, $L$5, $L$6)=0,BB49,_xll.ciqfunctions.udf.CIQ($A49, "IQ_TOTAL_EQUITY", $B$3, $L$2,$L$4, $L$3, $L$5, $L$6))</f>
        <v>#NAME?</v>
      </c>
      <c r="BE49" s="59" t="e">
        <f ca="1">_xll.ciqfunctions.udf.CIQ(A49, "IQ_LASTSALEPRICE", $B$8)</f>
        <v>#NAME?</v>
      </c>
      <c r="BF49" s="59" t="e">
        <f ca="1">_xll.ciqfunctions.udf.CIQ($A49, "IQ_MARKETCAP", $B$8, $L$5, $L$6)</f>
        <v>#NAME?</v>
      </c>
      <c r="BG49" s="59" t="e">
        <f ca="1">_xll.ciqfunctions.udf.CIQ($A49, "IQ_TOTAL_DEBT", IQ_LTM, $B$8,$L$4, $L$3, $L$5, $L$6)</f>
        <v>#NAME?</v>
      </c>
      <c r="BH49" s="45" t="e">
        <f ca="1">_xll.ciqfunctions.udf.CIQ($A49,"IQ_PREF_EQUITY",IQ_LTM,$B$8,$L$4,$L$3,$L$5,$L$6)</f>
        <v>#NAME?</v>
      </c>
      <c r="BI49" s="45" t="e">
        <f ca="1">_xll.ciqfunctions.udf.CIQ($A49, "IQ_MINORITY_INTEREST_TOTAL", IQ_LTM,$B$8,$L$4,$L$3,$L$5,$L$6)</f>
        <v>#NAME?</v>
      </c>
      <c r="BJ49" s="59" t="e">
        <f ca="1">_xll.ciqfunctions.udf.CIQ($A49, "IQ_CASH_ST_INVEST", IQ_LTM, $B$8, $L$4, $L$3, $L$5, $L$6)</f>
        <v>#NAME?</v>
      </c>
      <c r="BK49" s="45" t="e">
        <f ca="1">_xll.ciqfunctions.udf.CIQ($A49, "IQ_EFFECT_TAX_RATE")</f>
        <v>#NAME?</v>
      </c>
      <c r="BL49" s="45" t="e">
        <f ca="1">IF(_xll.ciqfunctions.udf.CIQ($A49, "IQ_TOTAL_REV_2YR_ANN_CAGR", IQ_LTM, $B$1,$L$4, $L$3, $L$5, $L$6)="NM","n/a",(_xll.ciqfunctions.udf.CIQ($A49, "IQ_TOTAL_REV_2YR_ANN_CAGR", IQ_LTM, $B$1,$L$4, $L$3, $L$5, $L$6)/100))</f>
        <v>#NAME?</v>
      </c>
      <c r="BM49" s="45" t="e">
        <f ca="1">IF(_xll.ciqfunctions.udf.CIQ($A49, "IQ_TOTAL_REV_3YR_ANN_CAGR", IQ_LTM, $B$1,$L$4, $L$3, $L$5, $L$6)="NM","n/a",(_xll.ciqfunctions.udf.CIQ($A49, "IQ_TOTAL_REV_3YR_ANN_CAGR", IQ_LTM, $B$1,$L$4, $L$3, $L$5, $L$6)/100))</f>
        <v>#NAME?</v>
      </c>
      <c r="BN49" s="45" t="e">
        <f ca="1">IF(_xll.ciqfunctions.udf.CIQ($A49, "IQ_TOTAL_REV_5YR_ANN_CAGR", IQ_LTM, $B$1,$L$4, $L$3, $L$5, $L$6)="NM","n/a",(_xll.ciqfunctions.udf.CIQ($A49, "IQ_TOTAL_REV_5YR_ANN_CAGR", IQ_LTM, $B$1,$L$4, $L$3, $L$5, $L$6)/100))</f>
        <v>#NAME?</v>
      </c>
      <c r="BO49" s="45" t="e">
        <f ca="1">IF(_xll.ciqfunctions.udf.CIQ($A49,"IQ_EBITDA_2YR_ANN_CAGR", IQ_LTM,$B$1,$L$4, $L$3, $L$5, $L$6)="NM","n/a",(_xll.ciqfunctions.udf.CIQ($A49,"IQ_EBITDA_2YR_ANN_CAGR", IQ_LTM,$B$1,$L$4, $L$3, $L$5, $L$6)/100))</f>
        <v>#NAME?</v>
      </c>
      <c r="BP49" s="45" t="e">
        <f ca="1">IF(_xll.ciqfunctions.udf.CIQ($A49,"IQ_EBITDA_3YR_ANN_CAGR", IQ_LTM,$B$1,$L$4, $L$3, $L$5, $L$6)="NM","n/a",(_xll.ciqfunctions.udf.CIQ($A49,"IQ_EBITDA_3YR_ANN_CAGR", IQ_LTM,$B$1,$L$4, $L$3, $L$5, $L$6)/100))</f>
        <v>#NAME?</v>
      </c>
      <c r="BQ49" s="45" t="e">
        <f ca="1">IF(_xll.ciqfunctions.udf.CIQ($A49,"IQ_EBITDA_5YR_ANN_CAGR", IQ_LTM,$B$1,$L$4, $L$3, $L$5, $L$6)="NM","n/a",(_xll.ciqfunctions.udf.CIQ($A49,"IQ_EBITDA_5YR_ANN_CAGR", IQ_LTM,$B$1,$L$4, $L$3, $L$5, $L$6)/100))</f>
        <v>#NAME?</v>
      </c>
      <c r="BR49" s="47" t="str">
        <f ca="1">IFERROR((_xll.ciqfunctions.udf.CIQ($A49, "IQ_DA_CF", IQ_LTM, $B$1, $L$4, $L$3, $L$5, $L$6)/Q49),"NM")</f>
        <v>NM</v>
      </c>
      <c r="BS49" s="47" t="e">
        <f>'Capital IQ Sheet-GPC'!BS49</f>
        <v>#VALUE!</v>
      </c>
      <c r="BT49" s="47" t="e">
        <f>'Capital IQ Sheet-GPC'!BT49</f>
        <v>#VALUE!</v>
      </c>
      <c r="BU49" s="47" t="e">
        <f>'Capital IQ Sheet-GPC'!BU49</f>
        <v>#VALUE!</v>
      </c>
      <c r="BV49" s="47" t="e">
        <f>'Capital IQ Sheet-GPC'!BV49</f>
        <v>#VALUE!</v>
      </c>
      <c r="BW49" s="47" t="e">
        <f>'Capital IQ Sheet-GPC'!BW49</f>
        <v>#VALUE!</v>
      </c>
      <c r="BX49" s="47" t="e">
        <f>'Capital IQ Sheet-GPC'!BX49</f>
        <v>#VALUE!</v>
      </c>
      <c r="BY49" s="47" t="e">
        <f>'Capital IQ Sheet-GPC'!BY49</f>
        <v>#VALUE!</v>
      </c>
      <c r="BZ49" s="47" t="e">
        <f>'Capital IQ Sheet-GPC'!BZ49</f>
        <v>#VALUE!</v>
      </c>
    </row>
    <row r="50" spans="1:83">
      <c r="A50" s="45" t="e">
        <f ca="1">_xll.ciqfunctions.udf.CIQ($B50,"IQ_COMPANY_TICKER")</f>
        <v>#NAME?</v>
      </c>
      <c r="B50" s="45" t="str">
        <f>'Capital IQ Sheet-GPC'!B50</f>
        <v>(Invalid Identifier)</v>
      </c>
      <c r="C50" s="45" t="e">
        <f ca="1">_xll.ciqfunctions.udf.CIQ($A50,"IQ_COMPANY_NAME")</f>
        <v>#NAME?</v>
      </c>
      <c r="D50" s="45" t="e">
        <f ca="1">_xll.ciqfunctions.udf.CIQ($A50, "IQ_EXCHANGE")</f>
        <v>#NAME?</v>
      </c>
      <c r="E50" s="46" t="e">
        <f ca="1">_xll.ciqfunctions.udf.CIQ($A50, "IQ_PERIODDATE_IS", IQ_FY)</f>
        <v>#NAME?</v>
      </c>
      <c r="F50" s="46" t="e">
        <f ca="1">_xll.ciqfunctions.udf.CIQ(A50, "IQ_PERIODDATE_IS", IQ_LTM, $B$1,$L$4,$L$3)</f>
        <v>#NAME?</v>
      </c>
      <c r="G50" s="46" t="e">
        <f ca="1">_xll.ciqfunctions.udf.CIQ($A50, "IQ_FIRSTPRICINGDATE")</f>
        <v>#NAME?</v>
      </c>
      <c r="H50" s="59" t="e">
        <f ca="1">_xll.ciqfunctions.udf.CIQ($A50, "IQ_TEV", $L$2, $L$5, $L$6)</f>
        <v>#NAME?</v>
      </c>
      <c r="I50" s="59" t="e">
        <f ca="1">_xll.ciqfunctions.udf.CIQ(A50, "IQ_LASTSALEPRICE", $B$1,$L$5)</f>
        <v>#NAME?</v>
      </c>
      <c r="J50" s="46" t="e">
        <f ca="1">_xll.ciqfunctions.udf.CIQ($B50, "IQ_FIRSTPRICINGDATE")</f>
        <v>#NAME?</v>
      </c>
      <c r="K50" s="59" t="e">
        <f ca="1">_xll.ciqfunctions.udf.CIQ($A50, "IQ_TOTAL_DEBT", IQ_LTM, $L$2,$L$4, $L$3, $L$5, $L$6)</f>
        <v>#NAME?</v>
      </c>
      <c r="L50" s="59" t="e">
        <f ca="1">_xll.ciqfunctions.udf.CIQ($A50, "IQ_PREF_EQUITY", IQ_LTM, $L$2, $L$4, $L$3, $L$5, $L$6)</f>
        <v>#NAME?</v>
      </c>
      <c r="M50" s="59" t="e">
        <f ca="1">_xll.ciqfunctions.udf.CIQ($A50, "IQ_MINORITY_INTEREST_TOTAL", IQ_LTM, $L$2, $L$4, $L$3, $L$5, $L$6)</f>
        <v>#NAME?</v>
      </c>
      <c r="N50" s="59" t="e">
        <f ca="1">_xll.ciqfunctions.udf.CIQ($A50, "IQ_CASH_ST_INVEST", IQ_LTM, $L$2, $L$4, $L$3, $L$5, $L$6)</f>
        <v>#NAME?</v>
      </c>
      <c r="O50" s="59" t="e">
        <f ca="1">_xll.ciqfunctions.udf.CIQ($A50, "IQ_TOTAL_REV", IQ_LTM-8, $L$2, $L$4, $L$3, $L$5, $L$6)</f>
        <v>#NAME?</v>
      </c>
      <c r="P50" s="59" t="e">
        <f ca="1">_xll.ciqfunctions.udf.CIQ($A50, "IQ_TOTAL_REV", IQ_LTM - 4, $L$2, $L$4, $L$3, $L$5,$L$6)</f>
        <v>#NAME?</v>
      </c>
      <c r="Q50" s="59" t="e">
        <f ca="1">_xll.ciqfunctions.udf.CIQ($A50, "IQ_TOTAL_REV", IQ_LTM, $L$2, $L$4, $L$3, $L$5, $L$6)</f>
        <v>#NAME?</v>
      </c>
      <c r="R50" s="59" t="e">
        <f ca="1">_xll.ciqfunctions.udf.CIQ($A50, "IQ_TOTAL_REV", $B$2, $L$2, $L$4, $L$3, $L$5, $L$6)</f>
        <v>#NAME?</v>
      </c>
      <c r="S50" s="59" t="e">
        <f ca="1">IF(_xll.ciqfunctions.udf.CIQ($A50, "IQ_TOTAL_REV", $B$3, $L$2,$L$4, $L$3, $L$5, $L$6)=0,Q50,_xll.ciqfunctions.udf.CIQ($A50, "IQ_TOTAL_REV", $B$3, $L$2,$L$4, $L$3, $L$5, $L$6))</f>
        <v>#NAME?</v>
      </c>
      <c r="T50" s="59" t="e">
        <f ca="1">IF(_xll.ciqfunctions.udf.CIQ($A50, "IQ_REVENUE_EST",$B$4, $L$2, "CON", $L$3, $L$5, $L$6)=0,"n/a",_xll.ciqfunctions.udf.CIQ($A50, "IQ_REVENUE_EST",$B$4, $L$2, "CON", $L$3, $L$5, $L$6))</f>
        <v>#NAME?</v>
      </c>
      <c r="U50" s="59" t="e">
        <f ca="1">IF(_xll.ciqfunctions.udf.CIQ($A50, "IQ_REVENUE_EST",$B$5, $L$2, "CON", $L$3, $L$5, $L$6)=0,"n/a",_xll.ciqfunctions.udf.CIQ($A50, "IQ_REVENUE_EST",$B$5, $L$2, "CON", $L$3, $L$5, $L$6))</f>
        <v>#NAME?</v>
      </c>
      <c r="V50" s="59" t="e">
        <f ca="1">IF(_xll.ciqfunctions.udf.CIQ($A50, "IQ_REVENUE_EST",$B$6, $L$2, "CON", $L$3, $L$5, $L$6)=0,"n/a",_xll.ciqfunctions.udf.CIQ($A50, "IQ_REVENUE_EST",$B$6, $L$2, "CON", $L$3, $L$5, $L$6))</f>
        <v>#NAME?</v>
      </c>
      <c r="W50" s="59" t="e">
        <f ca="1">IF(_xll.ciqfunctions.udf.CIQ($A50, "IQ_REVENUE_EST", $B$7, $L$2, "CON", $L$3, $L$5, $L$6)=0,"n/a",_xll.ciqfunctions.udf.CIQ($A50, "IQ_REVENUE_EST",$B$7, $L$2, "CON", $L$3, $L$5, $L$6))</f>
        <v>#NAME?</v>
      </c>
      <c r="X50" s="59" t="e">
        <f ca="1">_xll.ciqfunctions.udf.CIQ($A50, "IQ_EBITDA", IQ_LTM-8, $L$2, $L$4, $L$3, $L$5, $L$6)</f>
        <v>#NAME?</v>
      </c>
      <c r="Y50" s="59" t="e">
        <f ca="1">_xll.ciqfunctions.udf.CIQ($A50, "IQ_EBITDA", IQ_LTM-4, $L$2,$L$4, $L$3, $L$5, $L$6)</f>
        <v>#NAME?</v>
      </c>
      <c r="Z50" s="59" t="e">
        <f ca="1">_xll.ciqfunctions.udf.CIQ($A50, "IQ_EBITDA", IQ_LTM, $L$2, $L$4, $L$3, $L$5, $L$6)</f>
        <v>#NAME?</v>
      </c>
      <c r="AA50" s="59" t="e">
        <f ca="1">_xll.ciqfunctions.udf.CIQ($A50, "IQ_EBITDA", $B$2, $L$2, $L$4, $L$3, $L$5, $L$6)</f>
        <v>#NAME?</v>
      </c>
      <c r="AB50" s="59" t="e">
        <f ca="1">IF(_xll.ciqfunctions.udf.CIQ($A50, "IQ_EBITDA", $B$3, $L$2,$L$4, $L$3, $L$5, $L$6)=0,Z50,_xll.ciqfunctions.udf.CIQ($A50, "IQ_EBITDA", $B$3, $L$2,$L$4, $L$3, $L$5, $L$6))</f>
        <v>#NAME?</v>
      </c>
      <c r="AC50" s="59" t="e">
        <f ca="1">IF(_xll.ciqfunctions.udf.CIQ($A50, "IQ_EBITDA_EST",$B$4, $L$2, "CON", $L$3, $L$5, $L$6)=0,"n/a",_xll.ciqfunctions.udf.CIQ($A50, "IQ_EBITDA_EST",$B$4, $L$2, "CON", $L$3, $L$5, $L$6))</f>
        <v>#NAME?</v>
      </c>
      <c r="AD50" s="45" t="e">
        <f ca="1">IF(_xll.ciqfunctions.udf.CIQ($A50, "IQ_EBITDA_EST",$B$5, $L$2, "CON", $L$3, $L$5, $L$6)=0,"n/a",_xll.ciqfunctions.udf.CIQ($A50, "IQ_EBITDA_EST",$B$5, $L$2, "CON", $L$3, $L$5, $L$6))</f>
        <v>#NAME?</v>
      </c>
      <c r="AE50" s="59" t="e">
        <f ca="1">IF(_xll.ciqfunctions.udf.CIQ($A50, "IQ_EBITDA_EST",$B$6, $L$2, "CON", $L$3, $L$5, $L$6)=0,"n/a",_xll.ciqfunctions.udf.CIQ($A50, "IQ_EBITDA_EST",$B$6, $L$2, "CON", $L$3, $L$5, $L$6))</f>
        <v>#NAME?</v>
      </c>
      <c r="AF50" s="47" t="str">
        <f ca="1">IF(ISERROR(_xll.ciqfunctions.udf.CIQ($A50, "IQ_GROSS_MARGIN", IQ_LTM, $L$2,$L$4, $L$3, $L$5, $L$6)/100), "n/a", _xll.ciqfunctions.udf.CIQ($A50,  "IQ_GROSS_MARGIN", IQ_LTM, $L$2, $L$4, $L$3, $L$5, $L$6)/100)</f>
        <v>n/a</v>
      </c>
      <c r="AG50" s="47" t="str">
        <f ca="1">IF(ISERROR(_xll.ciqfunctions.udf.CIQ($A50,"IQ_EBITDA_MARGIN", IQ_LTM, $L$2, $L$4, $L$3, $L$5, $L$6)/100), "n/a", _xll.ciqfunctions.udf.CIQ($A50, "IQ_EBITDA_MARGIN", IQ_LTM, $L$2, $L$4, $L$3, $L$5, $L$6)/100)</f>
        <v>n/a</v>
      </c>
      <c r="AH50" s="47" t="str">
        <f ca="1">IF(ISERROR(_xll.ciqfunctions.udf.CIQ($A50,"IQ_EBIT_MARGIN", IQ_LTM, $L$2, $L$4, $L$3, $L$5, $L$6)/100), "n/a", _xll.ciqfunctions.udf.CIQ($A50, "IQ_EBIT_MARGIN", IQ_LTM, $L$2, $L$4, $L$3, $L$5, $L$6)/100)</f>
        <v>n/a</v>
      </c>
      <c r="AI50" s="47" t="str">
        <f ca="1">IF(ISERROR(_xll.ciqfunctions.udf.CIQ($A50,"IQ_NI_MARGIN", IQ_LTM, $L$2, $L$4, $L$3, $L$5, $L$6)/100), "n/a", _xll.ciqfunctions.udf.CIQ($A50, "IQ_NI_MARGIN", IQ_LTM, $L$2, $L$4, $L$3, $L$5, $L$6)/100)</f>
        <v>n/a</v>
      </c>
      <c r="AJ50" s="59" t="str">
        <f ca="1">IF(ISERROR(_xll.ciqfunctions.udf.CIQ($A50, "IQ_NET_WORKING_CAP", IQ_LTM-8, $L$2, $L$4, $L$3, $L$5, $L$6)), "n/a", _xll.ciqfunctions.udf.CIQ($A50, "IQ_NET_WORKING_CAP", IQ_LTM-8, $L$2, $L$4, $L$3, $L$5, $L$6))</f>
        <v>n/a</v>
      </c>
      <c r="AK50" s="59" t="str">
        <f ca="1">IF(ISERROR(_xll.ciqfunctions.udf.CIQ($A50, "IQ_NET_WORKING_CAP", IQ_LTM-4, $L$2, $L$4, $L$3, $L$5, $L$6)), "n/a", _xll.ciqfunctions.udf.CIQ($A50, "IQ_NET_WORKING_CAP", IQ_LTM-4, $L$2, $L$4, $L$3, $L$5, $L$6))</f>
        <v>n/a</v>
      </c>
      <c r="AL50" s="59" t="str">
        <f ca="1">IF(ISERROR(_xll.ciqfunctions.udf.CIQ($A50, "IQ_NET_WORKING_CAP", IQ_LTM, $L$2,$L$4, $L$3, $L$5, $L$6)), "n/a", _xll.ciqfunctions.udf.CIQ($A50, "IQ_NET_WORKING_CAP", IQ_LTM, $L$2, $L$4, $L$3, $L$5, $L$6))</f>
        <v>n/a</v>
      </c>
      <c r="AM50" s="59" t="str">
        <f ca="1">IF(ISERROR(_xll.ciqfunctions.udf.CIQ($A50, "IQ_Capex", IQ_LTM-8, $L$2,$L$4, $L$3, $L$5, $L$6)), "n/a", _xll.ciqfunctions.udf.CIQ($A50, "IQ_Capex", IQ_LTM-8, $L$2, $L$4, $L$3, $L$5, $L$6))</f>
        <v>n/a</v>
      </c>
      <c r="AN50" s="59" t="str">
        <f ca="1">IF(ISERROR(_xll.ciqfunctions.udf.CIQ($A50, "IQ_Capex", IQ_LTM-4, $L$2,$L$4, $L$3, $L$5, $L$6)), "n/a", _xll.ciqfunctions.udf.CIQ($A50, "IQ_Capex", IQ_LTM-4, $L$2,$L$4, $L$3, $L$5, $L$6))</f>
        <v>n/a</v>
      </c>
      <c r="AO50" s="59" t="str">
        <f ca="1">IF(ISERROR(_xll.ciqfunctions.udf.CIQ($A50, "IQ_Capex", IQ_LTM, $L$2, $L$4, $L$3, $L$5, $L$6)), "n/a", _xll.ciqfunctions.udf.CIQ($A50, "IQ_Capex", IQ_LTM, $L$2, $L$4, $L$3, $L$5, $L$6))</f>
        <v>n/a</v>
      </c>
      <c r="AP50" s="44" t="e">
        <f ca="1">_xll.ciqfunctions.udf.CIQ(A50, "IQ_BUSINESS_DESCRIPTION")</f>
        <v>#NAME?</v>
      </c>
      <c r="AQ50" s="60" t="e">
        <f ca="1">_xll.ciqfunctions.udf.CIQ($A50, "IQ_BETA_1YR", $B$1)</f>
        <v>#NAME?</v>
      </c>
      <c r="AR50" s="60" t="e">
        <f ca="1">_xll.ciqfunctions.udf.CIQ($A50, "IQ_BETA_2YR", $B$1)</f>
        <v>#NAME?</v>
      </c>
      <c r="AS50" s="60" t="e">
        <f ca="1">_xll.ciqfunctions.udf.CIQ($A50, "IQ_BETA_5YR", $B$1)</f>
        <v>#NAME?</v>
      </c>
      <c r="AT50" s="45" t="e">
        <f ca="1">_xll.ciqfunctions.udf.CIQ($B50, "IQ_GP", IQ_LTM,$B$1, ,,"USD")</f>
        <v>#NAME?</v>
      </c>
      <c r="AU50" s="59" t="e">
        <f ca="1">_xll.ciqfunctions.udf.CIQ($A50, "IQ_EARNING_CO", IQ_LTM-8, $L$2, $L$4, $L$3, $L$5, $L$6)</f>
        <v>#NAME?</v>
      </c>
      <c r="AV50" s="59" t="e">
        <f ca="1">_xll.ciqfunctions.udf.CIQ($A50, "IQ_EARNING_CO", IQ_LTM-4, $L$2, $L$4, $L$3, $L$5, $L$6)</f>
        <v>#NAME?</v>
      </c>
      <c r="AW50" s="59" t="e">
        <f ca="1">_xll.ciqfunctions.udf.CIQ($A50, "IQ_EARNING_CO", IQ_LTM, $L$2, $L$4, $L$3, $L$5, $L$6)</f>
        <v>#NAME?</v>
      </c>
      <c r="AX50" s="59" t="e">
        <f ca="1">_xll.ciqfunctions.udf.CIQ($A50, "IQ_EARNING_CO", $B$2, $L$2, $L$4, $L$3, $L$5, $L$6)</f>
        <v>#NAME?</v>
      </c>
      <c r="AY50" s="59" t="e">
        <f ca="1">IF(_xll.ciqfunctions.udf.CIQ($A50, "IQ_EARNING_CO", $B$3, $L$2,$L$4, $L$3, $L$5, $L$6)=0,AW50,_xll.ciqfunctions.udf.CIQ($A50, "IQ_EARNING_CO", $B$3, $L$2,$L$4, $L$3, $L$5, $L$6))</f>
        <v>#NAME?</v>
      </c>
      <c r="AZ50" s="59" t="e">
        <f ca="1">_xll.ciqfunctions.udf.CIQ($A50, "IQ_TOTAL_EQUITY", IQ_LTM-8, $L$2, $L$4, $L$3, $L$5, $L$6)</f>
        <v>#NAME?</v>
      </c>
      <c r="BA50" s="59" t="e">
        <f ca="1">_xll.ciqfunctions.udf.CIQ($A50, "IQ_TOTAL_EQUITY", IQ_LTM-4, $L$2, $L$4, $L$3, $L$5, $L$6)</f>
        <v>#NAME?</v>
      </c>
      <c r="BB50" s="59" t="e">
        <f ca="1">_xll.ciqfunctions.udf.CIQ($A50, "IQ_TOTAL_EQUITY", IQ_LTM, $L$2, $L$4, $L$3, $L$5, $L$6)</f>
        <v>#NAME?</v>
      </c>
      <c r="BC50" s="59" t="e">
        <f ca="1">_xll.ciqfunctions.udf.CIQ($A50, "IQ_TOTAL_EQUITY", $B$2, $L$2, $L$4, $L$3, $L$5, $L$6)</f>
        <v>#NAME?</v>
      </c>
      <c r="BD50" s="59" t="e">
        <f ca="1">IF(_xll.ciqfunctions.udf.CIQ($A50, "IQ_TOTAL_EQUITY", $B$3, $L$2,$L$4, $L$3, $L$5, $L$6)=0,BB50,_xll.ciqfunctions.udf.CIQ($A50, "IQ_TOTAL_EQUITY", $B$3, $L$2,$L$4, $L$3, $L$5, $L$6))</f>
        <v>#NAME?</v>
      </c>
      <c r="BE50" s="59" t="e">
        <f ca="1">_xll.ciqfunctions.udf.CIQ(A50, "IQ_LASTSALEPRICE", $B$8)</f>
        <v>#NAME?</v>
      </c>
      <c r="BF50" s="59" t="e">
        <f ca="1">_xll.ciqfunctions.udf.CIQ($A50, "IQ_MARKETCAP", $B$8, $L$5, $L$6)</f>
        <v>#NAME?</v>
      </c>
      <c r="BG50" s="59" t="e">
        <f ca="1">_xll.ciqfunctions.udf.CIQ($A50, "IQ_TOTAL_DEBT", IQ_LTM, $B$8,$L$4, $L$3, $L$5, $L$6)</f>
        <v>#NAME?</v>
      </c>
      <c r="BH50" s="45" t="e">
        <f ca="1">_xll.ciqfunctions.udf.CIQ($A50,"IQ_PREF_EQUITY",IQ_LTM,$B$8,$L$4,$L$3,$L$5,$L$6)</f>
        <v>#NAME?</v>
      </c>
      <c r="BI50" s="45" t="e">
        <f ca="1">_xll.ciqfunctions.udf.CIQ($A50, "IQ_MINORITY_INTEREST_TOTAL", IQ_LTM,$B$8,$L$4,$L$3,$L$5,$L$6)</f>
        <v>#NAME?</v>
      </c>
      <c r="BJ50" s="59" t="e">
        <f ca="1">_xll.ciqfunctions.udf.CIQ($A50, "IQ_CASH_ST_INVEST", IQ_LTM, $B$8, $L$4, $L$3, $L$5, $L$6)</f>
        <v>#NAME?</v>
      </c>
      <c r="BK50" s="45" t="e">
        <f ca="1">_xll.ciqfunctions.udf.CIQ($A50, "IQ_EFFECT_TAX_RATE")</f>
        <v>#NAME?</v>
      </c>
      <c r="BL50" s="45" t="e">
        <f ca="1">IF(_xll.ciqfunctions.udf.CIQ($A50, "IQ_TOTAL_REV_2YR_ANN_CAGR", IQ_LTM, $B$1,$L$4, $L$3, $L$5, $L$6)="NM","n/a",(_xll.ciqfunctions.udf.CIQ($A50, "IQ_TOTAL_REV_2YR_ANN_CAGR", IQ_LTM, $B$1,$L$4, $L$3, $L$5, $L$6)/100))</f>
        <v>#NAME?</v>
      </c>
      <c r="BM50" s="45" t="e">
        <f ca="1">IF(_xll.ciqfunctions.udf.CIQ($A50, "IQ_TOTAL_REV_3YR_ANN_CAGR", IQ_LTM, $B$1,$L$4, $L$3, $L$5, $L$6)="NM","n/a",(_xll.ciqfunctions.udf.CIQ($A50, "IQ_TOTAL_REV_3YR_ANN_CAGR", IQ_LTM, $B$1,$L$4, $L$3, $L$5, $L$6)/100))</f>
        <v>#NAME?</v>
      </c>
      <c r="BN50" s="45" t="e">
        <f ca="1">IF(_xll.ciqfunctions.udf.CIQ($A50, "IQ_TOTAL_REV_5YR_ANN_CAGR", IQ_LTM, $B$1,$L$4, $L$3, $L$5, $L$6)="NM","n/a",(_xll.ciqfunctions.udf.CIQ($A50, "IQ_TOTAL_REV_5YR_ANN_CAGR", IQ_LTM, $B$1,$L$4, $L$3, $L$5, $L$6)/100))</f>
        <v>#NAME?</v>
      </c>
      <c r="BO50" s="45" t="e">
        <f ca="1">IF(_xll.ciqfunctions.udf.CIQ($A50,"IQ_EBITDA_2YR_ANN_CAGR", IQ_LTM,$B$1,$L$4, $L$3, $L$5, $L$6)="NM","n/a",(_xll.ciqfunctions.udf.CIQ($A50,"IQ_EBITDA_2YR_ANN_CAGR", IQ_LTM,$B$1,$L$4, $L$3, $L$5, $L$6)/100))</f>
        <v>#NAME?</v>
      </c>
      <c r="BP50" s="45" t="e">
        <f ca="1">IF(_xll.ciqfunctions.udf.CIQ($A50,"IQ_EBITDA_3YR_ANN_CAGR", IQ_LTM,$B$1,$L$4, $L$3, $L$5, $L$6)="NM","n/a",(_xll.ciqfunctions.udf.CIQ($A50,"IQ_EBITDA_3YR_ANN_CAGR", IQ_LTM,$B$1,$L$4, $L$3, $L$5, $L$6)/100))</f>
        <v>#NAME?</v>
      </c>
      <c r="BQ50" s="45" t="e">
        <f ca="1">IF(_xll.ciqfunctions.udf.CIQ($A50,"IQ_EBITDA_5YR_ANN_CAGR", IQ_LTM,$B$1,$L$4, $L$3, $L$5, $L$6)="NM","n/a",(_xll.ciqfunctions.udf.CIQ($A50,"IQ_EBITDA_5YR_ANN_CAGR", IQ_LTM,$B$1,$L$4, $L$3, $L$5, $L$6)/100))</f>
        <v>#NAME?</v>
      </c>
      <c r="BR50" s="47" t="str">
        <f ca="1">IFERROR((_xll.ciqfunctions.udf.CIQ($A50, "IQ_DA_CF", IQ_LTM, $B$1, $L$4, $L$3, $L$5, $L$6)/Q50),"NM")</f>
        <v>NM</v>
      </c>
      <c r="BS50" s="47" t="e">
        <f>'Capital IQ Sheet-GPC'!BS50</f>
        <v>#VALUE!</v>
      </c>
      <c r="BT50" s="47" t="e">
        <f>'Capital IQ Sheet-GPC'!BT50</f>
        <v>#VALUE!</v>
      </c>
      <c r="BU50" s="47" t="e">
        <f>'Capital IQ Sheet-GPC'!BU50</f>
        <v>#VALUE!</v>
      </c>
      <c r="BV50" s="47" t="e">
        <f>'Capital IQ Sheet-GPC'!BV50</f>
        <v>#VALUE!</v>
      </c>
      <c r="BW50" s="47" t="e">
        <f>'Capital IQ Sheet-GPC'!BW50</f>
        <v>#VALUE!</v>
      </c>
      <c r="BX50" s="47" t="e">
        <f>'Capital IQ Sheet-GPC'!BX50</f>
        <v>#VALUE!</v>
      </c>
      <c r="BY50" s="47" t="e">
        <f>'Capital IQ Sheet-GPC'!BY50</f>
        <v>#VALUE!</v>
      </c>
      <c r="BZ50" s="47" t="e">
        <f>'Capital IQ Sheet-GPC'!BZ50</f>
        <v>#VALUE!</v>
      </c>
    </row>
    <row r="51" spans="1:83">
      <c r="A51" s="45" t="e">
        <f ca="1">_xll.ciqfunctions.udf.CIQ($B51,"IQ_COMPANY_TICKER")</f>
        <v>#NAME?</v>
      </c>
      <c r="B51" s="45" t="str">
        <f>'Capital IQ Sheet-GPC'!B51</f>
        <v>(Invalid Identifier)</v>
      </c>
      <c r="C51" s="45" t="e">
        <f ca="1">_xll.ciqfunctions.udf.CIQ($A51,"IQ_COMPANY_NAME")</f>
        <v>#NAME?</v>
      </c>
      <c r="D51" s="45" t="e">
        <f ca="1">_xll.ciqfunctions.udf.CIQ($A51, "IQ_EXCHANGE")</f>
        <v>#NAME?</v>
      </c>
      <c r="E51" s="46" t="e">
        <f ca="1">_xll.ciqfunctions.udf.CIQ($A51, "IQ_PERIODDATE_IS", IQ_FY)</f>
        <v>#NAME?</v>
      </c>
      <c r="F51" s="46" t="e">
        <f ca="1">_xll.ciqfunctions.udf.CIQ(A51, "IQ_PERIODDATE_IS", IQ_LTM, $B$1,$L$4,$L$3)</f>
        <v>#NAME?</v>
      </c>
      <c r="G51" s="46" t="e">
        <f ca="1">_xll.ciqfunctions.udf.CIQ($A51, "IQ_FIRSTPRICINGDATE")</f>
        <v>#NAME?</v>
      </c>
      <c r="H51" s="59" t="e">
        <f ca="1">_xll.ciqfunctions.udf.CIQ($A51, "IQ_TEV", $L$2, $L$5, $L$6)</f>
        <v>#NAME?</v>
      </c>
      <c r="I51" s="59" t="e">
        <f ca="1">_xll.ciqfunctions.udf.CIQ(A51, "IQ_LASTSALEPRICE", $B$1,$L$5)</f>
        <v>#NAME?</v>
      </c>
      <c r="J51" s="46" t="e">
        <f ca="1">_xll.ciqfunctions.udf.CIQ($B51, "IQ_FIRSTPRICINGDATE")</f>
        <v>#NAME?</v>
      </c>
      <c r="K51" s="59" t="e">
        <f ca="1">_xll.ciqfunctions.udf.CIQ($A51, "IQ_TOTAL_DEBT", IQ_LTM, $L$2,$L$4, $L$3, $L$5, $L$6)</f>
        <v>#NAME?</v>
      </c>
      <c r="L51" s="59" t="e">
        <f ca="1">_xll.ciqfunctions.udf.CIQ($A51, "IQ_PREF_EQUITY", IQ_LTM, $L$2, $L$4, $L$3, $L$5, $L$6)</f>
        <v>#NAME?</v>
      </c>
      <c r="M51" s="59" t="e">
        <f ca="1">_xll.ciqfunctions.udf.CIQ($A51, "IQ_MINORITY_INTEREST_TOTAL", IQ_LTM, $L$2, $L$4, $L$3, $L$5, $L$6)</f>
        <v>#NAME?</v>
      </c>
      <c r="N51" s="59" t="e">
        <f ca="1">_xll.ciqfunctions.udf.CIQ($A51, "IQ_CASH_ST_INVEST", IQ_LTM, $L$2, $L$4, $L$3, $L$5, $L$6)</f>
        <v>#NAME?</v>
      </c>
      <c r="O51" s="59" t="e">
        <f ca="1">_xll.ciqfunctions.udf.CIQ($A51, "IQ_TOTAL_REV", IQ_LTM-8, $L$2, $L$4, $L$3, $L$5, $L$6)</f>
        <v>#NAME?</v>
      </c>
      <c r="P51" s="59" t="e">
        <f ca="1">_xll.ciqfunctions.udf.CIQ($A51, "IQ_TOTAL_REV", IQ_LTM - 4, $L$2, $L$4, $L$3, $L$5,$L$6)</f>
        <v>#NAME?</v>
      </c>
      <c r="Q51" s="59" t="e">
        <f ca="1">_xll.ciqfunctions.udf.CIQ($A51, "IQ_TOTAL_REV", IQ_LTM, $L$2, $L$4, $L$3, $L$5, $L$6)</f>
        <v>#NAME?</v>
      </c>
      <c r="R51" s="59" t="e">
        <f ca="1">_xll.ciqfunctions.udf.CIQ($A51, "IQ_TOTAL_REV", $B$2, $L$2, $L$4, $L$3, $L$5, $L$6)</f>
        <v>#NAME?</v>
      </c>
      <c r="S51" s="59" t="e">
        <f ca="1">IF(_xll.ciqfunctions.udf.CIQ($A51, "IQ_TOTAL_REV", $B$3, $L$2,$L$4, $L$3, $L$5, $L$6)=0,Q51,_xll.ciqfunctions.udf.CIQ($A51, "IQ_TOTAL_REV", $B$3, $L$2,$L$4, $L$3, $L$5, $L$6))</f>
        <v>#NAME?</v>
      </c>
      <c r="T51" s="59" t="e">
        <f ca="1">IF(_xll.ciqfunctions.udf.CIQ($A51, "IQ_REVENUE_EST",$B$4, $L$2, "CON", $L$3, $L$5, $L$6)=0,"n/a",_xll.ciqfunctions.udf.CIQ($A51, "IQ_REVENUE_EST",$B$4, $L$2, "CON", $L$3, $L$5, $L$6))</f>
        <v>#NAME?</v>
      </c>
      <c r="U51" s="59" t="e">
        <f ca="1">IF(_xll.ciqfunctions.udf.CIQ($A51, "IQ_REVENUE_EST",$B$5, $L$2, "CON", $L$3, $L$5, $L$6)=0,"n/a",_xll.ciqfunctions.udf.CIQ($A51, "IQ_REVENUE_EST",$B$5, $L$2, "CON", $L$3, $L$5, $L$6))</f>
        <v>#NAME?</v>
      </c>
      <c r="V51" s="59" t="e">
        <f ca="1">IF(_xll.ciqfunctions.udf.CIQ($A51, "IQ_REVENUE_EST",$B$6, $L$2, "CON", $L$3, $L$5, $L$6)=0,"n/a",_xll.ciqfunctions.udf.CIQ($A51, "IQ_REVENUE_EST",$B$6, $L$2, "CON", $L$3, $L$5, $L$6))</f>
        <v>#NAME?</v>
      </c>
      <c r="W51" s="59" t="e">
        <f ca="1">IF(_xll.ciqfunctions.udf.CIQ($A51, "IQ_REVENUE_EST", $B$7, $L$2, "CON", $L$3, $L$5, $L$6)=0,"n/a",_xll.ciqfunctions.udf.CIQ($A51, "IQ_REVENUE_EST",$B$7, $L$2, "CON", $L$3, $L$5, $L$6))</f>
        <v>#NAME?</v>
      </c>
      <c r="X51" s="59" t="e">
        <f ca="1">_xll.ciqfunctions.udf.CIQ($A51, "IQ_EBITDA", IQ_LTM-8, $L$2, $L$4, $L$3, $L$5, $L$6)</f>
        <v>#NAME?</v>
      </c>
      <c r="Y51" s="59" t="e">
        <f ca="1">_xll.ciqfunctions.udf.CIQ($A51, "IQ_EBITDA", IQ_LTM-4, $L$2,$L$4, $L$3, $L$5, $L$6)</f>
        <v>#NAME?</v>
      </c>
      <c r="Z51" s="59" t="e">
        <f ca="1">_xll.ciqfunctions.udf.CIQ($A51, "IQ_EBITDA", IQ_LTM, $L$2, $L$4, $L$3, $L$5, $L$6)</f>
        <v>#NAME?</v>
      </c>
      <c r="AA51" s="59" t="e">
        <f ca="1">_xll.ciqfunctions.udf.CIQ($A51, "IQ_EBITDA", $B$2, $L$2, $L$4, $L$3, $L$5, $L$6)</f>
        <v>#NAME?</v>
      </c>
      <c r="AB51" s="59" t="e">
        <f ca="1">IF(_xll.ciqfunctions.udf.CIQ($A51, "IQ_EBITDA", $B$3, $L$2,$L$4, $L$3, $L$5, $L$6)=0,Z51,_xll.ciqfunctions.udf.CIQ($A51, "IQ_EBITDA", $B$3, $L$2,$L$4, $L$3, $L$5, $L$6))</f>
        <v>#NAME?</v>
      </c>
      <c r="AC51" s="59" t="e">
        <f ca="1">IF(_xll.ciqfunctions.udf.CIQ($A51, "IQ_EBITDA_EST",$B$4, $L$2, "CON", $L$3, $L$5, $L$6)=0,"n/a",_xll.ciqfunctions.udf.CIQ($A51, "IQ_EBITDA_EST",$B$4, $L$2, "CON", $L$3, $L$5, $L$6))</f>
        <v>#NAME?</v>
      </c>
      <c r="AD51" s="45" t="e">
        <f ca="1">IF(_xll.ciqfunctions.udf.CIQ($A51, "IQ_EBITDA_EST",$B$5, $L$2, "CON", $L$3, $L$5, $L$6)=0,"n/a",_xll.ciqfunctions.udf.CIQ($A51, "IQ_EBITDA_EST",$B$5, $L$2, "CON", $L$3, $L$5, $L$6))</f>
        <v>#NAME?</v>
      </c>
      <c r="AE51" s="59" t="e">
        <f ca="1">IF(_xll.ciqfunctions.udf.CIQ($A51, "IQ_EBITDA_EST",$B$6, $L$2, "CON", $L$3, $L$5, $L$6)=0,"n/a",_xll.ciqfunctions.udf.CIQ($A51, "IQ_EBITDA_EST",$B$6, $L$2, "CON", $L$3, $L$5, $L$6))</f>
        <v>#NAME?</v>
      </c>
      <c r="AF51" s="47" t="str">
        <f ca="1">IF(ISERROR(_xll.ciqfunctions.udf.CIQ($A51, "IQ_GROSS_MARGIN", IQ_LTM, $L$2,$L$4, $L$3, $L$5, $L$6)/100), "n/a", _xll.ciqfunctions.udf.CIQ($A51,  "IQ_GROSS_MARGIN", IQ_LTM, $L$2, $L$4, $L$3, $L$5, $L$6)/100)</f>
        <v>n/a</v>
      </c>
      <c r="AG51" s="47" t="str">
        <f ca="1">IF(ISERROR(_xll.ciqfunctions.udf.CIQ($A51,"IQ_EBITDA_MARGIN", IQ_LTM, $L$2, $L$4, $L$3, $L$5, $L$6)/100), "n/a", _xll.ciqfunctions.udf.CIQ($A51, "IQ_EBITDA_MARGIN", IQ_LTM, $L$2, $L$4, $L$3, $L$5, $L$6)/100)</f>
        <v>n/a</v>
      </c>
      <c r="AH51" s="47" t="str">
        <f ca="1">IF(ISERROR(_xll.ciqfunctions.udf.CIQ($A51,"IQ_EBIT_MARGIN", IQ_LTM, $L$2, $L$4, $L$3, $L$5, $L$6)/100), "n/a", _xll.ciqfunctions.udf.CIQ($A51, "IQ_EBIT_MARGIN", IQ_LTM, $L$2, $L$4, $L$3, $L$5, $L$6)/100)</f>
        <v>n/a</v>
      </c>
      <c r="AI51" s="47" t="str">
        <f ca="1">IF(ISERROR(_xll.ciqfunctions.udf.CIQ($A51,"IQ_NI_MARGIN", IQ_LTM, $L$2, $L$4, $L$3, $L$5, $L$6)/100), "n/a", _xll.ciqfunctions.udf.CIQ($A51, "IQ_NI_MARGIN", IQ_LTM, $L$2, $L$4, $L$3, $L$5, $L$6)/100)</f>
        <v>n/a</v>
      </c>
      <c r="AJ51" s="59" t="str">
        <f ca="1">IF(ISERROR(_xll.ciqfunctions.udf.CIQ($A51, "IQ_NET_WORKING_CAP", IQ_LTM-8, $L$2, $L$4, $L$3, $L$5, $L$6)), "n/a", _xll.ciqfunctions.udf.CIQ($A51, "IQ_NET_WORKING_CAP", IQ_LTM-8, $L$2, $L$4, $L$3, $L$5, $L$6))</f>
        <v>n/a</v>
      </c>
      <c r="AK51" s="59" t="str">
        <f ca="1">IF(ISERROR(_xll.ciqfunctions.udf.CIQ($A51, "IQ_NET_WORKING_CAP", IQ_LTM-4, $L$2, $L$4, $L$3, $L$5, $L$6)), "n/a", _xll.ciqfunctions.udf.CIQ($A51, "IQ_NET_WORKING_CAP", IQ_LTM-4, $L$2, $L$4, $L$3, $L$5, $L$6))</f>
        <v>n/a</v>
      </c>
      <c r="AL51" s="59" t="str">
        <f ca="1">IF(ISERROR(_xll.ciqfunctions.udf.CIQ($A51, "IQ_NET_WORKING_CAP", IQ_LTM, $L$2,$L$4, $L$3, $L$5, $L$6)), "n/a", _xll.ciqfunctions.udf.CIQ($A51, "IQ_NET_WORKING_CAP", IQ_LTM, $L$2, $L$4, $L$3, $L$5, $L$6))</f>
        <v>n/a</v>
      </c>
      <c r="AM51" s="59" t="str">
        <f ca="1">IF(ISERROR(_xll.ciqfunctions.udf.CIQ($A51, "IQ_Capex", IQ_LTM-8, $L$2,$L$4, $L$3, $L$5, $L$6)), "n/a", _xll.ciqfunctions.udf.CIQ($A51, "IQ_Capex", IQ_LTM-8, $L$2, $L$4, $L$3, $L$5, $L$6))</f>
        <v>n/a</v>
      </c>
      <c r="AN51" s="59" t="str">
        <f ca="1">IF(ISERROR(_xll.ciqfunctions.udf.CIQ($A51, "IQ_Capex", IQ_LTM-4, $L$2,$L$4, $L$3, $L$5, $L$6)), "n/a", _xll.ciqfunctions.udf.CIQ($A51, "IQ_Capex", IQ_LTM-4, $L$2,$L$4, $L$3, $L$5, $L$6))</f>
        <v>n/a</v>
      </c>
      <c r="AO51" s="59" t="str">
        <f ca="1">IF(ISERROR(_xll.ciqfunctions.udf.CIQ($A51, "IQ_Capex", IQ_LTM, $L$2, $L$4, $L$3, $L$5, $L$6)), "n/a", _xll.ciqfunctions.udf.CIQ($A51, "IQ_Capex", IQ_LTM, $L$2, $L$4, $L$3, $L$5, $L$6))</f>
        <v>n/a</v>
      </c>
      <c r="AP51" s="44" t="e">
        <f ca="1">_xll.ciqfunctions.udf.CIQ(A51, "IQ_BUSINESS_DESCRIPTION")</f>
        <v>#NAME?</v>
      </c>
      <c r="AQ51" s="60" t="e">
        <f ca="1">_xll.ciqfunctions.udf.CIQ($A51, "IQ_BETA_1YR", $B$1)</f>
        <v>#NAME?</v>
      </c>
      <c r="AR51" s="60" t="e">
        <f ca="1">_xll.ciqfunctions.udf.CIQ($A51, "IQ_BETA_2YR", $B$1)</f>
        <v>#NAME?</v>
      </c>
      <c r="AS51" s="60" t="e">
        <f ca="1">_xll.ciqfunctions.udf.CIQ($A51, "IQ_BETA_5YR", $B$1)</f>
        <v>#NAME?</v>
      </c>
      <c r="AT51" s="45" t="e">
        <f ca="1">_xll.ciqfunctions.udf.CIQ($B51, "IQ_GP", IQ_LTM,$B$1, ,,"USD")</f>
        <v>#NAME?</v>
      </c>
      <c r="AU51" s="59" t="e">
        <f ca="1">_xll.ciqfunctions.udf.CIQ($A51, "IQ_EARNING_CO", IQ_LTM-8, $L$2, $L$4, $L$3, $L$5, $L$6)</f>
        <v>#NAME?</v>
      </c>
      <c r="AV51" s="59" t="e">
        <f ca="1">_xll.ciqfunctions.udf.CIQ($A51, "IQ_EARNING_CO", IQ_LTM-4, $L$2, $L$4, $L$3, $L$5, $L$6)</f>
        <v>#NAME?</v>
      </c>
      <c r="AW51" s="59" t="e">
        <f ca="1">_xll.ciqfunctions.udf.CIQ($A51, "IQ_EARNING_CO", IQ_LTM, $L$2, $L$4, $L$3, $L$5, $L$6)</f>
        <v>#NAME?</v>
      </c>
      <c r="AX51" s="59" t="e">
        <f ca="1">_xll.ciqfunctions.udf.CIQ($A51, "IQ_EARNING_CO", $B$2, $L$2, $L$4, $L$3, $L$5, $L$6)</f>
        <v>#NAME?</v>
      </c>
      <c r="AY51" s="59" t="e">
        <f ca="1">IF(_xll.ciqfunctions.udf.CIQ($A51, "IQ_EARNING_CO", $B$3, $L$2,$L$4, $L$3, $L$5, $L$6)=0,AW51,_xll.ciqfunctions.udf.CIQ($A51, "IQ_EARNING_CO", $B$3, $L$2,$L$4, $L$3, $L$5, $L$6))</f>
        <v>#NAME?</v>
      </c>
      <c r="AZ51" s="59" t="e">
        <f ca="1">_xll.ciqfunctions.udf.CIQ($A51, "IQ_TOTAL_EQUITY", IQ_LTM-8, $L$2, $L$4, $L$3, $L$5, $L$6)</f>
        <v>#NAME?</v>
      </c>
      <c r="BA51" s="59" t="e">
        <f ca="1">_xll.ciqfunctions.udf.CIQ($A51, "IQ_TOTAL_EQUITY", IQ_LTM-4, $L$2, $L$4, $L$3, $L$5, $L$6)</f>
        <v>#NAME?</v>
      </c>
      <c r="BB51" s="59" t="e">
        <f ca="1">_xll.ciqfunctions.udf.CIQ($A51, "IQ_TOTAL_EQUITY", IQ_LTM, $L$2, $L$4, $L$3, $L$5, $L$6)</f>
        <v>#NAME?</v>
      </c>
      <c r="BC51" s="59" t="e">
        <f ca="1">_xll.ciqfunctions.udf.CIQ($A51, "IQ_TOTAL_EQUITY", $B$2, $L$2, $L$4, $L$3, $L$5, $L$6)</f>
        <v>#NAME?</v>
      </c>
      <c r="BD51" s="59" t="e">
        <f ca="1">IF(_xll.ciqfunctions.udf.CIQ($A51, "IQ_TOTAL_EQUITY", $B$3, $L$2,$L$4, $L$3, $L$5, $L$6)=0,BB51,_xll.ciqfunctions.udf.CIQ($A51, "IQ_TOTAL_EQUITY", $B$3, $L$2,$L$4, $L$3, $L$5, $L$6))</f>
        <v>#NAME?</v>
      </c>
      <c r="BE51" s="59" t="e">
        <f ca="1">_xll.ciqfunctions.udf.CIQ(A51, "IQ_LASTSALEPRICE", $B$8)</f>
        <v>#NAME?</v>
      </c>
      <c r="BF51" s="59" t="e">
        <f ca="1">_xll.ciqfunctions.udf.CIQ($A51, "IQ_MARKETCAP", $B$8, $L$5, $L$6)</f>
        <v>#NAME?</v>
      </c>
      <c r="BG51" s="59" t="e">
        <f ca="1">_xll.ciqfunctions.udf.CIQ($A51, "IQ_TOTAL_DEBT", IQ_LTM, $B$8,$L$4, $L$3, $L$5, $L$6)</f>
        <v>#NAME?</v>
      </c>
      <c r="BH51" s="45" t="e">
        <f ca="1">_xll.ciqfunctions.udf.CIQ($A51,"IQ_PREF_EQUITY",IQ_LTM,$B$8,$L$4,$L$3,$L$5,$L$6)</f>
        <v>#NAME?</v>
      </c>
      <c r="BI51" s="45" t="e">
        <f ca="1">_xll.ciqfunctions.udf.CIQ($A51, "IQ_MINORITY_INTEREST_TOTAL", IQ_LTM,$B$8,$L$4,$L$3,$L$5,$L$6)</f>
        <v>#NAME?</v>
      </c>
      <c r="BJ51" s="59" t="e">
        <f ca="1">_xll.ciqfunctions.udf.CIQ($A51, "IQ_CASH_ST_INVEST", IQ_LTM, $B$8, $L$4, $L$3, $L$5, $L$6)</f>
        <v>#NAME?</v>
      </c>
      <c r="BK51" s="45" t="e">
        <f ca="1">_xll.ciqfunctions.udf.CIQ($A51, "IQ_EFFECT_TAX_RATE")</f>
        <v>#NAME?</v>
      </c>
      <c r="BL51" s="45" t="e">
        <f ca="1">IF(_xll.ciqfunctions.udf.CIQ($A51, "IQ_TOTAL_REV_2YR_ANN_CAGR", IQ_LTM, $B$1,$L$4, $L$3, $L$5, $L$6)="NM","n/a",(_xll.ciqfunctions.udf.CIQ($A51, "IQ_TOTAL_REV_2YR_ANN_CAGR", IQ_LTM, $B$1,$L$4, $L$3, $L$5, $L$6)/100))</f>
        <v>#NAME?</v>
      </c>
      <c r="BM51" s="45" t="e">
        <f ca="1">IF(_xll.ciqfunctions.udf.CIQ($A51, "IQ_TOTAL_REV_3YR_ANN_CAGR", IQ_LTM, $B$1,$L$4, $L$3, $L$5, $L$6)="NM","n/a",(_xll.ciqfunctions.udf.CIQ($A51, "IQ_TOTAL_REV_3YR_ANN_CAGR", IQ_LTM, $B$1,$L$4, $L$3, $L$5, $L$6)/100))</f>
        <v>#NAME?</v>
      </c>
      <c r="BN51" s="45" t="e">
        <f ca="1">IF(_xll.ciqfunctions.udf.CIQ($A51, "IQ_TOTAL_REV_5YR_ANN_CAGR", IQ_LTM, $B$1,$L$4, $L$3, $L$5, $L$6)="NM","n/a",(_xll.ciqfunctions.udf.CIQ($A51, "IQ_TOTAL_REV_5YR_ANN_CAGR", IQ_LTM, $B$1,$L$4, $L$3, $L$5, $L$6)/100))</f>
        <v>#NAME?</v>
      </c>
      <c r="BO51" s="45" t="e">
        <f ca="1">IF(_xll.ciqfunctions.udf.CIQ($A51,"IQ_EBITDA_2YR_ANN_CAGR", IQ_LTM,$B$1,$L$4, $L$3, $L$5, $L$6)="NM","n/a",(_xll.ciqfunctions.udf.CIQ($A51,"IQ_EBITDA_2YR_ANN_CAGR", IQ_LTM,$B$1,$L$4, $L$3, $L$5, $L$6)/100))</f>
        <v>#NAME?</v>
      </c>
      <c r="BP51" s="45" t="e">
        <f ca="1">IF(_xll.ciqfunctions.udf.CIQ($A51,"IQ_EBITDA_3YR_ANN_CAGR", IQ_LTM,$B$1,$L$4, $L$3, $L$5, $L$6)="NM","n/a",(_xll.ciqfunctions.udf.CIQ($A51,"IQ_EBITDA_3YR_ANN_CAGR", IQ_LTM,$B$1,$L$4, $L$3, $L$5, $L$6)/100))</f>
        <v>#NAME?</v>
      </c>
      <c r="BQ51" s="45" t="e">
        <f ca="1">IF(_xll.ciqfunctions.udf.CIQ($A51,"IQ_EBITDA_5YR_ANN_CAGR", IQ_LTM,$B$1,$L$4, $L$3, $L$5, $L$6)="NM","n/a",(_xll.ciqfunctions.udf.CIQ($A51,"IQ_EBITDA_5YR_ANN_CAGR", IQ_LTM,$B$1,$L$4, $L$3, $L$5, $L$6)/100))</f>
        <v>#NAME?</v>
      </c>
      <c r="BR51" s="47" t="str">
        <f ca="1">IFERROR((_xll.ciqfunctions.udf.CIQ($A51, "IQ_DA_CF", IQ_LTM, $B$1, $L$4, $L$3, $L$5, $L$6)/Q51),"NM")</f>
        <v>NM</v>
      </c>
      <c r="BS51" s="47" t="e">
        <f>'Capital IQ Sheet-GPC'!BS51</f>
        <v>#VALUE!</v>
      </c>
      <c r="BT51" s="47" t="e">
        <f>'Capital IQ Sheet-GPC'!BT51</f>
        <v>#VALUE!</v>
      </c>
      <c r="BU51" s="47" t="e">
        <f>'Capital IQ Sheet-GPC'!BU51</f>
        <v>#VALUE!</v>
      </c>
      <c r="BV51" s="47" t="e">
        <f>'Capital IQ Sheet-GPC'!BV51</f>
        <v>#VALUE!</v>
      </c>
      <c r="BW51" s="47" t="e">
        <f>'Capital IQ Sheet-GPC'!BW51</f>
        <v>#VALUE!</v>
      </c>
      <c r="BX51" s="47" t="e">
        <f>'Capital IQ Sheet-GPC'!BX51</f>
        <v>#VALUE!</v>
      </c>
      <c r="BY51" s="47" t="e">
        <f>'Capital IQ Sheet-GPC'!BY51</f>
        <v>#VALUE!</v>
      </c>
      <c r="BZ51" s="47" t="e">
        <f>'Capital IQ Sheet-GPC'!BZ51</f>
        <v>#VALUE!</v>
      </c>
    </row>
    <row r="52" spans="1:83">
      <c r="A52" s="45" t="e">
        <f ca="1">_xll.ciqfunctions.udf.CIQ($B52,"IQ_COMPANY_TICKER")</f>
        <v>#NAME?</v>
      </c>
      <c r="B52" s="45" t="str">
        <f>'Capital IQ Sheet-GPC'!B52</f>
        <v>(Invalid Identifier)</v>
      </c>
      <c r="C52" s="45" t="e">
        <f ca="1">_xll.ciqfunctions.udf.CIQ($A52,"IQ_COMPANY_NAME")</f>
        <v>#NAME?</v>
      </c>
      <c r="D52" s="45" t="e">
        <f ca="1">_xll.ciqfunctions.udf.CIQ($A52, "IQ_EXCHANGE")</f>
        <v>#NAME?</v>
      </c>
      <c r="E52" s="46" t="e">
        <f ca="1">_xll.ciqfunctions.udf.CIQ($A52, "IQ_PERIODDATE_IS", IQ_FY)</f>
        <v>#NAME?</v>
      </c>
      <c r="F52" s="46" t="e">
        <f ca="1">_xll.ciqfunctions.udf.CIQ(A52, "IQ_PERIODDATE_IS", IQ_LTM, $B$1,$L$4,$L$3)</f>
        <v>#NAME?</v>
      </c>
      <c r="G52" s="46" t="e">
        <f ca="1">_xll.ciqfunctions.udf.CIQ($A52, "IQ_FIRSTPRICINGDATE")</f>
        <v>#NAME?</v>
      </c>
      <c r="H52" s="59" t="e">
        <f ca="1">_xll.ciqfunctions.udf.CIQ($A52, "IQ_TEV", $L$2, $L$5, $L$6)</f>
        <v>#NAME?</v>
      </c>
      <c r="I52" s="59" t="e">
        <f ca="1">_xll.ciqfunctions.udf.CIQ(A52, "IQ_LASTSALEPRICE", $B$1,$L$5)</f>
        <v>#NAME?</v>
      </c>
      <c r="J52" s="46" t="e">
        <f ca="1">_xll.ciqfunctions.udf.CIQ($B52, "IQ_FIRSTPRICINGDATE")</f>
        <v>#NAME?</v>
      </c>
      <c r="K52" s="59" t="e">
        <f ca="1">_xll.ciqfunctions.udf.CIQ($A52, "IQ_TOTAL_DEBT", IQ_LTM, $L$2,$L$4, $L$3, $L$5, $L$6)</f>
        <v>#NAME?</v>
      </c>
      <c r="L52" s="59" t="e">
        <f ca="1">_xll.ciqfunctions.udf.CIQ($A52, "IQ_PREF_EQUITY", IQ_LTM, $L$2, $L$4, $L$3, $L$5, $L$6)</f>
        <v>#NAME?</v>
      </c>
      <c r="M52" s="59" t="e">
        <f ca="1">_xll.ciqfunctions.udf.CIQ($A52, "IQ_MINORITY_INTEREST_TOTAL", IQ_LTM, $L$2, $L$4, $L$3, $L$5, $L$6)</f>
        <v>#NAME?</v>
      </c>
      <c r="N52" s="59" t="e">
        <f ca="1">_xll.ciqfunctions.udf.CIQ($A52, "IQ_CASH_ST_INVEST", IQ_LTM, $L$2, $L$4, $L$3, $L$5, $L$6)</f>
        <v>#NAME?</v>
      </c>
      <c r="O52" s="59" t="e">
        <f ca="1">_xll.ciqfunctions.udf.CIQ($A52, "IQ_TOTAL_REV", IQ_LTM-8, $L$2, $L$4, $L$3, $L$5, $L$6)</f>
        <v>#NAME?</v>
      </c>
      <c r="P52" s="59" t="e">
        <f ca="1">_xll.ciqfunctions.udf.CIQ($A52, "IQ_TOTAL_REV", IQ_LTM - 4, $L$2, $L$4, $L$3, $L$5,$L$6)</f>
        <v>#NAME?</v>
      </c>
      <c r="Q52" s="59" t="e">
        <f ca="1">_xll.ciqfunctions.udf.CIQ($A52, "IQ_TOTAL_REV", IQ_LTM, $L$2, $L$4, $L$3, $L$5, $L$6)</f>
        <v>#NAME?</v>
      </c>
      <c r="R52" s="59" t="e">
        <f ca="1">_xll.ciqfunctions.udf.CIQ($A52, "IQ_TOTAL_REV", $B$2, $L$2, $L$4, $L$3, $L$5, $L$6)</f>
        <v>#NAME?</v>
      </c>
      <c r="S52" s="59" t="e">
        <f ca="1">IF(_xll.ciqfunctions.udf.CIQ($A52, "IQ_TOTAL_REV", $B$3, $L$2,$L$4, $L$3, $L$5, $L$6)=0,Q52,_xll.ciqfunctions.udf.CIQ($A52, "IQ_TOTAL_REV", $B$3, $L$2,$L$4, $L$3, $L$5, $L$6))</f>
        <v>#NAME?</v>
      </c>
      <c r="T52" s="59" t="e">
        <f ca="1">IF(_xll.ciqfunctions.udf.CIQ($A52, "IQ_REVENUE_EST",$B$4, $L$2, "CON", $L$3, $L$5, $L$6)=0,"n/a",_xll.ciqfunctions.udf.CIQ($A52, "IQ_REVENUE_EST",$B$4, $L$2, "CON", $L$3, $L$5, $L$6))</f>
        <v>#NAME?</v>
      </c>
      <c r="U52" s="59" t="e">
        <f ca="1">IF(_xll.ciqfunctions.udf.CIQ($A52, "IQ_REVENUE_EST",$B$5, $L$2, "CON", $L$3, $L$5, $L$6)=0,"n/a",_xll.ciqfunctions.udf.CIQ($A52, "IQ_REVENUE_EST",$B$5, $L$2, "CON", $L$3, $L$5, $L$6))</f>
        <v>#NAME?</v>
      </c>
      <c r="V52" s="59" t="e">
        <f ca="1">IF(_xll.ciqfunctions.udf.CIQ($A52, "IQ_REVENUE_EST",$B$6, $L$2, "CON", $L$3, $L$5, $L$6)=0,"n/a",_xll.ciqfunctions.udf.CIQ($A52, "IQ_REVENUE_EST",$B$6, $L$2, "CON", $L$3, $L$5, $L$6))</f>
        <v>#NAME?</v>
      </c>
      <c r="W52" s="59" t="e">
        <f ca="1">IF(_xll.ciqfunctions.udf.CIQ($A52, "IQ_REVENUE_EST", $B$7, $L$2, "CON", $L$3, $L$5, $L$6)=0,"n/a",_xll.ciqfunctions.udf.CIQ($A52, "IQ_REVENUE_EST",$B$7, $L$2, "CON", $L$3, $L$5, $L$6))</f>
        <v>#NAME?</v>
      </c>
      <c r="X52" s="59" t="e">
        <f ca="1">_xll.ciqfunctions.udf.CIQ($A52, "IQ_EBITDA", IQ_LTM-8, $L$2, $L$4, $L$3, $L$5, $L$6)</f>
        <v>#NAME?</v>
      </c>
      <c r="Y52" s="59" t="e">
        <f ca="1">_xll.ciqfunctions.udf.CIQ($A52, "IQ_EBITDA", IQ_LTM-4, $L$2,$L$4, $L$3, $L$5, $L$6)</f>
        <v>#NAME?</v>
      </c>
      <c r="Z52" s="59" t="e">
        <f ca="1">_xll.ciqfunctions.udf.CIQ($A52, "IQ_EBITDA", IQ_LTM, $L$2, $L$4, $L$3, $L$5, $L$6)</f>
        <v>#NAME?</v>
      </c>
      <c r="AA52" s="59" t="e">
        <f ca="1">_xll.ciqfunctions.udf.CIQ($A52, "IQ_EBITDA", $B$2, $L$2, $L$4, $L$3, $L$5, $L$6)</f>
        <v>#NAME?</v>
      </c>
      <c r="AB52" s="59" t="e">
        <f ca="1">IF(_xll.ciqfunctions.udf.CIQ($A52, "IQ_EBITDA", $B$3, $L$2,$L$4, $L$3, $L$5, $L$6)=0,Z52,_xll.ciqfunctions.udf.CIQ($A52, "IQ_EBITDA", $B$3, $L$2,$L$4, $L$3, $L$5, $L$6))</f>
        <v>#NAME?</v>
      </c>
      <c r="AC52" s="59" t="e">
        <f ca="1">IF(_xll.ciqfunctions.udf.CIQ($A52, "IQ_EBITDA_EST",$B$4, $L$2, "CON", $L$3, $L$5, $L$6)=0,"n/a",_xll.ciqfunctions.udf.CIQ($A52, "IQ_EBITDA_EST",$B$4, $L$2, "CON", $L$3, $L$5, $L$6))</f>
        <v>#NAME?</v>
      </c>
      <c r="AD52" s="45" t="e">
        <f ca="1">IF(_xll.ciqfunctions.udf.CIQ($A52, "IQ_EBITDA_EST",$B$5, $L$2, "CON", $L$3, $L$5, $L$6)=0,"n/a",_xll.ciqfunctions.udf.CIQ($A52, "IQ_EBITDA_EST",$B$5, $L$2, "CON", $L$3, $L$5, $L$6))</f>
        <v>#NAME?</v>
      </c>
      <c r="AE52" s="59" t="e">
        <f ca="1">IF(_xll.ciqfunctions.udf.CIQ($A52, "IQ_EBITDA_EST",$B$6, $L$2, "CON", $L$3, $L$5, $L$6)=0,"n/a",_xll.ciqfunctions.udf.CIQ($A52, "IQ_EBITDA_EST",$B$6, $L$2, "CON", $L$3, $L$5, $L$6))</f>
        <v>#NAME?</v>
      </c>
      <c r="AF52" s="47" t="str">
        <f ca="1">IF(ISERROR(_xll.ciqfunctions.udf.CIQ($A52, "IQ_GROSS_MARGIN", IQ_LTM, $L$2,$L$4, $L$3, $L$5, $L$6)/100), "n/a", _xll.ciqfunctions.udf.CIQ($A52,  "IQ_GROSS_MARGIN", IQ_LTM, $L$2, $L$4, $L$3, $L$5, $L$6)/100)</f>
        <v>n/a</v>
      </c>
      <c r="AG52" s="47" t="str">
        <f ca="1">IF(ISERROR(_xll.ciqfunctions.udf.CIQ($A52,"IQ_EBITDA_MARGIN", IQ_LTM, $L$2, $L$4, $L$3, $L$5, $L$6)/100), "n/a", _xll.ciqfunctions.udf.CIQ($A52, "IQ_EBITDA_MARGIN", IQ_LTM, $L$2, $L$4, $L$3, $L$5, $L$6)/100)</f>
        <v>n/a</v>
      </c>
      <c r="AH52" s="47" t="str">
        <f ca="1">IF(ISERROR(_xll.ciqfunctions.udf.CIQ($A52,"IQ_EBIT_MARGIN", IQ_LTM, $L$2, $L$4, $L$3, $L$5, $L$6)/100), "n/a", _xll.ciqfunctions.udf.CIQ($A52, "IQ_EBIT_MARGIN", IQ_LTM, $L$2, $L$4, $L$3, $L$5, $L$6)/100)</f>
        <v>n/a</v>
      </c>
      <c r="AI52" s="47" t="str">
        <f ca="1">IF(ISERROR(_xll.ciqfunctions.udf.CIQ($A52,"IQ_NI_MARGIN", IQ_LTM, $L$2, $L$4, $L$3, $L$5, $L$6)/100), "n/a", _xll.ciqfunctions.udf.CIQ($A52, "IQ_NI_MARGIN", IQ_LTM, $L$2, $L$4, $L$3, $L$5, $L$6)/100)</f>
        <v>n/a</v>
      </c>
      <c r="AJ52" s="59" t="str">
        <f ca="1">IF(ISERROR(_xll.ciqfunctions.udf.CIQ($A52, "IQ_NET_WORKING_CAP", IQ_LTM-8, $L$2, $L$4, $L$3, $L$5, $L$6)), "n/a", _xll.ciqfunctions.udf.CIQ($A52, "IQ_NET_WORKING_CAP", IQ_LTM-8, $L$2, $L$4, $L$3, $L$5, $L$6))</f>
        <v>n/a</v>
      </c>
      <c r="AK52" s="59" t="str">
        <f ca="1">IF(ISERROR(_xll.ciqfunctions.udf.CIQ($A52, "IQ_NET_WORKING_CAP", IQ_LTM-4, $L$2, $L$4, $L$3, $L$5, $L$6)), "n/a", _xll.ciqfunctions.udf.CIQ($A52, "IQ_NET_WORKING_CAP", IQ_LTM-4, $L$2, $L$4, $L$3, $L$5, $L$6))</f>
        <v>n/a</v>
      </c>
      <c r="AL52" s="59" t="str">
        <f ca="1">IF(ISERROR(_xll.ciqfunctions.udf.CIQ($A52, "IQ_NET_WORKING_CAP", IQ_LTM, $L$2,$L$4, $L$3, $L$5, $L$6)), "n/a", _xll.ciqfunctions.udf.CIQ($A52, "IQ_NET_WORKING_CAP", IQ_LTM, $L$2, $L$4, $L$3, $L$5, $L$6))</f>
        <v>n/a</v>
      </c>
      <c r="AM52" s="59" t="str">
        <f ca="1">IF(ISERROR(_xll.ciqfunctions.udf.CIQ($A52, "IQ_Capex", IQ_LTM-8, $L$2,$L$4, $L$3, $L$5, $L$6)), "n/a", _xll.ciqfunctions.udf.CIQ($A52, "IQ_Capex", IQ_LTM-8, $L$2, $L$4, $L$3, $L$5, $L$6))</f>
        <v>n/a</v>
      </c>
      <c r="AN52" s="59" t="str">
        <f ca="1">IF(ISERROR(_xll.ciqfunctions.udf.CIQ($A52, "IQ_Capex", IQ_LTM-4, $L$2,$L$4, $L$3, $L$5, $L$6)), "n/a", _xll.ciqfunctions.udf.CIQ($A52, "IQ_Capex", IQ_LTM-4, $L$2,$L$4, $L$3, $L$5, $L$6))</f>
        <v>n/a</v>
      </c>
      <c r="AO52" s="59" t="str">
        <f ca="1">IF(ISERROR(_xll.ciqfunctions.udf.CIQ($A52, "IQ_Capex", IQ_LTM, $L$2, $L$4, $L$3, $L$5, $L$6)), "n/a", _xll.ciqfunctions.udf.CIQ($A52, "IQ_Capex", IQ_LTM, $L$2, $L$4, $L$3, $L$5, $L$6))</f>
        <v>n/a</v>
      </c>
      <c r="AP52" s="44" t="e">
        <f ca="1">_xll.ciqfunctions.udf.CIQ(A52, "IQ_BUSINESS_DESCRIPTION")</f>
        <v>#NAME?</v>
      </c>
      <c r="AQ52" s="60" t="e">
        <f ca="1">_xll.ciqfunctions.udf.CIQ($A52, "IQ_BETA_1YR", $B$1)</f>
        <v>#NAME?</v>
      </c>
      <c r="AR52" s="60" t="e">
        <f ca="1">_xll.ciqfunctions.udf.CIQ($A52, "IQ_BETA_2YR", $B$1)</f>
        <v>#NAME?</v>
      </c>
      <c r="AS52" s="60" t="e">
        <f ca="1">_xll.ciqfunctions.udf.CIQ($A52, "IQ_BETA_5YR", $B$1)</f>
        <v>#NAME?</v>
      </c>
      <c r="AT52" s="45" t="e">
        <f ca="1">_xll.ciqfunctions.udf.CIQ($B52, "IQ_GP", IQ_LTM,$B$1, ,,"USD")</f>
        <v>#NAME?</v>
      </c>
      <c r="AU52" s="59" t="e">
        <f ca="1">_xll.ciqfunctions.udf.CIQ($A52, "IQ_EARNING_CO", IQ_LTM-8, $L$2, $L$4, $L$3, $L$5, $L$6)</f>
        <v>#NAME?</v>
      </c>
      <c r="AV52" s="59" t="e">
        <f ca="1">_xll.ciqfunctions.udf.CIQ($A52, "IQ_EARNING_CO", IQ_LTM-4, $L$2, $L$4, $L$3, $L$5, $L$6)</f>
        <v>#NAME?</v>
      </c>
      <c r="AW52" s="59" t="e">
        <f ca="1">_xll.ciqfunctions.udf.CIQ($A52, "IQ_EARNING_CO", IQ_LTM, $L$2, $L$4, $L$3, $L$5, $L$6)</f>
        <v>#NAME?</v>
      </c>
      <c r="AX52" s="59" t="e">
        <f ca="1">_xll.ciqfunctions.udf.CIQ($A52, "IQ_EARNING_CO", $B$2, $L$2, $L$4, $L$3, $L$5, $L$6)</f>
        <v>#NAME?</v>
      </c>
      <c r="AY52" s="59" t="e">
        <f ca="1">IF(_xll.ciqfunctions.udf.CIQ($A52, "IQ_EARNING_CO", $B$3, $L$2,$L$4, $L$3, $L$5, $L$6)=0,AW52,_xll.ciqfunctions.udf.CIQ($A52, "IQ_EARNING_CO", $B$3, $L$2,$L$4, $L$3, $L$5, $L$6))</f>
        <v>#NAME?</v>
      </c>
      <c r="AZ52" s="59" t="e">
        <f ca="1">_xll.ciqfunctions.udf.CIQ($A52, "IQ_TOTAL_EQUITY", IQ_LTM-8, $L$2, $L$4, $L$3, $L$5, $L$6)</f>
        <v>#NAME?</v>
      </c>
      <c r="BA52" s="59" t="e">
        <f ca="1">_xll.ciqfunctions.udf.CIQ($A52, "IQ_TOTAL_EQUITY", IQ_LTM-4, $L$2, $L$4, $L$3, $L$5, $L$6)</f>
        <v>#NAME?</v>
      </c>
      <c r="BB52" s="59" t="e">
        <f ca="1">_xll.ciqfunctions.udf.CIQ($A52, "IQ_TOTAL_EQUITY", IQ_LTM, $L$2, $L$4, $L$3, $L$5, $L$6)</f>
        <v>#NAME?</v>
      </c>
      <c r="BC52" s="59" t="e">
        <f ca="1">_xll.ciqfunctions.udf.CIQ($A52, "IQ_TOTAL_EQUITY", $B$2, $L$2, $L$4, $L$3, $L$5, $L$6)</f>
        <v>#NAME?</v>
      </c>
      <c r="BD52" s="59" t="e">
        <f ca="1">IF(_xll.ciqfunctions.udf.CIQ($A52, "IQ_TOTAL_EQUITY", $B$3, $L$2,$L$4, $L$3, $L$5, $L$6)=0,BB52,_xll.ciqfunctions.udf.CIQ($A52, "IQ_TOTAL_EQUITY", $B$3, $L$2,$L$4, $L$3, $L$5, $L$6))</f>
        <v>#NAME?</v>
      </c>
      <c r="BE52" s="59" t="e">
        <f ca="1">_xll.ciqfunctions.udf.CIQ(A52, "IQ_LASTSALEPRICE", $B$8)</f>
        <v>#NAME?</v>
      </c>
      <c r="BF52" s="59" t="e">
        <f ca="1">_xll.ciqfunctions.udf.CIQ($A52, "IQ_MARKETCAP", $B$8, $L$5, $L$6)</f>
        <v>#NAME?</v>
      </c>
      <c r="BG52" s="59" t="e">
        <f ca="1">_xll.ciqfunctions.udf.CIQ($A52, "IQ_TOTAL_DEBT", IQ_LTM, $B$8,$L$4, $L$3, $L$5, $L$6)</f>
        <v>#NAME?</v>
      </c>
      <c r="BH52" s="45" t="e">
        <f ca="1">_xll.ciqfunctions.udf.CIQ($A52,"IQ_PREF_EQUITY",IQ_LTM,$B$8,$L$4,$L$3,$L$5,$L$6)</f>
        <v>#NAME?</v>
      </c>
      <c r="BI52" s="45" t="e">
        <f ca="1">_xll.ciqfunctions.udf.CIQ($A52, "IQ_MINORITY_INTEREST_TOTAL", IQ_LTM,$B$8,$L$4,$L$3,$L$5,$L$6)</f>
        <v>#NAME?</v>
      </c>
      <c r="BJ52" s="59" t="e">
        <f ca="1">_xll.ciqfunctions.udf.CIQ($A52, "IQ_CASH_ST_INVEST", IQ_LTM, $B$8, $L$4, $L$3, $L$5, $L$6)</f>
        <v>#NAME?</v>
      </c>
      <c r="BK52" s="45" t="e">
        <f ca="1">_xll.ciqfunctions.udf.CIQ($A52, "IQ_EFFECT_TAX_RATE")</f>
        <v>#NAME?</v>
      </c>
      <c r="BL52" s="45" t="e">
        <f ca="1">IF(_xll.ciqfunctions.udf.CIQ($A52, "IQ_TOTAL_REV_2YR_ANN_CAGR", IQ_LTM, $B$1,$L$4, $L$3, $L$5, $L$6)="NM","n/a",(_xll.ciqfunctions.udf.CIQ($A52, "IQ_TOTAL_REV_2YR_ANN_CAGR", IQ_LTM, $B$1,$L$4, $L$3, $L$5, $L$6)/100))</f>
        <v>#NAME?</v>
      </c>
      <c r="BM52" s="45" t="e">
        <f ca="1">IF(_xll.ciqfunctions.udf.CIQ($A52, "IQ_TOTAL_REV_3YR_ANN_CAGR", IQ_LTM, $B$1,$L$4, $L$3, $L$5, $L$6)="NM","n/a",(_xll.ciqfunctions.udf.CIQ($A52, "IQ_TOTAL_REV_3YR_ANN_CAGR", IQ_LTM, $B$1,$L$4, $L$3, $L$5, $L$6)/100))</f>
        <v>#NAME?</v>
      </c>
      <c r="BN52" s="45" t="e">
        <f ca="1">IF(_xll.ciqfunctions.udf.CIQ($A52, "IQ_TOTAL_REV_5YR_ANN_CAGR", IQ_LTM, $B$1,$L$4, $L$3, $L$5, $L$6)="NM","n/a",(_xll.ciqfunctions.udf.CIQ($A52, "IQ_TOTAL_REV_5YR_ANN_CAGR", IQ_LTM, $B$1,$L$4, $L$3, $L$5, $L$6)/100))</f>
        <v>#NAME?</v>
      </c>
      <c r="BO52" s="45" t="e">
        <f ca="1">IF(_xll.ciqfunctions.udf.CIQ($A52,"IQ_EBITDA_2YR_ANN_CAGR", IQ_LTM,$B$1,$L$4, $L$3, $L$5, $L$6)="NM","n/a",(_xll.ciqfunctions.udf.CIQ($A52,"IQ_EBITDA_2YR_ANN_CAGR", IQ_LTM,$B$1,$L$4, $L$3, $L$5, $L$6)/100))</f>
        <v>#NAME?</v>
      </c>
      <c r="BP52" s="45" t="e">
        <f ca="1">IF(_xll.ciqfunctions.udf.CIQ($A52,"IQ_EBITDA_3YR_ANN_CAGR", IQ_LTM,$B$1,$L$4, $L$3, $L$5, $L$6)="NM","n/a",(_xll.ciqfunctions.udf.CIQ($A52,"IQ_EBITDA_3YR_ANN_CAGR", IQ_LTM,$B$1,$L$4, $L$3, $L$5, $L$6)/100))</f>
        <v>#NAME?</v>
      </c>
      <c r="BQ52" s="45" t="e">
        <f ca="1">IF(_xll.ciqfunctions.udf.CIQ($A52,"IQ_EBITDA_5YR_ANN_CAGR", IQ_LTM,$B$1,$L$4, $L$3, $L$5, $L$6)="NM","n/a",(_xll.ciqfunctions.udf.CIQ($A52,"IQ_EBITDA_5YR_ANN_CAGR", IQ_LTM,$B$1,$L$4, $L$3, $L$5, $L$6)/100))</f>
        <v>#NAME?</v>
      </c>
      <c r="BR52" s="47" t="str">
        <f ca="1">IFERROR((_xll.ciqfunctions.udf.CIQ($A52, "IQ_DA_CF", IQ_LTM, $B$1, $L$4, $L$3, $L$5, $L$6)/Q52),"NM")</f>
        <v>NM</v>
      </c>
      <c r="BS52" s="47" t="e">
        <f>'Capital IQ Sheet-GPC'!BS52</f>
        <v>#VALUE!</v>
      </c>
      <c r="BT52" s="47" t="e">
        <f>'Capital IQ Sheet-GPC'!BT52</f>
        <v>#VALUE!</v>
      </c>
      <c r="BU52" s="47" t="e">
        <f>'Capital IQ Sheet-GPC'!BU52</f>
        <v>#VALUE!</v>
      </c>
      <c r="BV52" s="47" t="e">
        <f>'Capital IQ Sheet-GPC'!BV52</f>
        <v>#VALUE!</v>
      </c>
      <c r="BW52" s="47" t="e">
        <f>'Capital IQ Sheet-GPC'!BW52</f>
        <v>#VALUE!</v>
      </c>
      <c r="BX52" s="47" t="e">
        <f>'Capital IQ Sheet-GPC'!BX52</f>
        <v>#VALUE!</v>
      </c>
      <c r="BY52" s="47" t="e">
        <f>'Capital IQ Sheet-GPC'!BY52</f>
        <v>#VALUE!</v>
      </c>
      <c r="BZ52" s="47" t="e">
        <f>'Capital IQ Sheet-GPC'!BZ52</f>
        <v>#VALUE!</v>
      </c>
    </row>
    <row r="53" spans="1:83">
      <c r="A53" s="45" t="e">
        <f ca="1">_xll.ciqfunctions.udf.CIQ($B53,"IQ_COMPANY_TICKER")</f>
        <v>#NAME?</v>
      </c>
      <c r="B53" s="45" t="str">
        <f>'Capital IQ Sheet-GPC'!B53</f>
        <v>(Invalid Identifier)</v>
      </c>
      <c r="C53" s="45" t="e">
        <f ca="1">_xll.ciqfunctions.udf.CIQ($A53,"IQ_COMPANY_NAME")</f>
        <v>#NAME?</v>
      </c>
      <c r="D53" s="45" t="e">
        <f ca="1">_xll.ciqfunctions.udf.CIQ($A53, "IQ_EXCHANGE")</f>
        <v>#NAME?</v>
      </c>
      <c r="E53" s="46" t="e">
        <f ca="1">_xll.ciqfunctions.udf.CIQ($A53, "IQ_PERIODDATE_IS", IQ_FY)</f>
        <v>#NAME?</v>
      </c>
      <c r="F53" s="46" t="e">
        <f ca="1">_xll.ciqfunctions.udf.CIQ(A53, "IQ_PERIODDATE_IS", IQ_LTM, $B$1,$L$4,$L$3)</f>
        <v>#NAME?</v>
      </c>
      <c r="G53" s="46" t="e">
        <f ca="1">_xll.ciqfunctions.udf.CIQ($A53, "IQ_FIRSTPRICINGDATE")</f>
        <v>#NAME?</v>
      </c>
      <c r="H53" s="59" t="e">
        <f ca="1">_xll.ciqfunctions.udf.CIQ($A53, "IQ_TEV", $L$2, $L$5, $L$6)</f>
        <v>#NAME?</v>
      </c>
      <c r="I53" s="59" t="e">
        <f ca="1">_xll.ciqfunctions.udf.CIQ(A53, "IQ_LASTSALEPRICE", $B$1,$L$5)</f>
        <v>#NAME?</v>
      </c>
      <c r="J53" s="46" t="e">
        <f ca="1">_xll.ciqfunctions.udf.CIQ($B53, "IQ_FIRSTPRICINGDATE")</f>
        <v>#NAME?</v>
      </c>
      <c r="K53" s="59" t="e">
        <f ca="1">_xll.ciqfunctions.udf.CIQ($A53, "IQ_TOTAL_DEBT", IQ_LTM, $L$2,$L$4, $L$3, $L$5, $L$6)</f>
        <v>#NAME?</v>
      </c>
      <c r="L53" s="59" t="e">
        <f ca="1">_xll.ciqfunctions.udf.CIQ($A53, "IQ_PREF_EQUITY", IQ_LTM, $L$2, $L$4, $L$3, $L$5, $L$6)</f>
        <v>#NAME?</v>
      </c>
      <c r="M53" s="59" t="e">
        <f ca="1">_xll.ciqfunctions.udf.CIQ($A53, "IQ_MINORITY_INTEREST_TOTAL", IQ_LTM, $L$2, $L$4, $L$3, $L$5, $L$6)</f>
        <v>#NAME?</v>
      </c>
      <c r="N53" s="59" t="e">
        <f ca="1">_xll.ciqfunctions.udf.CIQ($A53, "IQ_CASH_ST_INVEST", IQ_LTM, $L$2, $L$4, $L$3, $L$5, $L$6)</f>
        <v>#NAME?</v>
      </c>
      <c r="O53" s="59" t="e">
        <f ca="1">_xll.ciqfunctions.udf.CIQ($A53, "IQ_TOTAL_REV", IQ_LTM-8, $L$2, $L$4, $L$3, $L$5, $L$6)</f>
        <v>#NAME?</v>
      </c>
      <c r="P53" s="59" t="e">
        <f ca="1">_xll.ciqfunctions.udf.CIQ($A53, "IQ_TOTAL_REV", IQ_LTM - 4, $L$2, $L$4, $L$3, $L$5,$L$6)</f>
        <v>#NAME?</v>
      </c>
      <c r="Q53" s="59" t="e">
        <f ca="1">_xll.ciqfunctions.udf.CIQ($A53, "IQ_TOTAL_REV", IQ_LTM, $L$2, $L$4, $L$3, $L$5, $L$6)</f>
        <v>#NAME?</v>
      </c>
      <c r="R53" s="59" t="e">
        <f ca="1">_xll.ciqfunctions.udf.CIQ($A53, "IQ_TOTAL_REV", $B$2, $L$2, $L$4, $L$3, $L$5, $L$6)</f>
        <v>#NAME?</v>
      </c>
      <c r="S53" s="59" t="e">
        <f ca="1">IF(_xll.ciqfunctions.udf.CIQ($A53, "IQ_TOTAL_REV", $B$3, $L$2,$L$4, $L$3, $L$5, $L$6)=0,Q53,_xll.ciqfunctions.udf.CIQ($A53, "IQ_TOTAL_REV", $B$3, $L$2,$L$4, $L$3, $L$5, $L$6))</f>
        <v>#NAME?</v>
      </c>
      <c r="T53" s="59" t="e">
        <f ca="1">IF(_xll.ciqfunctions.udf.CIQ($A53, "IQ_REVENUE_EST",$B$4, $L$2, "CON", $L$3, $L$5, $L$6)=0,"n/a",_xll.ciqfunctions.udf.CIQ($A53, "IQ_REVENUE_EST",$B$4, $L$2, "CON", $L$3, $L$5, $L$6))</f>
        <v>#NAME?</v>
      </c>
      <c r="U53" s="59" t="e">
        <f ca="1">IF(_xll.ciqfunctions.udf.CIQ($A53, "IQ_REVENUE_EST",$B$5, $L$2, "CON", $L$3, $L$5, $L$6)=0,"n/a",_xll.ciqfunctions.udf.CIQ($A53, "IQ_REVENUE_EST",$B$5, $L$2, "CON", $L$3, $L$5, $L$6))</f>
        <v>#NAME?</v>
      </c>
      <c r="V53" s="59" t="e">
        <f ca="1">IF(_xll.ciqfunctions.udf.CIQ($A53, "IQ_REVENUE_EST",$B$6, $L$2, "CON", $L$3, $L$5, $L$6)=0,"n/a",_xll.ciqfunctions.udf.CIQ($A53, "IQ_REVENUE_EST",$B$6, $L$2, "CON", $L$3, $L$5, $L$6))</f>
        <v>#NAME?</v>
      </c>
      <c r="W53" s="59" t="e">
        <f ca="1">IF(_xll.ciqfunctions.udf.CIQ($A53, "IQ_REVENUE_EST", $B$7, $L$2, "CON", $L$3, $L$5, $L$6)=0,"n/a",_xll.ciqfunctions.udf.CIQ($A53, "IQ_REVENUE_EST",$B$7, $L$2, "CON", $L$3, $L$5, $L$6))</f>
        <v>#NAME?</v>
      </c>
      <c r="X53" s="59" t="e">
        <f ca="1">_xll.ciqfunctions.udf.CIQ($A53, "IQ_EBITDA", IQ_LTM-8, $L$2, $L$4, $L$3, $L$5, $L$6)</f>
        <v>#NAME?</v>
      </c>
      <c r="Y53" s="59" t="e">
        <f ca="1">_xll.ciqfunctions.udf.CIQ($A53, "IQ_EBITDA", IQ_LTM-4, $L$2,$L$4, $L$3, $L$5, $L$6)</f>
        <v>#NAME?</v>
      </c>
      <c r="Z53" s="59" t="e">
        <f ca="1">_xll.ciqfunctions.udf.CIQ($A53, "IQ_EBITDA", IQ_LTM, $L$2, $L$4, $L$3, $L$5, $L$6)</f>
        <v>#NAME?</v>
      </c>
      <c r="AA53" s="59" t="e">
        <f ca="1">_xll.ciqfunctions.udf.CIQ($A53, "IQ_EBITDA", $B$2, $L$2, $L$4, $L$3, $L$5, $L$6)</f>
        <v>#NAME?</v>
      </c>
      <c r="AB53" s="59" t="e">
        <f ca="1">IF(_xll.ciqfunctions.udf.CIQ($A53, "IQ_EBITDA", $B$3, $L$2,$L$4, $L$3, $L$5, $L$6)=0,Z53,_xll.ciqfunctions.udf.CIQ($A53, "IQ_EBITDA", $B$3, $L$2,$L$4, $L$3, $L$5, $L$6))</f>
        <v>#NAME?</v>
      </c>
      <c r="AC53" s="59" t="e">
        <f ca="1">IF(_xll.ciqfunctions.udf.CIQ($A53, "IQ_EBITDA_EST",$B$4, $L$2, "CON", $L$3, $L$5, $L$6)=0,"n/a",_xll.ciqfunctions.udf.CIQ($A53, "IQ_EBITDA_EST",$B$4, $L$2, "CON", $L$3, $L$5, $L$6))</f>
        <v>#NAME?</v>
      </c>
      <c r="AD53" s="45" t="e">
        <f ca="1">IF(_xll.ciqfunctions.udf.CIQ($A53, "IQ_EBITDA_EST",$B$5, $L$2, "CON", $L$3, $L$5, $L$6)=0,"n/a",_xll.ciqfunctions.udf.CIQ($A53, "IQ_EBITDA_EST",$B$5, $L$2, "CON", $L$3, $L$5, $L$6))</f>
        <v>#NAME?</v>
      </c>
      <c r="AE53" s="59" t="e">
        <f ca="1">IF(_xll.ciqfunctions.udf.CIQ($A53, "IQ_EBITDA_EST",$B$6, $L$2, "CON", $L$3, $L$5, $L$6)=0,"n/a",_xll.ciqfunctions.udf.CIQ($A53, "IQ_EBITDA_EST",$B$6, $L$2, "CON", $L$3, $L$5, $L$6))</f>
        <v>#NAME?</v>
      </c>
      <c r="AF53" s="47" t="str">
        <f ca="1">IF(ISERROR(_xll.ciqfunctions.udf.CIQ($A53, "IQ_GROSS_MARGIN", IQ_LTM, $L$2,$L$4, $L$3, $L$5, $L$6)/100), "n/a", _xll.ciqfunctions.udf.CIQ($A53,  "IQ_GROSS_MARGIN", IQ_LTM, $L$2, $L$4, $L$3, $L$5, $L$6)/100)</f>
        <v>n/a</v>
      </c>
      <c r="AG53" s="47" t="str">
        <f ca="1">IF(ISERROR(_xll.ciqfunctions.udf.CIQ($A53,"IQ_EBITDA_MARGIN", IQ_LTM, $L$2, $L$4, $L$3, $L$5, $L$6)/100), "n/a", _xll.ciqfunctions.udf.CIQ($A53, "IQ_EBITDA_MARGIN", IQ_LTM, $L$2, $L$4, $L$3, $L$5, $L$6)/100)</f>
        <v>n/a</v>
      </c>
      <c r="AH53" s="47" t="str">
        <f ca="1">IF(ISERROR(_xll.ciqfunctions.udf.CIQ($A53,"IQ_EBIT_MARGIN", IQ_LTM, $L$2, $L$4, $L$3, $L$5, $L$6)/100), "n/a", _xll.ciqfunctions.udf.CIQ($A53, "IQ_EBIT_MARGIN", IQ_LTM, $L$2, $L$4, $L$3, $L$5, $L$6)/100)</f>
        <v>n/a</v>
      </c>
      <c r="AI53" s="47" t="str">
        <f ca="1">IF(ISERROR(_xll.ciqfunctions.udf.CIQ($A53,"IQ_NI_MARGIN", IQ_LTM, $L$2, $L$4, $L$3, $L$5, $L$6)/100), "n/a", _xll.ciqfunctions.udf.CIQ($A53, "IQ_NI_MARGIN", IQ_LTM, $L$2, $L$4, $L$3, $L$5, $L$6)/100)</f>
        <v>n/a</v>
      </c>
      <c r="AJ53" s="59" t="str">
        <f ca="1">IF(ISERROR(_xll.ciqfunctions.udf.CIQ($A53, "IQ_NET_WORKING_CAP", IQ_LTM-8, $L$2, $L$4, $L$3, $L$5, $L$6)), "n/a", _xll.ciqfunctions.udf.CIQ($A53, "IQ_NET_WORKING_CAP", IQ_LTM-8, $L$2, $L$4, $L$3, $L$5, $L$6))</f>
        <v>n/a</v>
      </c>
      <c r="AK53" s="59" t="str">
        <f ca="1">IF(ISERROR(_xll.ciqfunctions.udf.CIQ($A53, "IQ_NET_WORKING_CAP", IQ_LTM-4, $L$2, $L$4, $L$3, $L$5, $L$6)), "n/a", _xll.ciqfunctions.udf.CIQ($A53, "IQ_NET_WORKING_CAP", IQ_LTM-4, $L$2, $L$4, $L$3, $L$5, $L$6))</f>
        <v>n/a</v>
      </c>
      <c r="AL53" s="59" t="str">
        <f ca="1">IF(ISERROR(_xll.ciqfunctions.udf.CIQ($A53, "IQ_NET_WORKING_CAP", IQ_LTM, $L$2,$L$4, $L$3, $L$5, $L$6)), "n/a", _xll.ciqfunctions.udf.CIQ($A53, "IQ_NET_WORKING_CAP", IQ_LTM, $L$2, $L$4, $L$3, $L$5, $L$6))</f>
        <v>n/a</v>
      </c>
      <c r="AM53" s="59" t="str">
        <f ca="1">IF(ISERROR(_xll.ciqfunctions.udf.CIQ($A53, "IQ_Capex", IQ_LTM-8, $L$2,$L$4, $L$3, $L$5, $L$6)), "n/a", _xll.ciqfunctions.udf.CIQ($A53, "IQ_Capex", IQ_LTM-8, $L$2, $L$4, $L$3, $L$5, $L$6))</f>
        <v>n/a</v>
      </c>
      <c r="AN53" s="59" t="str">
        <f ca="1">IF(ISERROR(_xll.ciqfunctions.udf.CIQ($A53, "IQ_Capex", IQ_LTM-4, $L$2,$L$4, $L$3, $L$5, $L$6)), "n/a", _xll.ciqfunctions.udf.CIQ($A53, "IQ_Capex", IQ_LTM-4, $L$2,$L$4, $L$3, $L$5, $L$6))</f>
        <v>n/a</v>
      </c>
      <c r="AO53" s="59" t="str">
        <f ca="1">IF(ISERROR(_xll.ciqfunctions.udf.CIQ($A53, "IQ_Capex", IQ_LTM, $L$2, $L$4, $L$3, $L$5, $L$6)), "n/a", _xll.ciqfunctions.udf.CIQ($A53, "IQ_Capex", IQ_LTM, $L$2, $L$4, $L$3, $L$5, $L$6))</f>
        <v>n/a</v>
      </c>
      <c r="AP53" s="44" t="e">
        <f ca="1">_xll.ciqfunctions.udf.CIQ(A53, "IQ_BUSINESS_DESCRIPTION")</f>
        <v>#NAME?</v>
      </c>
      <c r="AQ53" s="60" t="e">
        <f ca="1">_xll.ciqfunctions.udf.CIQ($A53, "IQ_BETA_1YR", $B$1)</f>
        <v>#NAME?</v>
      </c>
      <c r="AR53" s="60" t="e">
        <f ca="1">_xll.ciqfunctions.udf.CIQ($A53, "IQ_BETA_2YR", $B$1)</f>
        <v>#NAME?</v>
      </c>
      <c r="AS53" s="60" t="e">
        <f ca="1">_xll.ciqfunctions.udf.CIQ($A53, "IQ_BETA_5YR", $B$1)</f>
        <v>#NAME?</v>
      </c>
      <c r="AT53" s="45" t="e">
        <f ca="1">_xll.ciqfunctions.udf.CIQ($B53, "IQ_GP", IQ_LTM,$B$1, ,,"USD")</f>
        <v>#NAME?</v>
      </c>
      <c r="AU53" s="59" t="e">
        <f ca="1">_xll.ciqfunctions.udf.CIQ($A53, "IQ_EARNING_CO", IQ_LTM-8, $L$2, $L$4, $L$3, $L$5, $L$6)</f>
        <v>#NAME?</v>
      </c>
      <c r="AV53" s="59" t="e">
        <f ca="1">_xll.ciqfunctions.udf.CIQ($A53, "IQ_EARNING_CO", IQ_LTM-4, $L$2, $L$4, $L$3, $L$5, $L$6)</f>
        <v>#NAME?</v>
      </c>
      <c r="AW53" s="59" t="e">
        <f ca="1">_xll.ciqfunctions.udf.CIQ($A53, "IQ_EARNING_CO", IQ_LTM, $L$2, $L$4, $L$3, $L$5, $L$6)</f>
        <v>#NAME?</v>
      </c>
      <c r="AX53" s="59" t="e">
        <f ca="1">_xll.ciqfunctions.udf.CIQ($A53, "IQ_EARNING_CO", $B$2, $L$2, $L$4, $L$3, $L$5, $L$6)</f>
        <v>#NAME?</v>
      </c>
      <c r="AY53" s="59" t="e">
        <f ca="1">IF(_xll.ciqfunctions.udf.CIQ($A53, "IQ_EARNING_CO", $B$3, $L$2,$L$4, $L$3, $L$5, $L$6)=0,AW53,_xll.ciqfunctions.udf.CIQ($A53, "IQ_EARNING_CO", $B$3, $L$2,$L$4, $L$3, $L$5, $L$6))</f>
        <v>#NAME?</v>
      </c>
      <c r="AZ53" s="59" t="e">
        <f ca="1">_xll.ciqfunctions.udf.CIQ($A53, "IQ_TOTAL_EQUITY", IQ_LTM-8, $L$2, $L$4, $L$3, $L$5, $L$6)</f>
        <v>#NAME?</v>
      </c>
      <c r="BA53" s="59" t="e">
        <f ca="1">_xll.ciqfunctions.udf.CIQ($A53, "IQ_TOTAL_EQUITY", IQ_LTM-4, $L$2, $L$4, $L$3, $L$5, $L$6)</f>
        <v>#NAME?</v>
      </c>
      <c r="BB53" s="59" t="e">
        <f ca="1">_xll.ciqfunctions.udf.CIQ($A53, "IQ_TOTAL_EQUITY", IQ_LTM, $L$2, $L$4, $L$3, $L$5, $L$6)</f>
        <v>#NAME?</v>
      </c>
      <c r="BC53" s="59" t="e">
        <f ca="1">_xll.ciqfunctions.udf.CIQ($A53, "IQ_TOTAL_EQUITY", $B$2, $L$2, $L$4, $L$3, $L$5, $L$6)</f>
        <v>#NAME?</v>
      </c>
      <c r="BD53" s="59" t="e">
        <f ca="1">IF(_xll.ciqfunctions.udf.CIQ($A53, "IQ_TOTAL_EQUITY", $B$3, $L$2,$L$4, $L$3, $L$5, $L$6)=0,BB53,_xll.ciqfunctions.udf.CIQ($A53, "IQ_TOTAL_EQUITY", $B$3, $L$2,$L$4, $L$3, $L$5, $L$6))</f>
        <v>#NAME?</v>
      </c>
      <c r="BE53" s="59" t="e">
        <f ca="1">_xll.ciqfunctions.udf.CIQ(A53, "IQ_LASTSALEPRICE", $B$8)</f>
        <v>#NAME?</v>
      </c>
      <c r="BF53" s="59" t="e">
        <f ca="1">_xll.ciqfunctions.udf.CIQ($A53, "IQ_MARKETCAP", $B$8, $L$5, $L$6)</f>
        <v>#NAME?</v>
      </c>
      <c r="BG53" s="59" t="e">
        <f ca="1">_xll.ciqfunctions.udf.CIQ($A53, "IQ_TOTAL_DEBT", IQ_LTM, $B$8,$L$4, $L$3, $L$5, $L$6)</f>
        <v>#NAME?</v>
      </c>
      <c r="BH53" s="45" t="e">
        <f ca="1">_xll.ciqfunctions.udf.CIQ($A53,"IQ_PREF_EQUITY",IQ_LTM,$B$8,$L$4,$L$3,$L$5,$L$6)</f>
        <v>#NAME?</v>
      </c>
      <c r="BI53" s="45" t="e">
        <f ca="1">_xll.ciqfunctions.udf.CIQ($A53, "IQ_MINORITY_INTEREST_TOTAL", IQ_LTM,$B$8,$L$4,$L$3,$L$5,$L$6)</f>
        <v>#NAME?</v>
      </c>
      <c r="BJ53" s="59" t="e">
        <f ca="1">_xll.ciqfunctions.udf.CIQ($A53, "IQ_CASH_ST_INVEST", IQ_LTM, $B$8, $L$4, $L$3, $L$5, $L$6)</f>
        <v>#NAME?</v>
      </c>
      <c r="BK53" s="45" t="e">
        <f ca="1">_xll.ciqfunctions.udf.CIQ($A53, "IQ_EFFECT_TAX_RATE")</f>
        <v>#NAME?</v>
      </c>
      <c r="BL53" s="45" t="e">
        <f ca="1">IF(_xll.ciqfunctions.udf.CIQ($A53, "IQ_TOTAL_REV_2YR_ANN_CAGR", IQ_LTM, $B$1,$L$4, $L$3, $L$5, $L$6)="NM","n/a",(_xll.ciqfunctions.udf.CIQ($A53, "IQ_TOTAL_REV_2YR_ANN_CAGR", IQ_LTM, $B$1,$L$4, $L$3, $L$5, $L$6)/100))</f>
        <v>#NAME?</v>
      </c>
      <c r="BM53" s="45" t="e">
        <f ca="1">IF(_xll.ciqfunctions.udf.CIQ($A53, "IQ_TOTAL_REV_3YR_ANN_CAGR", IQ_LTM, $B$1,$L$4, $L$3, $L$5, $L$6)="NM","n/a",(_xll.ciqfunctions.udf.CIQ($A53, "IQ_TOTAL_REV_3YR_ANN_CAGR", IQ_LTM, $B$1,$L$4, $L$3, $L$5, $L$6)/100))</f>
        <v>#NAME?</v>
      </c>
      <c r="BN53" s="45" t="e">
        <f ca="1">IF(_xll.ciqfunctions.udf.CIQ($A53, "IQ_TOTAL_REV_5YR_ANN_CAGR", IQ_LTM, $B$1,$L$4, $L$3, $L$5, $L$6)="NM","n/a",(_xll.ciqfunctions.udf.CIQ($A53, "IQ_TOTAL_REV_5YR_ANN_CAGR", IQ_LTM, $B$1,$L$4, $L$3, $L$5, $L$6)/100))</f>
        <v>#NAME?</v>
      </c>
      <c r="BO53" s="45" t="e">
        <f ca="1">IF(_xll.ciqfunctions.udf.CIQ($A53,"IQ_EBITDA_2YR_ANN_CAGR", IQ_LTM,$B$1,$L$4, $L$3, $L$5, $L$6)="NM","n/a",(_xll.ciqfunctions.udf.CIQ($A53,"IQ_EBITDA_2YR_ANN_CAGR", IQ_LTM,$B$1,$L$4, $L$3, $L$5, $L$6)/100))</f>
        <v>#NAME?</v>
      </c>
      <c r="BP53" s="45" t="e">
        <f ca="1">IF(_xll.ciqfunctions.udf.CIQ($A53,"IQ_EBITDA_3YR_ANN_CAGR", IQ_LTM,$B$1,$L$4, $L$3, $L$5, $L$6)="NM","n/a",(_xll.ciqfunctions.udf.CIQ($A53,"IQ_EBITDA_3YR_ANN_CAGR", IQ_LTM,$B$1,$L$4, $L$3, $L$5, $L$6)/100))</f>
        <v>#NAME?</v>
      </c>
      <c r="BQ53" s="45" t="e">
        <f ca="1">IF(_xll.ciqfunctions.udf.CIQ($A53,"IQ_EBITDA_5YR_ANN_CAGR", IQ_LTM,$B$1,$L$4, $L$3, $L$5, $L$6)="NM","n/a",(_xll.ciqfunctions.udf.CIQ($A53,"IQ_EBITDA_5YR_ANN_CAGR", IQ_LTM,$B$1,$L$4, $L$3, $L$5, $L$6)/100))</f>
        <v>#NAME?</v>
      </c>
      <c r="BR53" s="47" t="str">
        <f ca="1">IFERROR((_xll.ciqfunctions.udf.CIQ($A53, "IQ_DA_CF", IQ_LTM, $B$1, $L$4, $L$3, $L$5, $L$6)/Q53),"NM")</f>
        <v>NM</v>
      </c>
      <c r="BS53" s="47" t="e">
        <f>'Capital IQ Sheet-GPC'!BS53</f>
        <v>#VALUE!</v>
      </c>
      <c r="BT53" s="47" t="e">
        <f>'Capital IQ Sheet-GPC'!BT53</f>
        <v>#VALUE!</v>
      </c>
      <c r="BU53" s="47" t="e">
        <f>'Capital IQ Sheet-GPC'!BU53</f>
        <v>#VALUE!</v>
      </c>
      <c r="BV53" s="47" t="e">
        <f>'Capital IQ Sheet-GPC'!BV53</f>
        <v>#VALUE!</v>
      </c>
      <c r="BW53" s="47" t="e">
        <f>'Capital IQ Sheet-GPC'!BW53</f>
        <v>#VALUE!</v>
      </c>
      <c r="BX53" s="47" t="e">
        <f>'Capital IQ Sheet-GPC'!BX53</f>
        <v>#VALUE!</v>
      </c>
      <c r="BY53" s="47" t="e">
        <f>'Capital IQ Sheet-GPC'!BY53</f>
        <v>#VALUE!</v>
      </c>
      <c r="BZ53" s="47" t="e">
        <f>'Capital IQ Sheet-GPC'!BZ53</f>
        <v>#VALUE!</v>
      </c>
    </row>
    <row r="54" spans="1:83">
      <c r="J54" s="46"/>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E54" s="44"/>
    </row>
    <row r="55" spans="1:83">
      <c r="J55" s="46"/>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E55" s="44"/>
    </row>
    <row r="56" spans="1:83" ht="12.75">
      <c r="B56" s="86" t="s">
        <v>128</v>
      </c>
      <c r="C56" s="87" t="s">
        <v>772</v>
      </c>
      <c r="D56" s="88" t="s">
        <v>773</v>
      </c>
      <c r="E56" s="89" t="s">
        <v>127</v>
      </c>
      <c r="F56" s="90"/>
      <c r="G56" s="90"/>
      <c r="H56" s="90"/>
      <c r="I56" s="90"/>
      <c r="J56" s="83"/>
      <c r="K56" s="8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E56" s="44"/>
    </row>
    <row r="57" spans="1:83" ht="12.75">
      <c r="B57" s="62" t="s">
        <v>131</v>
      </c>
      <c r="C57" s="91">
        <f>1/12</f>
        <v>8.3333333333333329E-2</v>
      </c>
      <c r="D57" s="92" t="e">
        <f ca="1">_xll.ciqfunctions.udf.CIQSP(B57, "IQ_LASTSALEPRICE",$B$1)/100</f>
        <v>#NAME?</v>
      </c>
      <c r="E57" s="93" t="e">
        <f ca="1">IF((_xll.ciqfunctions.udf.CIQ(B57, "IQ_COMPANY_NAME"))="(Invalid Identifier)","",(_xll.ciqfunctions.udf.CIQ(B57, "IQ_COMPANY_NAME")))</f>
        <v>#NAME?</v>
      </c>
      <c r="F57" s="94"/>
      <c r="G57" s="94"/>
      <c r="H57" s="94"/>
      <c r="I57" s="94"/>
      <c r="J57" s="65"/>
      <c r="K57" s="66"/>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E57" s="44"/>
    </row>
    <row r="58" spans="1:83" ht="12.75">
      <c r="B58" s="95" t="s">
        <v>132</v>
      </c>
      <c r="C58" s="96">
        <f>3/12</f>
        <v>0.25</v>
      </c>
      <c r="D58" s="50" t="e">
        <f ca="1">_xll.ciqfunctions.udf.CIQSP(B58, "IQ_LASTSALEPRICE",$B$1)/100</f>
        <v>#NAME?</v>
      </c>
      <c r="E58" s="93" t="e">
        <f ca="1">IF((_xll.ciqfunctions.udf.CIQ(B58, "IQ_COMPANY_NAME"))="(Invalid Identifier)","",(_xll.ciqfunctions.udf.CIQ(B58, "IQ_COMPANY_NAME")))</f>
        <v>#NAME?</v>
      </c>
      <c r="F58" s="94"/>
      <c r="G58" s="94"/>
      <c r="H58" s="94"/>
      <c r="I58" s="94"/>
      <c r="J58" s="65"/>
      <c r="K58" s="66"/>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E58" s="44"/>
    </row>
    <row r="59" spans="1:83" ht="12.75">
      <c r="B59" s="95" t="s">
        <v>133</v>
      </c>
      <c r="C59" s="96">
        <f>6/12</f>
        <v>0.5</v>
      </c>
      <c r="D59" s="50" t="e">
        <f ca="1">_xll.ciqfunctions.udf.CIQSP(B59, "IQ_LASTSALEPRICE",$B$1)/100</f>
        <v>#NAME?</v>
      </c>
      <c r="E59" s="93" t="e">
        <f ca="1">IF((_xll.ciqfunctions.udf.CIQ(B59, "IQ_COMPANY_NAME"))="(Invalid Identifier)","",(_xll.ciqfunctions.udf.CIQ(B59, "IQ_COMPANY_NAME")))</f>
        <v>#NAME?</v>
      </c>
      <c r="F59" s="94"/>
      <c r="G59" s="94"/>
      <c r="H59" s="94"/>
      <c r="I59" s="94"/>
      <c r="J59" s="65"/>
      <c r="K59" s="66"/>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E59" s="44"/>
    </row>
    <row r="60" spans="1:83" ht="12.75">
      <c r="B60" s="95" t="s">
        <v>134</v>
      </c>
      <c r="C60" s="96">
        <v>1</v>
      </c>
      <c r="D60" s="50" t="e">
        <f ca="1">_xll.ciqfunctions.udf.CIQSP(B60, "IQ_LASTSALEPRICE",$B$1)/100</f>
        <v>#NAME?</v>
      </c>
      <c r="E60" s="93" t="e">
        <f ca="1">IF((_xll.ciqfunctions.udf.CIQ(B60, "IQ_COMPANY_NAME"))="(Invalid Identifier)","",(_xll.ciqfunctions.udf.CIQ(B60, "IQ_COMPANY_NAME")))</f>
        <v>#NAME?</v>
      </c>
      <c r="F60" s="94"/>
      <c r="G60" s="94"/>
      <c r="H60" s="94"/>
      <c r="I60" s="94"/>
      <c r="J60" s="65"/>
      <c r="K60" s="66"/>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E60" s="44"/>
    </row>
    <row r="61" spans="1:83" ht="12.75">
      <c r="B61" s="95" t="s">
        <v>135</v>
      </c>
      <c r="C61" s="96">
        <v>2</v>
      </c>
      <c r="D61" s="50" t="e">
        <f ca="1">_xll.ciqfunctions.udf.CIQSP(B61, "IQ_LASTSALEPRICE",$B$1)/100</f>
        <v>#NAME?</v>
      </c>
      <c r="E61" s="93" t="e">
        <f ca="1">IF((_xll.ciqfunctions.udf.CIQ(B61, "IQ_COMPANY_NAME"))="(Invalid Identifier)","",(_xll.ciqfunctions.udf.CIQ(B61, "IQ_COMPANY_NAME")))</f>
        <v>#NAME?</v>
      </c>
      <c r="F61" s="94"/>
      <c r="G61" s="94"/>
      <c r="H61" s="94"/>
      <c r="I61" s="94"/>
      <c r="J61" s="65"/>
      <c r="K61" s="66"/>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E61" s="44"/>
    </row>
    <row r="62" spans="1:83" ht="12.75">
      <c r="B62" s="95" t="s">
        <v>136</v>
      </c>
      <c r="C62" s="96">
        <v>3</v>
      </c>
      <c r="D62" s="50" t="e">
        <f ca="1">_xll.ciqfunctions.udf.CIQSP(B62, "IQ_LASTSALEPRICE",$B$1)/100</f>
        <v>#NAME?</v>
      </c>
      <c r="E62" s="93" t="e">
        <f ca="1">IF((_xll.ciqfunctions.udf.CIQ(B62, "IQ_COMPANY_NAME"))="(Invalid Identifier)","",(_xll.ciqfunctions.udf.CIQ(B62, "IQ_COMPANY_NAME")))</f>
        <v>#NAME?</v>
      </c>
      <c r="F62" s="94"/>
      <c r="G62" s="94"/>
      <c r="H62" s="94"/>
      <c r="I62" s="94"/>
      <c r="J62" s="65"/>
      <c r="K62" s="66"/>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E62" s="44"/>
    </row>
    <row r="63" spans="1:83" ht="12.75">
      <c r="B63" s="95" t="s">
        <v>137</v>
      </c>
      <c r="C63" s="96">
        <v>5</v>
      </c>
      <c r="D63" s="50" t="e">
        <f ca="1">_xll.ciqfunctions.udf.CIQSP(B63, "IQ_LASTSALEPRICE",$B$1)/100</f>
        <v>#NAME?</v>
      </c>
      <c r="E63" s="93" t="e">
        <f ca="1">IF((_xll.ciqfunctions.udf.CIQ(B63, "IQ_COMPANY_NAME"))="(Invalid Identifier)","",(_xll.ciqfunctions.udf.CIQ(B63, "IQ_COMPANY_NAME")))</f>
        <v>#NAME?</v>
      </c>
      <c r="F63" s="94"/>
      <c r="G63" s="94"/>
      <c r="H63" s="94"/>
      <c r="I63" s="94"/>
      <c r="J63" s="65"/>
      <c r="K63" s="66"/>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E63" s="44"/>
    </row>
    <row r="64" spans="1:83" ht="12.75">
      <c r="B64" s="95" t="s">
        <v>138</v>
      </c>
      <c r="C64" s="96">
        <v>7</v>
      </c>
      <c r="D64" s="50" t="e">
        <f ca="1">_xll.ciqfunctions.udf.CIQSP(B64, "IQ_LASTSALEPRICE",$B$1)/100</f>
        <v>#NAME?</v>
      </c>
      <c r="E64" s="93" t="e">
        <f ca="1">IF((_xll.ciqfunctions.udf.CIQ(B64, "IQ_COMPANY_NAME"))="(Invalid Identifier)","",(_xll.ciqfunctions.udf.CIQ(B64, "IQ_COMPANY_NAME")))</f>
        <v>#NAME?</v>
      </c>
      <c r="F64" s="94"/>
      <c r="G64" s="94"/>
      <c r="H64" s="94"/>
      <c r="I64" s="94"/>
      <c r="J64" s="65"/>
      <c r="K64" s="66"/>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E64" s="44"/>
    </row>
    <row r="65" spans="2:83" ht="12.75">
      <c r="B65" s="95" t="s">
        <v>139</v>
      </c>
      <c r="C65" s="96">
        <v>10</v>
      </c>
      <c r="D65" s="50" t="e">
        <f ca="1">_xll.ciqfunctions.udf.CIQSP(B65, "IQ_LASTSALEPRICE",$B$1)/100</f>
        <v>#NAME?</v>
      </c>
      <c r="E65" s="93" t="e">
        <f ca="1">IF((_xll.ciqfunctions.udf.CIQ(B65, "IQ_COMPANY_NAME"))="(Invalid Identifier)","",(_xll.ciqfunctions.udf.CIQ(B65, "IQ_COMPANY_NAME")))</f>
        <v>#NAME?</v>
      </c>
      <c r="F65" s="94"/>
      <c r="G65" s="94"/>
      <c r="H65" s="94"/>
      <c r="I65" s="94"/>
      <c r="J65" s="65"/>
      <c r="K65" s="66"/>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E65" s="44"/>
    </row>
    <row r="66" spans="2:83" ht="12.75">
      <c r="B66" s="95" t="s">
        <v>140</v>
      </c>
      <c r="C66" s="96">
        <v>20</v>
      </c>
      <c r="D66" s="50" t="e">
        <f ca="1">_xll.ciqfunctions.udf.CIQSP(B66, "IQ_LASTSALEPRICE",$B$1)/100</f>
        <v>#NAME?</v>
      </c>
      <c r="E66" s="93" t="e">
        <f ca="1">IF((_xll.ciqfunctions.udf.CIQ(B66, "IQ_COMPANY_NAME"))="(Invalid Identifier)","",(_xll.ciqfunctions.udf.CIQ(B66, "IQ_COMPANY_NAME")))</f>
        <v>#NAME?</v>
      </c>
      <c r="F66" s="94"/>
      <c r="G66" s="94"/>
      <c r="H66" s="94"/>
      <c r="I66" s="94"/>
      <c r="J66" s="65"/>
      <c r="K66" s="66"/>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E66" s="44"/>
    </row>
    <row r="67" spans="2:83" ht="12.75">
      <c r="B67" s="97" t="s">
        <v>141</v>
      </c>
      <c r="C67" s="98">
        <v>30</v>
      </c>
      <c r="D67" s="49" t="e">
        <f ca="1">_xll.ciqfunctions.udf.CIQSP(B67, "IQ_LASTSALEPRICE",$B$1)/100</f>
        <v>#NAME?</v>
      </c>
      <c r="E67" s="99" t="e">
        <f ca="1">IF((_xll.ciqfunctions.udf.CIQ(B67, "IQ_COMPANY_NAME"))="(Invalid Identifier)","",(_xll.ciqfunctions.udf.CIQ(B67, "IQ_COMPANY_NAME")))</f>
        <v>#NAME?</v>
      </c>
      <c r="F67" s="100"/>
      <c r="G67" s="100"/>
      <c r="H67" s="100"/>
      <c r="I67" s="100"/>
      <c r="J67" s="73"/>
      <c r="K67" s="7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E67" s="44"/>
    </row>
    <row r="70" spans="2:83">
      <c r="B70" s="75" t="s">
        <v>774</v>
      </c>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E70" s="44"/>
    </row>
    <row r="71" spans="2:83" ht="12.75">
      <c r="B71" s="101" t="s">
        <v>775</v>
      </c>
      <c r="C71" s="76" t="e">
        <f ca="1">_xll.ciqfunctions.udf.CIQSP(B71, "IQ_LASTSALEPRICE",$B$1)/100</f>
        <v>#NAME?</v>
      </c>
      <c r="D71" s="102" t="s">
        <v>869</v>
      </c>
      <c r="E71" s="103"/>
      <c r="F71" s="103"/>
      <c r="G71" s="103"/>
      <c r="H71" s="103"/>
      <c r="I71" s="103"/>
      <c r="J71" s="10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E71" s="44"/>
    </row>
    <row r="73" spans="2:83">
      <c r="B73" s="75" t="s">
        <v>776</v>
      </c>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E73" s="44"/>
    </row>
    <row r="74" spans="2:83" ht="12.75">
      <c r="B74" s="101" t="s">
        <v>777</v>
      </c>
      <c r="C74" s="76" t="str">
        <f ca="1">IF(ISERROR(_xll.ciqfunctions.udf.CIQ("%USPMRT","IQ_LASTSALEPRICE",B1)/100),"NM",_xll.ciqfunctions.udf.CIQ("%USPMRT","IQ_LASTSALEPRICE",B1)/100)</f>
        <v>NM</v>
      </c>
      <c r="D74" s="102"/>
      <c r="E74" s="103"/>
      <c r="F74" s="103"/>
      <c r="G74" s="103"/>
      <c r="H74" s="103"/>
      <c r="I74" s="103"/>
      <c r="J74" s="10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E74" s="44"/>
    </row>
  </sheetData>
  <dataValidations count="1">
    <dataValidation type="list" allowBlank="1" showInputMessage="1" showErrorMessage="1" sqref="CC13:CD42" xr:uid="{00000000-0002-0000-3900-000000000000}">
      <formula1>#REF!</formula1>
    </dataValidation>
  </dataValidations>
  <pageMargins left="0.7" right="0.7" top="0.75" bottom="0.75" header="0.3" footer="0.3"/>
  <pageSetup scale="81" orientation="portrait" r:id="rId1"/>
  <colBreaks count="2" manualBreakCount="2">
    <brk id="58" max="73" man="1"/>
    <brk id="67" max="73" man="1"/>
  </colBreaks>
  <legacy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5"/>
  <dimension ref="B1:AJ57"/>
  <sheetViews>
    <sheetView showGridLines="0" view="pageBreakPreview" zoomScale="90" zoomScaleNormal="100" zoomScaleSheetLayoutView="90" workbookViewId="0">
      <selection activeCell="C15" sqref="C15"/>
    </sheetView>
  </sheetViews>
  <sheetFormatPr defaultRowHeight="12.75" outlineLevelCol="1"/>
  <cols>
    <col min="1" max="1" width="2.83203125" style="80" customWidth="1"/>
    <col min="2" max="2" width="11.83203125" style="80" customWidth="1"/>
    <col min="3" max="3" width="28.83203125" style="80" customWidth="1"/>
    <col min="4" max="4" width="26.33203125" style="80" customWidth="1"/>
    <col min="5" max="5" width="26.33203125" style="80" hidden="1" customWidth="1" outlineLevel="1"/>
    <col min="6" max="6" width="10.1640625" style="80" bestFit="1" customWidth="1" collapsed="1"/>
    <col min="7" max="7" width="10" style="80" hidden="1" customWidth="1" outlineLevel="1"/>
    <col min="8" max="8" width="2.83203125" style="80" customWidth="1" collapsed="1"/>
    <col min="9" max="11" width="16.33203125" style="80" customWidth="1"/>
    <col min="12" max="12" width="15.6640625" style="80" customWidth="1"/>
    <col min="13" max="13" width="2.83203125" style="80" customWidth="1"/>
    <col min="14" max="16" width="19.1640625" style="80" customWidth="1"/>
    <col min="17" max="17" width="2.83203125" style="80" customWidth="1"/>
    <col min="18" max="20" width="11.33203125" style="80" customWidth="1"/>
    <col min="21" max="22" width="11.33203125" style="80" hidden="1" customWidth="1" outlineLevel="1"/>
    <col min="23" max="23" width="2.83203125" style="80" customWidth="1" collapsed="1"/>
    <col min="24" max="26" width="11.33203125" style="80" hidden="1" customWidth="1" outlineLevel="1"/>
    <col min="27" max="27" width="2.83203125" style="80" hidden="1" customWidth="1" outlineLevel="1"/>
    <col min="28" max="30" width="11.33203125" style="80" hidden="1" customWidth="1" outlineLevel="1"/>
    <col min="31" max="31" width="2.83203125" style="80" hidden="1" customWidth="1" outlineLevel="1"/>
    <col min="32" max="32" width="12.1640625" style="80" customWidth="1" collapsed="1"/>
    <col min="33" max="33" width="11.6640625" style="80" customWidth="1"/>
    <col min="34" max="34" width="2.83203125" style="80" customWidth="1"/>
    <col min="35" max="35" width="24.6640625" style="80" customWidth="1"/>
    <col min="36" max="36" width="51.1640625" style="80" customWidth="1"/>
    <col min="37" max="16384" width="9.33203125" style="80"/>
  </cols>
  <sheetData>
    <row r="1" spans="2:36" s="8" customFormat="1" ht="10.7" customHeight="1" thickBot="1"/>
    <row r="2" spans="2:36" s="8" customFormat="1" ht="16.5" customHeight="1" thickTop="1">
      <c r="B2" s="4" t="s">
        <v>675</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I2" s="77" t="s">
        <v>87</v>
      </c>
      <c r="AJ2" s="105">
        <f>+'Capital IQ Sheet-STM'!AL2</f>
        <v>43245</v>
      </c>
    </row>
    <row r="3" spans="2:36" s="8" customFormat="1" ht="15.75" customHeight="1">
      <c r="B3" s="5" t="s">
        <v>813</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I3" s="38" t="s">
        <v>462</v>
      </c>
      <c r="AJ3" s="36" t="s">
        <v>464</v>
      </c>
    </row>
    <row r="4" spans="2:36" s="8" customFormat="1" ht="16.5" customHeight="1" thickBot="1">
      <c r="B4" s="6" t="s">
        <v>743</v>
      </c>
      <c r="C4" s="6"/>
      <c r="D4" s="6"/>
      <c r="E4" s="6"/>
      <c r="F4" s="6"/>
      <c r="G4" s="6"/>
      <c r="H4" s="6"/>
      <c r="I4" s="6"/>
      <c r="J4" s="6"/>
      <c r="K4" s="6"/>
      <c r="L4" s="6"/>
      <c r="M4" s="6"/>
      <c r="N4" s="7"/>
      <c r="O4" s="7"/>
      <c r="P4" s="7"/>
      <c r="Q4" s="7" t="s">
        <v>88</v>
      </c>
      <c r="R4" s="7"/>
      <c r="S4" s="7"/>
      <c r="T4" s="7"/>
      <c r="U4" s="7"/>
      <c r="V4" s="7"/>
      <c r="W4" s="7"/>
      <c r="X4" s="7"/>
      <c r="Y4" s="7"/>
      <c r="Z4" s="7"/>
      <c r="AA4" s="7"/>
      <c r="AB4" s="7"/>
      <c r="AC4" s="7"/>
      <c r="AD4" s="7"/>
      <c r="AE4" s="7"/>
      <c r="AF4" s="7"/>
      <c r="AG4" s="7"/>
      <c r="AI4" s="38" t="s">
        <v>463</v>
      </c>
      <c r="AJ4" s="36" t="s">
        <v>465</v>
      </c>
    </row>
    <row r="5" spans="2:36" s="8" customFormat="1" ht="12.75" customHeight="1" thickTop="1">
      <c r="AI5" s="14" t="s">
        <v>89</v>
      </c>
      <c r="AJ5" s="106" t="s">
        <v>90</v>
      </c>
    </row>
    <row r="6" spans="2:36" s="107" customFormat="1" ht="12.75" customHeight="1">
      <c r="C6" s="80"/>
      <c r="D6" s="108"/>
    </row>
    <row r="7" spans="2:36" s="107" customFormat="1" ht="12.75" customHeight="1">
      <c r="I7" s="109" t="s">
        <v>477</v>
      </c>
      <c r="J7" s="152"/>
      <c r="K7" s="152"/>
      <c r="L7" s="110"/>
      <c r="N7" s="109" t="s">
        <v>361</v>
      </c>
      <c r="O7" s="111"/>
      <c r="P7" s="110"/>
      <c r="R7" s="109" t="s">
        <v>360</v>
      </c>
      <c r="S7" s="111"/>
      <c r="T7" s="110"/>
      <c r="U7" s="111"/>
      <c r="V7" s="110"/>
      <c r="X7" s="109" t="s">
        <v>362</v>
      </c>
      <c r="Y7" s="111"/>
      <c r="Z7" s="110"/>
      <c r="AB7" s="109" t="s">
        <v>363</v>
      </c>
      <c r="AC7" s="111"/>
      <c r="AD7" s="110"/>
      <c r="AF7" s="109" t="s">
        <v>366</v>
      </c>
      <c r="AG7" s="112"/>
    </row>
    <row r="8" spans="2:36" s="116" customFormat="1" ht="30.75" customHeight="1">
      <c r="B8" s="113" t="s">
        <v>355</v>
      </c>
      <c r="C8" s="114" t="s">
        <v>862</v>
      </c>
      <c r="D8" s="114" t="s">
        <v>356</v>
      </c>
      <c r="E8" s="114" t="s">
        <v>481</v>
      </c>
      <c r="F8" s="115" t="s">
        <v>357</v>
      </c>
      <c r="G8" s="115" t="s">
        <v>359</v>
      </c>
      <c r="I8" s="113" t="s">
        <v>147</v>
      </c>
      <c r="J8" s="153" t="s">
        <v>2103</v>
      </c>
      <c r="K8" s="153" t="s">
        <v>2104</v>
      </c>
      <c r="L8" s="115" t="s">
        <v>478</v>
      </c>
      <c r="M8" s="117"/>
      <c r="N8" s="113" t="s">
        <v>162</v>
      </c>
      <c r="O8" s="114" t="s">
        <v>175</v>
      </c>
      <c r="P8" s="115" t="s">
        <v>176</v>
      </c>
      <c r="R8" s="113" t="s">
        <v>162</v>
      </c>
      <c r="S8" s="114" t="s">
        <v>175</v>
      </c>
      <c r="T8" s="115" t="s">
        <v>176</v>
      </c>
      <c r="U8" s="114" t="s">
        <v>479</v>
      </c>
      <c r="V8" s="115" t="s">
        <v>480</v>
      </c>
      <c r="X8" s="113" t="s">
        <v>162</v>
      </c>
      <c r="Y8" s="114" t="s">
        <v>175</v>
      </c>
      <c r="Z8" s="115" t="s">
        <v>176</v>
      </c>
      <c r="AB8" s="113" t="s">
        <v>162</v>
      </c>
      <c r="AC8" s="114" t="s">
        <v>175</v>
      </c>
      <c r="AD8" s="115" t="s">
        <v>176</v>
      </c>
      <c r="AF8" s="118" t="s">
        <v>364</v>
      </c>
      <c r="AG8" s="119" t="s">
        <v>365</v>
      </c>
      <c r="AI8" s="120" t="s">
        <v>358</v>
      </c>
    </row>
    <row r="9" spans="2:36" s="107" customFormat="1" ht="12.75" customHeight="1"/>
    <row r="10" spans="2:36" s="122" customFormat="1" ht="12.75" customHeight="1">
      <c r="B10" s="121" t="e">
        <f ca="1">_xll.ciqfunctions.udf.CIQ($AI10,"IQ_TR_CLOSED_DATE")</f>
        <v>#NAME?</v>
      </c>
      <c r="C10" s="122" t="e">
        <f ca="1">_xll.ciqfunctions.udf.CIQ($AI10,"IQ_TR_BUYERNAME")</f>
        <v>#NAME?</v>
      </c>
      <c r="D10" s="122" t="e">
        <f ca="1">_xll.ciqfunctions.udf.CIQ($AI10,"IQ_TR_TARGETNAME")</f>
        <v>#NAME?</v>
      </c>
      <c r="E10" s="122" t="e">
        <f ca="1">_xll.ciqfunctions.udf.CIQ($AI10, "IQ_PRIMARY_INDUSTRY")</f>
        <v>#NAME?</v>
      </c>
      <c r="F10" s="123" t="e">
        <f ca="1">_xll.ciqfunctions.udf.CIQ($AI10, "IQ_TR_PCT_SOUGHT")/100</f>
        <v>#NAME?</v>
      </c>
      <c r="G10" s="124" t="e">
        <f ca="1">_xll.ciqfunctions.udf.CIQ(AI10, "IQ_TR_MAJ_MIN_STAKE")</f>
        <v>#NAME?</v>
      </c>
      <c r="I10" s="125" t="e">
        <f ca="1">_xll.ciqfunctions.udf.CIQ($AI10, "IQ_TR_IMPLIED_EV_FINAL", , $AJ$4,$AJ$5)</f>
        <v>#NAME?</v>
      </c>
      <c r="J10" s="125" t="e">
        <f ca="1">IF(_xll.ciqfunctions.udf.CIQ(AI10, "IQ_TR_TOTAL_CASH")="n/a",0,_xll.ciqfunctions.udf.CIQ(AI10, "IQ_TR_TOTAL_CASH"))+IF(_xll.ciqfunctions.udf.CIQ(AI10, "IQ_TR_TOTAL_STOCK")="n/a",0,_xll.ciqfunctions.udf.CIQ(AI10, "IQ_TR_TOTAL_STOCK"))</f>
        <v>#NAME?</v>
      </c>
      <c r="K10" s="29" t="e">
        <f ca="1">_xll.ciqfunctions.udf.CIQ(AI10, "IQ_TR_EARNOUTS")</f>
        <v>#NAME?</v>
      </c>
      <c r="L10" s="125" t="e">
        <f ca="1">IF(_xll.ciqfunctions.udf.CIQ($AI10, "IQ_TR_TOTAL_GROSS_TV",$AJ$4,$AJ$5)=0,"NA",_xll.ciqfunctions.udf.CIQ($AI10, "IQ_TR_TOTAL_GROSS_TV",,"USD"))</f>
        <v>#NAME?</v>
      </c>
      <c r="M10" s="126"/>
      <c r="N10" s="125" t="e">
        <f ca="1">_xll.ciqfunctions.udf.CIQ($AI10, "IQ_TR_TARGET_TOTAL_REV",,$AJ$4,$AJ$5)</f>
        <v>#NAME?</v>
      </c>
      <c r="O10" s="125" t="e">
        <f ca="1">_xll.ciqfunctions.udf.CIQ($AI10, "IQ_TR_TARGET_EBITDA", , $AJ$4,$AJ$5)</f>
        <v>#NAME?</v>
      </c>
      <c r="P10" s="125" t="e">
        <f ca="1">_xll.ciqfunctions.udf.CIQ($AI10, "IQ_TR_TARGET_EBIT", , $AJ$4,$AJ$5)</f>
        <v>#NAME?</v>
      </c>
      <c r="Q10" s="126"/>
      <c r="R10" s="127" t="str">
        <f ca="1">IF(ISERROR($I10/N10), "n/a", $I10/N10)</f>
        <v>n/a</v>
      </c>
      <c r="S10" s="127" t="str">
        <f ca="1">IF(ISERROR($I10/O10), "n/a", $I10/O10)</f>
        <v>n/a</v>
      </c>
      <c r="T10" s="127" t="str">
        <f ca="1">IF(ISERROR($I10/P10), "n/a", $I10/P10)</f>
        <v>n/a</v>
      </c>
      <c r="U10" s="127" t="e">
        <f ca="1">IF(_xll.ciqfunctions.udf.CIQ($AI10, "IQ_TR_IMPLIED_EQ_BV")=0,"NA",_xll.ciqfunctions.udf.CIQ($AI10, "IQ_TR_IMPLIED_EQ_BV"))</f>
        <v>#NAME?</v>
      </c>
      <c r="V10" s="127" t="e">
        <f ca="1">IF(_xll.ciqfunctions.udf.CIQ($AI10, "IQ_TR_IMPLIED_EQ_NI_LTM")=0,"NA",_xll.ciqfunctions.udf.CIQ($AI10, "IQ_TR_IMPLIED_EQ_NI_LTM"))</f>
        <v>#NAME?</v>
      </c>
      <c r="W10" s="126"/>
      <c r="X10" s="125" t="e">
        <f ca="1">_xll.ciqfunctions.udf.CIQ($AI10, "IQ_TR_TARGET_REVENUE_EST",, $AJ$4,$AJ$5)</f>
        <v>#NAME?</v>
      </c>
      <c r="Y10" s="125" t="e">
        <f ca="1">_xll.ciqfunctions.udf.CIQ($AI10, "IQ_TR_TARGET_EBITDA_EST",, $AJ$4,$AJ$5)</f>
        <v>#NAME?</v>
      </c>
      <c r="Z10" s="125" t="e">
        <f ca="1">_xll.ciqfunctions.udf.CIQ(AI10, "IQ_TR_IMPLIED_EV_EBIT_FWD")</f>
        <v>#NAME?</v>
      </c>
      <c r="AA10" s="126"/>
      <c r="AB10" s="127" t="str">
        <f ca="1">IF(ISERROR($I10/X10), "n/a", $I10/X10)</f>
        <v>n/a</v>
      </c>
      <c r="AC10" s="127" t="str">
        <f ca="1">IF(ISERROR($I10/Y10), "n/a", $I10/Y10)</f>
        <v>n/a</v>
      </c>
      <c r="AD10" s="127" t="str">
        <f ca="1">IF(ISERROR($I10/Z10), "n/a", $I10/Z10)</f>
        <v>n/a</v>
      </c>
      <c r="AF10" s="128" t="e">
        <f ca="1">IF((_xll.ciqfunctions.udf.CIQ($AI10, "IQ_TR_TARGET_STOCKPREMIUM_1W")/100)&lt;=0,"NM",_xll.ciqfunctions.udf.CIQ($AI10, "IQ_TR_TARGET_STOCKPREMIUM_1W")/100)</f>
        <v>#NAME?</v>
      </c>
      <c r="AG10" s="128" t="e">
        <f ca="1">IF((_xll.ciqfunctions.udf.CIQ($AI10, "IQ_TR_TARGET_STOCKPREMIUM_1M")/100)&lt;=0,"NM",_xll.ciqfunctions.udf.CIQ($AI10, "IQ_TR_TARGET_STOCKPREMIUM_1M")/100)</f>
        <v>#NAME?</v>
      </c>
      <c r="AI10" s="129" t="str">
        <f>+'Capital IQ Sheet-STM'!AK10</f>
        <v>IQTR417894725</v>
      </c>
      <c r="AJ10" s="122" t="e">
        <f ca="1">_xll.ciqfunctions.udf.CIQ(AI10, "IQ_BUSINESS_DESCRIPTION")</f>
        <v>#NAME?</v>
      </c>
    </row>
    <row r="11" spans="2:36" s="122" customFormat="1" ht="12.75" customHeight="1">
      <c r="B11" s="121" t="e">
        <f ca="1">_xll.ciqfunctions.udf.CIQ($AI11,"IQ_TR_CLOSED_DATE")</f>
        <v>#NAME?</v>
      </c>
      <c r="C11" s="122" t="e">
        <f ca="1">_xll.ciqfunctions.udf.CIQ($AI11,"IQ_TR_BUYERNAME")</f>
        <v>#NAME?</v>
      </c>
      <c r="D11" s="122" t="e">
        <f ca="1">_xll.ciqfunctions.udf.CIQ($AI11,"IQ_TR_TARGETNAME")</f>
        <v>#NAME?</v>
      </c>
      <c r="E11" s="122" t="e">
        <f ca="1">_xll.ciqfunctions.udf.CIQ($AI11, "IQ_PRIMARY_INDUSTRY")</f>
        <v>#NAME?</v>
      </c>
      <c r="F11" s="123" t="e">
        <f ca="1">_xll.ciqfunctions.udf.CIQ($AI11, "IQ_TR_PCT_SOUGHT")/100</f>
        <v>#NAME?</v>
      </c>
      <c r="G11" s="124" t="e">
        <f ca="1">_xll.ciqfunctions.udf.CIQ(AI11, "IQ_TR_MAJ_MIN_STAKE")</f>
        <v>#NAME?</v>
      </c>
      <c r="I11" s="125" t="e">
        <f ca="1">_xll.ciqfunctions.udf.CIQ($AI11, "IQ_TR_IMPLIED_EV_FINAL", , $AJ$4,$AJ$5)</f>
        <v>#NAME?</v>
      </c>
      <c r="J11" s="125" t="e">
        <f ca="1">IF(_xll.ciqfunctions.udf.CIQ(AI11, "IQ_TR_TOTAL_CASH")="n/a",0,_xll.ciqfunctions.udf.CIQ(AI11, "IQ_TR_TOTAL_CASH"))+IF(_xll.ciqfunctions.udf.CIQ(AI11, "IQ_TR_TOTAL_STOCK")="n/a",0,_xll.ciqfunctions.udf.CIQ(AI11, "IQ_TR_TOTAL_STOCK"))</f>
        <v>#NAME?</v>
      </c>
      <c r="K11" s="29" t="e">
        <f ca="1">_xll.ciqfunctions.udf.CIQ(AI11, "IQ_TR_EARNOUTS")</f>
        <v>#NAME?</v>
      </c>
      <c r="L11" s="125" t="e">
        <f ca="1">IF(_xll.ciqfunctions.udf.CIQ($AI11, "IQ_TR_TOTAL_GROSS_TV",$AJ$4,$AJ$5)=0,"NA",_xll.ciqfunctions.udf.CIQ($AI11, "IQ_TR_TOTAL_GROSS_TV",,"USD"))</f>
        <v>#NAME?</v>
      </c>
      <c r="M11" s="126"/>
      <c r="N11" s="125" t="e">
        <f ca="1">_xll.ciqfunctions.udf.CIQ($AI11, "IQ_TR_TARGET_TOTAL_REV",,$AJ$4,$AJ$5)</f>
        <v>#NAME?</v>
      </c>
      <c r="O11" s="125" t="e">
        <f ca="1">_xll.ciqfunctions.udf.CIQ($AI11, "IQ_TR_TARGET_EBITDA", , $AJ$4,$AJ$5)</f>
        <v>#NAME?</v>
      </c>
      <c r="P11" s="125" t="e">
        <f ca="1">_xll.ciqfunctions.udf.CIQ($AI11, "IQ_TR_TARGET_EBIT", , $AJ$4,$AJ$5)</f>
        <v>#NAME?</v>
      </c>
      <c r="Q11" s="126"/>
      <c r="R11" s="127" t="str">
        <f t="shared" ref="R11:T29" ca="1" si="0">IF(ISERROR($I11/N11), "n/a", $I11/N11)</f>
        <v>n/a</v>
      </c>
      <c r="S11" s="127" t="str">
        <f t="shared" ca="1" si="0"/>
        <v>n/a</v>
      </c>
      <c r="T11" s="127" t="str">
        <f t="shared" ca="1" si="0"/>
        <v>n/a</v>
      </c>
      <c r="U11" s="127" t="e">
        <f ca="1">IF(_xll.ciqfunctions.udf.CIQ($AI11, "IQ_TR_IMPLIED_EQ_BV")=0,"NA",_xll.ciqfunctions.udf.CIQ($AI11, "IQ_TR_IMPLIED_EQ_BV"))</f>
        <v>#NAME?</v>
      </c>
      <c r="V11" s="127" t="e">
        <f ca="1">IF(_xll.ciqfunctions.udf.CIQ($AI11, "IQ_TR_IMPLIED_EQ_NI_LTM")=0,"NA",_xll.ciqfunctions.udf.CIQ($AI11, "IQ_TR_IMPLIED_EQ_NI_LTM"))</f>
        <v>#NAME?</v>
      </c>
      <c r="W11" s="126"/>
      <c r="X11" s="125" t="e">
        <f ca="1">_xll.ciqfunctions.udf.CIQ($AI11, "IQ_TR_TARGET_REVENUE_EST",, $AJ$4,$AJ$5)</f>
        <v>#NAME?</v>
      </c>
      <c r="Y11" s="125" t="e">
        <f ca="1">_xll.ciqfunctions.udf.CIQ($AI11, "IQ_TR_TARGET_EBITDA_EST",, $AJ$4,$AJ$5)</f>
        <v>#NAME?</v>
      </c>
      <c r="Z11" s="125" t="e">
        <f ca="1">_xll.ciqfunctions.udf.CIQ(AI11, "IQ_TR_IMPLIED_EV_EBIT_FWD")</f>
        <v>#NAME?</v>
      </c>
      <c r="AA11" s="126"/>
      <c r="AB11" s="127" t="str">
        <f t="shared" ref="AB11:AD29" ca="1" si="1">IF(ISERROR($I11/X11), "n/a", $I11/X11)</f>
        <v>n/a</v>
      </c>
      <c r="AC11" s="127" t="str">
        <f t="shared" ca="1" si="1"/>
        <v>n/a</v>
      </c>
      <c r="AD11" s="127" t="str">
        <f t="shared" ca="1" si="1"/>
        <v>n/a</v>
      </c>
      <c r="AF11" s="128" t="e">
        <f ca="1">IF((_xll.ciqfunctions.udf.CIQ($AI11, "IQ_TR_TARGET_STOCKPREMIUM_1W")/100)&lt;=0,"NM",_xll.ciqfunctions.udf.CIQ($AI11, "IQ_TR_TARGET_STOCKPREMIUM_1W")/100)</f>
        <v>#NAME?</v>
      </c>
      <c r="AG11" s="128" t="e">
        <f ca="1">IF((_xll.ciqfunctions.udf.CIQ($AI11, "IQ_TR_TARGET_STOCKPREMIUM_1M")/100)&lt;=0,"NM",_xll.ciqfunctions.udf.CIQ($AI11, "IQ_TR_TARGET_STOCKPREMIUM_1M")/100)</f>
        <v>#NAME?</v>
      </c>
      <c r="AI11" s="129" t="str">
        <f>+'Capital IQ Sheet-STM'!AK11</f>
        <v>IQTR249319015</v>
      </c>
      <c r="AJ11" s="122" t="e">
        <f ca="1">_xll.ciqfunctions.udf.CIQ(AI11, "IQ_BUSINESS_DESCRIPTION")</f>
        <v>#NAME?</v>
      </c>
    </row>
    <row r="12" spans="2:36" s="122" customFormat="1" ht="12.75" customHeight="1">
      <c r="B12" s="121" t="e">
        <f ca="1">_xll.ciqfunctions.udf.CIQ($AI12,"IQ_TR_CLOSED_DATE")</f>
        <v>#NAME?</v>
      </c>
      <c r="C12" s="122" t="e">
        <f ca="1">_xll.ciqfunctions.udf.CIQ($AI12,"IQ_TR_BUYERNAME")</f>
        <v>#NAME?</v>
      </c>
      <c r="D12" s="122" t="e">
        <f ca="1">_xll.ciqfunctions.udf.CIQ($AI12,"IQ_TR_TARGETNAME")</f>
        <v>#NAME?</v>
      </c>
      <c r="E12" s="122" t="e">
        <f ca="1">_xll.ciqfunctions.udf.CIQ($AI12, "IQ_PRIMARY_INDUSTRY")</f>
        <v>#NAME?</v>
      </c>
      <c r="F12" s="123" t="e">
        <f ca="1">_xll.ciqfunctions.udf.CIQ($AI12, "IQ_TR_PCT_SOUGHT")/100</f>
        <v>#NAME?</v>
      </c>
      <c r="G12" s="124" t="e">
        <f ca="1">_xll.ciqfunctions.udf.CIQ(AI12, "IQ_TR_MAJ_MIN_STAKE")</f>
        <v>#NAME?</v>
      </c>
      <c r="I12" s="125" t="e">
        <f ca="1">_xll.ciqfunctions.udf.CIQ($AI12, "IQ_TR_IMPLIED_EV_FINAL", , $AJ$4,$AJ$5)</f>
        <v>#NAME?</v>
      </c>
      <c r="J12" s="125" t="e">
        <f ca="1">IF(_xll.ciqfunctions.udf.CIQ(AI12, "IQ_TR_TOTAL_CASH")="n/a",0,_xll.ciqfunctions.udf.CIQ(AI12, "IQ_TR_TOTAL_CASH"))+IF(_xll.ciqfunctions.udf.CIQ(AI12, "IQ_TR_TOTAL_STOCK")="n/a",0,_xll.ciqfunctions.udf.CIQ(AI12, "IQ_TR_TOTAL_STOCK"))</f>
        <v>#NAME?</v>
      </c>
      <c r="K12" s="29" t="e">
        <f ca="1">_xll.ciqfunctions.udf.CIQ(AI12, "IQ_TR_EARNOUTS")</f>
        <v>#NAME?</v>
      </c>
      <c r="L12" s="125" t="e">
        <f ca="1">IF(_xll.ciqfunctions.udf.CIQ($AI12, "IQ_TR_TOTAL_GROSS_TV",$AJ$4,$AJ$5)=0,"NA",_xll.ciqfunctions.udf.CIQ($AI12, "IQ_TR_TOTAL_GROSS_TV",,"USD"))</f>
        <v>#NAME?</v>
      </c>
      <c r="M12" s="126"/>
      <c r="N12" s="125" t="e">
        <f ca="1">_xll.ciqfunctions.udf.CIQ($AI12, "IQ_TR_TARGET_TOTAL_REV",,$AJ$4,$AJ$5)</f>
        <v>#NAME?</v>
      </c>
      <c r="O12" s="125" t="e">
        <f ca="1">_xll.ciqfunctions.udf.CIQ($AI12, "IQ_TR_TARGET_EBITDA", , $AJ$4,$AJ$5)</f>
        <v>#NAME?</v>
      </c>
      <c r="P12" s="125" t="e">
        <f ca="1">_xll.ciqfunctions.udf.CIQ($AI12, "IQ_TR_TARGET_EBIT", , $AJ$4,$AJ$5)</f>
        <v>#NAME?</v>
      </c>
      <c r="Q12" s="126"/>
      <c r="R12" s="127" t="str">
        <f t="shared" ca="1" si="0"/>
        <v>n/a</v>
      </c>
      <c r="S12" s="127" t="str">
        <f t="shared" ca="1" si="0"/>
        <v>n/a</v>
      </c>
      <c r="T12" s="127" t="str">
        <f t="shared" ca="1" si="0"/>
        <v>n/a</v>
      </c>
      <c r="U12" s="127" t="e">
        <f ca="1">IF(_xll.ciqfunctions.udf.CIQ($AI12, "IQ_TR_IMPLIED_EQ_BV")=0,"NA",_xll.ciqfunctions.udf.CIQ($AI12, "IQ_TR_IMPLIED_EQ_BV"))</f>
        <v>#NAME?</v>
      </c>
      <c r="V12" s="127" t="e">
        <f ca="1">IF(_xll.ciqfunctions.udf.CIQ($AI12, "IQ_TR_IMPLIED_EQ_NI_LTM")=0,"NA",_xll.ciqfunctions.udf.CIQ($AI12, "IQ_TR_IMPLIED_EQ_NI_LTM"))</f>
        <v>#NAME?</v>
      </c>
      <c r="W12" s="126"/>
      <c r="X12" s="125" t="e">
        <f ca="1">_xll.ciqfunctions.udf.CIQ($AI12, "IQ_TR_TARGET_REVENUE_EST",, $AJ$4,$AJ$5)</f>
        <v>#NAME?</v>
      </c>
      <c r="Y12" s="125" t="e">
        <f ca="1">_xll.ciqfunctions.udf.CIQ($AI12, "IQ_TR_TARGET_EBITDA_EST",, $AJ$4,$AJ$5)</f>
        <v>#NAME?</v>
      </c>
      <c r="Z12" s="125" t="e">
        <f ca="1">_xll.ciqfunctions.udf.CIQ(AI12, "IQ_TR_IMPLIED_EV_EBIT_FWD")</f>
        <v>#NAME?</v>
      </c>
      <c r="AA12" s="126"/>
      <c r="AB12" s="127" t="str">
        <f t="shared" ca="1" si="1"/>
        <v>n/a</v>
      </c>
      <c r="AC12" s="127" t="str">
        <f t="shared" ca="1" si="1"/>
        <v>n/a</v>
      </c>
      <c r="AD12" s="127" t="str">
        <f t="shared" ca="1" si="1"/>
        <v>n/a</v>
      </c>
      <c r="AF12" s="128" t="e">
        <f ca="1">IF((_xll.ciqfunctions.udf.CIQ($AI12, "IQ_TR_TARGET_STOCKPREMIUM_1W")/100)&lt;=0,"NM",_xll.ciqfunctions.udf.CIQ($AI12, "IQ_TR_TARGET_STOCKPREMIUM_1W")/100)</f>
        <v>#NAME?</v>
      </c>
      <c r="AG12" s="128" t="e">
        <f ca="1">IF((_xll.ciqfunctions.udf.CIQ($AI12, "IQ_TR_TARGET_STOCKPREMIUM_1M")/100)&lt;=0,"NM",_xll.ciqfunctions.udf.CIQ($AI12, "IQ_TR_TARGET_STOCKPREMIUM_1M")/100)</f>
        <v>#NAME?</v>
      </c>
      <c r="AI12" s="129">
        <f>+'Capital IQ Sheet-STM'!AK12</f>
        <v>0</v>
      </c>
      <c r="AJ12" s="122" t="e">
        <f ca="1">_xll.ciqfunctions.udf.CIQ(AI12, "IQ_BUSINESS_DESCRIPTION")</f>
        <v>#NAME?</v>
      </c>
    </row>
    <row r="13" spans="2:36" s="122" customFormat="1" ht="12.75" customHeight="1">
      <c r="B13" s="121" t="e">
        <f ca="1">_xll.ciqfunctions.udf.CIQ($AI13,"IQ_TR_CLOSED_DATE")</f>
        <v>#NAME?</v>
      </c>
      <c r="C13" s="122" t="e">
        <f ca="1">_xll.ciqfunctions.udf.CIQ($AI13,"IQ_TR_BUYERNAME")</f>
        <v>#NAME?</v>
      </c>
      <c r="D13" s="122" t="e">
        <f ca="1">_xll.ciqfunctions.udf.CIQ($AI13,"IQ_TR_TARGETNAME")</f>
        <v>#NAME?</v>
      </c>
      <c r="E13" s="122" t="e">
        <f ca="1">_xll.ciqfunctions.udf.CIQ($AI13, "IQ_PRIMARY_INDUSTRY")</f>
        <v>#NAME?</v>
      </c>
      <c r="F13" s="123" t="e">
        <f ca="1">_xll.ciqfunctions.udf.CIQ($AI13, "IQ_TR_PCT_SOUGHT")/100</f>
        <v>#NAME?</v>
      </c>
      <c r="G13" s="124" t="e">
        <f ca="1">_xll.ciqfunctions.udf.CIQ(AI13, "IQ_TR_MAJ_MIN_STAKE")</f>
        <v>#NAME?</v>
      </c>
      <c r="I13" s="125" t="e">
        <f ca="1">_xll.ciqfunctions.udf.CIQ($AI13, "IQ_TR_IMPLIED_EV_FINAL", , $AJ$4,$AJ$5)</f>
        <v>#NAME?</v>
      </c>
      <c r="J13" s="125" t="e">
        <f ca="1">IF(_xll.ciqfunctions.udf.CIQ(AI13, "IQ_TR_TOTAL_CASH")="n/a",0,_xll.ciqfunctions.udf.CIQ(AI13, "IQ_TR_TOTAL_CASH"))+IF(_xll.ciqfunctions.udf.CIQ(AI13, "IQ_TR_TOTAL_STOCK")="n/a",0,_xll.ciqfunctions.udf.CIQ(AI13, "IQ_TR_TOTAL_STOCK"))</f>
        <v>#NAME?</v>
      </c>
      <c r="K13" s="29" t="e">
        <f ca="1">_xll.ciqfunctions.udf.CIQ(AI13, "IQ_TR_EARNOUTS")</f>
        <v>#NAME?</v>
      </c>
      <c r="L13" s="125" t="e">
        <f ca="1">IF(_xll.ciqfunctions.udf.CIQ($AI13, "IQ_TR_TOTAL_GROSS_TV",$AJ$4,$AJ$5)=0,"NA",_xll.ciqfunctions.udf.CIQ($AI13, "IQ_TR_TOTAL_GROSS_TV",,"USD"))</f>
        <v>#NAME?</v>
      </c>
      <c r="M13" s="126"/>
      <c r="N13" s="125" t="e">
        <f ca="1">_xll.ciqfunctions.udf.CIQ($AI13, "IQ_TR_TARGET_TOTAL_REV",,$AJ$4,$AJ$5)</f>
        <v>#NAME?</v>
      </c>
      <c r="O13" s="125" t="e">
        <f ca="1">_xll.ciqfunctions.udf.CIQ($AI13, "IQ_TR_TARGET_EBITDA", , $AJ$4,$AJ$5)</f>
        <v>#NAME?</v>
      </c>
      <c r="P13" s="125" t="e">
        <f ca="1">_xll.ciqfunctions.udf.CIQ($AI13, "IQ_TR_TARGET_EBIT", , $AJ$4,$AJ$5)</f>
        <v>#NAME?</v>
      </c>
      <c r="Q13" s="126"/>
      <c r="R13" s="127" t="str">
        <f t="shared" ca="1" si="0"/>
        <v>n/a</v>
      </c>
      <c r="S13" s="127" t="str">
        <f t="shared" ca="1" si="0"/>
        <v>n/a</v>
      </c>
      <c r="T13" s="127" t="str">
        <f t="shared" ca="1" si="0"/>
        <v>n/a</v>
      </c>
      <c r="U13" s="127" t="e">
        <f ca="1">IF(_xll.ciqfunctions.udf.CIQ($AI13, "IQ_TR_IMPLIED_EQ_BV")=0,"NA",_xll.ciqfunctions.udf.CIQ($AI13, "IQ_TR_IMPLIED_EQ_BV"))</f>
        <v>#NAME?</v>
      </c>
      <c r="V13" s="127" t="e">
        <f ca="1">IF(_xll.ciqfunctions.udf.CIQ($AI13, "IQ_TR_IMPLIED_EQ_NI_LTM")=0,"NA",_xll.ciqfunctions.udf.CIQ($AI13, "IQ_TR_IMPLIED_EQ_NI_LTM"))</f>
        <v>#NAME?</v>
      </c>
      <c r="W13" s="126"/>
      <c r="X13" s="125" t="e">
        <f ca="1">_xll.ciqfunctions.udf.CIQ($AI13, "IQ_TR_TARGET_REVENUE_EST",, $AJ$4,$AJ$5)</f>
        <v>#NAME?</v>
      </c>
      <c r="Y13" s="125" t="e">
        <f ca="1">_xll.ciqfunctions.udf.CIQ($AI13, "IQ_TR_TARGET_EBITDA_EST",, $AJ$4,$AJ$5)</f>
        <v>#NAME?</v>
      </c>
      <c r="Z13" s="125" t="e">
        <f ca="1">_xll.ciqfunctions.udf.CIQ(AI13, "IQ_TR_IMPLIED_EV_EBIT_FWD")</f>
        <v>#NAME?</v>
      </c>
      <c r="AA13" s="126"/>
      <c r="AB13" s="127" t="str">
        <f t="shared" ca="1" si="1"/>
        <v>n/a</v>
      </c>
      <c r="AC13" s="127" t="str">
        <f t="shared" ca="1" si="1"/>
        <v>n/a</v>
      </c>
      <c r="AD13" s="127" t="str">
        <f t="shared" ca="1" si="1"/>
        <v>n/a</v>
      </c>
      <c r="AF13" s="128" t="e">
        <f ca="1">IF((_xll.ciqfunctions.udf.CIQ($AI13, "IQ_TR_TARGET_STOCKPREMIUM_1W")/100)&lt;=0,"NM",_xll.ciqfunctions.udf.CIQ($AI13, "IQ_TR_TARGET_STOCKPREMIUM_1W")/100)</f>
        <v>#NAME?</v>
      </c>
      <c r="AG13" s="128" t="e">
        <f ca="1">IF((_xll.ciqfunctions.udf.CIQ($AI13, "IQ_TR_TARGET_STOCKPREMIUM_1M")/100)&lt;=0,"NM",_xll.ciqfunctions.udf.CIQ($AI13, "IQ_TR_TARGET_STOCKPREMIUM_1M")/100)</f>
        <v>#NAME?</v>
      </c>
      <c r="AI13" s="129">
        <f>+'Capital IQ Sheet-STM'!AK13</f>
        <v>0</v>
      </c>
      <c r="AJ13" s="122" t="e">
        <f ca="1">_xll.ciqfunctions.udf.CIQ(AI13, "IQ_BUSINESS_DESCRIPTION")</f>
        <v>#NAME?</v>
      </c>
    </row>
    <row r="14" spans="2:36" s="122" customFormat="1" ht="12.75" customHeight="1">
      <c r="B14" s="121" t="e">
        <f ca="1">_xll.ciqfunctions.udf.CIQ($AI14,"IQ_TR_CLOSED_DATE")</f>
        <v>#NAME?</v>
      </c>
      <c r="C14" s="122" t="e">
        <f ca="1">_xll.ciqfunctions.udf.CIQ($AI14,"IQ_TR_BUYERNAME")</f>
        <v>#NAME?</v>
      </c>
      <c r="D14" s="122" t="e">
        <f ca="1">_xll.ciqfunctions.udf.CIQ($AI14,"IQ_TR_TARGETNAME")</f>
        <v>#NAME?</v>
      </c>
      <c r="E14" s="122" t="e">
        <f ca="1">_xll.ciqfunctions.udf.CIQ($AI14, "IQ_PRIMARY_INDUSTRY")</f>
        <v>#NAME?</v>
      </c>
      <c r="F14" s="123" t="e">
        <f ca="1">_xll.ciqfunctions.udf.CIQ($AI14, "IQ_TR_PCT_SOUGHT")/100</f>
        <v>#NAME?</v>
      </c>
      <c r="G14" s="124" t="e">
        <f ca="1">_xll.ciqfunctions.udf.CIQ(AI14, "IQ_TR_MAJ_MIN_STAKE")</f>
        <v>#NAME?</v>
      </c>
      <c r="I14" s="125" t="e">
        <f ca="1">_xll.ciqfunctions.udf.CIQ($AI14, "IQ_TR_IMPLIED_EV_FINAL", , $AJ$4,$AJ$5)</f>
        <v>#NAME?</v>
      </c>
      <c r="J14" s="125" t="e">
        <f ca="1">IF(_xll.ciqfunctions.udf.CIQ(AI14, "IQ_TR_TOTAL_CASH")="n/a",0,_xll.ciqfunctions.udf.CIQ(AI14, "IQ_TR_TOTAL_CASH"))+IF(_xll.ciqfunctions.udf.CIQ(AI14, "IQ_TR_TOTAL_STOCK")="n/a",0,_xll.ciqfunctions.udf.CIQ(AI14, "IQ_TR_TOTAL_STOCK"))</f>
        <v>#NAME?</v>
      </c>
      <c r="K14" s="29" t="e">
        <f ca="1">_xll.ciqfunctions.udf.CIQ(AI14, "IQ_TR_EARNOUTS")</f>
        <v>#NAME?</v>
      </c>
      <c r="L14" s="125" t="e">
        <f ca="1">IF(_xll.ciqfunctions.udf.CIQ($AI14, "IQ_TR_TOTAL_GROSS_TV",$AJ$4,$AJ$5)=0,"NA",_xll.ciqfunctions.udf.CIQ($AI14, "IQ_TR_TOTAL_GROSS_TV",,"USD"))</f>
        <v>#NAME?</v>
      </c>
      <c r="M14" s="126"/>
      <c r="N14" s="125" t="e">
        <f ca="1">_xll.ciqfunctions.udf.CIQ($AI14, "IQ_TR_TARGET_TOTAL_REV",,$AJ$4,$AJ$5)</f>
        <v>#NAME?</v>
      </c>
      <c r="O14" s="125" t="e">
        <f ca="1">_xll.ciqfunctions.udf.CIQ($AI14, "IQ_TR_TARGET_EBITDA", , $AJ$4,$AJ$5)</f>
        <v>#NAME?</v>
      </c>
      <c r="P14" s="125" t="e">
        <f ca="1">_xll.ciqfunctions.udf.CIQ($AI14, "IQ_TR_TARGET_EBIT", , $AJ$4,$AJ$5)</f>
        <v>#NAME?</v>
      </c>
      <c r="Q14" s="126"/>
      <c r="R14" s="127" t="str">
        <f t="shared" ca="1" si="0"/>
        <v>n/a</v>
      </c>
      <c r="S14" s="127" t="str">
        <f t="shared" ca="1" si="0"/>
        <v>n/a</v>
      </c>
      <c r="T14" s="127" t="str">
        <f t="shared" ca="1" si="0"/>
        <v>n/a</v>
      </c>
      <c r="U14" s="127" t="e">
        <f ca="1">IF(_xll.ciqfunctions.udf.CIQ($AI14, "IQ_TR_IMPLIED_EQ_BV")=0,"NA",_xll.ciqfunctions.udf.CIQ($AI14, "IQ_TR_IMPLIED_EQ_BV"))</f>
        <v>#NAME?</v>
      </c>
      <c r="V14" s="127" t="e">
        <f ca="1">IF(_xll.ciqfunctions.udf.CIQ($AI14, "IQ_TR_IMPLIED_EQ_NI_LTM")=0,"NA",_xll.ciqfunctions.udf.CIQ($AI14, "IQ_TR_IMPLIED_EQ_NI_LTM"))</f>
        <v>#NAME?</v>
      </c>
      <c r="W14" s="126"/>
      <c r="X14" s="125" t="e">
        <f ca="1">_xll.ciqfunctions.udf.CIQ($AI14, "IQ_TR_TARGET_REVENUE_EST",, $AJ$4,$AJ$5)</f>
        <v>#NAME?</v>
      </c>
      <c r="Y14" s="125" t="e">
        <f ca="1">_xll.ciqfunctions.udf.CIQ($AI14, "IQ_TR_TARGET_EBITDA_EST",, $AJ$4,$AJ$5)</f>
        <v>#NAME?</v>
      </c>
      <c r="Z14" s="125" t="e">
        <f ca="1">_xll.ciqfunctions.udf.CIQ(AI14, "IQ_TR_IMPLIED_EV_EBIT_FWD")</f>
        <v>#NAME?</v>
      </c>
      <c r="AA14" s="126"/>
      <c r="AB14" s="127" t="str">
        <f t="shared" ca="1" si="1"/>
        <v>n/a</v>
      </c>
      <c r="AC14" s="127" t="str">
        <f t="shared" ca="1" si="1"/>
        <v>n/a</v>
      </c>
      <c r="AD14" s="127" t="str">
        <f t="shared" ca="1" si="1"/>
        <v>n/a</v>
      </c>
      <c r="AF14" s="128" t="e">
        <f ca="1">IF((_xll.ciqfunctions.udf.CIQ($AI14, "IQ_TR_TARGET_STOCKPREMIUM_1W")/100)&lt;=0,"NM",_xll.ciqfunctions.udf.CIQ($AI14, "IQ_TR_TARGET_STOCKPREMIUM_1W")/100)</f>
        <v>#NAME?</v>
      </c>
      <c r="AG14" s="128" t="e">
        <f ca="1">IF((_xll.ciqfunctions.udf.CIQ($AI14, "IQ_TR_TARGET_STOCKPREMIUM_1M")/100)&lt;=0,"NM",_xll.ciqfunctions.udf.CIQ($AI14, "IQ_TR_TARGET_STOCKPREMIUM_1M")/100)</f>
        <v>#NAME?</v>
      </c>
      <c r="AI14" s="129">
        <f>+'Capital IQ Sheet-STM'!AK14</f>
        <v>0</v>
      </c>
      <c r="AJ14" s="122" t="e">
        <f ca="1">_xll.ciqfunctions.udf.CIQ(AI14, "IQ_BUSINESS_DESCRIPTION")</f>
        <v>#NAME?</v>
      </c>
    </row>
    <row r="15" spans="2:36" s="122" customFormat="1" ht="12.75" customHeight="1">
      <c r="B15" s="121" t="e">
        <f ca="1">_xll.ciqfunctions.udf.CIQ($AI15,"IQ_TR_CLOSED_DATE")</f>
        <v>#NAME?</v>
      </c>
      <c r="C15" s="122" t="e">
        <f ca="1">_xll.ciqfunctions.udf.CIQ($AI15,"IQ_TR_BUYERNAME")</f>
        <v>#NAME?</v>
      </c>
      <c r="D15" s="122" t="e">
        <f ca="1">_xll.ciqfunctions.udf.CIQ($AI15,"IQ_TR_TARGETNAME")</f>
        <v>#NAME?</v>
      </c>
      <c r="E15" s="122" t="e">
        <f ca="1">_xll.ciqfunctions.udf.CIQ($AI15, "IQ_PRIMARY_INDUSTRY")</f>
        <v>#NAME?</v>
      </c>
      <c r="F15" s="123" t="e">
        <f ca="1">_xll.ciqfunctions.udf.CIQ($AI15, "IQ_TR_PCT_SOUGHT")/100</f>
        <v>#NAME?</v>
      </c>
      <c r="G15" s="124" t="e">
        <f ca="1">_xll.ciqfunctions.udf.CIQ(AI15, "IQ_TR_MAJ_MIN_STAKE")</f>
        <v>#NAME?</v>
      </c>
      <c r="I15" s="125" t="e">
        <f ca="1">_xll.ciqfunctions.udf.CIQ($AI15, "IQ_TR_IMPLIED_EV_FINAL", , $AJ$4,$AJ$5)</f>
        <v>#NAME?</v>
      </c>
      <c r="J15" s="125" t="e">
        <f ca="1">IF(_xll.ciqfunctions.udf.CIQ(AI15, "IQ_TR_TOTAL_CASH")="n/a",0,_xll.ciqfunctions.udf.CIQ(AI15, "IQ_TR_TOTAL_CASH"))+IF(_xll.ciqfunctions.udf.CIQ(AI15, "IQ_TR_TOTAL_STOCK")="n/a",0,_xll.ciqfunctions.udf.CIQ(AI15, "IQ_TR_TOTAL_STOCK"))</f>
        <v>#NAME?</v>
      </c>
      <c r="K15" s="29" t="e">
        <f ca="1">_xll.ciqfunctions.udf.CIQ(AI15, "IQ_TR_EARNOUTS")</f>
        <v>#NAME?</v>
      </c>
      <c r="L15" s="125" t="e">
        <f ca="1">IF(_xll.ciqfunctions.udf.CIQ($AI15, "IQ_TR_TOTAL_GROSS_TV",$AJ$4,$AJ$5)=0,"NA",_xll.ciqfunctions.udf.CIQ($AI15, "IQ_TR_TOTAL_GROSS_TV",,"USD"))</f>
        <v>#NAME?</v>
      </c>
      <c r="M15" s="126"/>
      <c r="N15" s="125" t="e">
        <f ca="1">_xll.ciqfunctions.udf.CIQ($AI15, "IQ_TR_TARGET_TOTAL_REV",,$AJ$4,$AJ$5)</f>
        <v>#NAME?</v>
      </c>
      <c r="O15" s="125" t="e">
        <f ca="1">_xll.ciqfunctions.udf.CIQ($AI15, "IQ_TR_TARGET_EBITDA", , $AJ$4,$AJ$5)</f>
        <v>#NAME?</v>
      </c>
      <c r="P15" s="125" t="e">
        <f ca="1">_xll.ciqfunctions.udf.CIQ($AI15, "IQ_TR_TARGET_EBIT", , $AJ$4,$AJ$5)</f>
        <v>#NAME?</v>
      </c>
      <c r="Q15" s="126"/>
      <c r="R15" s="127" t="str">
        <f t="shared" ca="1" si="0"/>
        <v>n/a</v>
      </c>
      <c r="S15" s="127" t="str">
        <f t="shared" ca="1" si="0"/>
        <v>n/a</v>
      </c>
      <c r="T15" s="127" t="str">
        <f t="shared" ca="1" si="0"/>
        <v>n/a</v>
      </c>
      <c r="U15" s="127" t="e">
        <f ca="1">IF(_xll.ciqfunctions.udf.CIQ($AI15, "IQ_TR_IMPLIED_EQ_BV")=0,"NA",_xll.ciqfunctions.udf.CIQ($AI15, "IQ_TR_IMPLIED_EQ_BV"))</f>
        <v>#NAME?</v>
      </c>
      <c r="V15" s="127" t="e">
        <f ca="1">IF(_xll.ciqfunctions.udf.CIQ($AI15, "IQ_TR_IMPLIED_EQ_NI_LTM")=0,"NA",_xll.ciqfunctions.udf.CIQ($AI15, "IQ_TR_IMPLIED_EQ_NI_LTM"))</f>
        <v>#NAME?</v>
      </c>
      <c r="W15" s="126"/>
      <c r="X15" s="125" t="e">
        <f ca="1">_xll.ciqfunctions.udf.CIQ($AI15, "IQ_TR_TARGET_REVENUE_EST",, $AJ$4,$AJ$5)</f>
        <v>#NAME?</v>
      </c>
      <c r="Y15" s="125" t="e">
        <f ca="1">_xll.ciqfunctions.udf.CIQ($AI15, "IQ_TR_TARGET_EBITDA_EST",, $AJ$4,$AJ$5)</f>
        <v>#NAME?</v>
      </c>
      <c r="Z15" s="125" t="e">
        <f ca="1">_xll.ciqfunctions.udf.CIQ(AI15, "IQ_TR_IMPLIED_EV_EBIT_FWD")</f>
        <v>#NAME?</v>
      </c>
      <c r="AA15" s="126"/>
      <c r="AB15" s="127" t="str">
        <f t="shared" ca="1" si="1"/>
        <v>n/a</v>
      </c>
      <c r="AC15" s="127" t="str">
        <f t="shared" ca="1" si="1"/>
        <v>n/a</v>
      </c>
      <c r="AD15" s="127" t="str">
        <f t="shared" ca="1" si="1"/>
        <v>n/a</v>
      </c>
      <c r="AF15" s="128" t="e">
        <f ca="1">IF((_xll.ciqfunctions.udf.CIQ($AI15, "IQ_TR_TARGET_STOCKPREMIUM_1W")/100)&lt;=0,"NM",_xll.ciqfunctions.udf.CIQ($AI15, "IQ_TR_TARGET_STOCKPREMIUM_1W")/100)</f>
        <v>#NAME?</v>
      </c>
      <c r="AG15" s="128" t="e">
        <f ca="1">IF((_xll.ciqfunctions.udf.CIQ($AI15, "IQ_TR_TARGET_STOCKPREMIUM_1M")/100)&lt;=0,"NM",_xll.ciqfunctions.udf.CIQ($AI15, "IQ_TR_TARGET_STOCKPREMIUM_1M")/100)</f>
        <v>#NAME?</v>
      </c>
      <c r="AI15" s="129">
        <f>+'Capital IQ Sheet-STM'!AK15</f>
        <v>0</v>
      </c>
      <c r="AJ15" s="122" t="e">
        <f ca="1">_xll.ciqfunctions.udf.CIQ(AI15, "IQ_BUSINESS_DESCRIPTION")</f>
        <v>#NAME?</v>
      </c>
    </row>
    <row r="16" spans="2:36" s="122" customFormat="1" ht="12.75" customHeight="1">
      <c r="B16" s="121" t="e">
        <f ca="1">_xll.ciqfunctions.udf.CIQ($AI16,"IQ_TR_CLOSED_DATE")</f>
        <v>#NAME?</v>
      </c>
      <c r="C16" s="122" t="e">
        <f ca="1">_xll.ciqfunctions.udf.CIQ($AI16,"IQ_TR_BUYERNAME")</f>
        <v>#NAME?</v>
      </c>
      <c r="D16" s="122" t="e">
        <f ca="1">_xll.ciqfunctions.udf.CIQ($AI16,"IQ_TR_TARGETNAME")</f>
        <v>#NAME?</v>
      </c>
      <c r="E16" s="122" t="e">
        <f ca="1">_xll.ciqfunctions.udf.CIQ($AI16, "IQ_PRIMARY_INDUSTRY")</f>
        <v>#NAME?</v>
      </c>
      <c r="F16" s="123" t="e">
        <f ca="1">_xll.ciqfunctions.udf.CIQ($AI16, "IQ_TR_PCT_SOUGHT")/100</f>
        <v>#NAME?</v>
      </c>
      <c r="G16" s="124" t="e">
        <f ca="1">_xll.ciqfunctions.udf.CIQ(AI16, "IQ_TR_MAJ_MIN_STAKE")</f>
        <v>#NAME?</v>
      </c>
      <c r="I16" s="125" t="e">
        <f ca="1">_xll.ciqfunctions.udf.CIQ($AI16, "IQ_TR_IMPLIED_EV_FINAL", , $AJ$4,$AJ$5)</f>
        <v>#NAME?</v>
      </c>
      <c r="J16" s="125" t="e">
        <f ca="1">IF(_xll.ciqfunctions.udf.CIQ(AI16, "IQ_TR_TOTAL_CASH")="n/a",0,_xll.ciqfunctions.udf.CIQ(AI16, "IQ_TR_TOTAL_CASH"))+IF(_xll.ciqfunctions.udf.CIQ(AI16, "IQ_TR_TOTAL_STOCK")="n/a",0,_xll.ciqfunctions.udf.CIQ(AI16, "IQ_TR_TOTAL_STOCK"))</f>
        <v>#NAME?</v>
      </c>
      <c r="K16" s="29" t="e">
        <f ca="1">_xll.ciqfunctions.udf.CIQ(AI16, "IQ_TR_EARNOUTS")</f>
        <v>#NAME?</v>
      </c>
      <c r="L16" s="125" t="e">
        <f ca="1">IF(_xll.ciqfunctions.udf.CIQ($AI16, "IQ_TR_TOTAL_GROSS_TV",$AJ$4,$AJ$5)=0,"NA",_xll.ciqfunctions.udf.CIQ($AI16, "IQ_TR_TOTAL_GROSS_TV",,"USD"))</f>
        <v>#NAME?</v>
      </c>
      <c r="M16" s="126"/>
      <c r="N16" s="125" t="e">
        <f ca="1">_xll.ciqfunctions.udf.CIQ($AI16, "IQ_TR_TARGET_TOTAL_REV",,$AJ$4,$AJ$5)</f>
        <v>#NAME?</v>
      </c>
      <c r="O16" s="125" t="e">
        <f ca="1">_xll.ciqfunctions.udf.CIQ($AI16, "IQ_TR_TARGET_EBITDA", , $AJ$4,$AJ$5)</f>
        <v>#NAME?</v>
      </c>
      <c r="P16" s="125" t="e">
        <f ca="1">_xll.ciqfunctions.udf.CIQ($AI16, "IQ_TR_TARGET_EBIT", , $AJ$4,$AJ$5)</f>
        <v>#NAME?</v>
      </c>
      <c r="Q16" s="126"/>
      <c r="R16" s="127" t="str">
        <f t="shared" ca="1" si="0"/>
        <v>n/a</v>
      </c>
      <c r="S16" s="127" t="str">
        <f t="shared" ca="1" si="0"/>
        <v>n/a</v>
      </c>
      <c r="T16" s="127" t="str">
        <f t="shared" ca="1" si="0"/>
        <v>n/a</v>
      </c>
      <c r="U16" s="127" t="e">
        <f ca="1">IF(_xll.ciqfunctions.udf.CIQ($AI16, "IQ_TR_IMPLIED_EQ_BV")=0,"NA",_xll.ciqfunctions.udf.CIQ($AI16, "IQ_TR_IMPLIED_EQ_BV"))</f>
        <v>#NAME?</v>
      </c>
      <c r="V16" s="127" t="e">
        <f ca="1">IF(_xll.ciqfunctions.udf.CIQ($AI16, "IQ_TR_IMPLIED_EQ_NI_LTM")=0,"NA",_xll.ciqfunctions.udf.CIQ($AI16, "IQ_TR_IMPLIED_EQ_NI_LTM"))</f>
        <v>#NAME?</v>
      </c>
      <c r="W16" s="126"/>
      <c r="X16" s="125" t="e">
        <f ca="1">_xll.ciqfunctions.udf.CIQ($AI16, "IQ_TR_TARGET_REVENUE_EST",, $AJ$4,$AJ$5)</f>
        <v>#NAME?</v>
      </c>
      <c r="Y16" s="125" t="e">
        <f ca="1">_xll.ciqfunctions.udf.CIQ($AI16, "IQ_TR_TARGET_EBITDA_EST",, $AJ$4,$AJ$5)</f>
        <v>#NAME?</v>
      </c>
      <c r="Z16" s="125" t="e">
        <f ca="1">_xll.ciqfunctions.udf.CIQ(AI16, "IQ_TR_IMPLIED_EV_EBIT_FWD")</f>
        <v>#NAME?</v>
      </c>
      <c r="AA16" s="126"/>
      <c r="AB16" s="127" t="str">
        <f t="shared" ca="1" si="1"/>
        <v>n/a</v>
      </c>
      <c r="AC16" s="127" t="str">
        <f t="shared" ca="1" si="1"/>
        <v>n/a</v>
      </c>
      <c r="AD16" s="127" t="str">
        <f t="shared" ca="1" si="1"/>
        <v>n/a</v>
      </c>
      <c r="AF16" s="128" t="e">
        <f ca="1">IF((_xll.ciqfunctions.udf.CIQ($AI16, "IQ_TR_TARGET_STOCKPREMIUM_1W")/100)&lt;=0,"NM",_xll.ciqfunctions.udf.CIQ($AI16, "IQ_TR_TARGET_STOCKPREMIUM_1W")/100)</f>
        <v>#NAME?</v>
      </c>
      <c r="AG16" s="128" t="e">
        <f ca="1">IF((_xll.ciqfunctions.udf.CIQ($AI16, "IQ_TR_TARGET_STOCKPREMIUM_1M")/100)&lt;=0,"NM",_xll.ciqfunctions.udf.CIQ($AI16, "IQ_TR_TARGET_STOCKPREMIUM_1M")/100)</f>
        <v>#NAME?</v>
      </c>
      <c r="AI16" s="129">
        <f>+'Capital IQ Sheet-STM'!AK16</f>
        <v>0</v>
      </c>
      <c r="AJ16" s="122" t="e">
        <f ca="1">_xll.ciqfunctions.udf.CIQ(AI16, "IQ_BUSINESS_DESCRIPTION")</f>
        <v>#NAME?</v>
      </c>
    </row>
    <row r="17" spans="2:36" s="122" customFormat="1" ht="12.75" customHeight="1">
      <c r="B17" s="121" t="e">
        <f ca="1">_xll.ciqfunctions.udf.CIQ($AI17,"IQ_TR_CLOSED_DATE")</f>
        <v>#NAME?</v>
      </c>
      <c r="C17" s="122" t="e">
        <f ca="1">_xll.ciqfunctions.udf.CIQ($AI17,"IQ_TR_BUYERNAME")</f>
        <v>#NAME?</v>
      </c>
      <c r="D17" s="122" t="e">
        <f ca="1">_xll.ciqfunctions.udf.CIQ($AI17,"IQ_TR_TARGETNAME")</f>
        <v>#NAME?</v>
      </c>
      <c r="E17" s="122" t="e">
        <f ca="1">_xll.ciqfunctions.udf.CIQ($AI17, "IQ_PRIMARY_INDUSTRY")</f>
        <v>#NAME?</v>
      </c>
      <c r="F17" s="123" t="e">
        <f ca="1">_xll.ciqfunctions.udf.CIQ($AI17, "IQ_TR_PCT_SOUGHT")/100</f>
        <v>#NAME?</v>
      </c>
      <c r="G17" s="124" t="e">
        <f ca="1">_xll.ciqfunctions.udf.CIQ(AI17, "IQ_TR_MAJ_MIN_STAKE")</f>
        <v>#NAME?</v>
      </c>
      <c r="I17" s="125" t="e">
        <f ca="1">_xll.ciqfunctions.udf.CIQ($AI17, "IQ_TR_IMPLIED_EV_FINAL", , $AJ$4,$AJ$5)</f>
        <v>#NAME?</v>
      </c>
      <c r="J17" s="125" t="e">
        <f ca="1">IF(_xll.ciqfunctions.udf.CIQ(AI17, "IQ_TR_TOTAL_CASH")="n/a",0,_xll.ciqfunctions.udf.CIQ(AI17, "IQ_TR_TOTAL_CASH"))+IF(_xll.ciqfunctions.udf.CIQ(AI17, "IQ_TR_TOTAL_STOCK")="n/a",0,_xll.ciqfunctions.udf.CIQ(AI17, "IQ_TR_TOTAL_STOCK"))</f>
        <v>#NAME?</v>
      </c>
      <c r="K17" s="29" t="e">
        <f ca="1">_xll.ciqfunctions.udf.CIQ(AI17, "IQ_TR_EARNOUTS")</f>
        <v>#NAME?</v>
      </c>
      <c r="L17" s="125" t="e">
        <f ca="1">IF(_xll.ciqfunctions.udf.CIQ($AI17, "IQ_TR_TOTAL_GROSS_TV",$AJ$4,$AJ$5)=0,"NA",_xll.ciqfunctions.udf.CIQ($AI17, "IQ_TR_TOTAL_GROSS_TV",,"USD"))</f>
        <v>#NAME?</v>
      </c>
      <c r="M17" s="126"/>
      <c r="N17" s="125" t="e">
        <f ca="1">_xll.ciqfunctions.udf.CIQ($AI17, "IQ_TR_TARGET_TOTAL_REV",,$AJ$4,$AJ$5)</f>
        <v>#NAME?</v>
      </c>
      <c r="O17" s="125" t="e">
        <f ca="1">_xll.ciqfunctions.udf.CIQ($AI17, "IQ_TR_TARGET_EBITDA", , $AJ$4,$AJ$5)</f>
        <v>#NAME?</v>
      </c>
      <c r="P17" s="125" t="e">
        <f ca="1">_xll.ciqfunctions.udf.CIQ($AI17, "IQ_TR_TARGET_EBIT", , $AJ$4,$AJ$5)</f>
        <v>#NAME?</v>
      </c>
      <c r="Q17" s="126"/>
      <c r="R17" s="127" t="str">
        <f t="shared" ca="1" si="0"/>
        <v>n/a</v>
      </c>
      <c r="S17" s="127" t="str">
        <f t="shared" ca="1" si="0"/>
        <v>n/a</v>
      </c>
      <c r="T17" s="127" t="str">
        <f t="shared" ca="1" si="0"/>
        <v>n/a</v>
      </c>
      <c r="U17" s="127" t="e">
        <f ca="1">IF(_xll.ciqfunctions.udf.CIQ($AI17, "IQ_TR_IMPLIED_EQ_BV")=0,"NA",_xll.ciqfunctions.udf.CIQ($AI17, "IQ_TR_IMPLIED_EQ_BV"))</f>
        <v>#NAME?</v>
      </c>
      <c r="V17" s="127" t="e">
        <f ca="1">IF(_xll.ciqfunctions.udf.CIQ($AI17, "IQ_TR_IMPLIED_EQ_NI_LTM")=0,"NA",_xll.ciqfunctions.udf.CIQ($AI17, "IQ_TR_IMPLIED_EQ_NI_LTM"))</f>
        <v>#NAME?</v>
      </c>
      <c r="W17" s="126"/>
      <c r="X17" s="125" t="e">
        <f ca="1">_xll.ciqfunctions.udf.CIQ($AI17, "IQ_TR_TARGET_REVENUE_EST",, $AJ$4,$AJ$5)</f>
        <v>#NAME?</v>
      </c>
      <c r="Y17" s="125" t="e">
        <f ca="1">_xll.ciqfunctions.udf.CIQ($AI17, "IQ_TR_TARGET_EBITDA_EST",, $AJ$4,$AJ$5)</f>
        <v>#NAME?</v>
      </c>
      <c r="Z17" s="125" t="e">
        <f ca="1">_xll.ciqfunctions.udf.CIQ(AI17, "IQ_TR_IMPLIED_EV_EBIT_FWD")</f>
        <v>#NAME?</v>
      </c>
      <c r="AA17" s="126"/>
      <c r="AB17" s="127" t="str">
        <f t="shared" ca="1" si="1"/>
        <v>n/a</v>
      </c>
      <c r="AC17" s="127" t="str">
        <f t="shared" ca="1" si="1"/>
        <v>n/a</v>
      </c>
      <c r="AD17" s="127" t="str">
        <f t="shared" ca="1" si="1"/>
        <v>n/a</v>
      </c>
      <c r="AF17" s="128" t="e">
        <f ca="1">IF((_xll.ciqfunctions.udf.CIQ($AI17, "IQ_TR_TARGET_STOCKPREMIUM_1W")/100)&lt;=0,"NM",_xll.ciqfunctions.udf.CIQ($AI17, "IQ_TR_TARGET_STOCKPREMIUM_1W")/100)</f>
        <v>#NAME?</v>
      </c>
      <c r="AG17" s="128" t="e">
        <f ca="1">IF((_xll.ciqfunctions.udf.CIQ($AI17, "IQ_TR_TARGET_STOCKPREMIUM_1M")/100)&lt;=0,"NM",_xll.ciqfunctions.udf.CIQ($AI17, "IQ_TR_TARGET_STOCKPREMIUM_1M")/100)</f>
        <v>#NAME?</v>
      </c>
      <c r="AI17" s="129">
        <f>+'Capital IQ Sheet-STM'!AK17</f>
        <v>0</v>
      </c>
      <c r="AJ17" s="122" t="e">
        <f ca="1">_xll.ciqfunctions.udf.CIQ(AI17, "IQ_BUSINESS_DESCRIPTION")</f>
        <v>#NAME?</v>
      </c>
    </row>
    <row r="18" spans="2:36" s="122" customFormat="1" ht="12.75" customHeight="1">
      <c r="B18" s="121" t="e">
        <f ca="1">_xll.ciqfunctions.udf.CIQ($AI18,"IQ_TR_CLOSED_DATE")</f>
        <v>#NAME?</v>
      </c>
      <c r="C18" s="122" t="e">
        <f ca="1">_xll.ciqfunctions.udf.CIQ($AI18,"IQ_TR_BUYERNAME")</f>
        <v>#NAME?</v>
      </c>
      <c r="D18" s="122" t="e">
        <f ca="1">_xll.ciqfunctions.udf.CIQ($AI18,"IQ_TR_TARGETNAME")</f>
        <v>#NAME?</v>
      </c>
      <c r="E18" s="122" t="e">
        <f ca="1">_xll.ciqfunctions.udf.CIQ($AI18, "IQ_PRIMARY_INDUSTRY")</f>
        <v>#NAME?</v>
      </c>
      <c r="F18" s="123" t="e">
        <f ca="1">_xll.ciqfunctions.udf.CIQ($AI18, "IQ_TR_PCT_SOUGHT")/100</f>
        <v>#NAME?</v>
      </c>
      <c r="G18" s="124" t="e">
        <f ca="1">_xll.ciqfunctions.udf.CIQ(AI18, "IQ_TR_MAJ_MIN_STAKE")</f>
        <v>#NAME?</v>
      </c>
      <c r="I18" s="125" t="e">
        <f ca="1">_xll.ciqfunctions.udf.CIQ($AI18, "IQ_TR_IMPLIED_EV_FINAL", , $AJ$4,$AJ$5)</f>
        <v>#NAME?</v>
      </c>
      <c r="J18" s="125" t="e">
        <f ca="1">IF(_xll.ciqfunctions.udf.CIQ(AI18, "IQ_TR_TOTAL_CASH")="n/a",0,_xll.ciqfunctions.udf.CIQ(AI18, "IQ_TR_TOTAL_CASH"))+IF(_xll.ciqfunctions.udf.CIQ(AI18, "IQ_TR_TOTAL_STOCK")="n/a",0,_xll.ciqfunctions.udf.CIQ(AI18, "IQ_TR_TOTAL_STOCK"))</f>
        <v>#NAME?</v>
      </c>
      <c r="K18" s="29" t="e">
        <f ca="1">_xll.ciqfunctions.udf.CIQ(AI18, "IQ_TR_EARNOUTS")</f>
        <v>#NAME?</v>
      </c>
      <c r="L18" s="125" t="e">
        <f ca="1">IF(_xll.ciqfunctions.udf.CIQ($AI18, "IQ_TR_TOTAL_GROSS_TV",$AJ$4,$AJ$5)=0,"NA",_xll.ciqfunctions.udf.CIQ($AI18, "IQ_TR_TOTAL_GROSS_TV",,"USD"))</f>
        <v>#NAME?</v>
      </c>
      <c r="M18" s="126"/>
      <c r="N18" s="125" t="e">
        <f ca="1">_xll.ciqfunctions.udf.CIQ($AI18, "IQ_TR_TARGET_TOTAL_REV",,$AJ$4,$AJ$5)</f>
        <v>#NAME?</v>
      </c>
      <c r="O18" s="125" t="e">
        <f ca="1">_xll.ciqfunctions.udf.CIQ($AI18, "IQ_TR_TARGET_EBITDA", , $AJ$4,$AJ$5)</f>
        <v>#NAME?</v>
      </c>
      <c r="P18" s="125" t="e">
        <f ca="1">_xll.ciqfunctions.udf.CIQ($AI18, "IQ_TR_TARGET_EBIT", , $AJ$4,$AJ$5)</f>
        <v>#NAME?</v>
      </c>
      <c r="Q18" s="126"/>
      <c r="R18" s="127" t="str">
        <f t="shared" ca="1" si="0"/>
        <v>n/a</v>
      </c>
      <c r="S18" s="127" t="str">
        <f t="shared" ca="1" si="0"/>
        <v>n/a</v>
      </c>
      <c r="T18" s="127" t="str">
        <f t="shared" ca="1" si="0"/>
        <v>n/a</v>
      </c>
      <c r="U18" s="127" t="e">
        <f ca="1">IF(_xll.ciqfunctions.udf.CIQ($AI18, "IQ_TR_IMPLIED_EQ_BV")=0,"NA",_xll.ciqfunctions.udf.CIQ($AI18, "IQ_TR_IMPLIED_EQ_BV"))</f>
        <v>#NAME?</v>
      </c>
      <c r="V18" s="127" t="e">
        <f ca="1">IF(_xll.ciqfunctions.udf.CIQ($AI18, "IQ_TR_IMPLIED_EQ_NI_LTM")=0,"NA",_xll.ciqfunctions.udf.CIQ($AI18, "IQ_TR_IMPLIED_EQ_NI_LTM"))</f>
        <v>#NAME?</v>
      </c>
      <c r="W18" s="126"/>
      <c r="X18" s="125" t="e">
        <f ca="1">_xll.ciqfunctions.udf.CIQ($AI18, "IQ_TR_TARGET_REVENUE_EST",, $AJ$4,$AJ$5)</f>
        <v>#NAME?</v>
      </c>
      <c r="Y18" s="125" t="e">
        <f ca="1">_xll.ciqfunctions.udf.CIQ($AI18, "IQ_TR_TARGET_EBITDA_EST",, $AJ$4,$AJ$5)</f>
        <v>#NAME?</v>
      </c>
      <c r="Z18" s="125" t="e">
        <f ca="1">_xll.ciqfunctions.udf.CIQ(AI18, "IQ_TR_IMPLIED_EV_EBIT_FWD")</f>
        <v>#NAME?</v>
      </c>
      <c r="AA18" s="126"/>
      <c r="AB18" s="127" t="str">
        <f t="shared" ca="1" si="1"/>
        <v>n/a</v>
      </c>
      <c r="AC18" s="127" t="str">
        <f t="shared" ca="1" si="1"/>
        <v>n/a</v>
      </c>
      <c r="AD18" s="127" t="str">
        <f t="shared" ca="1" si="1"/>
        <v>n/a</v>
      </c>
      <c r="AF18" s="128" t="e">
        <f ca="1">IF((_xll.ciqfunctions.udf.CIQ($AI18, "IQ_TR_TARGET_STOCKPREMIUM_1W")/100)&lt;=0,"NM",_xll.ciqfunctions.udf.CIQ($AI18, "IQ_TR_TARGET_STOCKPREMIUM_1W")/100)</f>
        <v>#NAME?</v>
      </c>
      <c r="AG18" s="128" t="e">
        <f ca="1">IF((_xll.ciqfunctions.udf.CIQ($AI18, "IQ_TR_TARGET_STOCKPREMIUM_1M")/100)&lt;=0,"NM",_xll.ciqfunctions.udf.CIQ($AI18, "IQ_TR_TARGET_STOCKPREMIUM_1M")/100)</f>
        <v>#NAME?</v>
      </c>
      <c r="AI18" s="129">
        <f>+'Capital IQ Sheet-STM'!AK18</f>
        <v>0</v>
      </c>
      <c r="AJ18" s="122" t="e">
        <f ca="1">_xll.ciqfunctions.udf.CIQ(AI18, "IQ_BUSINESS_DESCRIPTION")</f>
        <v>#NAME?</v>
      </c>
    </row>
    <row r="19" spans="2:36" s="122" customFormat="1" ht="12.75" customHeight="1">
      <c r="B19" s="121" t="e">
        <f ca="1">_xll.ciqfunctions.udf.CIQ($AI19,"IQ_TR_CLOSED_DATE")</f>
        <v>#NAME?</v>
      </c>
      <c r="C19" s="122" t="e">
        <f ca="1">_xll.ciqfunctions.udf.CIQ($AI19,"IQ_TR_BUYERNAME")</f>
        <v>#NAME?</v>
      </c>
      <c r="D19" s="122" t="e">
        <f ca="1">_xll.ciqfunctions.udf.CIQ($AI19,"IQ_TR_TARGETNAME")</f>
        <v>#NAME?</v>
      </c>
      <c r="E19" s="122" t="e">
        <f ca="1">_xll.ciqfunctions.udf.CIQ($AI19, "IQ_PRIMARY_INDUSTRY")</f>
        <v>#NAME?</v>
      </c>
      <c r="F19" s="123" t="e">
        <f ca="1">_xll.ciqfunctions.udf.CIQ($AI19, "IQ_TR_PCT_SOUGHT")/100</f>
        <v>#NAME?</v>
      </c>
      <c r="G19" s="124" t="e">
        <f ca="1">_xll.ciqfunctions.udf.CIQ(AI19, "IQ_TR_MAJ_MIN_STAKE")</f>
        <v>#NAME?</v>
      </c>
      <c r="I19" s="125" t="e">
        <f ca="1">_xll.ciqfunctions.udf.CIQ($AI19, "IQ_TR_IMPLIED_EV_FINAL", , $AJ$4,$AJ$5)</f>
        <v>#NAME?</v>
      </c>
      <c r="J19" s="125" t="e">
        <f ca="1">IF(_xll.ciqfunctions.udf.CIQ(AI19, "IQ_TR_TOTAL_CASH")="n/a",0,_xll.ciqfunctions.udf.CIQ(AI19, "IQ_TR_TOTAL_CASH"))+IF(_xll.ciqfunctions.udf.CIQ(AI19, "IQ_TR_TOTAL_STOCK")="n/a",0,_xll.ciqfunctions.udf.CIQ(AI19, "IQ_TR_TOTAL_STOCK"))</f>
        <v>#NAME?</v>
      </c>
      <c r="K19" s="29" t="e">
        <f ca="1">_xll.ciqfunctions.udf.CIQ(AI19, "IQ_TR_EARNOUTS")</f>
        <v>#NAME?</v>
      </c>
      <c r="L19" s="125" t="e">
        <f ca="1">IF(_xll.ciqfunctions.udf.CIQ($AI19, "IQ_TR_TOTAL_GROSS_TV",$AJ$4,$AJ$5)=0,"NA",_xll.ciqfunctions.udf.CIQ($AI19, "IQ_TR_TOTAL_GROSS_TV",,"USD"))</f>
        <v>#NAME?</v>
      </c>
      <c r="M19" s="126"/>
      <c r="N19" s="125" t="e">
        <f ca="1">_xll.ciqfunctions.udf.CIQ($AI19, "IQ_TR_TARGET_TOTAL_REV",,$AJ$4,$AJ$5)</f>
        <v>#NAME?</v>
      </c>
      <c r="O19" s="125" t="e">
        <f ca="1">_xll.ciqfunctions.udf.CIQ($AI19, "IQ_TR_TARGET_EBITDA", , $AJ$4,$AJ$5)</f>
        <v>#NAME?</v>
      </c>
      <c r="P19" s="125" t="e">
        <f ca="1">_xll.ciqfunctions.udf.CIQ($AI19, "IQ_TR_TARGET_EBIT", , $AJ$4,$AJ$5)</f>
        <v>#NAME?</v>
      </c>
      <c r="Q19" s="126"/>
      <c r="R19" s="127" t="str">
        <f t="shared" ca="1" si="0"/>
        <v>n/a</v>
      </c>
      <c r="S19" s="127" t="str">
        <f t="shared" ca="1" si="0"/>
        <v>n/a</v>
      </c>
      <c r="T19" s="127" t="str">
        <f t="shared" ca="1" si="0"/>
        <v>n/a</v>
      </c>
      <c r="U19" s="127" t="e">
        <f ca="1">IF(_xll.ciqfunctions.udf.CIQ($AI19, "IQ_TR_IMPLIED_EQ_BV")=0,"NA",_xll.ciqfunctions.udf.CIQ($AI19, "IQ_TR_IMPLIED_EQ_BV"))</f>
        <v>#NAME?</v>
      </c>
      <c r="V19" s="127" t="e">
        <f ca="1">IF(_xll.ciqfunctions.udf.CIQ($AI19, "IQ_TR_IMPLIED_EQ_NI_LTM")=0,"NA",_xll.ciqfunctions.udf.CIQ($AI19, "IQ_TR_IMPLIED_EQ_NI_LTM"))</f>
        <v>#NAME?</v>
      </c>
      <c r="W19" s="126"/>
      <c r="X19" s="125" t="e">
        <f ca="1">_xll.ciqfunctions.udf.CIQ($AI19, "IQ_TR_TARGET_REVENUE_EST",, $AJ$4,$AJ$5)</f>
        <v>#NAME?</v>
      </c>
      <c r="Y19" s="125" t="e">
        <f ca="1">_xll.ciqfunctions.udf.CIQ($AI19, "IQ_TR_TARGET_EBITDA_EST",, $AJ$4,$AJ$5)</f>
        <v>#NAME?</v>
      </c>
      <c r="Z19" s="125" t="e">
        <f ca="1">_xll.ciqfunctions.udf.CIQ(AI19, "IQ_TR_IMPLIED_EV_EBIT_FWD")</f>
        <v>#NAME?</v>
      </c>
      <c r="AA19" s="126"/>
      <c r="AB19" s="127" t="str">
        <f t="shared" ca="1" si="1"/>
        <v>n/a</v>
      </c>
      <c r="AC19" s="127" t="str">
        <f t="shared" ca="1" si="1"/>
        <v>n/a</v>
      </c>
      <c r="AD19" s="127" t="str">
        <f t="shared" ca="1" si="1"/>
        <v>n/a</v>
      </c>
      <c r="AF19" s="128" t="e">
        <f ca="1">IF((_xll.ciqfunctions.udf.CIQ($AI19, "IQ_TR_TARGET_STOCKPREMIUM_1W")/100)&lt;=0,"NM",_xll.ciqfunctions.udf.CIQ($AI19, "IQ_TR_TARGET_STOCKPREMIUM_1W")/100)</f>
        <v>#NAME?</v>
      </c>
      <c r="AG19" s="128" t="e">
        <f ca="1">IF((_xll.ciqfunctions.udf.CIQ($AI19, "IQ_TR_TARGET_STOCKPREMIUM_1M")/100)&lt;=0,"NM",_xll.ciqfunctions.udf.CIQ($AI19, "IQ_TR_TARGET_STOCKPREMIUM_1M")/100)</f>
        <v>#NAME?</v>
      </c>
      <c r="AI19" s="129">
        <f>+'Capital IQ Sheet-STM'!AK19</f>
        <v>0</v>
      </c>
      <c r="AJ19" s="122" t="e">
        <f ca="1">_xll.ciqfunctions.udf.CIQ(AI19, "IQ_BUSINESS_DESCRIPTION")</f>
        <v>#NAME?</v>
      </c>
    </row>
    <row r="20" spans="2:36" s="122" customFormat="1" ht="12.75" customHeight="1">
      <c r="B20" s="121" t="e">
        <f ca="1">_xll.ciqfunctions.udf.CIQ($AI20,"IQ_TR_CLOSED_DATE")</f>
        <v>#NAME?</v>
      </c>
      <c r="C20" s="122" t="e">
        <f ca="1">_xll.ciqfunctions.udf.CIQ($AI20,"IQ_TR_BUYERNAME")</f>
        <v>#NAME?</v>
      </c>
      <c r="D20" s="122" t="e">
        <f ca="1">_xll.ciqfunctions.udf.CIQ($AI20,"IQ_TR_TARGETNAME")</f>
        <v>#NAME?</v>
      </c>
      <c r="E20" s="122" t="e">
        <f ca="1">_xll.ciqfunctions.udf.CIQ($AI20, "IQ_PRIMARY_INDUSTRY")</f>
        <v>#NAME?</v>
      </c>
      <c r="F20" s="123" t="e">
        <f ca="1">_xll.ciqfunctions.udf.CIQ($AI20, "IQ_TR_PCT_SOUGHT")/100</f>
        <v>#NAME?</v>
      </c>
      <c r="G20" s="124" t="e">
        <f ca="1">_xll.ciqfunctions.udf.CIQ(AI20, "IQ_TR_MAJ_MIN_STAKE")</f>
        <v>#NAME?</v>
      </c>
      <c r="I20" s="125" t="e">
        <f ca="1">_xll.ciqfunctions.udf.CIQ($AI20, "IQ_TR_IMPLIED_EV_FINAL", , $AJ$4,$AJ$5)</f>
        <v>#NAME?</v>
      </c>
      <c r="J20" s="125" t="e">
        <f ca="1">IF(_xll.ciqfunctions.udf.CIQ(AI20, "IQ_TR_TOTAL_CASH")="n/a",0,_xll.ciqfunctions.udf.CIQ(AI20, "IQ_TR_TOTAL_CASH"))+IF(_xll.ciqfunctions.udf.CIQ(AI20, "IQ_TR_TOTAL_STOCK")="n/a",0,_xll.ciqfunctions.udf.CIQ(AI20, "IQ_TR_TOTAL_STOCK"))</f>
        <v>#NAME?</v>
      </c>
      <c r="K20" s="29" t="e">
        <f ca="1">_xll.ciqfunctions.udf.CIQ(AI20, "IQ_TR_EARNOUTS")</f>
        <v>#NAME?</v>
      </c>
      <c r="L20" s="125" t="e">
        <f ca="1">IF(_xll.ciqfunctions.udf.CIQ($AI20, "IQ_TR_TOTAL_GROSS_TV",$AJ$4,$AJ$5)=0,"NA",_xll.ciqfunctions.udf.CIQ($AI20, "IQ_TR_TOTAL_GROSS_TV",,"USD"))</f>
        <v>#NAME?</v>
      </c>
      <c r="M20" s="126"/>
      <c r="N20" s="125" t="e">
        <f ca="1">_xll.ciqfunctions.udf.CIQ($AI20, "IQ_TR_TARGET_TOTAL_REV",,$AJ$4,$AJ$5)</f>
        <v>#NAME?</v>
      </c>
      <c r="O20" s="125" t="e">
        <f ca="1">_xll.ciqfunctions.udf.CIQ($AI20, "IQ_TR_TARGET_EBITDA", , $AJ$4,$AJ$5)</f>
        <v>#NAME?</v>
      </c>
      <c r="P20" s="125" t="e">
        <f ca="1">_xll.ciqfunctions.udf.CIQ($AI20, "IQ_TR_TARGET_EBIT", , $AJ$4,$AJ$5)</f>
        <v>#NAME?</v>
      </c>
      <c r="Q20" s="126"/>
      <c r="R20" s="127" t="str">
        <f t="shared" ca="1" si="0"/>
        <v>n/a</v>
      </c>
      <c r="S20" s="127" t="str">
        <f t="shared" ca="1" si="0"/>
        <v>n/a</v>
      </c>
      <c r="T20" s="127" t="str">
        <f t="shared" ca="1" si="0"/>
        <v>n/a</v>
      </c>
      <c r="U20" s="127" t="e">
        <f ca="1">IF(_xll.ciqfunctions.udf.CIQ($AI20, "IQ_TR_IMPLIED_EQ_BV")=0,"NA",_xll.ciqfunctions.udf.CIQ($AI20, "IQ_TR_IMPLIED_EQ_BV"))</f>
        <v>#NAME?</v>
      </c>
      <c r="V20" s="127" t="e">
        <f ca="1">IF(_xll.ciqfunctions.udf.CIQ($AI20, "IQ_TR_IMPLIED_EQ_NI_LTM")=0,"NA",_xll.ciqfunctions.udf.CIQ($AI20, "IQ_TR_IMPLIED_EQ_NI_LTM"))</f>
        <v>#NAME?</v>
      </c>
      <c r="W20" s="126"/>
      <c r="X20" s="125" t="e">
        <f ca="1">_xll.ciqfunctions.udf.CIQ($AI20, "IQ_TR_TARGET_REVENUE_EST",, $AJ$4,$AJ$5)</f>
        <v>#NAME?</v>
      </c>
      <c r="Y20" s="125" t="e">
        <f ca="1">_xll.ciqfunctions.udf.CIQ($AI20, "IQ_TR_TARGET_EBITDA_EST",, $AJ$4,$AJ$5)</f>
        <v>#NAME?</v>
      </c>
      <c r="Z20" s="125" t="e">
        <f ca="1">_xll.ciqfunctions.udf.CIQ(AI20, "IQ_TR_IMPLIED_EV_EBIT_FWD")</f>
        <v>#NAME?</v>
      </c>
      <c r="AA20" s="126"/>
      <c r="AB20" s="127" t="str">
        <f t="shared" ca="1" si="1"/>
        <v>n/a</v>
      </c>
      <c r="AC20" s="127" t="str">
        <f t="shared" ca="1" si="1"/>
        <v>n/a</v>
      </c>
      <c r="AD20" s="127" t="str">
        <f t="shared" ca="1" si="1"/>
        <v>n/a</v>
      </c>
      <c r="AF20" s="128" t="e">
        <f ca="1">IF((_xll.ciqfunctions.udf.CIQ($AI20, "IQ_TR_TARGET_STOCKPREMIUM_1W")/100)&lt;=0,"NM",_xll.ciqfunctions.udf.CIQ($AI20, "IQ_TR_TARGET_STOCKPREMIUM_1W")/100)</f>
        <v>#NAME?</v>
      </c>
      <c r="AG20" s="128" t="e">
        <f ca="1">IF((_xll.ciqfunctions.udf.CIQ($AI20, "IQ_TR_TARGET_STOCKPREMIUM_1M")/100)&lt;=0,"NM",_xll.ciqfunctions.udf.CIQ($AI20, "IQ_TR_TARGET_STOCKPREMIUM_1M")/100)</f>
        <v>#NAME?</v>
      </c>
      <c r="AI20" s="129">
        <f>+'Capital IQ Sheet-STM'!AK20</f>
        <v>0</v>
      </c>
      <c r="AJ20" s="122" t="e">
        <f ca="1">_xll.ciqfunctions.udf.CIQ(AI20, "IQ_BUSINESS_DESCRIPTION")</f>
        <v>#NAME?</v>
      </c>
    </row>
    <row r="21" spans="2:36" s="122" customFormat="1" ht="12.75" customHeight="1">
      <c r="B21" s="121" t="e">
        <f ca="1">_xll.ciqfunctions.udf.CIQ($AI21,"IQ_TR_CLOSED_DATE")</f>
        <v>#NAME?</v>
      </c>
      <c r="C21" s="122" t="e">
        <f ca="1">_xll.ciqfunctions.udf.CIQ($AI21,"IQ_TR_BUYERNAME")</f>
        <v>#NAME?</v>
      </c>
      <c r="D21" s="122" t="e">
        <f ca="1">_xll.ciqfunctions.udf.CIQ($AI21,"IQ_TR_TARGETNAME")</f>
        <v>#NAME?</v>
      </c>
      <c r="E21" s="122" t="e">
        <f ca="1">_xll.ciqfunctions.udf.CIQ($AI21, "IQ_PRIMARY_INDUSTRY")</f>
        <v>#NAME?</v>
      </c>
      <c r="F21" s="123" t="e">
        <f ca="1">_xll.ciqfunctions.udf.CIQ($AI21, "IQ_TR_PCT_SOUGHT")/100</f>
        <v>#NAME?</v>
      </c>
      <c r="G21" s="124" t="e">
        <f ca="1">_xll.ciqfunctions.udf.CIQ(AI21, "IQ_TR_MAJ_MIN_STAKE")</f>
        <v>#NAME?</v>
      </c>
      <c r="I21" s="125" t="e">
        <f ca="1">_xll.ciqfunctions.udf.CIQ($AI21, "IQ_TR_IMPLIED_EV_FINAL", , $AJ$4,$AJ$5)</f>
        <v>#NAME?</v>
      </c>
      <c r="J21" s="125" t="e">
        <f ca="1">IF(_xll.ciqfunctions.udf.CIQ(AI21, "IQ_TR_TOTAL_CASH")="n/a",0,_xll.ciqfunctions.udf.CIQ(AI21, "IQ_TR_TOTAL_CASH"))+IF(_xll.ciqfunctions.udf.CIQ(AI21, "IQ_TR_TOTAL_STOCK")="n/a",0,_xll.ciqfunctions.udf.CIQ(AI21, "IQ_TR_TOTAL_STOCK"))</f>
        <v>#NAME?</v>
      </c>
      <c r="K21" s="29" t="e">
        <f ca="1">_xll.ciqfunctions.udf.CIQ(AI21, "IQ_TR_EARNOUTS")</f>
        <v>#NAME?</v>
      </c>
      <c r="L21" s="125" t="e">
        <f ca="1">IF(_xll.ciqfunctions.udf.CIQ($AI21, "IQ_TR_TOTAL_GROSS_TV",$AJ$4,$AJ$5)=0,"NA",_xll.ciqfunctions.udf.CIQ($AI21, "IQ_TR_TOTAL_GROSS_TV",,"USD"))</f>
        <v>#NAME?</v>
      </c>
      <c r="M21" s="126"/>
      <c r="N21" s="125" t="e">
        <f ca="1">_xll.ciqfunctions.udf.CIQ($AI21, "IQ_TR_TARGET_TOTAL_REV",,$AJ$4,$AJ$5)</f>
        <v>#NAME?</v>
      </c>
      <c r="O21" s="125" t="e">
        <f ca="1">_xll.ciqfunctions.udf.CIQ($AI21, "IQ_TR_TARGET_EBITDA", , $AJ$4,$AJ$5)</f>
        <v>#NAME?</v>
      </c>
      <c r="P21" s="125" t="e">
        <f ca="1">_xll.ciqfunctions.udf.CIQ($AI21, "IQ_TR_TARGET_EBIT", , $AJ$4,$AJ$5)</f>
        <v>#NAME?</v>
      </c>
      <c r="Q21" s="126"/>
      <c r="R21" s="127" t="str">
        <f t="shared" ca="1" si="0"/>
        <v>n/a</v>
      </c>
      <c r="S21" s="127" t="str">
        <f t="shared" ca="1" si="0"/>
        <v>n/a</v>
      </c>
      <c r="T21" s="127" t="str">
        <f t="shared" ca="1" si="0"/>
        <v>n/a</v>
      </c>
      <c r="U21" s="127" t="e">
        <f ca="1">IF(_xll.ciqfunctions.udf.CIQ($AI21, "IQ_TR_IMPLIED_EQ_BV")=0,"NA",_xll.ciqfunctions.udf.CIQ($AI21, "IQ_TR_IMPLIED_EQ_BV"))</f>
        <v>#NAME?</v>
      </c>
      <c r="V21" s="127" t="e">
        <f ca="1">IF(_xll.ciqfunctions.udf.CIQ($AI21, "IQ_TR_IMPLIED_EQ_NI_LTM")=0,"NA",_xll.ciqfunctions.udf.CIQ($AI21, "IQ_TR_IMPLIED_EQ_NI_LTM"))</f>
        <v>#NAME?</v>
      </c>
      <c r="W21" s="126"/>
      <c r="X21" s="125" t="e">
        <f ca="1">_xll.ciqfunctions.udf.CIQ($AI21, "IQ_TR_TARGET_REVENUE_EST",, $AJ$4,$AJ$5)</f>
        <v>#NAME?</v>
      </c>
      <c r="Y21" s="125" t="e">
        <f ca="1">_xll.ciqfunctions.udf.CIQ($AI21, "IQ_TR_TARGET_EBITDA_EST",, $AJ$4,$AJ$5)</f>
        <v>#NAME?</v>
      </c>
      <c r="Z21" s="125" t="e">
        <f ca="1">_xll.ciqfunctions.udf.CIQ(AI21, "IQ_TR_IMPLIED_EV_EBIT_FWD")</f>
        <v>#NAME?</v>
      </c>
      <c r="AA21" s="126"/>
      <c r="AB21" s="127" t="str">
        <f t="shared" ca="1" si="1"/>
        <v>n/a</v>
      </c>
      <c r="AC21" s="127" t="str">
        <f t="shared" ca="1" si="1"/>
        <v>n/a</v>
      </c>
      <c r="AD21" s="127" t="str">
        <f t="shared" ca="1" si="1"/>
        <v>n/a</v>
      </c>
      <c r="AF21" s="128" t="e">
        <f ca="1">IF((_xll.ciqfunctions.udf.CIQ($AI21, "IQ_TR_TARGET_STOCKPREMIUM_1W")/100)&lt;=0,"NM",_xll.ciqfunctions.udf.CIQ($AI21, "IQ_TR_TARGET_STOCKPREMIUM_1W")/100)</f>
        <v>#NAME?</v>
      </c>
      <c r="AG21" s="128" t="e">
        <f ca="1">IF((_xll.ciqfunctions.udf.CIQ($AI21, "IQ_TR_TARGET_STOCKPREMIUM_1M")/100)&lt;=0,"NM",_xll.ciqfunctions.udf.CIQ($AI21, "IQ_TR_TARGET_STOCKPREMIUM_1M")/100)</f>
        <v>#NAME?</v>
      </c>
      <c r="AI21" s="129">
        <f>+'Capital IQ Sheet-STM'!AK21</f>
        <v>0</v>
      </c>
      <c r="AJ21" s="122" t="e">
        <f ca="1">_xll.ciqfunctions.udf.CIQ(AI21, "IQ_BUSINESS_DESCRIPTION")</f>
        <v>#NAME?</v>
      </c>
    </row>
    <row r="22" spans="2:36" s="122" customFormat="1" ht="12.75" customHeight="1">
      <c r="B22" s="121" t="e">
        <f ca="1">_xll.ciqfunctions.udf.CIQ($AI22,"IQ_TR_CLOSED_DATE")</f>
        <v>#NAME?</v>
      </c>
      <c r="C22" s="122" t="e">
        <f ca="1">_xll.ciqfunctions.udf.CIQ($AI22,"IQ_TR_BUYERNAME")</f>
        <v>#NAME?</v>
      </c>
      <c r="D22" s="122" t="e">
        <f ca="1">_xll.ciqfunctions.udf.CIQ($AI22,"IQ_TR_TARGETNAME")</f>
        <v>#NAME?</v>
      </c>
      <c r="E22" s="122" t="e">
        <f ca="1">_xll.ciqfunctions.udf.CIQ($AI22, "IQ_PRIMARY_INDUSTRY")</f>
        <v>#NAME?</v>
      </c>
      <c r="F22" s="123" t="e">
        <f ca="1">_xll.ciqfunctions.udf.CIQ($AI22, "IQ_TR_PCT_SOUGHT")/100</f>
        <v>#NAME?</v>
      </c>
      <c r="G22" s="124" t="e">
        <f ca="1">_xll.ciqfunctions.udf.CIQ(AI22, "IQ_TR_MAJ_MIN_STAKE")</f>
        <v>#NAME?</v>
      </c>
      <c r="I22" s="125" t="e">
        <f ca="1">_xll.ciqfunctions.udf.CIQ($AI22, "IQ_TR_IMPLIED_EV_FINAL", , $AJ$4,$AJ$5)</f>
        <v>#NAME?</v>
      </c>
      <c r="J22" s="125" t="e">
        <f ca="1">IF(_xll.ciqfunctions.udf.CIQ(AI22, "IQ_TR_TOTAL_CASH")="n/a",0,_xll.ciqfunctions.udf.CIQ(AI22, "IQ_TR_TOTAL_CASH"))+IF(_xll.ciqfunctions.udf.CIQ(AI22, "IQ_TR_TOTAL_STOCK")="n/a",0,_xll.ciqfunctions.udf.CIQ(AI22, "IQ_TR_TOTAL_STOCK"))</f>
        <v>#NAME?</v>
      </c>
      <c r="K22" s="29" t="e">
        <f ca="1">_xll.ciqfunctions.udf.CIQ(AI22, "IQ_TR_EARNOUTS")</f>
        <v>#NAME?</v>
      </c>
      <c r="L22" s="125" t="e">
        <f ca="1">IF(_xll.ciqfunctions.udf.CIQ($AI22, "IQ_TR_TOTAL_GROSS_TV",$AJ$4,$AJ$5)=0,"NA",_xll.ciqfunctions.udf.CIQ($AI22, "IQ_TR_TOTAL_GROSS_TV",,"USD"))</f>
        <v>#NAME?</v>
      </c>
      <c r="M22" s="126"/>
      <c r="N22" s="125" t="e">
        <f ca="1">_xll.ciqfunctions.udf.CIQ($AI22, "IQ_TR_TARGET_TOTAL_REV",,$AJ$4,$AJ$5)</f>
        <v>#NAME?</v>
      </c>
      <c r="O22" s="125" t="e">
        <f ca="1">_xll.ciqfunctions.udf.CIQ($AI22, "IQ_TR_TARGET_EBITDA", , $AJ$4,$AJ$5)</f>
        <v>#NAME?</v>
      </c>
      <c r="P22" s="125" t="e">
        <f ca="1">_xll.ciqfunctions.udf.CIQ($AI22, "IQ_TR_TARGET_EBIT", , $AJ$4,$AJ$5)</f>
        <v>#NAME?</v>
      </c>
      <c r="Q22" s="126"/>
      <c r="R22" s="127" t="str">
        <f t="shared" ca="1" si="0"/>
        <v>n/a</v>
      </c>
      <c r="S22" s="127" t="str">
        <f t="shared" ca="1" si="0"/>
        <v>n/a</v>
      </c>
      <c r="T22" s="127" t="str">
        <f t="shared" ca="1" si="0"/>
        <v>n/a</v>
      </c>
      <c r="U22" s="127" t="e">
        <f ca="1">IF(_xll.ciqfunctions.udf.CIQ($AI22, "IQ_TR_IMPLIED_EQ_BV")=0,"NA",_xll.ciqfunctions.udf.CIQ($AI22, "IQ_TR_IMPLIED_EQ_BV"))</f>
        <v>#NAME?</v>
      </c>
      <c r="V22" s="127" t="e">
        <f ca="1">IF(_xll.ciqfunctions.udf.CIQ($AI22, "IQ_TR_IMPLIED_EQ_NI_LTM")=0,"NA",_xll.ciqfunctions.udf.CIQ($AI22, "IQ_TR_IMPLIED_EQ_NI_LTM"))</f>
        <v>#NAME?</v>
      </c>
      <c r="W22" s="126"/>
      <c r="X22" s="125" t="e">
        <f ca="1">_xll.ciqfunctions.udf.CIQ($AI22, "IQ_TR_TARGET_REVENUE_EST",, $AJ$4,$AJ$5)</f>
        <v>#NAME?</v>
      </c>
      <c r="Y22" s="125" t="e">
        <f ca="1">_xll.ciqfunctions.udf.CIQ($AI22, "IQ_TR_TARGET_EBITDA_EST",, $AJ$4,$AJ$5)</f>
        <v>#NAME?</v>
      </c>
      <c r="Z22" s="125" t="e">
        <f ca="1">_xll.ciqfunctions.udf.CIQ(AI22, "IQ_TR_IMPLIED_EV_EBIT_FWD")</f>
        <v>#NAME?</v>
      </c>
      <c r="AA22" s="126"/>
      <c r="AB22" s="127" t="str">
        <f t="shared" ca="1" si="1"/>
        <v>n/a</v>
      </c>
      <c r="AC22" s="127" t="str">
        <f t="shared" ca="1" si="1"/>
        <v>n/a</v>
      </c>
      <c r="AD22" s="127" t="str">
        <f t="shared" ca="1" si="1"/>
        <v>n/a</v>
      </c>
      <c r="AF22" s="128" t="e">
        <f ca="1">IF((_xll.ciqfunctions.udf.CIQ($AI22, "IQ_TR_TARGET_STOCKPREMIUM_1W")/100)&lt;=0,"NM",_xll.ciqfunctions.udf.CIQ($AI22, "IQ_TR_TARGET_STOCKPREMIUM_1W")/100)</f>
        <v>#NAME?</v>
      </c>
      <c r="AG22" s="128" t="e">
        <f ca="1">IF((_xll.ciqfunctions.udf.CIQ($AI22, "IQ_TR_TARGET_STOCKPREMIUM_1M")/100)&lt;=0,"NM",_xll.ciqfunctions.udf.CIQ($AI22, "IQ_TR_TARGET_STOCKPREMIUM_1M")/100)</f>
        <v>#NAME?</v>
      </c>
      <c r="AI22" s="129">
        <f>+'Capital IQ Sheet-STM'!AK22</f>
        <v>0</v>
      </c>
      <c r="AJ22" s="122" t="e">
        <f ca="1">_xll.ciqfunctions.udf.CIQ(AI22, "IQ_BUSINESS_DESCRIPTION")</f>
        <v>#NAME?</v>
      </c>
    </row>
    <row r="23" spans="2:36" s="122" customFormat="1" ht="12.75" customHeight="1">
      <c r="B23" s="121" t="e">
        <f ca="1">_xll.ciqfunctions.udf.CIQ($AI23,"IQ_TR_CLOSED_DATE")</f>
        <v>#NAME?</v>
      </c>
      <c r="C23" s="122" t="e">
        <f ca="1">_xll.ciqfunctions.udf.CIQ($AI23,"IQ_TR_BUYERNAME")</f>
        <v>#NAME?</v>
      </c>
      <c r="D23" s="122" t="e">
        <f ca="1">_xll.ciqfunctions.udf.CIQ($AI23,"IQ_TR_TARGETNAME")</f>
        <v>#NAME?</v>
      </c>
      <c r="E23" s="122" t="e">
        <f ca="1">_xll.ciqfunctions.udf.CIQ($AI23, "IQ_PRIMARY_INDUSTRY")</f>
        <v>#NAME?</v>
      </c>
      <c r="F23" s="123" t="e">
        <f ca="1">_xll.ciqfunctions.udf.CIQ($AI23, "IQ_TR_PCT_SOUGHT")/100</f>
        <v>#NAME?</v>
      </c>
      <c r="G23" s="124" t="e">
        <f ca="1">_xll.ciqfunctions.udf.CIQ(AI23, "IQ_TR_MAJ_MIN_STAKE")</f>
        <v>#NAME?</v>
      </c>
      <c r="I23" s="125" t="e">
        <f ca="1">_xll.ciqfunctions.udf.CIQ($AI23, "IQ_TR_IMPLIED_EV_FINAL", , $AJ$4,$AJ$5)</f>
        <v>#NAME?</v>
      </c>
      <c r="J23" s="125" t="e">
        <f ca="1">IF(_xll.ciqfunctions.udf.CIQ(AI23, "IQ_TR_TOTAL_CASH")="n/a",0,_xll.ciqfunctions.udf.CIQ(AI23, "IQ_TR_TOTAL_CASH"))+IF(_xll.ciqfunctions.udf.CIQ(AI23, "IQ_TR_TOTAL_STOCK")="n/a",0,_xll.ciqfunctions.udf.CIQ(AI23, "IQ_TR_TOTAL_STOCK"))</f>
        <v>#NAME?</v>
      </c>
      <c r="K23" s="29" t="e">
        <f ca="1">_xll.ciqfunctions.udf.CIQ(AI23, "IQ_TR_EARNOUTS")</f>
        <v>#NAME?</v>
      </c>
      <c r="L23" s="125" t="e">
        <f ca="1">IF(_xll.ciqfunctions.udf.CIQ($AI23, "IQ_TR_TOTAL_GROSS_TV",$AJ$4,$AJ$5)=0,"NA",_xll.ciqfunctions.udf.CIQ($AI23, "IQ_TR_TOTAL_GROSS_TV",,"USD"))</f>
        <v>#NAME?</v>
      </c>
      <c r="M23" s="126"/>
      <c r="N23" s="125" t="e">
        <f ca="1">_xll.ciqfunctions.udf.CIQ($AI23, "IQ_TR_TARGET_TOTAL_REV",,$AJ$4,$AJ$5)</f>
        <v>#NAME?</v>
      </c>
      <c r="O23" s="125" t="e">
        <f ca="1">_xll.ciqfunctions.udf.CIQ($AI23, "IQ_TR_TARGET_EBITDA", , $AJ$4,$AJ$5)</f>
        <v>#NAME?</v>
      </c>
      <c r="P23" s="125" t="e">
        <f ca="1">_xll.ciqfunctions.udf.CIQ($AI23, "IQ_TR_TARGET_EBIT", , $AJ$4,$AJ$5)</f>
        <v>#NAME?</v>
      </c>
      <c r="Q23" s="126"/>
      <c r="R23" s="127" t="str">
        <f t="shared" ca="1" si="0"/>
        <v>n/a</v>
      </c>
      <c r="S23" s="127" t="str">
        <f t="shared" ca="1" si="0"/>
        <v>n/a</v>
      </c>
      <c r="T23" s="127" t="str">
        <f t="shared" ca="1" si="0"/>
        <v>n/a</v>
      </c>
      <c r="U23" s="127" t="e">
        <f ca="1">IF(_xll.ciqfunctions.udf.CIQ($AI23, "IQ_TR_IMPLIED_EQ_BV")=0,"NA",_xll.ciqfunctions.udf.CIQ($AI23, "IQ_TR_IMPLIED_EQ_BV"))</f>
        <v>#NAME?</v>
      </c>
      <c r="V23" s="127" t="e">
        <f ca="1">IF(_xll.ciqfunctions.udf.CIQ($AI23, "IQ_TR_IMPLIED_EQ_NI_LTM")=0,"NA",_xll.ciqfunctions.udf.CIQ($AI23, "IQ_TR_IMPLIED_EQ_NI_LTM"))</f>
        <v>#NAME?</v>
      </c>
      <c r="W23" s="126"/>
      <c r="X23" s="125" t="e">
        <f ca="1">_xll.ciqfunctions.udf.CIQ($AI23, "IQ_TR_TARGET_REVENUE_EST",, $AJ$4,$AJ$5)</f>
        <v>#NAME?</v>
      </c>
      <c r="Y23" s="125" t="e">
        <f ca="1">_xll.ciqfunctions.udf.CIQ($AI23, "IQ_TR_TARGET_EBITDA_EST",, $AJ$4,$AJ$5)</f>
        <v>#NAME?</v>
      </c>
      <c r="Z23" s="125" t="e">
        <f ca="1">_xll.ciqfunctions.udf.CIQ(AI23, "IQ_TR_IMPLIED_EV_EBIT_FWD")</f>
        <v>#NAME?</v>
      </c>
      <c r="AA23" s="126"/>
      <c r="AB23" s="127" t="str">
        <f t="shared" ca="1" si="1"/>
        <v>n/a</v>
      </c>
      <c r="AC23" s="127" t="str">
        <f t="shared" ca="1" si="1"/>
        <v>n/a</v>
      </c>
      <c r="AD23" s="127" t="str">
        <f t="shared" ca="1" si="1"/>
        <v>n/a</v>
      </c>
      <c r="AF23" s="128" t="e">
        <f ca="1">IF((_xll.ciqfunctions.udf.CIQ($AI23, "IQ_TR_TARGET_STOCKPREMIUM_1W")/100)&lt;=0,"NM",_xll.ciqfunctions.udf.CIQ($AI23, "IQ_TR_TARGET_STOCKPREMIUM_1W")/100)</f>
        <v>#NAME?</v>
      </c>
      <c r="AG23" s="128" t="e">
        <f ca="1">IF((_xll.ciqfunctions.udf.CIQ($AI23, "IQ_TR_TARGET_STOCKPREMIUM_1M")/100)&lt;=0,"NM",_xll.ciqfunctions.udf.CIQ($AI23, "IQ_TR_TARGET_STOCKPREMIUM_1M")/100)</f>
        <v>#NAME?</v>
      </c>
      <c r="AI23" s="129">
        <f>+'Capital IQ Sheet-STM'!AK23</f>
        <v>0</v>
      </c>
      <c r="AJ23" s="122" t="e">
        <f ca="1">_xll.ciqfunctions.udf.CIQ(AI23, "IQ_BUSINESS_DESCRIPTION")</f>
        <v>#NAME?</v>
      </c>
    </row>
    <row r="24" spans="2:36" s="122" customFormat="1" ht="12.75" customHeight="1">
      <c r="B24" s="121" t="e">
        <f ca="1">_xll.ciqfunctions.udf.CIQ($AI24,"IQ_TR_CLOSED_DATE")</f>
        <v>#NAME?</v>
      </c>
      <c r="C24" s="122" t="e">
        <f ca="1">_xll.ciqfunctions.udf.CIQ($AI24,"IQ_TR_BUYERNAME")</f>
        <v>#NAME?</v>
      </c>
      <c r="D24" s="122" t="e">
        <f ca="1">_xll.ciqfunctions.udf.CIQ($AI24,"IQ_TR_TARGETNAME")</f>
        <v>#NAME?</v>
      </c>
      <c r="E24" s="122" t="e">
        <f ca="1">_xll.ciqfunctions.udf.CIQ($AI24, "IQ_PRIMARY_INDUSTRY")</f>
        <v>#NAME?</v>
      </c>
      <c r="F24" s="123" t="e">
        <f ca="1">_xll.ciqfunctions.udf.CIQ($AI24, "IQ_TR_PCT_SOUGHT")/100</f>
        <v>#NAME?</v>
      </c>
      <c r="G24" s="124" t="e">
        <f ca="1">_xll.ciqfunctions.udf.CIQ(AI24, "IQ_TR_MAJ_MIN_STAKE")</f>
        <v>#NAME?</v>
      </c>
      <c r="I24" s="125" t="e">
        <f ca="1">_xll.ciqfunctions.udf.CIQ($AI24, "IQ_TR_IMPLIED_EV_FINAL", , $AJ$4,$AJ$5)</f>
        <v>#NAME?</v>
      </c>
      <c r="J24" s="125" t="e">
        <f ca="1">IF(_xll.ciqfunctions.udf.CIQ(AI24, "IQ_TR_TOTAL_CASH")="n/a",0,_xll.ciqfunctions.udf.CIQ(AI24, "IQ_TR_TOTAL_CASH"))+IF(_xll.ciqfunctions.udf.CIQ(AI24, "IQ_TR_TOTAL_STOCK")="n/a",0,_xll.ciqfunctions.udf.CIQ(AI24, "IQ_TR_TOTAL_STOCK"))</f>
        <v>#NAME?</v>
      </c>
      <c r="K24" s="29" t="e">
        <f ca="1">_xll.ciqfunctions.udf.CIQ(AI24, "IQ_TR_EARNOUTS")</f>
        <v>#NAME?</v>
      </c>
      <c r="L24" s="125" t="e">
        <f ca="1">IF(_xll.ciqfunctions.udf.CIQ($AI24, "IQ_TR_TOTAL_GROSS_TV",$AJ$4,$AJ$5)=0,"NA",_xll.ciqfunctions.udf.CIQ($AI24, "IQ_TR_TOTAL_GROSS_TV",,"USD"))</f>
        <v>#NAME?</v>
      </c>
      <c r="M24" s="126"/>
      <c r="N24" s="125" t="e">
        <f ca="1">_xll.ciqfunctions.udf.CIQ($AI24, "IQ_TR_TARGET_TOTAL_REV",,$AJ$4,$AJ$5)</f>
        <v>#NAME?</v>
      </c>
      <c r="O24" s="125" t="e">
        <f ca="1">_xll.ciqfunctions.udf.CIQ($AI24, "IQ_TR_TARGET_EBITDA", , $AJ$4,$AJ$5)</f>
        <v>#NAME?</v>
      </c>
      <c r="P24" s="125" t="e">
        <f ca="1">_xll.ciqfunctions.udf.CIQ($AI24, "IQ_TR_TARGET_EBIT", , $AJ$4,$AJ$5)</f>
        <v>#NAME?</v>
      </c>
      <c r="Q24" s="126"/>
      <c r="R24" s="127" t="str">
        <f t="shared" ca="1" si="0"/>
        <v>n/a</v>
      </c>
      <c r="S24" s="127" t="str">
        <f t="shared" ca="1" si="0"/>
        <v>n/a</v>
      </c>
      <c r="T24" s="127" t="str">
        <f t="shared" ca="1" si="0"/>
        <v>n/a</v>
      </c>
      <c r="U24" s="127" t="e">
        <f ca="1">IF(_xll.ciqfunctions.udf.CIQ($AI24, "IQ_TR_IMPLIED_EQ_BV")=0,"NA",_xll.ciqfunctions.udf.CIQ($AI24, "IQ_TR_IMPLIED_EQ_BV"))</f>
        <v>#NAME?</v>
      </c>
      <c r="V24" s="127" t="e">
        <f ca="1">IF(_xll.ciqfunctions.udf.CIQ($AI24, "IQ_TR_IMPLIED_EQ_NI_LTM")=0,"NA",_xll.ciqfunctions.udf.CIQ($AI24, "IQ_TR_IMPLIED_EQ_NI_LTM"))</f>
        <v>#NAME?</v>
      </c>
      <c r="W24" s="126"/>
      <c r="X24" s="125" t="e">
        <f ca="1">_xll.ciqfunctions.udf.CIQ($AI24, "IQ_TR_TARGET_REVENUE_EST",, $AJ$4,$AJ$5)</f>
        <v>#NAME?</v>
      </c>
      <c r="Y24" s="125" t="e">
        <f ca="1">_xll.ciqfunctions.udf.CIQ($AI24, "IQ_TR_TARGET_EBITDA_EST",, $AJ$4,$AJ$5)</f>
        <v>#NAME?</v>
      </c>
      <c r="Z24" s="125" t="e">
        <f ca="1">_xll.ciqfunctions.udf.CIQ(AI24, "IQ_TR_IMPLIED_EV_EBIT_FWD")</f>
        <v>#NAME?</v>
      </c>
      <c r="AA24" s="126"/>
      <c r="AB24" s="127" t="str">
        <f t="shared" ca="1" si="1"/>
        <v>n/a</v>
      </c>
      <c r="AC24" s="127" t="str">
        <f t="shared" ca="1" si="1"/>
        <v>n/a</v>
      </c>
      <c r="AD24" s="127" t="str">
        <f t="shared" ca="1" si="1"/>
        <v>n/a</v>
      </c>
      <c r="AF24" s="128" t="e">
        <f ca="1">IF((_xll.ciqfunctions.udf.CIQ($AI24, "IQ_TR_TARGET_STOCKPREMIUM_1W")/100)&lt;=0,"NM",_xll.ciqfunctions.udf.CIQ($AI24, "IQ_TR_TARGET_STOCKPREMIUM_1W")/100)</f>
        <v>#NAME?</v>
      </c>
      <c r="AG24" s="128" t="e">
        <f ca="1">IF((_xll.ciqfunctions.udf.CIQ($AI24, "IQ_TR_TARGET_STOCKPREMIUM_1M")/100)&lt;=0,"NM",_xll.ciqfunctions.udf.CIQ($AI24, "IQ_TR_TARGET_STOCKPREMIUM_1M")/100)</f>
        <v>#NAME?</v>
      </c>
      <c r="AI24" s="129">
        <f>+'Capital IQ Sheet-STM'!AK24</f>
        <v>0</v>
      </c>
      <c r="AJ24" s="122" t="e">
        <f ca="1">_xll.ciqfunctions.udf.CIQ(AI24, "IQ_BUSINESS_DESCRIPTION")</f>
        <v>#NAME?</v>
      </c>
    </row>
    <row r="25" spans="2:36" s="122" customFormat="1" ht="12.75" customHeight="1">
      <c r="B25" s="121" t="e">
        <f ca="1">_xll.ciqfunctions.udf.CIQ($AI25,"IQ_TR_CLOSED_DATE")</f>
        <v>#NAME?</v>
      </c>
      <c r="C25" s="122" t="e">
        <f ca="1">_xll.ciqfunctions.udf.CIQ($AI25,"IQ_TR_BUYERNAME")</f>
        <v>#NAME?</v>
      </c>
      <c r="D25" s="122" t="e">
        <f ca="1">_xll.ciqfunctions.udf.CIQ($AI25,"IQ_TR_TARGETNAME")</f>
        <v>#NAME?</v>
      </c>
      <c r="E25" s="122" t="e">
        <f ca="1">_xll.ciqfunctions.udf.CIQ($AI25, "IQ_PRIMARY_INDUSTRY")</f>
        <v>#NAME?</v>
      </c>
      <c r="F25" s="123" t="e">
        <f ca="1">_xll.ciqfunctions.udf.CIQ($AI25, "IQ_TR_PCT_SOUGHT")/100</f>
        <v>#NAME?</v>
      </c>
      <c r="G25" s="124" t="e">
        <f ca="1">_xll.ciqfunctions.udf.CIQ(AI25, "IQ_TR_MAJ_MIN_STAKE")</f>
        <v>#NAME?</v>
      </c>
      <c r="I25" s="125" t="e">
        <f ca="1">_xll.ciqfunctions.udf.CIQ($AI25, "IQ_TR_IMPLIED_EV_FINAL", , $AJ$4,$AJ$5)</f>
        <v>#NAME?</v>
      </c>
      <c r="J25" s="125" t="e">
        <f ca="1">IF(_xll.ciqfunctions.udf.CIQ(AI25, "IQ_TR_TOTAL_CASH")="n/a",0,_xll.ciqfunctions.udf.CIQ(AI25, "IQ_TR_TOTAL_CASH"))+IF(_xll.ciqfunctions.udf.CIQ(AI25, "IQ_TR_TOTAL_STOCK")="n/a",0,_xll.ciqfunctions.udf.CIQ(AI25, "IQ_TR_TOTAL_STOCK"))</f>
        <v>#NAME?</v>
      </c>
      <c r="K25" s="29" t="e">
        <f ca="1">_xll.ciqfunctions.udf.CIQ(AI25, "IQ_TR_EARNOUTS")</f>
        <v>#NAME?</v>
      </c>
      <c r="L25" s="125" t="e">
        <f ca="1">IF(_xll.ciqfunctions.udf.CIQ($AI25, "IQ_TR_TOTAL_GROSS_TV",$AJ$4,$AJ$5)=0,"NA",_xll.ciqfunctions.udf.CIQ($AI25, "IQ_TR_TOTAL_GROSS_TV",,"USD"))</f>
        <v>#NAME?</v>
      </c>
      <c r="M25" s="126"/>
      <c r="N25" s="125" t="e">
        <f ca="1">_xll.ciqfunctions.udf.CIQ($AI25, "IQ_TR_TARGET_TOTAL_REV",,$AJ$4,$AJ$5)</f>
        <v>#NAME?</v>
      </c>
      <c r="O25" s="125" t="e">
        <f ca="1">_xll.ciqfunctions.udf.CIQ($AI25, "IQ_TR_TARGET_EBITDA", , $AJ$4,$AJ$5)</f>
        <v>#NAME?</v>
      </c>
      <c r="P25" s="125" t="e">
        <f ca="1">_xll.ciqfunctions.udf.CIQ($AI25, "IQ_TR_TARGET_EBIT", , $AJ$4,$AJ$5)</f>
        <v>#NAME?</v>
      </c>
      <c r="Q25" s="126"/>
      <c r="R25" s="127" t="str">
        <f t="shared" ca="1" si="0"/>
        <v>n/a</v>
      </c>
      <c r="S25" s="127" t="str">
        <f t="shared" ca="1" si="0"/>
        <v>n/a</v>
      </c>
      <c r="T25" s="127" t="str">
        <f t="shared" ca="1" si="0"/>
        <v>n/a</v>
      </c>
      <c r="U25" s="127" t="e">
        <f ca="1">IF(_xll.ciqfunctions.udf.CIQ($AI25, "IQ_TR_IMPLIED_EQ_BV")=0,"NA",_xll.ciqfunctions.udf.CIQ($AI25, "IQ_TR_IMPLIED_EQ_BV"))</f>
        <v>#NAME?</v>
      </c>
      <c r="V25" s="127" t="e">
        <f ca="1">IF(_xll.ciqfunctions.udf.CIQ($AI25, "IQ_TR_IMPLIED_EQ_NI_LTM")=0,"NA",_xll.ciqfunctions.udf.CIQ($AI25, "IQ_TR_IMPLIED_EQ_NI_LTM"))</f>
        <v>#NAME?</v>
      </c>
      <c r="W25" s="126"/>
      <c r="X25" s="125" t="e">
        <f ca="1">_xll.ciqfunctions.udf.CIQ($AI25, "IQ_TR_TARGET_REVENUE_EST",, $AJ$4,$AJ$5)</f>
        <v>#NAME?</v>
      </c>
      <c r="Y25" s="125" t="e">
        <f ca="1">_xll.ciqfunctions.udf.CIQ($AI25, "IQ_TR_TARGET_EBITDA_EST",, $AJ$4,$AJ$5)</f>
        <v>#NAME?</v>
      </c>
      <c r="Z25" s="125" t="e">
        <f ca="1">_xll.ciqfunctions.udf.CIQ(AI25, "IQ_TR_IMPLIED_EV_EBIT_FWD")</f>
        <v>#NAME?</v>
      </c>
      <c r="AA25" s="126"/>
      <c r="AB25" s="127" t="str">
        <f t="shared" ca="1" si="1"/>
        <v>n/a</v>
      </c>
      <c r="AC25" s="127" t="str">
        <f t="shared" ca="1" si="1"/>
        <v>n/a</v>
      </c>
      <c r="AD25" s="127" t="str">
        <f t="shared" ca="1" si="1"/>
        <v>n/a</v>
      </c>
      <c r="AF25" s="128" t="e">
        <f ca="1">IF((_xll.ciqfunctions.udf.CIQ($AI25, "IQ_TR_TARGET_STOCKPREMIUM_1W")/100)&lt;=0,"NM",_xll.ciqfunctions.udf.CIQ($AI25, "IQ_TR_TARGET_STOCKPREMIUM_1W")/100)</f>
        <v>#NAME?</v>
      </c>
      <c r="AG25" s="128" t="e">
        <f ca="1">IF((_xll.ciqfunctions.udf.CIQ($AI25, "IQ_TR_TARGET_STOCKPREMIUM_1M")/100)&lt;=0,"NM",_xll.ciqfunctions.udf.CIQ($AI25, "IQ_TR_TARGET_STOCKPREMIUM_1M")/100)</f>
        <v>#NAME?</v>
      </c>
      <c r="AI25" s="129">
        <f>+'Capital IQ Sheet-STM'!AK25</f>
        <v>0</v>
      </c>
      <c r="AJ25" s="122" t="e">
        <f ca="1">_xll.ciqfunctions.udf.CIQ(AI25, "IQ_BUSINESS_DESCRIPTION")</f>
        <v>#NAME?</v>
      </c>
    </row>
    <row r="26" spans="2:36" s="122" customFormat="1" ht="12.75" customHeight="1">
      <c r="B26" s="121" t="e">
        <f ca="1">_xll.ciqfunctions.udf.CIQ($AI26,"IQ_TR_CLOSED_DATE")</f>
        <v>#NAME?</v>
      </c>
      <c r="C26" s="122" t="e">
        <f ca="1">_xll.ciqfunctions.udf.CIQ($AI26,"IQ_TR_BUYERNAME")</f>
        <v>#NAME?</v>
      </c>
      <c r="D26" s="122" t="e">
        <f ca="1">_xll.ciqfunctions.udf.CIQ($AI26,"IQ_TR_TARGETNAME")</f>
        <v>#NAME?</v>
      </c>
      <c r="E26" s="122" t="e">
        <f ca="1">_xll.ciqfunctions.udf.CIQ($AI26, "IQ_PRIMARY_INDUSTRY")</f>
        <v>#NAME?</v>
      </c>
      <c r="F26" s="123" t="e">
        <f ca="1">_xll.ciqfunctions.udf.CIQ($AI26, "IQ_TR_PCT_SOUGHT")/100</f>
        <v>#NAME?</v>
      </c>
      <c r="G26" s="124" t="e">
        <f ca="1">_xll.ciqfunctions.udf.CIQ(AI26, "IQ_TR_MAJ_MIN_STAKE")</f>
        <v>#NAME?</v>
      </c>
      <c r="I26" s="125" t="e">
        <f ca="1">_xll.ciqfunctions.udf.CIQ($AI26, "IQ_TR_IMPLIED_EV_FINAL", , $AJ$4,$AJ$5)</f>
        <v>#NAME?</v>
      </c>
      <c r="J26" s="125" t="e">
        <f ca="1">IF(_xll.ciqfunctions.udf.CIQ(AI26, "IQ_TR_TOTAL_CASH")="n/a",0,_xll.ciqfunctions.udf.CIQ(AI26, "IQ_TR_TOTAL_CASH"))+IF(_xll.ciqfunctions.udf.CIQ(AI26, "IQ_TR_TOTAL_STOCK")="n/a",0,_xll.ciqfunctions.udf.CIQ(AI26, "IQ_TR_TOTAL_STOCK"))</f>
        <v>#NAME?</v>
      </c>
      <c r="K26" s="29" t="e">
        <f ca="1">_xll.ciqfunctions.udf.CIQ(AI26, "IQ_TR_EARNOUTS")</f>
        <v>#NAME?</v>
      </c>
      <c r="L26" s="125" t="e">
        <f ca="1">IF(_xll.ciqfunctions.udf.CIQ($AI26, "IQ_TR_TOTAL_GROSS_TV",$AJ$4,$AJ$5)=0,"NA",_xll.ciqfunctions.udf.CIQ($AI26, "IQ_TR_TOTAL_GROSS_TV",,"USD"))</f>
        <v>#NAME?</v>
      </c>
      <c r="M26" s="126"/>
      <c r="N26" s="125" t="e">
        <f ca="1">_xll.ciqfunctions.udf.CIQ($AI26, "IQ_TR_TARGET_TOTAL_REV",,$AJ$4,$AJ$5)</f>
        <v>#NAME?</v>
      </c>
      <c r="O26" s="125" t="e">
        <f ca="1">_xll.ciqfunctions.udf.CIQ($AI26, "IQ_TR_TARGET_EBITDA", , $AJ$4,$AJ$5)</f>
        <v>#NAME?</v>
      </c>
      <c r="P26" s="125" t="e">
        <f ca="1">_xll.ciqfunctions.udf.CIQ($AI26, "IQ_TR_TARGET_EBIT", , $AJ$4,$AJ$5)</f>
        <v>#NAME?</v>
      </c>
      <c r="Q26" s="126"/>
      <c r="R26" s="127" t="str">
        <f t="shared" ca="1" si="0"/>
        <v>n/a</v>
      </c>
      <c r="S26" s="127" t="str">
        <f t="shared" ca="1" si="0"/>
        <v>n/a</v>
      </c>
      <c r="T26" s="127" t="str">
        <f t="shared" ca="1" si="0"/>
        <v>n/a</v>
      </c>
      <c r="U26" s="127" t="e">
        <f ca="1">IF(_xll.ciqfunctions.udf.CIQ($AI26, "IQ_TR_IMPLIED_EQ_BV")=0,"NA",_xll.ciqfunctions.udf.CIQ($AI26, "IQ_TR_IMPLIED_EQ_BV"))</f>
        <v>#NAME?</v>
      </c>
      <c r="V26" s="127" t="e">
        <f ca="1">IF(_xll.ciqfunctions.udf.CIQ($AI26, "IQ_TR_IMPLIED_EQ_NI_LTM")=0,"NA",_xll.ciqfunctions.udf.CIQ($AI26, "IQ_TR_IMPLIED_EQ_NI_LTM"))</f>
        <v>#NAME?</v>
      </c>
      <c r="W26" s="126"/>
      <c r="X26" s="125" t="e">
        <f ca="1">_xll.ciqfunctions.udf.CIQ($AI26, "IQ_TR_TARGET_REVENUE_EST",, $AJ$4,$AJ$5)</f>
        <v>#NAME?</v>
      </c>
      <c r="Y26" s="125" t="e">
        <f ca="1">_xll.ciqfunctions.udf.CIQ($AI26, "IQ_TR_TARGET_EBITDA_EST",, $AJ$4,$AJ$5)</f>
        <v>#NAME?</v>
      </c>
      <c r="Z26" s="125" t="e">
        <f ca="1">_xll.ciqfunctions.udf.CIQ(AI26, "IQ_TR_IMPLIED_EV_EBIT_FWD")</f>
        <v>#NAME?</v>
      </c>
      <c r="AA26" s="126"/>
      <c r="AB26" s="127" t="str">
        <f t="shared" ca="1" si="1"/>
        <v>n/a</v>
      </c>
      <c r="AC26" s="127" t="str">
        <f t="shared" ca="1" si="1"/>
        <v>n/a</v>
      </c>
      <c r="AD26" s="127" t="str">
        <f t="shared" ca="1" si="1"/>
        <v>n/a</v>
      </c>
      <c r="AF26" s="128" t="e">
        <f ca="1">IF((_xll.ciqfunctions.udf.CIQ($AI26, "IQ_TR_TARGET_STOCKPREMIUM_1W")/100)&lt;=0,"NM",_xll.ciqfunctions.udf.CIQ($AI26, "IQ_TR_TARGET_STOCKPREMIUM_1W")/100)</f>
        <v>#NAME?</v>
      </c>
      <c r="AG26" s="128" t="e">
        <f ca="1">IF((_xll.ciqfunctions.udf.CIQ($AI26, "IQ_TR_TARGET_STOCKPREMIUM_1M")/100)&lt;=0,"NM",_xll.ciqfunctions.udf.CIQ($AI26, "IQ_TR_TARGET_STOCKPREMIUM_1M")/100)</f>
        <v>#NAME?</v>
      </c>
      <c r="AI26" s="129">
        <f>+'Capital IQ Sheet-STM'!AK26</f>
        <v>0</v>
      </c>
      <c r="AJ26" s="122" t="e">
        <f ca="1">_xll.ciqfunctions.udf.CIQ(AI26, "IQ_BUSINESS_DESCRIPTION")</f>
        <v>#NAME?</v>
      </c>
    </row>
    <row r="27" spans="2:36" s="122" customFormat="1" ht="12.75" customHeight="1">
      <c r="B27" s="121" t="e">
        <f ca="1">_xll.ciqfunctions.udf.CIQ($AI27,"IQ_TR_CLOSED_DATE")</f>
        <v>#NAME?</v>
      </c>
      <c r="C27" s="122" t="e">
        <f ca="1">_xll.ciqfunctions.udf.CIQ($AI27,"IQ_TR_BUYERNAME")</f>
        <v>#NAME?</v>
      </c>
      <c r="D27" s="122" t="e">
        <f ca="1">_xll.ciqfunctions.udf.CIQ($AI27,"IQ_TR_TARGETNAME")</f>
        <v>#NAME?</v>
      </c>
      <c r="E27" s="122" t="e">
        <f ca="1">_xll.ciqfunctions.udf.CIQ($AI27, "IQ_PRIMARY_INDUSTRY")</f>
        <v>#NAME?</v>
      </c>
      <c r="F27" s="123" t="e">
        <f ca="1">_xll.ciqfunctions.udf.CIQ($AI27, "IQ_TR_PCT_SOUGHT")/100</f>
        <v>#NAME?</v>
      </c>
      <c r="G27" s="124" t="e">
        <f ca="1">_xll.ciqfunctions.udf.CIQ(AI27, "IQ_TR_MAJ_MIN_STAKE")</f>
        <v>#NAME?</v>
      </c>
      <c r="I27" s="125" t="e">
        <f ca="1">_xll.ciqfunctions.udf.CIQ($AI27, "IQ_TR_IMPLIED_EV_FINAL", , $AJ$4,$AJ$5)</f>
        <v>#NAME?</v>
      </c>
      <c r="J27" s="125" t="e">
        <f ca="1">IF(_xll.ciqfunctions.udf.CIQ(AI27, "IQ_TR_TOTAL_CASH")="n/a",0,_xll.ciqfunctions.udf.CIQ(AI27, "IQ_TR_TOTAL_CASH"))+IF(_xll.ciqfunctions.udf.CIQ(AI27, "IQ_TR_TOTAL_STOCK")="n/a",0,_xll.ciqfunctions.udf.CIQ(AI27, "IQ_TR_TOTAL_STOCK"))</f>
        <v>#NAME?</v>
      </c>
      <c r="K27" s="29" t="e">
        <f ca="1">_xll.ciqfunctions.udf.CIQ(AI27, "IQ_TR_EARNOUTS")</f>
        <v>#NAME?</v>
      </c>
      <c r="L27" s="125" t="e">
        <f ca="1">IF(_xll.ciqfunctions.udf.CIQ($AI27, "IQ_TR_TOTAL_GROSS_TV",$AJ$4,$AJ$5)=0,"NA",_xll.ciqfunctions.udf.CIQ($AI27, "IQ_TR_TOTAL_GROSS_TV",,"USD"))</f>
        <v>#NAME?</v>
      </c>
      <c r="M27" s="126"/>
      <c r="N27" s="125" t="e">
        <f ca="1">_xll.ciqfunctions.udf.CIQ($AI27, "IQ_TR_TARGET_TOTAL_REV",,$AJ$4,$AJ$5)</f>
        <v>#NAME?</v>
      </c>
      <c r="O27" s="125" t="e">
        <f ca="1">_xll.ciqfunctions.udf.CIQ($AI27, "IQ_TR_TARGET_EBITDA", , $AJ$4,$AJ$5)</f>
        <v>#NAME?</v>
      </c>
      <c r="P27" s="125" t="e">
        <f ca="1">_xll.ciqfunctions.udf.CIQ($AI27, "IQ_TR_TARGET_EBIT", , $AJ$4,$AJ$5)</f>
        <v>#NAME?</v>
      </c>
      <c r="Q27" s="126"/>
      <c r="R27" s="127" t="str">
        <f t="shared" ca="1" si="0"/>
        <v>n/a</v>
      </c>
      <c r="S27" s="127" t="str">
        <f t="shared" ca="1" si="0"/>
        <v>n/a</v>
      </c>
      <c r="T27" s="127" t="str">
        <f t="shared" ca="1" si="0"/>
        <v>n/a</v>
      </c>
      <c r="U27" s="127" t="e">
        <f ca="1">IF(_xll.ciqfunctions.udf.CIQ($AI27, "IQ_TR_IMPLIED_EQ_BV")=0,"NA",_xll.ciqfunctions.udf.CIQ($AI27, "IQ_TR_IMPLIED_EQ_BV"))</f>
        <v>#NAME?</v>
      </c>
      <c r="V27" s="127" t="e">
        <f ca="1">IF(_xll.ciqfunctions.udf.CIQ($AI27, "IQ_TR_IMPLIED_EQ_NI_LTM")=0,"NA",_xll.ciqfunctions.udf.CIQ($AI27, "IQ_TR_IMPLIED_EQ_NI_LTM"))</f>
        <v>#NAME?</v>
      </c>
      <c r="W27" s="126"/>
      <c r="X27" s="125" t="e">
        <f ca="1">_xll.ciqfunctions.udf.CIQ($AI27, "IQ_TR_TARGET_REVENUE_EST",, $AJ$4,$AJ$5)</f>
        <v>#NAME?</v>
      </c>
      <c r="Y27" s="125" t="e">
        <f ca="1">_xll.ciqfunctions.udf.CIQ($AI27, "IQ_TR_TARGET_EBITDA_EST",, $AJ$4,$AJ$5)</f>
        <v>#NAME?</v>
      </c>
      <c r="Z27" s="125" t="e">
        <f ca="1">_xll.ciqfunctions.udf.CIQ(AI27, "IQ_TR_IMPLIED_EV_EBIT_FWD")</f>
        <v>#NAME?</v>
      </c>
      <c r="AA27" s="126"/>
      <c r="AB27" s="127" t="str">
        <f t="shared" ca="1" si="1"/>
        <v>n/a</v>
      </c>
      <c r="AC27" s="127" t="str">
        <f t="shared" ca="1" si="1"/>
        <v>n/a</v>
      </c>
      <c r="AD27" s="127" t="str">
        <f t="shared" ca="1" si="1"/>
        <v>n/a</v>
      </c>
      <c r="AF27" s="128" t="e">
        <f ca="1">IF((_xll.ciqfunctions.udf.CIQ($AI27, "IQ_TR_TARGET_STOCKPREMIUM_1W")/100)&lt;=0,"NM",_xll.ciqfunctions.udf.CIQ($AI27, "IQ_TR_TARGET_STOCKPREMIUM_1W")/100)</f>
        <v>#NAME?</v>
      </c>
      <c r="AG27" s="128" t="e">
        <f ca="1">IF((_xll.ciqfunctions.udf.CIQ($AI27, "IQ_TR_TARGET_STOCKPREMIUM_1M")/100)&lt;=0,"NM",_xll.ciqfunctions.udf.CIQ($AI27, "IQ_TR_TARGET_STOCKPREMIUM_1M")/100)</f>
        <v>#NAME?</v>
      </c>
      <c r="AI27" s="129">
        <f>+'Capital IQ Sheet-STM'!AK27</f>
        <v>0</v>
      </c>
      <c r="AJ27" s="122" t="e">
        <f ca="1">_xll.ciqfunctions.udf.CIQ(AI27, "IQ_BUSINESS_DESCRIPTION")</f>
        <v>#NAME?</v>
      </c>
    </row>
    <row r="28" spans="2:36" s="122" customFormat="1" ht="12.75" customHeight="1">
      <c r="B28" s="121" t="e">
        <f ca="1">_xll.ciqfunctions.udf.CIQ($AI28,"IQ_TR_CLOSED_DATE")</f>
        <v>#NAME?</v>
      </c>
      <c r="C28" s="122" t="e">
        <f ca="1">_xll.ciqfunctions.udf.CIQ($AI28,"IQ_TR_BUYERNAME")</f>
        <v>#NAME?</v>
      </c>
      <c r="D28" s="122" t="e">
        <f ca="1">_xll.ciqfunctions.udf.CIQ($AI28,"IQ_TR_TARGETNAME")</f>
        <v>#NAME?</v>
      </c>
      <c r="E28" s="122" t="e">
        <f ca="1">_xll.ciqfunctions.udf.CIQ($AI28, "IQ_PRIMARY_INDUSTRY")</f>
        <v>#NAME?</v>
      </c>
      <c r="F28" s="123" t="e">
        <f ca="1">_xll.ciqfunctions.udf.CIQ($AI28, "IQ_TR_PCT_SOUGHT")/100</f>
        <v>#NAME?</v>
      </c>
      <c r="G28" s="124" t="e">
        <f ca="1">_xll.ciqfunctions.udf.CIQ(AI28, "IQ_TR_MAJ_MIN_STAKE")</f>
        <v>#NAME?</v>
      </c>
      <c r="I28" s="125" t="e">
        <f ca="1">_xll.ciqfunctions.udf.CIQ($AI28, "IQ_TR_IMPLIED_EV_FINAL", , $AJ$4,$AJ$5)</f>
        <v>#NAME?</v>
      </c>
      <c r="J28" s="125" t="e">
        <f ca="1">IF(_xll.ciqfunctions.udf.CIQ(AI28, "IQ_TR_TOTAL_CASH")="n/a",0,_xll.ciqfunctions.udf.CIQ(AI28, "IQ_TR_TOTAL_CASH"))+IF(_xll.ciqfunctions.udf.CIQ(AI28, "IQ_TR_TOTAL_STOCK")="n/a",0,_xll.ciqfunctions.udf.CIQ(AI28, "IQ_TR_TOTAL_STOCK"))</f>
        <v>#NAME?</v>
      </c>
      <c r="K28" s="29" t="e">
        <f ca="1">_xll.ciqfunctions.udf.CIQ(AI28, "IQ_TR_EARNOUTS")</f>
        <v>#NAME?</v>
      </c>
      <c r="L28" s="125" t="e">
        <f ca="1">IF(_xll.ciqfunctions.udf.CIQ($AI28, "IQ_TR_TOTAL_GROSS_TV",$AJ$4,$AJ$5)=0,"NA",_xll.ciqfunctions.udf.CIQ($AI28, "IQ_TR_TOTAL_GROSS_TV",,"USD"))</f>
        <v>#NAME?</v>
      </c>
      <c r="M28" s="126"/>
      <c r="N28" s="125" t="e">
        <f ca="1">_xll.ciqfunctions.udf.CIQ($AI28, "IQ_TR_TARGET_TOTAL_REV",,$AJ$4,$AJ$5)</f>
        <v>#NAME?</v>
      </c>
      <c r="O28" s="125" t="e">
        <f ca="1">_xll.ciqfunctions.udf.CIQ($AI28, "IQ_TR_TARGET_EBITDA", , $AJ$4,$AJ$5)</f>
        <v>#NAME?</v>
      </c>
      <c r="P28" s="125" t="e">
        <f ca="1">_xll.ciqfunctions.udf.CIQ($AI28, "IQ_TR_TARGET_EBIT", , $AJ$4,$AJ$5)</f>
        <v>#NAME?</v>
      </c>
      <c r="Q28" s="126"/>
      <c r="R28" s="127" t="str">
        <f t="shared" ca="1" si="0"/>
        <v>n/a</v>
      </c>
      <c r="S28" s="127" t="str">
        <f t="shared" ca="1" si="0"/>
        <v>n/a</v>
      </c>
      <c r="T28" s="127" t="str">
        <f t="shared" ca="1" si="0"/>
        <v>n/a</v>
      </c>
      <c r="U28" s="127" t="e">
        <f ca="1">IF(_xll.ciqfunctions.udf.CIQ($AI28, "IQ_TR_IMPLIED_EQ_BV")=0,"NA",_xll.ciqfunctions.udf.CIQ($AI28, "IQ_TR_IMPLIED_EQ_BV"))</f>
        <v>#NAME?</v>
      </c>
      <c r="V28" s="127" t="e">
        <f ca="1">IF(_xll.ciqfunctions.udf.CIQ($AI28, "IQ_TR_IMPLIED_EQ_NI_LTM")=0,"NA",_xll.ciqfunctions.udf.CIQ($AI28, "IQ_TR_IMPLIED_EQ_NI_LTM"))</f>
        <v>#NAME?</v>
      </c>
      <c r="W28" s="126"/>
      <c r="X28" s="125" t="e">
        <f ca="1">_xll.ciqfunctions.udf.CIQ($AI28, "IQ_TR_TARGET_REVENUE_EST",, $AJ$4,$AJ$5)</f>
        <v>#NAME?</v>
      </c>
      <c r="Y28" s="125" t="e">
        <f ca="1">_xll.ciqfunctions.udf.CIQ($AI28, "IQ_TR_TARGET_EBITDA_EST",, $AJ$4,$AJ$5)</f>
        <v>#NAME?</v>
      </c>
      <c r="Z28" s="125" t="e">
        <f ca="1">_xll.ciqfunctions.udf.CIQ(AI28, "IQ_TR_IMPLIED_EV_EBIT_FWD")</f>
        <v>#NAME?</v>
      </c>
      <c r="AA28" s="126"/>
      <c r="AB28" s="127" t="str">
        <f t="shared" ca="1" si="1"/>
        <v>n/a</v>
      </c>
      <c r="AC28" s="127" t="str">
        <f t="shared" ca="1" si="1"/>
        <v>n/a</v>
      </c>
      <c r="AD28" s="127" t="str">
        <f t="shared" ca="1" si="1"/>
        <v>n/a</v>
      </c>
      <c r="AF28" s="128" t="e">
        <f ca="1">IF((_xll.ciqfunctions.udf.CIQ($AI28, "IQ_TR_TARGET_STOCKPREMIUM_1W")/100)&lt;=0,"NM",_xll.ciqfunctions.udf.CIQ($AI28, "IQ_TR_TARGET_STOCKPREMIUM_1W")/100)</f>
        <v>#NAME?</v>
      </c>
      <c r="AG28" s="128" t="e">
        <f ca="1">IF((_xll.ciqfunctions.udf.CIQ($AI28, "IQ_TR_TARGET_STOCKPREMIUM_1M")/100)&lt;=0,"NM",_xll.ciqfunctions.udf.CIQ($AI28, "IQ_TR_TARGET_STOCKPREMIUM_1M")/100)</f>
        <v>#NAME?</v>
      </c>
      <c r="AI28" s="129">
        <f>+'Capital IQ Sheet-STM'!AK28</f>
        <v>0</v>
      </c>
      <c r="AJ28" s="122" t="e">
        <f ca="1">_xll.ciqfunctions.udf.CIQ(AI28, "IQ_BUSINESS_DESCRIPTION")</f>
        <v>#NAME?</v>
      </c>
    </row>
    <row r="29" spans="2:36" s="122" customFormat="1" ht="12.75" customHeight="1">
      <c r="B29" s="121" t="e">
        <f ca="1">_xll.ciqfunctions.udf.CIQ($AI29,"IQ_TR_CLOSED_DATE")</f>
        <v>#NAME?</v>
      </c>
      <c r="C29" s="122" t="e">
        <f ca="1">_xll.ciqfunctions.udf.CIQ($AI29,"IQ_TR_BUYERNAME")</f>
        <v>#NAME?</v>
      </c>
      <c r="D29" s="122" t="e">
        <f ca="1">_xll.ciqfunctions.udf.CIQ($AI29,"IQ_TR_TARGETNAME")</f>
        <v>#NAME?</v>
      </c>
      <c r="E29" s="122" t="e">
        <f ca="1">_xll.ciqfunctions.udf.CIQ($AI29, "IQ_PRIMARY_INDUSTRY")</f>
        <v>#NAME?</v>
      </c>
      <c r="F29" s="123" t="e">
        <f ca="1">_xll.ciqfunctions.udf.CIQ($AI29, "IQ_TR_PCT_SOUGHT")/100</f>
        <v>#NAME?</v>
      </c>
      <c r="G29" s="124" t="e">
        <f ca="1">_xll.ciqfunctions.udf.CIQ(AI29, "IQ_TR_MAJ_MIN_STAKE")</f>
        <v>#NAME?</v>
      </c>
      <c r="I29" s="125" t="e">
        <f ca="1">_xll.ciqfunctions.udf.CIQ($AI29, "IQ_TR_IMPLIED_EV_FINAL", , $AJ$4,$AJ$5)</f>
        <v>#NAME?</v>
      </c>
      <c r="J29" s="125" t="e">
        <f ca="1">IF(_xll.ciqfunctions.udf.CIQ(AI29, "IQ_TR_TOTAL_CASH")="n/a",0,_xll.ciqfunctions.udf.CIQ(AI29, "IQ_TR_TOTAL_CASH"))+IF(_xll.ciqfunctions.udf.CIQ(AI29, "IQ_TR_TOTAL_STOCK")="n/a",0,_xll.ciqfunctions.udf.CIQ(AI29, "IQ_TR_TOTAL_STOCK"))</f>
        <v>#NAME?</v>
      </c>
      <c r="K29" s="29" t="e">
        <f ca="1">_xll.ciqfunctions.udf.CIQ(AI29, "IQ_TR_EARNOUTS")</f>
        <v>#NAME?</v>
      </c>
      <c r="L29" s="125" t="e">
        <f ca="1">IF(_xll.ciqfunctions.udf.CIQ($AI29, "IQ_TR_TOTAL_GROSS_TV",$AJ$4,$AJ$5)=0,"NA",_xll.ciqfunctions.udf.CIQ($AI29, "IQ_TR_TOTAL_GROSS_TV",,"USD"))</f>
        <v>#NAME?</v>
      </c>
      <c r="M29" s="126"/>
      <c r="N29" s="125" t="e">
        <f ca="1">_xll.ciqfunctions.udf.CIQ($AI29, "IQ_TR_TARGET_TOTAL_REV",,$AJ$4,$AJ$5)</f>
        <v>#NAME?</v>
      </c>
      <c r="O29" s="125" t="e">
        <f ca="1">_xll.ciqfunctions.udf.CIQ($AI29, "IQ_TR_TARGET_EBITDA", , $AJ$4,$AJ$5)</f>
        <v>#NAME?</v>
      </c>
      <c r="P29" s="125" t="e">
        <f ca="1">_xll.ciqfunctions.udf.CIQ($AI29, "IQ_TR_TARGET_EBIT", , $AJ$4,$AJ$5)</f>
        <v>#NAME?</v>
      </c>
      <c r="Q29" s="126"/>
      <c r="R29" s="127" t="str">
        <f t="shared" ca="1" si="0"/>
        <v>n/a</v>
      </c>
      <c r="S29" s="127" t="str">
        <f t="shared" ca="1" si="0"/>
        <v>n/a</v>
      </c>
      <c r="T29" s="127" t="str">
        <f t="shared" ca="1" si="0"/>
        <v>n/a</v>
      </c>
      <c r="U29" s="127" t="e">
        <f ca="1">IF(_xll.ciqfunctions.udf.CIQ($AI29, "IQ_TR_IMPLIED_EQ_BV")=0,"NA",_xll.ciqfunctions.udf.CIQ($AI29, "IQ_TR_IMPLIED_EQ_BV"))</f>
        <v>#NAME?</v>
      </c>
      <c r="V29" s="127" t="e">
        <f ca="1">IF(_xll.ciqfunctions.udf.CIQ($AI29, "IQ_TR_IMPLIED_EQ_NI_LTM")=0,"NA",_xll.ciqfunctions.udf.CIQ($AI29, "IQ_TR_IMPLIED_EQ_NI_LTM"))</f>
        <v>#NAME?</v>
      </c>
      <c r="W29" s="126"/>
      <c r="X29" s="125" t="e">
        <f ca="1">_xll.ciqfunctions.udf.CIQ($AI29, "IQ_TR_TARGET_REVENUE_EST",, $AJ$4,$AJ$5)</f>
        <v>#NAME?</v>
      </c>
      <c r="Y29" s="125" t="e">
        <f ca="1">_xll.ciqfunctions.udf.CIQ($AI29, "IQ_TR_TARGET_EBITDA_EST",, $AJ$4,$AJ$5)</f>
        <v>#NAME?</v>
      </c>
      <c r="Z29" s="125" t="e">
        <f ca="1">_xll.ciqfunctions.udf.CIQ(AI29, "IQ_TR_IMPLIED_EV_EBIT_FWD")</f>
        <v>#NAME?</v>
      </c>
      <c r="AA29" s="126"/>
      <c r="AB29" s="127" t="str">
        <f t="shared" ca="1" si="1"/>
        <v>n/a</v>
      </c>
      <c r="AC29" s="127" t="str">
        <f t="shared" ca="1" si="1"/>
        <v>n/a</v>
      </c>
      <c r="AD29" s="127" t="str">
        <f t="shared" ca="1" si="1"/>
        <v>n/a</v>
      </c>
      <c r="AF29" s="128" t="e">
        <f ca="1">IF((_xll.ciqfunctions.udf.CIQ($AI29, "IQ_TR_TARGET_STOCKPREMIUM_1W")/100)&lt;=0,"NM",_xll.ciqfunctions.udf.CIQ($AI29, "IQ_TR_TARGET_STOCKPREMIUM_1W")/100)</f>
        <v>#NAME?</v>
      </c>
      <c r="AG29" s="128" t="e">
        <f ca="1">IF((_xll.ciqfunctions.udf.CIQ($AI29, "IQ_TR_TARGET_STOCKPREMIUM_1M")/100)&lt;=0,"NM",_xll.ciqfunctions.udf.CIQ($AI29, "IQ_TR_TARGET_STOCKPREMIUM_1M")/100)</f>
        <v>#NAME?</v>
      </c>
      <c r="AI29" s="129">
        <f>+'Capital IQ Sheet-STM'!AK29</f>
        <v>0</v>
      </c>
      <c r="AJ29" s="122" t="e">
        <f ca="1">_xll.ciqfunctions.udf.CIQ(AI29, "IQ_BUSINESS_DESCRIPTION")</f>
        <v>#NAME?</v>
      </c>
    </row>
    <row r="30" spans="2:36" s="122" customFormat="1" ht="12.75" customHeight="1">
      <c r="B30" s="121"/>
      <c r="F30" s="123"/>
      <c r="G30" s="124"/>
      <c r="I30" s="125"/>
      <c r="J30" s="125"/>
      <c r="K30" s="125"/>
      <c r="L30" s="125"/>
      <c r="M30" s="126"/>
      <c r="N30" s="125"/>
      <c r="O30" s="125"/>
      <c r="P30" s="125"/>
      <c r="Q30" s="126"/>
      <c r="R30" s="127"/>
      <c r="S30" s="127"/>
      <c r="T30" s="127"/>
      <c r="U30" s="127"/>
      <c r="V30" s="127"/>
      <c r="W30" s="126"/>
      <c r="X30" s="125"/>
      <c r="Y30" s="125"/>
      <c r="Z30" s="125"/>
      <c r="AA30" s="126"/>
      <c r="AB30" s="127"/>
      <c r="AC30" s="127"/>
      <c r="AD30" s="127"/>
      <c r="AF30" s="128"/>
      <c r="AG30" s="128"/>
      <c r="AI30" s="129">
        <f>+'Capital IQ Sheet-STM'!AK30</f>
        <v>0</v>
      </c>
    </row>
    <row r="31" spans="2:36" s="122" customFormat="1" ht="12.75" customHeight="1">
      <c r="B31" s="121"/>
      <c r="F31" s="123"/>
      <c r="G31" s="124"/>
      <c r="I31" s="125"/>
      <c r="J31" s="125"/>
      <c r="K31" s="125"/>
      <c r="L31" s="125"/>
      <c r="M31" s="126"/>
      <c r="N31" s="125"/>
      <c r="O31" s="125"/>
      <c r="P31" s="125"/>
      <c r="Q31" s="126"/>
      <c r="R31" s="127"/>
      <c r="S31" s="127"/>
      <c r="T31" s="127"/>
      <c r="U31" s="127"/>
      <c r="V31" s="127"/>
      <c r="W31" s="126"/>
      <c r="X31" s="125"/>
      <c r="Y31" s="125"/>
      <c r="Z31" s="125"/>
      <c r="AA31" s="126"/>
      <c r="AB31" s="127"/>
      <c r="AC31" s="127"/>
      <c r="AD31" s="127"/>
      <c r="AF31" s="128"/>
      <c r="AG31" s="128"/>
      <c r="AI31" s="129">
        <f>+'Capital IQ Sheet-STM'!AK31</f>
        <v>0</v>
      </c>
    </row>
    <row r="32" spans="2:36" s="122" customFormat="1" ht="12.75" customHeight="1">
      <c r="B32" s="121"/>
      <c r="F32" s="123"/>
      <c r="G32" s="124"/>
      <c r="I32" s="125"/>
      <c r="J32" s="125"/>
      <c r="K32" s="125"/>
      <c r="L32" s="125"/>
      <c r="M32" s="126"/>
      <c r="N32" s="125"/>
      <c r="O32" s="125"/>
      <c r="P32" s="125"/>
      <c r="Q32" s="126"/>
      <c r="R32" s="127"/>
      <c r="S32" s="127"/>
      <c r="T32" s="127"/>
      <c r="U32" s="127"/>
      <c r="V32" s="127"/>
      <c r="W32" s="126"/>
      <c r="X32" s="125"/>
      <c r="Y32" s="125"/>
      <c r="Z32" s="125"/>
      <c r="AA32" s="126"/>
      <c r="AB32" s="127"/>
      <c r="AC32" s="127"/>
      <c r="AD32" s="127"/>
      <c r="AF32" s="128"/>
      <c r="AG32" s="128"/>
      <c r="AI32" s="129">
        <f>+'Capital IQ Sheet-STM'!AK32</f>
        <v>0</v>
      </c>
    </row>
    <row r="33" spans="2:35" s="122" customFormat="1" ht="12.75" customHeight="1">
      <c r="B33" s="121"/>
      <c r="F33" s="123"/>
      <c r="G33" s="124"/>
      <c r="I33" s="125"/>
      <c r="J33" s="125"/>
      <c r="K33" s="125"/>
      <c r="L33" s="125"/>
      <c r="M33" s="126"/>
      <c r="N33" s="125"/>
      <c r="O33" s="125"/>
      <c r="P33" s="125"/>
      <c r="Q33" s="126"/>
      <c r="R33" s="127"/>
      <c r="S33" s="127"/>
      <c r="T33" s="127"/>
      <c r="U33" s="127"/>
      <c r="V33" s="127"/>
      <c r="W33" s="126"/>
      <c r="X33" s="125"/>
      <c r="Y33" s="125"/>
      <c r="Z33" s="125"/>
      <c r="AA33" s="126"/>
      <c r="AB33" s="127"/>
      <c r="AC33" s="127"/>
      <c r="AD33" s="127"/>
      <c r="AF33" s="128"/>
      <c r="AG33" s="128"/>
      <c r="AI33" s="129">
        <f>+'Capital IQ Sheet-STM'!AK33</f>
        <v>0</v>
      </c>
    </row>
    <row r="34" spans="2:35" s="122" customFormat="1" ht="12.75" customHeight="1">
      <c r="B34" s="121"/>
      <c r="F34" s="123"/>
      <c r="G34" s="124"/>
      <c r="I34" s="125"/>
      <c r="J34" s="125"/>
      <c r="K34" s="125"/>
      <c r="L34" s="125"/>
      <c r="M34" s="126"/>
      <c r="N34" s="125"/>
      <c r="O34" s="125"/>
      <c r="P34" s="125"/>
      <c r="Q34" s="126"/>
      <c r="R34" s="127"/>
      <c r="S34" s="127"/>
      <c r="T34" s="127"/>
      <c r="U34" s="127"/>
      <c r="V34" s="127"/>
      <c r="W34" s="126"/>
      <c r="X34" s="125"/>
      <c r="Y34" s="125"/>
      <c r="Z34" s="125"/>
      <c r="AA34" s="126"/>
      <c r="AB34" s="127"/>
      <c r="AC34" s="127"/>
      <c r="AD34" s="127"/>
      <c r="AF34" s="128"/>
      <c r="AG34" s="128"/>
      <c r="AI34" s="129">
        <f>+'Capital IQ Sheet-STM'!AK34</f>
        <v>0</v>
      </c>
    </row>
    <row r="35" spans="2:35" s="122" customFormat="1" ht="12.75" customHeight="1">
      <c r="B35" s="121"/>
      <c r="F35" s="123"/>
      <c r="G35" s="124"/>
      <c r="I35" s="125"/>
      <c r="J35" s="125"/>
      <c r="K35" s="125"/>
      <c r="L35" s="125"/>
      <c r="M35" s="126"/>
      <c r="N35" s="125"/>
      <c r="O35" s="125"/>
      <c r="P35" s="125"/>
      <c r="Q35" s="126"/>
      <c r="R35" s="127"/>
      <c r="S35" s="127"/>
      <c r="T35" s="127"/>
      <c r="U35" s="127"/>
      <c r="V35" s="127"/>
      <c r="W35" s="126"/>
      <c r="X35" s="125"/>
      <c r="Y35" s="125"/>
      <c r="Z35" s="125"/>
      <c r="AA35" s="126"/>
      <c r="AB35" s="127"/>
      <c r="AC35" s="127"/>
      <c r="AD35" s="127"/>
      <c r="AF35" s="128"/>
      <c r="AG35" s="128"/>
      <c r="AI35" s="129">
        <f>+'Capital IQ Sheet-STM'!AK35</f>
        <v>0</v>
      </c>
    </row>
    <row r="36" spans="2:35" s="122" customFormat="1" ht="12.75" customHeight="1">
      <c r="B36" s="121"/>
      <c r="F36" s="123"/>
      <c r="G36" s="124"/>
      <c r="I36" s="125"/>
      <c r="J36" s="125"/>
      <c r="K36" s="125"/>
      <c r="L36" s="125"/>
      <c r="M36" s="126"/>
      <c r="N36" s="125"/>
      <c r="O36" s="125"/>
      <c r="P36" s="125"/>
      <c r="Q36" s="126"/>
      <c r="R36" s="127"/>
      <c r="S36" s="127"/>
      <c r="T36" s="127"/>
      <c r="U36" s="127"/>
      <c r="V36" s="127"/>
      <c r="W36" s="126"/>
      <c r="X36" s="125"/>
      <c r="Y36" s="125"/>
      <c r="Z36" s="125"/>
      <c r="AA36" s="126"/>
      <c r="AB36" s="127"/>
      <c r="AC36" s="127"/>
      <c r="AD36" s="127"/>
      <c r="AF36" s="128"/>
      <c r="AG36" s="128"/>
      <c r="AI36" s="129">
        <f>+'Capital IQ Sheet-STM'!AK36</f>
        <v>0</v>
      </c>
    </row>
    <row r="37" spans="2:35" s="122" customFormat="1" ht="12.75" customHeight="1">
      <c r="B37" s="121"/>
      <c r="F37" s="123"/>
      <c r="G37" s="124"/>
      <c r="I37" s="125"/>
      <c r="J37" s="125"/>
      <c r="K37" s="125"/>
      <c r="L37" s="125"/>
      <c r="M37" s="126"/>
      <c r="N37" s="125"/>
      <c r="O37" s="125"/>
      <c r="P37" s="125"/>
      <c r="Q37" s="126"/>
      <c r="R37" s="127"/>
      <c r="S37" s="127"/>
      <c r="T37" s="127"/>
      <c r="U37" s="127"/>
      <c r="V37" s="127"/>
      <c r="W37" s="126"/>
      <c r="X37" s="125"/>
      <c r="Y37" s="125"/>
      <c r="Z37" s="125"/>
      <c r="AA37" s="126"/>
      <c r="AB37" s="127"/>
      <c r="AC37" s="127"/>
      <c r="AD37" s="127"/>
      <c r="AF37" s="128"/>
      <c r="AG37" s="128"/>
      <c r="AI37" s="129">
        <f>+'Capital IQ Sheet-STM'!AK37</f>
        <v>0</v>
      </c>
    </row>
    <row r="38" spans="2:35" s="122" customFormat="1" ht="12.75" customHeight="1">
      <c r="B38" s="121"/>
      <c r="F38" s="123"/>
      <c r="G38" s="124"/>
      <c r="I38" s="125"/>
      <c r="J38" s="125"/>
      <c r="K38" s="125"/>
      <c r="L38" s="125"/>
      <c r="M38" s="126"/>
      <c r="N38" s="125"/>
      <c r="O38" s="125"/>
      <c r="P38" s="125"/>
      <c r="Q38" s="126"/>
      <c r="R38" s="127"/>
      <c r="S38" s="127"/>
      <c r="T38" s="127"/>
      <c r="U38" s="127"/>
      <c r="V38" s="127"/>
      <c r="W38" s="126"/>
      <c r="X38" s="125"/>
      <c r="Y38" s="125"/>
      <c r="Z38" s="125"/>
      <c r="AA38" s="126"/>
      <c r="AB38" s="127"/>
      <c r="AC38" s="127"/>
      <c r="AD38" s="127"/>
      <c r="AF38" s="128"/>
      <c r="AG38" s="128"/>
      <c r="AI38" s="129">
        <f>+'Capital IQ Sheet-STM'!AK38</f>
        <v>0</v>
      </c>
    </row>
    <row r="39" spans="2:35" s="122" customFormat="1" ht="12.75" customHeight="1">
      <c r="B39" s="121"/>
      <c r="F39" s="123"/>
      <c r="G39" s="124"/>
      <c r="I39" s="125"/>
      <c r="J39" s="125"/>
      <c r="K39" s="125"/>
      <c r="L39" s="125"/>
      <c r="M39" s="126"/>
      <c r="N39" s="125"/>
      <c r="O39" s="125"/>
      <c r="P39" s="125"/>
      <c r="Q39" s="126"/>
      <c r="R39" s="127"/>
      <c r="S39" s="127"/>
      <c r="T39" s="127"/>
      <c r="U39" s="127"/>
      <c r="V39" s="127"/>
      <c r="W39" s="126"/>
      <c r="X39" s="125"/>
      <c r="Y39" s="125"/>
      <c r="Z39" s="125"/>
      <c r="AA39" s="126"/>
      <c r="AB39" s="127"/>
      <c r="AC39" s="127"/>
      <c r="AD39" s="127"/>
      <c r="AF39" s="128"/>
      <c r="AG39" s="128"/>
      <c r="AI39" s="129">
        <f>+'Capital IQ Sheet-STM'!AK39</f>
        <v>0</v>
      </c>
    </row>
    <row r="40" spans="2:35" s="122" customFormat="1" ht="12.75" customHeight="1">
      <c r="B40" s="121"/>
      <c r="F40" s="123"/>
      <c r="G40" s="124"/>
      <c r="I40" s="125"/>
      <c r="J40" s="125"/>
      <c r="K40" s="125"/>
      <c r="L40" s="125"/>
      <c r="M40" s="126"/>
      <c r="N40" s="125"/>
      <c r="O40" s="125"/>
      <c r="P40" s="125"/>
      <c r="Q40" s="126"/>
      <c r="R40" s="127"/>
      <c r="S40" s="127"/>
      <c r="T40" s="127"/>
      <c r="U40" s="127"/>
      <c r="V40" s="127"/>
      <c r="W40" s="126"/>
      <c r="X40" s="125"/>
      <c r="Y40" s="125"/>
      <c r="Z40" s="125"/>
      <c r="AA40" s="126"/>
      <c r="AB40" s="127"/>
      <c r="AC40" s="127"/>
      <c r="AD40" s="127"/>
      <c r="AF40" s="128"/>
      <c r="AG40" s="128"/>
      <c r="AI40" s="129">
        <f>+'Capital IQ Sheet-STM'!AK40</f>
        <v>0</v>
      </c>
    </row>
    <row r="41" spans="2:35" s="122" customFormat="1" ht="12.75" customHeight="1">
      <c r="B41" s="121"/>
      <c r="F41" s="123"/>
      <c r="G41" s="124"/>
      <c r="I41" s="125"/>
      <c r="J41" s="125"/>
      <c r="K41" s="125"/>
      <c r="L41" s="125"/>
      <c r="M41" s="126"/>
      <c r="N41" s="125"/>
      <c r="O41" s="125"/>
      <c r="P41" s="125"/>
      <c r="Q41" s="126"/>
      <c r="R41" s="127"/>
      <c r="S41" s="127"/>
      <c r="T41" s="127"/>
      <c r="U41" s="127"/>
      <c r="V41" s="127"/>
      <c r="W41" s="126"/>
      <c r="X41" s="125"/>
      <c r="Y41" s="125"/>
      <c r="Z41" s="125"/>
      <c r="AA41" s="126"/>
      <c r="AB41" s="127"/>
      <c r="AC41" s="127"/>
      <c r="AD41" s="127"/>
      <c r="AF41" s="128"/>
      <c r="AG41" s="128"/>
      <c r="AI41" s="129"/>
    </row>
    <row r="42" spans="2:35" s="122" customFormat="1" ht="12.75" customHeight="1">
      <c r="B42" s="121"/>
      <c r="F42" s="123"/>
      <c r="G42" s="124"/>
      <c r="I42" s="125"/>
      <c r="J42" s="125"/>
      <c r="K42" s="125"/>
      <c r="L42" s="125"/>
      <c r="M42" s="126"/>
      <c r="N42" s="125"/>
      <c r="O42" s="125"/>
      <c r="P42" s="125"/>
      <c r="Q42" s="126"/>
      <c r="R42" s="127"/>
      <c r="S42" s="127"/>
      <c r="T42" s="127"/>
      <c r="U42" s="127"/>
      <c r="V42" s="127"/>
      <c r="W42" s="126"/>
      <c r="X42" s="125"/>
      <c r="Y42" s="125"/>
      <c r="Z42" s="125"/>
      <c r="AA42" s="126"/>
      <c r="AB42" s="127"/>
      <c r="AC42" s="127"/>
      <c r="AD42" s="127"/>
      <c r="AF42" s="128"/>
      <c r="AG42" s="128"/>
      <c r="AI42" s="129"/>
    </row>
    <row r="43" spans="2:35" s="122" customFormat="1" ht="12.75" customHeight="1">
      <c r="B43" s="121"/>
      <c r="F43" s="123"/>
      <c r="G43" s="124"/>
      <c r="I43" s="125"/>
      <c r="J43" s="125"/>
      <c r="K43" s="125"/>
      <c r="L43" s="125"/>
      <c r="M43" s="126"/>
      <c r="N43" s="125"/>
      <c r="O43" s="125"/>
      <c r="P43" s="125"/>
      <c r="Q43" s="126"/>
      <c r="R43" s="127"/>
      <c r="S43" s="127"/>
      <c r="T43" s="127"/>
      <c r="U43" s="127"/>
      <c r="V43" s="127"/>
      <c r="W43" s="126"/>
      <c r="X43" s="125"/>
      <c r="Y43" s="125"/>
      <c r="Z43" s="125"/>
      <c r="AA43" s="126"/>
      <c r="AB43" s="127"/>
      <c r="AC43" s="127"/>
      <c r="AD43" s="127"/>
      <c r="AF43" s="128"/>
      <c r="AG43" s="128"/>
      <c r="AI43" s="129"/>
    </row>
    <row r="44" spans="2:35" s="122" customFormat="1" ht="12.75" customHeight="1">
      <c r="B44" s="121"/>
      <c r="F44" s="123"/>
      <c r="G44" s="124"/>
      <c r="I44" s="125"/>
      <c r="J44" s="125"/>
      <c r="K44" s="125"/>
      <c r="L44" s="125"/>
      <c r="M44" s="126"/>
      <c r="N44" s="125"/>
      <c r="O44" s="125"/>
      <c r="P44" s="125"/>
      <c r="Q44" s="126"/>
      <c r="R44" s="127"/>
      <c r="S44" s="127"/>
      <c r="T44" s="127"/>
      <c r="U44" s="127"/>
      <c r="V44" s="127"/>
      <c r="W44" s="126"/>
      <c r="X44" s="125"/>
      <c r="Y44" s="125"/>
      <c r="Z44" s="125"/>
      <c r="AA44" s="126"/>
      <c r="AB44" s="127"/>
      <c r="AC44" s="127"/>
      <c r="AD44" s="127"/>
      <c r="AF44" s="128"/>
      <c r="AG44" s="128"/>
      <c r="AI44" s="129"/>
    </row>
    <row r="45" spans="2:35" s="107" customFormat="1" ht="12.75" customHeight="1"/>
    <row r="46" spans="2:35" s="107" customFormat="1" ht="12.75" customHeight="1"/>
    <row r="47" spans="2:35" s="107" customFormat="1" ht="12.75" customHeight="1">
      <c r="B47" s="130" t="s">
        <v>111</v>
      </c>
      <c r="C47" s="131"/>
      <c r="D47" s="131"/>
      <c r="E47" s="131"/>
      <c r="F47" s="131"/>
      <c r="G47" s="131"/>
      <c r="H47" s="131"/>
      <c r="I47" s="132" t="e">
        <f ca="1">MAX(I10:I45)</f>
        <v>#NAME?</v>
      </c>
      <c r="J47" s="154"/>
      <c r="K47" s="154"/>
      <c r="L47" s="132"/>
      <c r="M47" s="131"/>
      <c r="N47" s="132" t="e">
        <f ca="1">MAX(N10:N45)</f>
        <v>#NAME?</v>
      </c>
      <c r="O47" s="132" t="e">
        <f ca="1">MAX(O10:O45)</f>
        <v>#NAME?</v>
      </c>
      <c r="P47" s="132" t="e">
        <f ca="1">MAX(P10:P45)</f>
        <v>#NAME?</v>
      </c>
      <c r="Q47" s="133"/>
      <c r="R47" s="134">
        <f ca="1">MAX(R10:R45)</f>
        <v>0</v>
      </c>
      <c r="S47" s="134">
        <f ca="1">MAX(S10:S45)</f>
        <v>0</v>
      </c>
      <c r="T47" s="134">
        <f ca="1">MAX(T10:T45)</f>
        <v>0</v>
      </c>
      <c r="U47" s="134" t="e">
        <f ca="1">MAX(U10:U45)</f>
        <v>#NAME?</v>
      </c>
      <c r="V47" s="134" t="e">
        <f ca="1">MAX(V10:V45)</f>
        <v>#NAME?</v>
      </c>
      <c r="W47" s="131"/>
      <c r="X47" s="132" t="e">
        <f ca="1">MAX(X10:X45)</f>
        <v>#NAME?</v>
      </c>
      <c r="Y47" s="132" t="e">
        <f ca="1">MAX(Y10:Y45)</f>
        <v>#NAME?</v>
      </c>
      <c r="Z47" s="132" t="e">
        <f ca="1">MAX(Z10:Z45)</f>
        <v>#NAME?</v>
      </c>
      <c r="AA47" s="131"/>
      <c r="AB47" s="134">
        <f ca="1">MAX(AB10:AB45)</f>
        <v>0</v>
      </c>
      <c r="AC47" s="134">
        <f ca="1">MAX(AC10:AC45)</f>
        <v>0</v>
      </c>
      <c r="AD47" s="134">
        <f ca="1">MAX(AD10:AD45)</f>
        <v>0</v>
      </c>
      <c r="AE47" s="131"/>
      <c r="AF47" s="135" t="e">
        <f ca="1">MAX(AF10:AF45)</f>
        <v>#NAME?</v>
      </c>
      <c r="AG47" s="136" t="e">
        <f ca="1">MAX(AG10:AG45)</f>
        <v>#NAME?</v>
      </c>
    </row>
    <row r="48" spans="2:35" s="107" customFormat="1" ht="12.75" customHeight="1">
      <c r="B48" s="137" t="s">
        <v>115</v>
      </c>
      <c r="C48" s="138"/>
      <c r="D48" s="138"/>
      <c r="E48" s="138"/>
      <c r="F48" s="138"/>
      <c r="G48" s="138"/>
      <c r="H48" s="138"/>
      <c r="I48" s="139" t="e">
        <f ca="1">QUARTILE(I10:I45,3)</f>
        <v>#NAME?</v>
      </c>
      <c r="J48" s="139"/>
      <c r="K48" s="139"/>
      <c r="L48" s="139"/>
      <c r="M48" s="138"/>
      <c r="N48" s="139" t="e">
        <f ca="1">QUARTILE(N10:N45,3)</f>
        <v>#NAME?</v>
      </c>
      <c r="O48" s="139" t="e">
        <f ca="1">QUARTILE(O10:O45,3)</f>
        <v>#NAME?</v>
      </c>
      <c r="P48" s="139" t="e">
        <f ca="1">QUARTILE(P10:P45,3)</f>
        <v>#NAME?</v>
      </c>
      <c r="Q48" s="140"/>
      <c r="R48" s="141" t="e">
        <f ca="1">QUARTILE(R10:R45,3)</f>
        <v>#NUM!</v>
      </c>
      <c r="S48" s="141" t="e">
        <f ca="1">QUARTILE(S10:S45,3)</f>
        <v>#NUM!</v>
      </c>
      <c r="T48" s="141" t="e">
        <f ca="1">QUARTILE(T10:T45,3)</f>
        <v>#NUM!</v>
      </c>
      <c r="U48" s="141" t="e">
        <f ca="1">QUARTILE(U10:U45,3)</f>
        <v>#NAME?</v>
      </c>
      <c r="V48" s="141" t="e">
        <f ca="1">QUARTILE(V10:V45,3)</f>
        <v>#NAME?</v>
      </c>
      <c r="W48" s="138"/>
      <c r="X48" s="139" t="e">
        <f ca="1">QUARTILE(X10:X45,3)</f>
        <v>#NAME?</v>
      </c>
      <c r="Y48" s="139" t="e">
        <f ca="1">QUARTILE(Y10:Y45,3)</f>
        <v>#NAME?</v>
      </c>
      <c r="Z48" s="139" t="e">
        <f ca="1">QUARTILE(Z10:Z45,3)</f>
        <v>#NAME?</v>
      </c>
      <c r="AA48" s="138"/>
      <c r="AB48" s="141" t="e">
        <f ca="1">QUARTILE(AB10:AB45,3)</f>
        <v>#NUM!</v>
      </c>
      <c r="AC48" s="141" t="e">
        <f ca="1">QUARTILE(AC10:AC45,3)</f>
        <v>#NUM!</v>
      </c>
      <c r="AD48" s="141" t="e">
        <f ca="1">QUARTILE(AD10:AD45,3)</f>
        <v>#NUM!</v>
      </c>
      <c r="AE48" s="138"/>
      <c r="AF48" s="142" t="e">
        <f ca="1">QUARTILE(AF10:AF45,3)</f>
        <v>#NAME?</v>
      </c>
      <c r="AG48" s="143" t="e">
        <f ca="1">QUARTILE(AG10:AG45,3)</f>
        <v>#NAME?</v>
      </c>
    </row>
    <row r="49" spans="2:33" s="107" customFormat="1" ht="12.75" customHeight="1">
      <c r="B49" s="137" t="s">
        <v>113</v>
      </c>
      <c r="C49" s="138"/>
      <c r="D49" s="138"/>
      <c r="E49" s="138"/>
      <c r="F49" s="138"/>
      <c r="G49" s="138"/>
      <c r="H49" s="138"/>
      <c r="I49" s="139" t="e">
        <f ca="1">AVERAGE(I10:I45)</f>
        <v>#NAME?</v>
      </c>
      <c r="J49" s="139"/>
      <c r="K49" s="139"/>
      <c r="L49" s="139"/>
      <c r="M49" s="138"/>
      <c r="N49" s="139" t="e">
        <f ca="1">AVERAGE(N10:N45)</f>
        <v>#NAME?</v>
      </c>
      <c r="O49" s="139" t="e">
        <f ca="1">AVERAGE(O10:O45)</f>
        <v>#NAME?</v>
      </c>
      <c r="P49" s="139" t="e">
        <f ca="1">AVERAGE(P10:P45)</f>
        <v>#NAME?</v>
      </c>
      <c r="Q49" s="140"/>
      <c r="R49" s="141" t="e">
        <f ca="1">AVERAGE(R10:R45)</f>
        <v>#DIV/0!</v>
      </c>
      <c r="S49" s="141" t="e">
        <f ca="1">AVERAGE(S10:S45)</f>
        <v>#DIV/0!</v>
      </c>
      <c r="T49" s="141" t="e">
        <f ca="1">AVERAGE(T10:T45)</f>
        <v>#DIV/0!</v>
      </c>
      <c r="U49" s="141" t="e">
        <f ca="1">AVERAGE(U10:U45)</f>
        <v>#NAME?</v>
      </c>
      <c r="V49" s="141" t="e">
        <f ca="1">AVERAGE(V10:V45)</f>
        <v>#NAME?</v>
      </c>
      <c r="W49" s="138"/>
      <c r="X49" s="139" t="e">
        <f ca="1">AVERAGE(X10:X45)</f>
        <v>#NAME?</v>
      </c>
      <c r="Y49" s="139" t="e">
        <f ca="1">AVERAGE(Y10:Y45)</f>
        <v>#NAME?</v>
      </c>
      <c r="Z49" s="139" t="e">
        <f ca="1">AVERAGE(Z10:Z45)</f>
        <v>#NAME?</v>
      </c>
      <c r="AA49" s="138"/>
      <c r="AB49" s="141" t="e">
        <f ca="1">AVERAGE(AB10:AB45)</f>
        <v>#DIV/0!</v>
      </c>
      <c r="AC49" s="141" t="e">
        <f ca="1">AVERAGE(AC10:AC45)</f>
        <v>#DIV/0!</v>
      </c>
      <c r="AD49" s="141" t="e">
        <f ca="1">AVERAGE(AD10:AD45)</f>
        <v>#DIV/0!</v>
      </c>
      <c r="AE49" s="138"/>
      <c r="AF49" s="142" t="e">
        <f ca="1">AVERAGE(AF10:AF45)</f>
        <v>#NAME?</v>
      </c>
      <c r="AG49" s="143" t="e">
        <f ca="1">AVERAGE(AG10:AG45)</f>
        <v>#NAME?</v>
      </c>
    </row>
    <row r="50" spans="2:33" s="107" customFormat="1" ht="12.75" customHeight="1">
      <c r="B50" s="137" t="s">
        <v>44</v>
      </c>
      <c r="C50" s="138"/>
      <c r="D50" s="138"/>
      <c r="E50" s="138"/>
      <c r="F50" s="138"/>
      <c r="G50" s="138"/>
      <c r="H50" s="138"/>
      <c r="I50" s="139" t="e">
        <f ca="1">MEDIAN(I10:I45)</f>
        <v>#NAME?</v>
      </c>
      <c r="J50" s="139"/>
      <c r="K50" s="139"/>
      <c r="L50" s="139"/>
      <c r="M50" s="138"/>
      <c r="N50" s="139" t="e">
        <f ca="1">MEDIAN(N10:N45)</f>
        <v>#NAME?</v>
      </c>
      <c r="O50" s="139" t="e">
        <f ca="1">MEDIAN(O10:O45)</f>
        <v>#NAME?</v>
      </c>
      <c r="P50" s="139" t="e">
        <f ca="1">MEDIAN(P10:P45)</f>
        <v>#NAME?</v>
      </c>
      <c r="Q50" s="140"/>
      <c r="R50" s="141" t="e">
        <f ca="1">MEDIAN(R10:R45)</f>
        <v>#NUM!</v>
      </c>
      <c r="S50" s="141" t="e">
        <f ca="1">MEDIAN(S10:S45)</f>
        <v>#NUM!</v>
      </c>
      <c r="T50" s="141" t="e">
        <f ca="1">MEDIAN(T10:T45)</f>
        <v>#NUM!</v>
      </c>
      <c r="U50" s="141" t="e">
        <f ca="1">MEDIAN(U10:U45)</f>
        <v>#NAME?</v>
      </c>
      <c r="V50" s="141" t="e">
        <f ca="1">MEDIAN(V10:V45)</f>
        <v>#NAME?</v>
      </c>
      <c r="W50" s="138"/>
      <c r="X50" s="139" t="e">
        <f ca="1">MEDIAN(X10:X45)</f>
        <v>#NAME?</v>
      </c>
      <c r="Y50" s="139" t="e">
        <f ca="1">MEDIAN(Y10:Y45)</f>
        <v>#NAME?</v>
      </c>
      <c r="Z50" s="139" t="e">
        <f ca="1">MEDIAN(Z10:Z45)</f>
        <v>#NAME?</v>
      </c>
      <c r="AA50" s="138"/>
      <c r="AB50" s="141" t="e">
        <f ca="1">MEDIAN(AB10:AB45)</f>
        <v>#NUM!</v>
      </c>
      <c r="AC50" s="141" t="e">
        <f ca="1">MEDIAN(AC10:AC45)</f>
        <v>#NUM!</v>
      </c>
      <c r="AD50" s="141" t="e">
        <f ca="1">MEDIAN(AD10:AD45)</f>
        <v>#NUM!</v>
      </c>
      <c r="AE50" s="138"/>
      <c r="AF50" s="142" t="e">
        <f ca="1">MEDIAN(AF10:AF45)</f>
        <v>#NAME?</v>
      </c>
      <c r="AG50" s="143" t="e">
        <f ca="1">MEDIAN(AG10:AG45)</f>
        <v>#NAME?</v>
      </c>
    </row>
    <row r="51" spans="2:33" s="107" customFormat="1" ht="12.75" customHeight="1">
      <c r="B51" s="137" t="s">
        <v>114</v>
      </c>
      <c r="C51" s="138"/>
      <c r="D51" s="138"/>
      <c r="E51" s="138"/>
      <c r="F51" s="138"/>
      <c r="G51" s="138"/>
      <c r="H51" s="138"/>
      <c r="I51" s="139" t="e">
        <f ca="1">QUARTILE(I10:I45,1)</f>
        <v>#NAME?</v>
      </c>
      <c r="J51" s="139"/>
      <c r="K51" s="139"/>
      <c r="L51" s="139"/>
      <c r="M51" s="138"/>
      <c r="N51" s="139" t="e">
        <f ca="1">QUARTILE(N10:N45,1)</f>
        <v>#NAME?</v>
      </c>
      <c r="O51" s="139" t="e">
        <f ca="1">QUARTILE(O10:O45,1)</f>
        <v>#NAME?</v>
      </c>
      <c r="P51" s="139" t="e">
        <f ca="1">QUARTILE(P10:P45,1)</f>
        <v>#NAME?</v>
      </c>
      <c r="Q51" s="140"/>
      <c r="R51" s="141" t="e">
        <f ca="1">QUARTILE(R10:R45,1)</f>
        <v>#NUM!</v>
      </c>
      <c r="S51" s="141" t="e">
        <f ca="1">QUARTILE(S10:S45,1)</f>
        <v>#NUM!</v>
      </c>
      <c r="T51" s="141" t="e">
        <f ca="1">QUARTILE(T10:T45,1)</f>
        <v>#NUM!</v>
      </c>
      <c r="U51" s="141" t="e">
        <f ca="1">QUARTILE(U10:U45,1)</f>
        <v>#NAME?</v>
      </c>
      <c r="V51" s="141" t="e">
        <f ca="1">QUARTILE(V10:V45,1)</f>
        <v>#NAME?</v>
      </c>
      <c r="W51" s="138"/>
      <c r="X51" s="139" t="e">
        <f ca="1">QUARTILE(X10:X45,1)</f>
        <v>#NAME?</v>
      </c>
      <c r="Y51" s="139" t="e">
        <f ca="1">QUARTILE(Y10:Y45,1)</f>
        <v>#NAME?</v>
      </c>
      <c r="Z51" s="139" t="e">
        <f ca="1">QUARTILE(Z10:Z45,1)</f>
        <v>#NAME?</v>
      </c>
      <c r="AA51" s="138"/>
      <c r="AB51" s="141" t="e">
        <f ca="1">QUARTILE(AB10:AB45,1)</f>
        <v>#NUM!</v>
      </c>
      <c r="AC51" s="141" t="e">
        <f ca="1">QUARTILE(AC10:AC45,1)</f>
        <v>#NUM!</v>
      </c>
      <c r="AD51" s="141" t="e">
        <f ca="1">QUARTILE(AD10:AD45,1)</f>
        <v>#NUM!</v>
      </c>
      <c r="AE51" s="138"/>
      <c r="AF51" s="142" t="e">
        <f ca="1">QUARTILE(AF10:AF45,1)</f>
        <v>#NAME?</v>
      </c>
      <c r="AG51" s="143" t="e">
        <f ca="1">QUARTILE(AG10:AG45,1)</f>
        <v>#NAME?</v>
      </c>
    </row>
    <row r="52" spans="2:33" s="107" customFormat="1" ht="12.75" customHeight="1">
      <c r="B52" s="144" t="s">
        <v>112</v>
      </c>
      <c r="C52" s="145"/>
      <c r="D52" s="145"/>
      <c r="E52" s="145"/>
      <c r="F52" s="145"/>
      <c r="G52" s="145"/>
      <c r="H52" s="145"/>
      <c r="I52" s="146" t="e">
        <f ca="1">MIN(I10:I45)</f>
        <v>#NAME?</v>
      </c>
      <c r="J52" s="146"/>
      <c r="K52" s="146"/>
      <c r="L52" s="146"/>
      <c r="M52" s="145"/>
      <c r="N52" s="146" t="e">
        <f ca="1">MIN(N10:N45)</f>
        <v>#NAME?</v>
      </c>
      <c r="O52" s="146" t="e">
        <f ca="1">MIN(O10:O45)</f>
        <v>#NAME?</v>
      </c>
      <c r="P52" s="146" t="e">
        <f ca="1">MIN(P10:P45)</f>
        <v>#NAME?</v>
      </c>
      <c r="Q52" s="147"/>
      <c r="R52" s="148">
        <f ca="1">MIN(R10:R45)</f>
        <v>0</v>
      </c>
      <c r="S52" s="148">
        <f ca="1">MIN(S10:S45)</f>
        <v>0</v>
      </c>
      <c r="T52" s="148">
        <f ca="1">MIN(T10:T45)</f>
        <v>0</v>
      </c>
      <c r="U52" s="148" t="e">
        <f ca="1">MIN(U10:U45)</f>
        <v>#NAME?</v>
      </c>
      <c r="V52" s="148" t="e">
        <f ca="1">MIN(V10:V45)</f>
        <v>#NAME?</v>
      </c>
      <c r="W52" s="145"/>
      <c r="X52" s="146" t="e">
        <f ca="1">MIN(X10:X45)</f>
        <v>#NAME?</v>
      </c>
      <c r="Y52" s="146" t="e">
        <f ca="1">MIN(Y10:Y45)</f>
        <v>#NAME?</v>
      </c>
      <c r="Z52" s="146" t="e">
        <f ca="1">MIN(Z10:Z45)</f>
        <v>#NAME?</v>
      </c>
      <c r="AA52" s="145"/>
      <c r="AB52" s="148">
        <f ca="1">MIN(AB10:AB45)</f>
        <v>0</v>
      </c>
      <c r="AC52" s="148">
        <f ca="1">MIN(AC10:AC45)</f>
        <v>0</v>
      </c>
      <c r="AD52" s="148">
        <f ca="1">MIN(AD10:AD45)</f>
        <v>0</v>
      </c>
      <c r="AE52" s="145"/>
      <c r="AF52" s="149" t="e">
        <f ca="1">MIN(AF10:AF45)</f>
        <v>#NAME?</v>
      </c>
      <c r="AG52" s="150" t="e">
        <f ca="1">MIN(AG10:AG45)</f>
        <v>#NAME?</v>
      </c>
    </row>
    <row r="53" spans="2:33" s="107" customFormat="1" ht="12.75" customHeight="1"/>
    <row r="54" spans="2:33" s="107" customFormat="1" ht="12.75" customHeight="1"/>
    <row r="55" spans="2:33" s="107" customFormat="1" ht="12.75" customHeight="1">
      <c r="B55" s="151" t="s">
        <v>116</v>
      </c>
    </row>
    <row r="56" spans="2:33" s="107" customFormat="1" ht="12.75" customHeight="1"/>
    <row r="57" spans="2:33" s="107" customFormat="1" ht="12.75" customHeight="1"/>
  </sheetData>
  <conditionalFormatting sqref="AG4">
    <cfRule type="cellIs" dxfId="167" priority="1" stopIfTrue="1" operator="equal">
      <formula>"input"</formula>
    </cfRule>
  </conditionalFormatting>
  <conditionalFormatting sqref="R4">
    <cfRule type="cellIs" dxfId="166" priority="5" stopIfTrue="1" operator="equal">
      <formula>"input"</formula>
    </cfRule>
  </conditionalFormatting>
  <conditionalFormatting sqref="B4:M4">
    <cfRule type="cellIs" dxfId="165" priority="11" stopIfTrue="1" operator="equal">
      <formula>"input"</formula>
    </cfRule>
  </conditionalFormatting>
  <conditionalFormatting sqref="N4">
    <cfRule type="cellIs" dxfId="164" priority="9" stopIfTrue="1" operator="equal">
      <formula>"input"</formula>
    </cfRule>
  </conditionalFormatting>
  <conditionalFormatting sqref="N4">
    <cfRule type="cellIs" dxfId="163" priority="10" stopIfTrue="1" operator="equal">
      <formula>"input"</formula>
    </cfRule>
  </conditionalFormatting>
  <conditionalFormatting sqref="O4:Q4">
    <cfRule type="cellIs" dxfId="162" priority="7" stopIfTrue="1" operator="equal">
      <formula>"input"</formula>
    </cfRule>
  </conditionalFormatting>
  <conditionalFormatting sqref="O4:Q4">
    <cfRule type="cellIs" dxfId="161" priority="8" stopIfTrue="1" operator="equal">
      <formula>"input"</formula>
    </cfRule>
  </conditionalFormatting>
  <conditionalFormatting sqref="R4">
    <cfRule type="cellIs" dxfId="160" priority="6" stopIfTrue="1" operator="equal">
      <formula>"input"</formula>
    </cfRule>
  </conditionalFormatting>
  <conditionalFormatting sqref="S4:AF4">
    <cfRule type="cellIs" dxfId="159" priority="3" stopIfTrue="1" operator="equal">
      <formula>"input"</formula>
    </cfRule>
  </conditionalFormatting>
  <conditionalFormatting sqref="S4:AF4">
    <cfRule type="cellIs" dxfId="158" priority="4" stopIfTrue="1" operator="equal">
      <formula>"input"</formula>
    </cfRule>
  </conditionalFormatting>
  <conditionalFormatting sqref="AG4">
    <cfRule type="cellIs" dxfId="157" priority="2" stopIfTrue="1" operator="equal">
      <formula>"input"</formula>
    </cfRule>
  </conditionalFormatting>
  <pageMargins left="0.7" right="0.7" top="0.75" bottom="0.75" header="0.3" footer="0.3"/>
  <pageSetup scale="92" orientation="portrait" r:id="rId1"/>
  <colBreaks count="1" manualBreakCount="1">
    <brk id="13" max="54" man="1"/>
  </colBreak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46">
    <tabColor theme="1"/>
  </sheetPr>
  <dimension ref="A1"/>
  <sheetViews>
    <sheetView showGridLines="0" workbookViewId="0">
      <selection activeCell="N20" sqref="N20"/>
    </sheetView>
  </sheetViews>
  <sheetFormatPr defaultRowHeight="12.75"/>
  <cols>
    <col min="1" max="16384" width="9.33203125" style="8"/>
  </cols>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47"/>
  <dimension ref="B2:E47"/>
  <sheetViews>
    <sheetView showGridLines="0" workbookViewId="0">
      <selection activeCell="N17" sqref="N17"/>
    </sheetView>
  </sheetViews>
  <sheetFormatPr defaultRowHeight="12.75"/>
  <cols>
    <col min="1" max="1" width="2.83203125" style="8" customWidth="1"/>
    <col min="2" max="2" width="18.1640625" style="8" bestFit="1" customWidth="1"/>
    <col min="3" max="3" width="23.1640625" style="8" bestFit="1" customWidth="1"/>
    <col min="4" max="4" width="18.33203125" style="8" bestFit="1" customWidth="1"/>
    <col min="5" max="5" width="20.5" style="8" bestFit="1" customWidth="1"/>
    <col min="6" max="16384" width="9.33203125" style="8"/>
  </cols>
  <sheetData>
    <row r="2" spans="2:5">
      <c r="B2" s="1" t="s">
        <v>517</v>
      </c>
      <c r="C2" s="1" t="s">
        <v>377</v>
      </c>
      <c r="D2" s="1" t="s">
        <v>534</v>
      </c>
      <c r="E2" s="1" t="s">
        <v>535</v>
      </c>
    </row>
    <row r="3" spans="2:5">
      <c r="B3" s="8" t="s">
        <v>530</v>
      </c>
      <c r="C3" s="8" t="s">
        <v>532</v>
      </c>
      <c r="D3" s="8" t="s">
        <v>536</v>
      </c>
      <c r="E3" s="8" t="s">
        <v>538</v>
      </c>
    </row>
    <row r="4" spans="2:5">
      <c r="B4" s="8" t="s">
        <v>486</v>
      </c>
      <c r="C4" s="8" t="s">
        <v>379</v>
      </c>
      <c r="D4" s="8" t="s">
        <v>537</v>
      </c>
      <c r="E4" s="8" t="s">
        <v>539</v>
      </c>
    </row>
    <row r="5" spans="2:5">
      <c r="B5" s="8" t="s">
        <v>246</v>
      </c>
      <c r="C5" s="8" t="s">
        <v>13</v>
      </c>
      <c r="E5" s="8" t="s">
        <v>540</v>
      </c>
    </row>
    <row r="6" spans="2:5">
      <c r="B6" s="8" t="s">
        <v>487</v>
      </c>
    </row>
    <row r="7" spans="2:5">
      <c r="B7" s="8" t="s">
        <v>488</v>
      </c>
    </row>
    <row r="8" spans="2:5">
      <c r="B8" s="8" t="s">
        <v>490</v>
      </c>
    </row>
    <row r="9" spans="2:5">
      <c r="B9" s="8" t="s">
        <v>489</v>
      </c>
    </row>
    <row r="10" spans="2:5">
      <c r="B10" s="8" t="s">
        <v>518</v>
      </c>
    </row>
    <row r="11" spans="2:5">
      <c r="B11" s="37" t="s">
        <v>525</v>
      </c>
    </row>
    <row r="12" spans="2:5">
      <c r="B12" s="37" t="s">
        <v>526</v>
      </c>
    </row>
    <row r="13" spans="2:5">
      <c r="B13" s="37" t="s">
        <v>527</v>
      </c>
    </row>
    <row r="14" spans="2:5">
      <c r="B14" s="37" t="s">
        <v>528</v>
      </c>
    </row>
    <row r="15" spans="2:5">
      <c r="B15" s="8" t="s">
        <v>674</v>
      </c>
    </row>
    <row r="16" spans="2:5">
      <c r="B16" s="8" t="s">
        <v>491</v>
      </c>
    </row>
    <row r="17" spans="2:2">
      <c r="B17" s="8" t="s">
        <v>492</v>
      </c>
    </row>
    <row r="18" spans="2:2">
      <c r="B18" s="8" t="s">
        <v>493</v>
      </c>
    </row>
    <row r="19" spans="2:2">
      <c r="B19" s="8" t="s">
        <v>494</v>
      </c>
    </row>
    <row r="20" spans="2:2">
      <c r="B20" s="8" t="s">
        <v>495</v>
      </c>
    </row>
    <row r="21" spans="2:2">
      <c r="B21" s="8" t="s">
        <v>496</v>
      </c>
    </row>
    <row r="22" spans="2:2">
      <c r="B22" s="8" t="s">
        <v>497</v>
      </c>
    </row>
    <row r="23" spans="2:2">
      <c r="B23" s="8" t="s">
        <v>498</v>
      </c>
    </row>
    <row r="24" spans="2:2">
      <c r="B24" s="8" t="s">
        <v>499</v>
      </c>
    </row>
    <row r="25" spans="2:2">
      <c r="B25" s="8" t="s">
        <v>500</v>
      </c>
    </row>
    <row r="26" spans="2:2">
      <c r="B26" s="8" t="s">
        <v>501</v>
      </c>
    </row>
    <row r="27" spans="2:2">
      <c r="B27" s="8" t="s">
        <v>502</v>
      </c>
    </row>
    <row r="28" spans="2:2">
      <c r="B28" s="8" t="s">
        <v>503</v>
      </c>
    </row>
    <row r="29" spans="2:2">
      <c r="B29" s="8" t="s">
        <v>504</v>
      </c>
    </row>
    <row r="30" spans="2:2">
      <c r="B30" s="8" t="s">
        <v>505</v>
      </c>
    </row>
    <row r="31" spans="2:2">
      <c r="B31" s="8" t="s">
        <v>506</v>
      </c>
    </row>
    <row r="32" spans="2:2">
      <c r="B32" s="8" t="s">
        <v>507</v>
      </c>
    </row>
    <row r="33" spans="2:2">
      <c r="B33" s="8" t="s">
        <v>508</v>
      </c>
    </row>
    <row r="34" spans="2:2">
      <c r="B34" s="8" t="s">
        <v>509</v>
      </c>
    </row>
    <row r="35" spans="2:2">
      <c r="B35" s="8" t="s">
        <v>514</v>
      </c>
    </row>
    <row r="36" spans="2:2">
      <c r="B36" s="8" t="s">
        <v>515</v>
      </c>
    </row>
    <row r="37" spans="2:2">
      <c r="B37" s="8" t="s">
        <v>519</v>
      </c>
    </row>
    <row r="38" spans="2:2">
      <c r="B38" s="8" t="s">
        <v>510</v>
      </c>
    </row>
    <row r="39" spans="2:2">
      <c r="B39" s="8" t="s">
        <v>520</v>
      </c>
    </row>
    <row r="40" spans="2:2">
      <c r="B40" s="8" t="s">
        <v>521</v>
      </c>
    </row>
    <row r="41" spans="2:2">
      <c r="B41" s="8" t="s">
        <v>522</v>
      </c>
    </row>
    <row r="42" spans="2:2">
      <c r="B42" s="8" t="s">
        <v>511</v>
      </c>
    </row>
    <row r="43" spans="2:2">
      <c r="B43" s="8" t="s">
        <v>516</v>
      </c>
    </row>
    <row r="44" spans="2:2">
      <c r="B44" s="8" t="s">
        <v>523</v>
      </c>
    </row>
    <row r="45" spans="2:2">
      <c r="B45" s="8" t="s">
        <v>524</v>
      </c>
    </row>
    <row r="46" spans="2:2">
      <c r="B46" s="8" t="s">
        <v>512</v>
      </c>
    </row>
    <row r="47" spans="2:2">
      <c r="B47" s="8" t="s">
        <v>513</v>
      </c>
    </row>
  </sheetData>
  <sortState xmlns:xlrd2="http://schemas.microsoft.com/office/spreadsheetml/2017/richdata2" ref="B3:B46">
    <sortCondition ref="B3:B46"/>
  </sortState>
  <pageMargins left="0.7" right="0.7" top="0.75" bottom="0.75" header="0.3" footer="0.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22"/>
  <dimension ref="B1:AG764"/>
  <sheetViews>
    <sheetView showGridLines="0" view="pageBreakPreview" zoomScale="80" zoomScaleNormal="100" zoomScaleSheetLayoutView="80" workbookViewId="0"/>
  </sheetViews>
  <sheetFormatPr defaultRowHeight="12.75" outlineLevelRow="1"/>
  <cols>
    <col min="1" max="1" width="4.5" style="179" customWidth="1"/>
    <col min="2" max="2" width="31.33203125" style="179" bestFit="1" customWidth="1"/>
    <col min="3" max="3" width="2.83203125" style="179" customWidth="1"/>
    <col min="4" max="4" width="11.83203125" style="179" customWidth="1"/>
    <col min="5" max="6" width="0" style="179" hidden="1" customWidth="1"/>
    <col min="7" max="7" width="2.83203125" style="179" customWidth="1"/>
    <col min="8" max="9" width="11.83203125" style="179" customWidth="1"/>
    <col min="10" max="10" width="2.83203125" style="179" customWidth="1"/>
    <col min="11" max="11" width="12.5" style="179" customWidth="1"/>
    <col min="12" max="18" width="11.83203125" style="179" customWidth="1"/>
    <col min="19" max="19" width="4.5" style="179" customWidth="1"/>
    <col min="20" max="20" width="0" style="179" hidden="1" customWidth="1"/>
    <col min="21" max="23" width="10.83203125" style="179" customWidth="1"/>
    <col min="24" max="24" width="1.83203125" style="179" customWidth="1"/>
    <col min="25" max="25" width="17.6640625" style="179" bestFit="1" customWidth="1"/>
    <col min="26" max="26" width="14.33203125" style="179" bestFit="1" customWidth="1"/>
    <col min="27" max="27" width="10" style="179" bestFit="1" customWidth="1"/>
    <col min="28" max="28" width="10.1640625" style="179" bestFit="1" customWidth="1"/>
    <col min="29" max="29" width="9.5" style="179" bestFit="1" customWidth="1"/>
    <col min="30" max="16384" width="9.33203125" style="179"/>
  </cols>
  <sheetData>
    <row r="1" spans="2:33" ht="10.7" customHeight="1" thickBot="1"/>
    <row r="2" spans="2:33" ht="16.5" customHeight="1" thickTop="1">
      <c r="B2" s="187" t="str">
        <f>'MASTER PubCo Inputs'!$C$5</f>
        <v>Decibel Therapeutics, Inc.</v>
      </c>
      <c r="C2" s="187"/>
      <c r="D2" s="187"/>
      <c r="E2" s="187"/>
      <c r="F2" s="187"/>
      <c r="G2" s="187"/>
      <c r="H2" s="187"/>
      <c r="I2" s="187"/>
      <c r="J2" s="187"/>
      <c r="K2" s="187"/>
      <c r="L2" s="187"/>
      <c r="M2" s="187"/>
      <c r="N2" s="187"/>
      <c r="O2" s="187"/>
      <c r="P2" s="187"/>
      <c r="Q2" s="187"/>
      <c r="R2" s="187"/>
      <c r="Y2" s="909" t="s">
        <v>87</v>
      </c>
      <c r="Z2" s="910">
        <f>+'Comp.1'!$AL$2</f>
        <v>43245</v>
      </c>
    </row>
    <row r="3" spans="2:33" ht="15.75" customHeight="1">
      <c r="B3" s="188" t="e">
        <f>VLOOKUP(B4,Outline!$E$8:$G$75,COLUMNS(Outline!$E$8:$G$8),FALSE)</f>
        <v>#N/A</v>
      </c>
      <c r="C3" s="188"/>
      <c r="D3" s="188"/>
      <c r="E3" s="188"/>
      <c r="F3" s="188"/>
      <c r="G3" s="188"/>
      <c r="H3" s="188"/>
      <c r="I3" s="188"/>
      <c r="J3" s="188"/>
      <c r="K3" s="188"/>
      <c r="L3" s="188"/>
      <c r="M3" s="188"/>
      <c r="N3" s="188"/>
      <c r="O3" s="188"/>
      <c r="P3" s="188"/>
      <c r="Q3" s="188"/>
      <c r="R3" s="188"/>
      <c r="Y3" s="911" t="s">
        <v>462</v>
      </c>
      <c r="Z3" s="912" t="str">
        <f>+'Comp.1'!$AL$3</f>
        <v>F</v>
      </c>
    </row>
    <row r="4" spans="2:33" ht="16.5" customHeight="1" thickBot="1">
      <c r="B4" s="726" t="s">
        <v>314</v>
      </c>
      <c r="C4" s="726"/>
      <c r="D4" s="726"/>
      <c r="E4" s="726"/>
      <c r="F4" s="726"/>
      <c r="G4" s="726"/>
      <c r="H4" s="726"/>
      <c r="I4" s="726"/>
      <c r="J4" s="727"/>
      <c r="K4" s="727"/>
      <c r="L4" s="727"/>
      <c r="M4" s="727"/>
      <c r="N4" s="727"/>
      <c r="O4" s="727"/>
      <c r="P4" s="727"/>
      <c r="Q4" s="727"/>
      <c r="R4" s="727" t="str">
        <f>+'MASTER PubCo Inputs'!$C$24</f>
        <v>(in millions of USD)</v>
      </c>
      <c r="Y4" s="911" t="s">
        <v>463</v>
      </c>
      <c r="Z4" s="912" t="str">
        <f>+'Comp.1'!$AL$4</f>
        <v>USD</v>
      </c>
    </row>
    <row r="5" spans="2:33" ht="14.85" customHeight="1" thickTop="1">
      <c r="Y5" s="378" t="s">
        <v>89</v>
      </c>
      <c r="Z5" s="913" t="str">
        <f>+'Comp.1'!$AL$5</f>
        <v>H</v>
      </c>
    </row>
    <row r="6" spans="2:33" ht="14.85" customHeight="1"/>
    <row r="7" spans="2:33" ht="14.85" customHeight="1">
      <c r="D7" s="914" t="s">
        <v>69</v>
      </c>
      <c r="E7" s="915"/>
      <c r="F7" s="915"/>
      <c r="G7" s="915"/>
      <c r="H7" s="915"/>
      <c r="I7" s="916"/>
      <c r="K7" s="914" t="s">
        <v>91</v>
      </c>
      <c r="L7" s="917"/>
      <c r="M7" s="917"/>
      <c r="N7" s="917"/>
      <c r="O7" s="917"/>
      <c r="P7" s="917"/>
      <c r="Q7" s="917"/>
      <c r="R7" s="918"/>
      <c r="W7" s="919">
        <f>DCF!$D$47</f>
        <v>0.21</v>
      </c>
    </row>
    <row r="8" spans="2:33" s="200" customFormat="1" ht="14.85" customHeight="1">
      <c r="B8" s="920" t="s">
        <v>733</v>
      </c>
      <c r="D8" s="921" t="s">
        <v>309</v>
      </c>
      <c r="E8" s="922" t="s">
        <v>302</v>
      </c>
      <c r="F8" s="922" t="s">
        <v>303</v>
      </c>
      <c r="G8" s="923"/>
      <c r="H8" s="922" t="s">
        <v>310</v>
      </c>
      <c r="I8" s="924" t="s">
        <v>285</v>
      </c>
      <c r="J8" s="265"/>
      <c r="K8" s="921" t="s">
        <v>94</v>
      </c>
      <c r="L8" s="922" t="s">
        <v>95</v>
      </c>
      <c r="M8" s="922" t="s">
        <v>96</v>
      </c>
      <c r="N8" s="922" t="s">
        <v>97</v>
      </c>
      <c r="O8" s="922" t="s">
        <v>98</v>
      </c>
      <c r="P8" s="922" t="s">
        <v>99</v>
      </c>
      <c r="Q8" s="922" t="s">
        <v>100</v>
      </c>
      <c r="R8" s="924" t="s">
        <v>101</v>
      </c>
      <c r="T8" s="925" t="s">
        <v>311</v>
      </c>
      <c r="U8" s="926" t="s">
        <v>312</v>
      </c>
      <c r="V8" s="926" t="s">
        <v>313</v>
      </c>
      <c r="W8" s="927" t="s">
        <v>282</v>
      </c>
      <c r="Y8" s="562" t="s">
        <v>108</v>
      </c>
      <c r="Z8" s="454" t="s">
        <v>109</v>
      </c>
      <c r="AA8" s="928"/>
      <c r="AC8" s="200">
        <v>0</v>
      </c>
    </row>
    <row r="9" spans="2:33" ht="14.85" customHeight="1"/>
    <row r="10" spans="2:33" ht="14.85" customHeight="1">
      <c r="B10" s="179" t="str">
        <f>'Comp.1'!B12</f>
        <v>Editas Medicine, Inc.</v>
      </c>
      <c r="D10" s="625">
        <v>2</v>
      </c>
      <c r="E10" s="929" t="s">
        <v>306</v>
      </c>
      <c r="F10" s="929" t="s">
        <v>305</v>
      </c>
      <c r="H10" s="930">
        <f>HLOOKUP(D10,'Capital IQ Sheet-GPC'!$AQ$10:$AS$75,ROWS('Capital IQ Sheet-GPC'!AQ$10:AQ13),FALSE)</f>
        <v>1.4734700000000001</v>
      </c>
      <c r="I10" s="931">
        <f>IF(ISERROR(H10/(1+(1-$W10)*(($U10)/$V10))), "n/a", H10/(1+(1-$W10)*(($U10)/$V10)))</f>
        <v>1.4511576416776886</v>
      </c>
      <c r="K10" s="576">
        <f>'Capital IQ Sheet-GPC'!J13</f>
        <v>1705.3104800000001</v>
      </c>
      <c r="L10" s="576">
        <f>'Capital IQ Sheet-GPC'!K13</f>
        <v>33.19</v>
      </c>
      <c r="M10" s="576" t="str">
        <f>'Capital IQ Sheet-GPC'!L13</f>
        <v>n/a</v>
      </c>
      <c r="N10" s="576" t="str">
        <f>'Capital IQ Sheet-GPC'!M13</f>
        <v>n/a</v>
      </c>
      <c r="O10" s="576">
        <f>SUM(L10:N10)</f>
        <v>33.19</v>
      </c>
      <c r="P10" s="576">
        <f>SUM(K10:N10)</f>
        <v>1738.5004800000002</v>
      </c>
      <c r="Q10" s="576">
        <f>'Capital IQ Sheet-GPC'!N13</f>
        <v>358.82100000000003</v>
      </c>
      <c r="R10" s="576">
        <f>IF(ISERROR(P10-Q10), "n/a", P10-Q10)</f>
        <v>1379.6794800000002</v>
      </c>
      <c r="T10" s="401">
        <f>$Z$2-365*D10</f>
        <v>42515</v>
      </c>
      <c r="U10" s="384">
        <f>IFERROR(SUM(L10:M10)/P10,"n/a")</f>
        <v>1.9091165278251745E-2</v>
      </c>
      <c r="V10" s="384">
        <f>IFERROR(1-U10,"n/a")</f>
        <v>0.98090883472174828</v>
      </c>
      <c r="W10" s="384">
        <f>W$7</f>
        <v>0.21</v>
      </c>
      <c r="Y10" s="932" t="str">
        <f>'MASTER PubCo Inputs'!B28</f>
        <v>NasdaqGS:EDIT</v>
      </c>
      <c r="Z10" s="255">
        <f>'Capital IQ Sheet-GPC'!H13</f>
        <v>1379.67948</v>
      </c>
      <c r="AA10" s="933">
        <f>R10-Z10</f>
        <v>0</v>
      </c>
      <c r="AC10" s="325"/>
      <c r="AG10" s="934"/>
    </row>
    <row r="11" spans="2:33" ht="14.85" customHeight="1">
      <c r="B11" s="179" t="str">
        <f>'Comp.1'!B13</f>
        <v>Oxford BioMedica plc</v>
      </c>
      <c r="D11" s="625">
        <v>2</v>
      </c>
      <c r="E11" s="929" t="s">
        <v>306</v>
      </c>
      <c r="F11" s="929" t="s">
        <v>305</v>
      </c>
      <c r="H11" s="930">
        <f>HLOOKUP(D11,'Capital IQ Sheet-GPC'!$AQ$10:$AS$75,ROWS('Capital IQ Sheet-GPC'!AQ$10:AQ14),FALSE)</f>
        <v>1.36836</v>
      </c>
      <c r="I11" s="931">
        <f t="shared" ref="I11:I39" si="0">IF(ISERROR(H11/(1+(1-$W11)*(($U11)/$V11))), "n/a", H11/(1+(1-$W11)*(($U11)/$V11)))</f>
        <v>1.2908659124099093</v>
      </c>
      <c r="K11" s="576">
        <f>'Capital IQ Sheet-GPC'!J14</f>
        <v>655.68985999999995</v>
      </c>
      <c r="L11" s="576">
        <f>'Capital IQ Sheet-GPC'!K14</f>
        <v>49.826320000000003</v>
      </c>
      <c r="M11" s="576" t="str">
        <f>'Capital IQ Sheet-GPC'!L14</f>
        <v>n/a</v>
      </c>
      <c r="N11" s="576" t="str">
        <f>'Capital IQ Sheet-GPC'!M14</f>
        <v>n/a</v>
      </c>
      <c r="O11" s="576">
        <f t="shared" ref="O11:O39" si="1">SUM(L11:N11)</f>
        <v>49.826320000000003</v>
      </c>
      <c r="P11" s="576">
        <f t="shared" ref="P11:P39" si="2">SUM(K11:N11)</f>
        <v>705.51617999999996</v>
      </c>
      <c r="Q11" s="576">
        <f>'Capital IQ Sheet-GPC'!N14</f>
        <v>19.367439999999998</v>
      </c>
      <c r="R11" s="576">
        <f t="shared" ref="R11:R39" si="3">IF(ISERROR(P11-Q11), "n/a", P11-Q11)</f>
        <v>686.14873999999998</v>
      </c>
      <c r="T11" s="401">
        <f t="shared" ref="T11:T39" si="4">$Z$2-365*D11</f>
        <v>42515</v>
      </c>
      <c r="U11" s="384">
        <f t="shared" ref="U11:U39" si="5">IFERROR(SUM(L11:M11)/P11,"n/a")</f>
        <v>7.0623922473330103E-2</v>
      </c>
      <c r="V11" s="384">
        <f t="shared" ref="V11:V39" si="6">IFERROR(1-U11,"n/a")</f>
        <v>0.92937607752666995</v>
      </c>
      <c r="W11" s="384">
        <f t="shared" ref="W11:W39" si="7">W$7</f>
        <v>0.21</v>
      </c>
      <c r="Y11" s="932" t="str">
        <f>'MASTER PubCo Inputs'!B29</f>
        <v>LSE:OXB</v>
      </c>
      <c r="Z11" s="255">
        <f>'Capital IQ Sheet-GPC'!H14</f>
        <v>685.68294000000003</v>
      </c>
      <c r="AA11" s="933">
        <f t="shared" ref="AA11:AA39" si="8">R11-Z11</f>
        <v>0.4657999999999447</v>
      </c>
      <c r="AC11" s="325"/>
      <c r="AG11" s="934"/>
    </row>
    <row r="12" spans="2:33" ht="14.85" customHeight="1">
      <c r="B12" s="179" t="str">
        <f>'Comp.1'!B14</f>
        <v>Fennec Pharmaceuticals Inc.</v>
      </c>
      <c r="D12" s="625">
        <v>2</v>
      </c>
      <c r="E12" s="929" t="s">
        <v>306</v>
      </c>
      <c r="F12" s="929" t="s">
        <v>305</v>
      </c>
      <c r="H12" s="930">
        <f>HLOOKUP(D12,'Capital IQ Sheet-GPC'!$AQ$10:$AS$75,ROWS('Capital IQ Sheet-GPC'!AQ$10:AQ15),FALSE)</f>
        <v>0.13317000000000001</v>
      </c>
      <c r="I12" s="931">
        <f t="shared" si="0"/>
        <v>0.13317000000000001</v>
      </c>
      <c r="K12" s="576">
        <f>'Capital IQ Sheet-GPC'!J15</f>
        <v>205.66506000000001</v>
      </c>
      <c r="L12" s="576">
        <f>'Capital IQ Sheet-GPC'!K15</f>
        <v>0</v>
      </c>
      <c r="M12" s="576" t="str">
        <f>'Capital IQ Sheet-GPC'!L15</f>
        <v>n/a</v>
      </c>
      <c r="N12" s="576" t="str">
        <f>'Capital IQ Sheet-GPC'!M15</f>
        <v>n/a</v>
      </c>
      <c r="O12" s="576">
        <f t="shared" si="1"/>
        <v>0</v>
      </c>
      <c r="P12" s="576">
        <f t="shared" si="2"/>
        <v>205.66506000000001</v>
      </c>
      <c r="Q12" s="576">
        <f>'Capital IQ Sheet-GPC'!N15</f>
        <v>26.719000000000001</v>
      </c>
      <c r="R12" s="576">
        <f t="shared" si="3"/>
        <v>178.94606000000002</v>
      </c>
      <c r="T12" s="401">
        <f t="shared" si="4"/>
        <v>42515</v>
      </c>
      <c r="U12" s="384">
        <f t="shared" si="5"/>
        <v>0</v>
      </c>
      <c r="V12" s="384">
        <f t="shared" si="6"/>
        <v>1</v>
      </c>
      <c r="W12" s="384">
        <f t="shared" si="7"/>
        <v>0.21</v>
      </c>
      <c r="Y12" s="932" t="str">
        <f>'MASTER PubCo Inputs'!B30</f>
        <v>NasdaqCM:FENC</v>
      </c>
      <c r="Z12" s="255">
        <f>'Capital IQ Sheet-GPC'!H15</f>
        <v>178.94605999999999</v>
      </c>
      <c r="AA12" s="933">
        <f t="shared" si="8"/>
        <v>0</v>
      </c>
      <c r="AC12" s="325"/>
      <c r="AG12" s="934"/>
    </row>
    <row r="13" spans="2:33" ht="14.85" customHeight="1">
      <c r="B13" s="179" t="str">
        <f>'Comp.1'!B15</f>
        <v>ProQR Therapeutics N.V.</v>
      </c>
      <c r="D13" s="625">
        <v>2</v>
      </c>
      <c r="E13" s="929" t="s">
        <v>306</v>
      </c>
      <c r="F13" s="929" t="s">
        <v>305</v>
      </c>
      <c r="H13" s="930">
        <f>HLOOKUP(D13,'Capital IQ Sheet-GPC'!$AQ$10:$AS$75,ROWS('Capital IQ Sheet-GPC'!AQ$10:AQ16),FALSE)</f>
        <v>1.8418399999999999</v>
      </c>
      <c r="I13" s="931">
        <f t="shared" si="0"/>
        <v>1.7769892878056086</v>
      </c>
      <c r="K13" s="576">
        <f>'Capital IQ Sheet-GPC'!J16</f>
        <v>188.339</v>
      </c>
      <c r="L13" s="576">
        <f>'Capital IQ Sheet-GPC'!K16</f>
        <v>8.6983700000000006</v>
      </c>
      <c r="M13" s="576" t="str">
        <f>'Capital IQ Sheet-GPC'!L16</f>
        <v>n/a</v>
      </c>
      <c r="N13" s="576">
        <f>'Capital IQ Sheet-GPC'!M16</f>
        <v>-4.5629999999999997E-2</v>
      </c>
      <c r="O13" s="576">
        <f t="shared" si="1"/>
        <v>8.6527400000000014</v>
      </c>
      <c r="P13" s="576">
        <f t="shared" si="2"/>
        <v>196.99174000000002</v>
      </c>
      <c r="Q13" s="576">
        <f>'Capital IQ Sheet-GPC'!N16</f>
        <v>57.755760000000002</v>
      </c>
      <c r="R13" s="576">
        <f t="shared" si="3"/>
        <v>139.23598000000001</v>
      </c>
      <c r="T13" s="401">
        <f t="shared" si="4"/>
        <v>42515</v>
      </c>
      <c r="U13" s="384">
        <f t="shared" si="5"/>
        <v>4.4156013851139139E-2</v>
      </c>
      <c r="V13" s="384">
        <f t="shared" si="6"/>
        <v>0.9558439861488609</v>
      </c>
      <c r="W13" s="384">
        <f t="shared" si="7"/>
        <v>0.21</v>
      </c>
      <c r="Y13" s="932" t="str">
        <f>'MASTER PubCo Inputs'!B31</f>
        <v>NasdaqGM:PRQR</v>
      </c>
      <c r="Z13" s="255">
        <f>'Capital IQ Sheet-GPC'!H16</f>
        <v>150.9237</v>
      </c>
      <c r="AA13" s="933">
        <f t="shared" si="8"/>
        <v>-11.687719999999985</v>
      </c>
      <c r="AC13" s="325"/>
      <c r="AG13" s="934"/>
    </row>
    <row r="14" spans="2:33" ht="14.85" customHeight="1">
      <c r="B14" s="179" t="str">
        <f>'Comp.1'!B16</f>
        <v>Genkyotex SA</v>
      </c>
      <c r="D14" s="625">
        <v>2</v>
      </c>
      <c r="E14" s="929" t="s">
        <v>306</v>
      </c>
      <c r="F14" s="929" t="s">
        <v>305</v>
      </c>
      <c r="H14" s="930">
        <f>HLOOKUP(D14,'Capital IQ Sheet-GPC'!$AQ$10:$AS$75,ROWS('Capital IQ Sheet-GPC'!AQ$10:AQ17),FALSE)</f>
        <v>1.2112799999999999</v>
      </c>
      <c r="I14" s="931">
        <f t="shared" si="0"/>
        <v>1.2079464821169879</v>
      </c>
      <c r="K14" s="576">
        <f>'Capital IQ Sheet-GPC'!J17</f>
        <v>138.52769000000001</v>
      </c>
      <c r="L14" s="576">
        <f>'Capital IQ Sheet-GPC'!K17</f>
        <v>0.48391000000000001</v>
      </c>
      <c r="M14" s="576" t="str">
        <f>'Capital IQ Sheet-GPC'!L17</f>
        <v>n/a</v>
      </c>
      <c r="N14" s="576" t="str">
        <f>'Capital IQ Sheet-GPC'!M17</f>
        <v>n/a</v>
      </c>
      <c r="O14" s="576">
        <f t="shared" si="1"/>
        <v>0.48391000000000001</v>
      </c>
      <c r="P14" s="576">
        <f t="shared" si="2"/>
        <v>139.01160000000002</v>
      </c>
      <c r="Q14" s="576">
        <f>'Capital IQ Sheet-GPC'!N17</f>
        <v>13.622719999999999</v>
      </c>
      <c r="R14" s="576">
        <f t="shared" si="3"/>
        <v>125.38888000000001</v>
      </c>
      <c r="T14" s="401">
        <f t="shared" si="4"/>
        <v>42515</v>
      </c>
      <c r="U14" s="384">
        <f t="shared" si="5"/>
        <v>3.4810763993796197E-3</v>
      </c>
      <c r="V14" s="384">
        <f t="shared" si="6"/>
        <v>0.99651892360062033</v>
      </c>
      <c r="W14" s="384">
        <f t="shared" si="7"/>
        <v>0.21</v>
      </c>
      <c r="Y14" s="932" t="str">
        <f>'MASTER PubCo Inputs'!B32</f>
        <v>ENXTPA:GKTX</v>
      </c>
      <c r="Z14" s="255">
        <f>'Capital IQ Sheet-GPC'!H17</f>
        <v>125.77329</v>
      </c>
      <c r="AA14" s="933">
        <f t="shared" si="8"/>
        <v>-0.38440999999998837</v>
      </c>
      <c r="AC14" s="325"/>
      <c r="AG14" s="934"/>
    </row>
    <row r="15" spans="2:33" ht="14.85" customHeight="1">
      <c r="B15" s="179" t="str">
        <f>'Comp.1'!B17</f>
        <v>Novus Therapeutics, Inc.</v>
      </c>
      <c r="D15" s="625">
        <v>2</v>
      </c>
      <c r="E15" s="929" t="s">
        <v>306</v>
      </c>
      <c r="F15" s="929" t="s">
        <v>305</v>
      </c>
      <c r="H15" s="930">
        <f>HLOOKUP(D15,'Capital IQ Sheet-GPC'!$AQ$10:$AS$75,ROWS('Capital IQ Sheet-GPC'!AQ$10:AQ18),FALSE)</f>
        <v>0.25030000000000002</v>
      </c>
      <c r="I15" s="931">
        <f t="shared" si="0"/>
        <v>0.25030000000000002</v>
      </c>
      <c r="K15" s="576">
        <f>'Capital IQ Sheet-GPC'!J18</f>
        <v>74.033280000000005</v>
      </c>
      <c r="L15" s="576">
        <f>'Capital IQ Sheet-GPC'!K18</f>
        <v>0</v>
      </c>
      <c r="M15" s="576" t="str">
        <f>'Capital IQ Sheet-GPC'!L18</f>
        <v>n/a</v>
      </c>
      <c r="N15" s="576" t="str">
        <f>'Capital IQ Sheet-GPC'!M18</f>
        <v>n/a</v>
      </c>
      <c r="O15" s="576">
        <f t="shared" si="1"/>
        <v>0</v>
      </c>
      <c r="P15" s="576">
        <f t="shared" si="2"/>
        <v>74.033280000000005</v>
      </c>
      <c r="Q15" s="576">
        <f>'Capital IQ Sheet-GPC'!N18</f>
        <v>22.523</v>
      </c>
      <c r="R15" s="576">
        <f t="shared" si="3"/>
        <v>51.510280000000009</v>
      </c>
      <c r="T15" s="401">
        <f t="shared" si="4"/>
        <v>42515</v>
      </c>
      <c r="U15" s="384">
        <f t="shared" si="5"/>
        <v>0</v>
      </c>
      <c r="V15" s="384">
        <f t="shared" si="6"/>
        <v>1</v>
      </c>
      <c r="W15" s="384">
        <f t="shared" si="7"/>
        <v>0.21</v>
      </c>
      <c r="Y15" s="932" t="str">
        <f>'MASTER PubCo Inputs'!B33</f>
        <v>NasdaqCM:NVUS</v>
      </c>
      <c r="Z15" s="255">
        <f>'Capital IQ Sheet-GPC'!H18</f>
        <v>51.510280000000002</v>
      </c>
      <c r="AA15" s="933">
        <f t="shared" si="8"/>
        <v>0</v>
      </c>
      <c r="AC15" s="325"/>
      <c r="AG15" s="934"/>
    </row>
    <row r="16" spans="2:33" ht="14.85" customHeight="1">
      <c r="B16" s="179" t="str">
        <f>'Comp.1'!B18</f>
        <v>Sensorion SA</v>
      </c>
      <c r="D16" s="625">
        <v>2</v>
      </c>
      <c r="E16" s="929" t="s">
        <v>306</v>
      </c>
      <c r="F16" s="929" t="s">
        <v>305</v>
      </c>
      <c r="H16" s="930">
        <f>HLOOKUP(D16,'Capital IQ Sheet-GPC'!$AQ$10:$AS$75,ROWS('Capital IQ Sheet-GPC'!AQ$10:AQ19),FALSE)</f>
        <v>1.13463</v>
      </c>
      <c r="I16" s="931">
        <f t="shared" si="0"/>
        <v>1.0732708977125585</v>
      </c>
      <c r="K16" s="576">
        <f>'Capital IQ Sheet-GPC'!J19</f>
        <v>37.159999999999997</v>
      </c>
      <c r="L16" s="576">
        <f>'Capital IQ Sheet-GPC'!K19</f>
        <v>2.6891699999999998</v>
      </c>
      <c r="M16" s="576">
        <f>'Capital IQ Sheet-GPC'!L19</f>
        <v>0</v>
      </c>
      <c r="N16" s="576">
        <f>'Capital IQ Sheet-GPC'!M19</f>
        <v>0</v>
      </c>
      <c r="O16" s="576">
        <f t="shared" si="1"/>
        <v>2.6891699999999998</v>
      </c>
      <c r="P16" s="576">
        <f t="shared" si="2"/>
        <v>39.849169999999994</v>
      </c>
      <c r="Q16" s="576">
        <f>'Capital IQ Sheet-GPC'!N19</f>
        <v>9.1175599999999992</v>
      </c>
      <c r="R16" s="576">
        <f t="shared" si="3"/>
        <v>30.731609999999996</v>
      </c>
      <c r="T16" s="401">
        <f t="shared" si="4"/>
        <v>42515</v>
      </c>
      <c r="U16" s="384">
        <f t="shared" si="5"/>
        <v>6.7483714215377646E-2</v>
      </c>
      <c r="V16" s="384">
        <f t="shared" si="6"/>
        <v>0.93251628578462231</v>
      </c>
      <c r="W16" s="384">
        <f t="shared" si="7"/>
        <v>0.21</v>
      </c>
      <c r="Y16" s="932" t="str">
        <f>'MASTER PubCo Inputs'!B34</f>
        <v>ENXTPA:ALSEN</v>
      </c>
      <c r="Z16" s="255">
        <f>'Capital IQ Sheet-GPC'!H19</f>
        <v>30.919689999999999</v>
      </c>
      <c r="AA16" s="933">
        <f t="shared" si="8"/>
        <v>-0.18808000000000291</v>
      </c>
      <c r="AC16" s="325"/>
      <c r="AG16" s="934"/>
    </row>
    <row r="17" spans="2:33" ht="14.85" customHeight="1">
      <c r="B17" s="179" t="str">
        <f>'Comp.1'!B19</f>
        <v>Otonomy, Inc.</v>
      </c>
      <c r="D17" s="625">
        <v>2</v>
      </c>
      <c r="E17" s="929" t="s">
        <v>306</v>
      </c>
      <c r="F17" s="929" t="s">
        <v>305</v>
      </c>
      <c r="H17" s="930">
        <f>HLOOKUP(D17,'Capital IQ Sheet-GPC'!$AQ$10:$AS$75,ROWS('Capital IQ Sheet-GPC'!AQ$10:AQ20),FALSE)</f>
        <v>1.5444899999999999</v>
      </c>
      <c r="I17" s="931">
        <f t="shared" si="0"/>
        <v>1.5444899999999999</v>
      </c>
      <c r="K17" s="576">
        <f>'Capital IQ Sheet-GPC'!J20</f>
        <v>136.06998999999999</v>
      </c>
      <c r="L17" s="576">
        <f>'Capital IQ Sheet-GPC'!K20</f>
        <v>0</v>
      </c>
      <c r="M17" s="576">
        <f>'Capital IQ Sheet-GPC'!L20</f>
        <v>0</v>
      </c>
      <c r="N17" s="576">
        <f>'Capital IQ Sheet-GPC'!M20</f>
        <v>0</v>
      </c>
      <c r="O17" s="576">
        <f t="shared" si="1"/>
        <v>0</v>
      </c>
      <c r="P17" s="576">
        <f t="shared" si="2"/>
        <v>136.06998999999999</v>
      </c>
      <c r="Q17" s="576">
        <f>'Capital IQ Sheet-GPC'!N20</f>
        <v>110.224</v>
      </c>
      <c r="R17" s="576">
        <f t="shared" si="3"/>
        <v>25.845989999999986</v>
      </c>
      <c r="T17" s="401">
        <f t="shared" si="4"/>
        <v>42515</v>
      </c>
      <c r="U17" s="384">
        <f t="shared" si="5"/>
        <v>0</v>
      </c>
      <c r="V17" s="384">
        <f t="shared" si="6"/>
        <v>1</v>
      </c>
      <c r="W17" s="384">
        <f t="shared" si="7"/>
        <v>0.21</v>
      </c>
      <c r="Y17" s="932" t="str">
        <f>'MASTER PubCo Inputs'!B35</f>
        <v>NasdaqGS:OTIC</v>
      </c>
      <c r="Z17" s="255">
        <f>'Capital IQ Sheet-GPC'!H20</f>
        <v>25.84599</v>
      </c>
      <c r="AA17" s="933">
        <f t="shared" si="8"/>
        <v>0</v>
      </c>
      <c r="AC17" s="325"/>
      <c r="AG17" s="934"/>
    </row>
    <row r="18" spans="2:33" ht="14.85" customHeight="1">
      <c r="B18" s="179" t="str">
        <f>'Comp.1'!B20</f>
        <v>Auris Medical Holding AG</v>
      </c>
      <c r="D18" s="625">
        <v>2</v>
      </c>
      <c r="E18" s="929" t="s">
        <v>306</v>
      </c>
      <c r="F18" s="929" t="s">
        <v>305</v>
      </c>
      <c r="H18" s="930">
        <f>HLOOKUP(D18,'Capital IQ Sheet-GPC'!$AQ$10:$AS$75,ROWS('Capital IQ Sheet-GPC'!AQ$10:AQ21),FALSE)</f>
        <v>1.32524</v>
      </c>
      <c r="I18" s="931">
        <f t="shared" si="0"/>
        <v>0.66812416878074399</v>
      </c>
      <c r="K18" s="576">
        <f>'Capital IQ Sheet-GPC'!J21</f>
        <v>7.2796900000000004</v>
      </c>
      <c r="L18" s="576">
        <f>'Capital IQ Sheet-GPC'!K21</f>
        <v>9.06297</v>
      </c>
      <c r="M18" s="576">
        <f>'Capital IQ Sheet-GPC'!L21</f>
        <v>0</v>
      </c>
      <c r="N18" s="576">
        <f>'Capital IQ Sheet-GPC'!M21</f>
        <v>0</v>
      </c>
      <c r="O18" s="576">
        <f t="shared" si="1"/>
        <v>9.06297</v>
      </c>
      <c r="P18" s="576">
        <f t="shared" si="2"/>
        <v>16.342660000000002</v>
      </c>
      <c r="Q18" s="576">
        <f>'Capital IQ Sheet-GPC'!N21</f>
        <v>13.2705</v>
      </c>
      <c r="R18" s="576">
        <f t="shared" si="3"/>
        <v>3.072160000000002</v>
      </c>
      <c r="T18" s="401">
        <f t="shared" si="4"/>
        <v>42515</v>
      </c>
      <c r="U18" s="384">
        <f t="shared" si="5"/>
        <v>0.55455904975077486</v>
      </c>
      <c r="V18" s="384">
        <f t="shared" si="6"/>
        <v>0.44544095024922514</v>
      </c>
      <c r="W18" s="384">
        <f t="shared" si="7"/>
        <v>0.21</v>
      </c>
      <c r="Y18" s="932" t="str">
        <f>'MASTER PubCo Inputs'!B36</f>
        <v>NasdaqCM:EARS</v>
      </c>
      <c r="Z18" s="255">
        <f>'Capital IQ Sheet-GPC'!H21</f>
        <v>3.0721500000000002</v>
      </c>
      <c r="AA18" s="933">
        <f t="shared" si="8"/>
        <v>1.0000000001841869E-5</v>
      </c>
      <c r="AC18" s="325"/>
      <c r="AG18" s="934"/>
    </row>
    <row r="19" spans="2:33" ht="14.85" hidden="1" customHeight="1" outlineLevel="1">
      <c r="B19" s="179" t="str">
        <f>'Comp.1'!B21</f>
        <v>(Invalid Identifier)</v>
      </c>
      <c r="D19" s="625">
        <v>2</v>
      </c>
      <c r="E19" s="929" t="s">
        <v>306</v>
      </c>
      <c r="F19" s="929" t="s">
        <v>305</v>
      </c>
      <c r="H19" s="930" t="str">
        <f>HLOOKUP(D19,'Capital IQ Sheet-GPC'!$AQ$10:$AS$75,ROWS('Capital IQ Sheet-GPC'!AQ$10:AQ22),FALSE)</f>
        <v>(Invalid Identifier)</v>
      </c>
      <c r="I19" s="931" t="str">
        <f t="shared" si="0"/>
        <v>n/a</v>
      </c>
      <c r="K19" s="576" t="str">
        <f>'Capital IQ Sheet-GPC'!J22</f>
        <v>(Invalid Identifier)</v>
      </c>
      <c r="L19" s="576" t="str">
        <f>'Capital IQ Sheet-GPC'!K22</f>
        <v>(Invalid Identifier)</v>
      </c>
      <c r="M19" s="576" t="str">
        <f>'Capital IQ Sheet-GPC'!L22</f>
        <v>(Invalid Identifier)</v>
      </c>
      <c r="N19" s="576" t="str">
        <f>'Capital IQ Sheet-GPC'!M22</f>
        <v>(Invalid Identifier)</v>
      </c>
      <c r="O19" s="576">
        <f t="shared" si="1"/>
        <v>0</v>
      </c>
      <c r="P19" s="576">
        <f t="shared" si="2"/>
        <v>0</v>
      </c>
      <c r="Q19" s="576" t="str">
        <f>'Capital IQ Sheet-GPC'!N22</f>
        <v>(Invalid Identifier)</v>
      </c>
      <c r="R19" s="576" t="str">
        <f t="shared" si="3"/>
        <v>n/a</v>
      </c>
      <c r="T19" s="401">
        <f t="shared" si="4"/>
        <v>42515</v>
      </c>
      <c r="U19" s="384" t="str">
        <f t="shared" si="5"/>
        <v>n/a</v>
      </c>
      <c r="V19" s="384" t="str">
        <f t="shared" si="6"/>
        <v>n/a</v>
      </c>
      <c r="W19" s="384">
        <f t="shared" si="7"/>
        <v>0.21</v>
      </c>
      <c r="Y19" s="932" t="str">
        <f>'MASTER PubCo Inputs'!B37</f>
        <v>(Invalid Identifier)</v>
      </c>
      <c r="Z19" s="255" t="str">
        <f>'Capital IQ Sheet-GPC'!H22</f>
        <v>(Invalid Identifier)</v>
      </c>
      <c r="AA19" s="933" t="e">
        <f t="shared" si="8"/>
        <v>#VALUE!</v>
      </c>
      <c r="AC19" s="325"/>
      <c r="AG19" s="934"/>
    </row>
    <row r="20" spans="2:33" ht="14.85" hidden="1" customHeight="1" outlineLevel="1">
      <c r="B20" s="179" t="str">
        <f>'Comp.1'!B22</f>
        <v>(Invalid Identifier)</v>
      </c>
      <c r="D20" s="625">
        <v>2</v>
      </c>
      <c r="E20" s="929" t="s">
        <v>306</v>
      </c>
      <c r="F20" s="929" t="s">
        <v>305</v>
      </c>
      <c r="H20" s="930" t="str">
        <f>HLOOKUP(D20,'Capital IQ Sheet-GPC'!$AQ$10:$AS$75,ROWS('Capital IQ Sheet-GPC'!AQ$10:AQ23),FALSE)</f>
        <v>(Invalid Identifier)</v>
      </c>
      <c r="I20" s="931" t="str">
        <f t="shared" si="0"/>
        <v>n/a</v>
      </c>
      <c r="K20" s="576" t="str">
        <f>'Capital IQ Sheet-GPC'!J23</f>
        <v>(Invalid Identifier)</v>
      </c>
      <c r="L20" s="576" t="str">
        <f>'Capital IQ Sheet-GPC'!K23</f>
        <v>(Invalid Identifier)</v>
      </c>
      <c r="M20" s="576" t="str">
        <f>'Capital IQ Sheet-GPC'!L23</f>
        <v>(Invalid Identifier)</v>
      </c>
      <c r="N20" s="576" t="str">
        <f>'Capital IQ Sheet-GPC'!M23</f>
        <v>(Invalid Identifier)</v>
      </c>
      <c r="O20" s="576">
        <f t="shared" si="1"/>
        <v>0</v>
      </c>
      <c r="P20" s="576">
        <f t="shared" si="2"/>
        <v>0</v>
      </c>
      <c r="Q20" s="576" t="str">
        <f>'Capital IQ Sheet-GPC'!N23</f>
        <v>(Invalid Identifier)</v>
      </c>
      <c r="R20" s="576" t="str">
        <f t="shared" si="3"/>
        <v>n/a</v>
      </c>
      <c r="T20" s="401">
        <f t="shared" si="4"/>
        <v>42515</v>
      </c>
      <c r="U20" s="384" t="str">
        <f t="shared" si="5"/>
        <v>n/a</v>
      </c>
      <c r="V20" s="384" t="str">
        <f t="shared" si="6"/>
        <v>n/a</v>
      </c>
      <c r="W20" s="384">
        <f t="shared" si="7"/>
        <v>0.21</v>
      </c>
      <c r="Y20" s="932" t="str">
        <f>'MASTER PubCo Inputs'!B38</f>
        <v>(Invalid Identifier)</v>
      </c>
      <c r="Z20" s="255" t="str">
        <f>'Capital IQ Sheet-GPC'!H23</f>
        <v>(Invalid Identifier)</v>
      </c>
      <c r="AA20" s="933" t="e">
        <f t="shared" si="8"/>
        <v>#VALUE!</v>
      </c>
      <c r="AC20" s="325"/>
      <c r="AG20" s="934"/>
    </row>
    <row r="21" spans="2:33" ht="14.85" hidden="1" customHeight="1" outlineLevel="1">
      <c r="B21" s="179" t="str">
        <f>'Comp.1'!B23</f>
        <v>(Invalid Identifier)</v>
      </c>
      <c r="D21" s="625">
        <v>2</v>
      </c>
      <c r="E21" s="929" t="s">
        <v>306</v>
      </c>
      <c r="F21" s="929" t="s">
        <v>305</v>
      </c>
      <c r="H21" s="930" t="str">
        <f>HLOOKUP(D21,'Capital IQ Sheet-GPC'!$AQ$10:$AS$75,ROWS('Capital IQ Sheet-GPC'!AQ$10:AQ24),FALSE)</f>
        <v>(Invalid Identifier)</v>
      </c>
      <c r="I21" s="931" t="str">
        <f t="shared" si="0"/>
        <v>n/a</v>
      </c>
      <c r="K21" s="576" t="str">
        <f>'Capital IQ Sheet-GPC'!J24</f>
        <v>(Invalid Identifier)</v>
      </c>
      <c r="L21" s="576" t="str">
        <f>'Capital IQ Sheet-GPC'!K24</f>
        <v>(Invalid Identifier)</v>
      </c>
      <c r="M21" s="576" t="str">
        <f>'Capital IQ Sheet-GPC'!L24</f>
        <v>(Invalid Identifier)</v>
      </c>
      <c r="N21" s="576" t="str">
        <f>'Capital IQ Sheet-GPC'!M24</f>
        <v>(Invalid Identifier)</v>
      </c>
      <c r="O21" s="576">
        <f t="shared" si="1"/>
        <v>0</v>
      </c>
      <c r="P21" s="576">
        <f t="shared" si="2"/>
        <v>0</v>
      </c>
      <c r="Q21" s="576" t="str">
        <f>'Capital IQ Sheet-GPC'!N24</f>
        <v>(Invalid Identifier)</v>
      </c>
      <c r="R21" s="576" t="str">
        <f t="shared" si="3"/>
        <v>n/a</v>
      </c>
      <c r="T21" s="401">
        <f t="shared" si="4"/>
        <v>42515</v>
      </c>
      <c r="U21" s="384" t="str">
        <f t="shared" si="5"/>
        <v>n/a</v>
      </c>
      <c r="V21" s="384" t="str">
        <f t="shared" si="6"/>
        <v>n/a</v>
      </c>
      <c r="W21" s="384">
        <f t="shared" si="7"/>
        <v>0.21</v>
      </c>
      <c r="Y21" s="932" t="str">
        <f>'MASTER PubCo Inputs'!B39</f>
        <v>(Invalid Identifier)</v>
      </c>
      <c r="Z21" s="255" t="str">
        <f>'Capital IQ Sheet-GPC'!H24</f>
        <v>(Invalid Identifier)</v>
      </c>
      <c r="AA21" s="933" t="e">
        <f t="shared" si="8"/>
        <v>#VALUE!</v>
      </c>
      <c r="AC21" s="325"/>
      <c r="AG21" s="934"/>
    </row>
    <row r="22" spans="2:33" ht="14.85" hidden="1" customHeight="1" outlineLevel="1">
      <c r="B22" s="179" t="str">
        <f>'Comp.1'!B24</f>
        <v>(Invalid Identifier)</v>
      </c>
      <c r="D22" s="625">
        <v>2</v>
      </c>
      <c r="E22" s="929" t="s">
        <v>306</v>
      </c>
      <c r="F22" s="929" t="s">
        <v>305</v>
      </c>
      <c r="H22" s="930" t="str">
        <f>HLOOKUP(D22,'Capital IQ Sheet-GPC'!$AQ$10:$AS$75,ROWS('Capital IQ Sheet-GPC'!AQ$10:AQ25),FALSE)</f>
        <v>(Invalid Identifier)</v>
      </c>
      <c r="I22" s="931" t="str">
        <f t="shared" si="0"/>
        <v>n/a</v>
      </c>
      <c r="K22" s="576" t="str">
        <f>'Capital IQ Sheet-GPC'!J25</f>
        <v>(Invalid Identifier)</v>
      </c>
      <c r="L22" s="576" t="str">
        <f>'Capital IQ Sheet-GPC'!K25</f>
        <v>(Invalid Identifier)</v>
      </c>
      <c r="M22" s="576" t="str">
        <f>'Capital IQ Sheet-GPC'!L25</f>
        <v>(Invalid Identifier)</v>
      </c>
      <c r="N22" s="576" t="str">
        <f>'Capital IQ Sheet-GPC'!M25</f>
        <v>(Invalid Identifier)</v>
      </c>
      <c r="O22" s="576">
        <f t="shared" si="1"/>
        <v>0</v>
      </c>
      <c r="P22" s="576">
        <f t="shared" si="2"/>
        <v>0</v>
      </c>
      <c r="Q22" s="576" t="str">
        <f>'Capital IQ Sheet-GPC'!N25</f>
        <v>(Invalid Identifier)</v>
      </c>
      <c r="R22" s="576" t="str">
        <f t="shared" si="3"/>
        <v>n/a</v>
      </c>
      <c r="T22" s="401">
        <f t="shared" si="4"/>
        <v>42515</v>
      </c>
      <c r="U22" s="384" t="str">
        <f t="shared" si="5"/>
        <v>n/a</v>
      </c>
      <c r="V22" s="384" t="str">
        <f t="shared" si="6"/>
        <v>n/a</v>
      </c>
      <c r="W22" s="384">
        <f t="shared" si="7"/>
        <v>0.21</v>
      </c>
      <c r="Y22" s="932" t="str">
        <f>'MASTER PubCo Inputs'!B40</f>
        <v>(Invalid Identifier)</v>
      </c>
      <c r="Z22" s="255" t="str">
        <f>'Capital IQ Sheet-GPC'!H25</f>
        <v>(Invalid Identifier)</v>
      </c>
      <c r="AA22" s="933" t="e">
        <f t="shared" si="8"/>
        <v>#VALUE!</v>
      </c>
      <c r="AC22" s="325"/>
      <c r="AG22" s="934"/>
    </row>
    <row r="23" spans="2:33" ht="14.85" hidden="1" customHeight="1" outlineLevel="1">
      <c r="B23" s="179" t="str">
        <f>'Comp.1'!B25</f>
        <v>(Invalid Identifier)</v>
      </c>
      <c r="D23" s="625">
        <v>2</v>
      </c>
      <c r="E23" s="929" t="s">
        <v>306</v>
      </c>
      <c r="F23" s="929" t="s">
        <v>305</v>
      </c>
      <c r="H23" s="930" t="str">
        <f>HLOOKUP(D23,'Capital IQ Sheet-GPC'!$AQ$10:$AS$75,ROWS('Capital IQ Sheet-GPC'!AQ$10:AQ26),FALSE)</f>
        <v>(Invalid Identifier)</v>
      </c>
      <c r="I23" s="931" t="str">
        <f t="shared" si="0"/>
        <v>n/a</v>
      </c>
      <c r="K23" s="576" t="str">
        <f>'Capital IQ Sheet-GPC'!J26</f>
        <v>(Invalid Identifier)</v>
      </c>
      <c r="L23" s="576" t="str">
        <f>'Capital IQ Sheet-GPC'!K26</f>
        <v>(Invalid Identifier)</v>
      </c>
      <c r="M23" s="576" t="str">
        <f>'Capital IQ Sheet-GPC'!L26</f>
        <v>(Invalid Identifier)</v>
      </c>
      <c r="N23" s="576" t="str">
        <f>'Capital IQ Sheet-GPC'!M26</f>
        <v>(Invalid Identifier)</v>
      </c>
      <c r="O23" s="576">
        <f t="shared" si="1"/>
        <v>0</v>
      </c>
      <c r="P23" s="576">
        <f t="shared" si="2"/>
        <v>0</v>
      </c>
      <c r="Q23" s="576" t="str">
        <f>'Capital IQ Sheet-GPC'!N26</f>
        <v>(Invalid Identifier)</v>
      </c>
      <c r="R23" s="576" t="str">
        <f t="shared" si="3"/>
        <v>n/a</v>
      </c>
      <c r="T23" s="401">
        <f t="shared" si="4"/>
        <v>42515</v>
      </c>
      <c r="U23" s="384" t="str">
        <f t="shared" si="5"/>
        <v>n/a</v>
      </c>
      <c r="V23" s="384" t="str">
        <f t="shared" si="6"/>
        <v>n/a</v>
      </c>
      <c r="W23" s="384">
        <f t="shared" si="7"/>
        <v>0.21</v>
      </c>
      <c r="Y23" s="932" t="str">
        <f>'MASTER PubCo Inputs'!B41</f>
        <v>(Invalid Identifier)</v>
      </c>
      <c r="Z23" s="255" t="str">
        <f>'Capital IQ Sheet-GPC'!H26</f>
        <v>(Invalid Identifier)</v>
      </c>
      <c r="AA23" s="933" t="e">
        <f t="shared" si="8"/>
        <v>#VALUE!</v>
      </c>
      <c r="AC23" s="325"/>
      <c r="AG23" s="934"/>
    </row>
    <row r="24" spans="2:33" ht="14.85" hidden="1" customHeight="1" outlineLevel="1">
      <c r="B24" s="179" t="str">
        <f>'Comp.1'!B26</f>
        <v>(Invalid Identifier)</v>
      </c>
      <c r="D24" s="625">
        <v>2</v>
      </c>
      <c r="E24" s="929" t="s">
        <v>306</v>
      </c>
      <c r="F24" s="929" t="s">
        <v>305</v>
      </c>
      <c r="H24" s="930" t="str">
        <f>HLOOKUP(D24,'Capital IQ Sheet-GPC'!$AQ$10:$AS$75,ROWS('Capital IQ Sheet-GPC'!AQ$10:AQ27),FALSE)</f>
        <v>(Invalid Identifier)</v>
      </c>
      <c r="I24" s="931" t="str">
        <f t="shared" si="0"/>
        <v>n/a</v>
      </c>
      <c r="K24" s="576" t="str">
        <f>'Capital IQ Sheet-GPC'!J27</f>
        <v>(Invalid Identifier)</v>
      </c>
      <c r="L24" s="576" t="str">
        <f>'Capital IQ Sheet-GPC'!K27</f>
        <v>(Invalid Identifier)</v>
      </c>
      <c r="M24" s="576" t="str">
        <f>'Capital IQ Sheet-GPC'!L27</f>
        <v>(Invalid Identifier)</v>
      </c>
      <c r="N24" s="576" t="str">
        <f>'Capital IQ Sheet-GPC'!M27</f>
        <v>(Invalid Identifier)</v>
      </c>
      <c r="O24" s="576">
        <f t="shared" si="1"/>
        <v>0</v>
      </c>
      <c r="P24" s="576">
        <f t="shared" si="2"/>
        <v>0</v>
      </c>
      <c r="Q24" s="576" t="str">
        <f>'Capital IQ Sheet-GPC'!N27</f>
        <v>(Invalid Identifier)</v>
      </c>
      <c r="R24" s="576" t="str">
        <f t="shared" si="3"/>
        <v>n/a</v>
      </c>
      <c r="T24" s="401">
        <f t="shared" si="4"/>
        <v>42515</v>
      </c>
      <c r="U24" s="384" t="str">
        <f t="shared" si="5"/>
        <v>n/a</v>
      </c>
      <c r="V24" s="384" t="str">
        <f t="shared" si="6"/>
        <v>n/a</v>
      </c>
      <c r="W24" s="384">
        <f t="shared" si="7"/>
        <v>0.21</v>
      </c>
      <c r="Y24" s="932" t="str">
        <f>'MASTER PubCo Inputs'!B42</f>
        <v>(Invalid Identifier)</v>
      </c>
      <c r="Z24" s="255" t="str">
        <f>'Capital IQ Sheet-GPC'!H27</f>
        <v>(Invalid Identifier)</v>
      </c>
      <c r="AA24" s="933" t="e">
        <f t="shared" si="8"/>
        <v>#VALUE!</v>
      </c>
      <c r="AC24" s="325"/>
      <c r="AG24" s="934"/>
    </row>
    <row r="25" spans="2:33" ht="14.85" hidden="1" customHeight="1" outlineLevel="1">
      <c r="B25" s="179" t="str">
        <f>'Comp.1'!B27</f>
        <v>(Invalid Identifier)</v>
      </c>
      <c r="D25" s="625">
        <v>2</v>
      </c>
      <c r="E25" s="929" t="s">
        <v>306</v>
      </c>
      <c r="F25" s="929" t="s">
        <v>305</v>
      </c>
      <c r="H25" s="930" t="str">
        <f>HLOOKUP(D25,'Capital IQ Sheet-GPC'!$AQ$10:$AS$75,ROWS('Capital IQ Sheet-GPC'!AQ$10:AQ28),FALSE)</f>
        <v>(Invalid Identifier)</v>
      </c>
      <c r="I25" s="931" t="str">
        <f t="shared" si="0"/>
        <v>n/a</v>
      </c>
      <c r="K25" s="576" t="str">
        <f>'Capital IQ Sheet-GPC'!J28</f>
        <v>(Invalid Identifier)</v>
      </c>
      <c r="L25" s="576" t="str">
        <f>'Capital IQ Sheet-GPC'!K28</f>
        <v>(Invalid Identifier)</v>
      </c>
      <c r="M25" s="576" t="str">
        <f>'Capital IQ Sheet-GPC'!L28</f>
        <v>(Invalid Identifier)</v>
      </c>
      <c r="N25" s="576" t="str">
        <f>'Capital IQ Sheet-GPC'!M28</f>
        <v>(Invalid Identifier)</v>
      </c>
      <c r="O25" s="576">
        <f t="shared" si="1"/>
        <v>0</v>
      </c>
      <c r="P25" s="576">
        <f t="shared" si="2"/>
        <v>0</v>
      </c>
      <c r="Q25" s="576" t="str">
        <f>'Capital IQ Sheet-GPC'!N28</f>
        <v>(Invalid Identifier)</v>
      </c>
      <c r="R25" s="576" t="str">
        <f t="shared" si="3"/>
        <v>n/a</v>
      </c>
      <c r="T25" s="401">
        <f t="shared" si="4"/>
        <v>42515</v>
      </c>
      <c r="U25" s="384" t="str">
        <f t="shared" si="5"/>
        <v>n/a</v>
      </c>
      <c r="V25" s="384" t="str">
        <f t="shared" si="6"/>
        <v>n/a</v>
      </c>
      <c r="W25" s="384">
        <f t="shared" si="7"/>
        <v>0.21</v>
      </c>
      <c r="Y25" s="932" t="str">
        <f>'MASTER PubCo Inputs'!B43</f>
        <v>(Invalid Identifier)</v>
      </c>
      <c r="Z25" s="255" t="str">
        <f>'Capital IQ Sheet-GPC'!H28</f>
        <v>(Invalid Identifier)</v>
      </c>
      <c r="AA25" s="933" t="e">
        <f t="shared" si="8"/>
        <v>#VALUE!</v>
      </c>
      <c r="AC25" s="325"/>
      <c r="AG25" s="934"/>
    </row>
    <row r="26" spans="2:33" ht="14.85" hidden="1" customHeight="1" outlineLevel="1">
      <c r="B26" s="179" t="str">
        <f>'Comp.1'!B28</f>
        <v>(Invalid Identifier)</v>
      </c>
      <c r="D26" s="625">
        <v>2</v>
      </c>
      <c r="E26" s="929" t="s">
        <v>306</v>
      </c>
      <c r="F26" s="929" t="s">
        <v>305</v>
      </c>
      <c r="H26" s="930" t="str">
        <f>HLOOKUP(D26,'Capital IQ Sheet-GPC'!$AQ$10:$AS$75,ROWS('Capital IQ Sheet-GPC'!AQ$10:AQ29),FALSE)</f>
        <v>(Invalid Identifier)</v>
      </c>
      <c r="I26" s="931" t="str">
        <f t="shared" si="0"/>
        <v>n/a</v>
      </c>
      <c r="K26" s="576" t="str">
        <f>'Capital IQ Sheet-GPC'!J29</f>
        <v>(Invalid Identifier)</v>
      </c>
      <c r="L26" s="576" t="str">
        <f>'Capital IQ Sheet-GPC'!K29</f>
        <v>(Invalid Identifier)</v>
      </c>
      <c r="M26" s="576" t="str">
        <f>'Capital IQ Sheet-GPC'!L29</f>
        <v>(Invalid Identifier)</v>
      </c>
      <c r="N26" s="576" t="str">
        <f>'Capital IQ Sheet-GPC'!M29</f>
        <v>(Invalid Identifier)</v>
      </c>
      <c r="O26" s="576">
        <f t="shared" si="1"/>
        <v>0</v>
      </c>
      <c r="P26" s="576">
        <f t="shared" si="2"/>
        <v>0</v>
      </c>
      <c r="Q26" s="576" t="str">
        <f>'Capital IQ Sheet-GPC'!N29</f>
        <v>(Invalid Identifier)</v>
      </c>
      <c r="R26" s="576" t="str">
        <f t="shared" si="3"/>
        <v>n/a</v>
      </c>
      <c r="T26" s="401">
        <f t="shared" si="4"/>
        <v>42515</v>
      </c>
      <c r="U26" s="384" t="str">
        <f t="shared" si="5"/>
        <v>n/a</v>
      </c>
      <c r="V26" s="384" t="str">
        <f t="shared" si="6"/>
        <v>n/a</v>
      </c>
      <c r="W26" s="384">
        <f t="shared" si="7"/>
        <v>0.21</v>
      </c>
      <c r="Y26" s="932" t="str">
        <f>'MASTER PubCo Inputs'!B44</f>
        <v>(Invalid Identifier)</v>
      </c>
      <c r="Z26" s="255" t="str">
        <f>'Capital IQ Sheet-GPC'!H29</f>
        <v>(Invalid Identifier)</v>
      </c>
      <c r="AA26" s="933" t="e">
        <f t="shared" si="8"/>
        <v>#VALUE!</v>
      </c>
      <c r="AC26" s="325"/>
      <c r="AG26" s="934"/>
    </row>
    <row r="27" spans="2:33" ht="14.85" hidden="1" customHeight="1" outlineLevel="1">
      <c r="B27" s="179" t="str">
        <f>'Comp.1'!B29</f>
        <v>(Invalid Identifier)</v>
      </c>
      <c r="D27" s="625">
        <v>2</v>
      </c>
      <c r="E27" s="929" t="s">
        <v>306</v>
      </c>
      <c r="F27" s="929" t="s">
        <v>305</v>
      </c>
      <c r="H27" s="930" t="str">
        <f>HLOOKUP(D27,'Capital IQ Sheet-GPC'!$AQ$10:$AS$75,ROWS('Capital IQ Sheet-GPC'!AQ$10:AQ30),FALSE)</f>
        <v>(Invalid Identifier)</v>
      </c>
      <c r="I27" s="931" t="str">
        <f t="shared" si="0"/>
        <v>n/a</v>
      </c>
      <c r="K27" s="576" t="str">
        <f>'Capital IQ Sheet-GPC'!J30</f>
        <v>(Invalid Identifier)</v>
      </c>
      <c r="L27" s="576" t="str">
        <f>'Capital IQ Sheet-GPC'!K30</f>
        <v>(Invalid Identifier)</v>
      </c>
      <c r="M27" s="576" t="str">
        <f>'Capital IQ Sheet-GPC'!L30</f>
        <v>(Invalid Identifier)</v>
      </c>
      <c r="N27" s="576" t="str">
        <f>'Capital IQ Sheet-GPC'!M30</f>
        <v>(Invalid Identifier)</v>
      </c>
      <c r="O27" s="576">
        <f t="shared" si="1"/>
        <v>0</v>
      </c>
      <c r="P27" s="576">
        <f t="shared" si="2"/>
        <v>0</v>
      </c>
      <c r="Q27" s="576" t="str">
        <f>'Capital IQ Sheet-GPC'!N30</f>
        <v>(Invalid Identifier)</v>
      </c>
      <c r="R27" s="576" t="str">
        <f t="shared" si="3"/>
        <v>n/a</v>
      </c>
      <c r="T27" s="401">
        <f t="shared" si="4"/>
        <v>42515</v>
      </c>
      <c r="U27" s="384" t="str">
        <f t="shared" si="5"/>
        <v>n/a</v>
      </c>
      <c r="V27" s="384" t="str">
        <f t="shared" si="6"/>
        <v>n/a</v>
      </c>
      <c r="W27" s="384">
        <f t="shared" si="7"/>
        <v>0.21</v>
      </c>
      <c r="Y27" s="932" t="str">
        <f>'MASTER PubCo Inputs'!B45</f>
        <v>(Invalid Identifier)</v>
      </c>
      <c r="Z27" s="255" t="str">
        <f>'Capital IQ Sheet-GPC'!H30</f>
        <v>(Invalid Identifier)</v>
      </c>
      <c r="AA27" s="933" t="e">
        <f t="shared" si="8"/>
        <v>#VALUE!</v>
      </c>
      <c r="AC27" s="325"/>
      <c r="AG27" s="934"/>
    </row>
    <row r="28" spans="2:33" ht="14.85" hidden="1" customHeight="1" outlineLevel="1">
      <c r="B28" s="179" t="str">
        <f>'Comp.1'!B30</f>
        <v>(Invalid Identifier)</v>
      </c>
      <c r="D28" s="625">
        <v>2</v>
      </c>
      <c r="E28" s="929" t="s">
        <v>306</v>
      </c>
      <c r="F28" s="929" t="s">
        <v>305</v>
      </c>
      <c r="H28" s="930" t="str">
        <f>HLOOKUP(D28,'Capital IQ Sheet-GPC'!$AQ$10:$AS$75,ROWS('Capital IQ Sheet-GPC'!AQ$10:AQ31),FALSE)</f>
        <v>(Invalid Identifier)</v>
      </c>
      <c r="I28" s="931" t="str">
        <f t="shared" si="0"/>
        <v>n/a</v>
      </c>
      <c r="K28" s="576" t="str">
        <f>'Capital IQ Sheet-GPC'!J31</f>
        <v>(Invalid Identifier)</v>
      </c>
      <c r="L28" s="576" t="str">
        <f>'Capital IQ Sheet-GPC'!K31</f>
        <v>(Invalid Identifier)</v>
      </c>
      <c r="M28" s="576" t="str">
        <f>'Capital IQ Sheet-GPC'!L31</f>
        <v>(Invalid Identifier)</v>
      </c>
      <c r="N28" s="576" t="str">
        <f>'Capital IQ Sheet-GPC'!M31</f>
        <v>(Invalid Identifier)</v>
      </c>
      <c r="O28" s="576">
        <f t="shared" si="1"/>
        <v>0</v>
      </c>
      <c r="P28" s="576">
        <f t="shared" si="2"/>
        <v>0</v>
      </c>
      <c r="Q28" s="576" t="str">
        <f>'Capital IQ Sheet-GPC'!N31</f>
        <v>(Invalid Identifier)</v>
      </c>
      <c r="R28" s="576" t="str">
        <f t="shared" si="3"/>
        <v>n/a</v>
      </c>
      <c r="T28" s="401">
        <f t="shared" si="4"/>
        <v>42515</v>
      </c>
      <c r="U28" s="384" t="str">
        <f t="shared" si="5"/>
        <v>n/a</v>
      </c>
      <c r="V28" s="384" t="str">
        <f t="shared" si="6"/>
        <v>n/a</v>
      </c>
      <c r="W28" s="384">
        <f t="shared" si="7"/>
        <v>0.21</v>
      </c>
      <c r="Y28" s="932" t="str">
        <f>'MASTER PubCo Inputs'!B46</f>
        <v>(Invalid Identifier)</v>
      </c>
      <c r="Z28" s="255" t="str">
        <f>'Capital IQ Sheet-GPC'!H31</f>
        <v>(Invalid Identifier)</v>
      </c>
      <c r="AA28" s="933" t="e">
        <f t="shared" si="8"/>
        <v>#VALUE!</v>
      </c>
      <c r="AC28" s="325"/>
      <c r="AG28" s="934"/>
    </row>
    <row r="29" spans="2:33" ht="14.85" hidden="1" customHeight="1" outlineLevel="1">
      <c r="B29" s="179" t="str">
        <f>'Comp.1'!B31</f>
        <v>(Invalid Identifier)</v>
      </c>
      <c r="D29" s="625">
        <v>2</v>
      </c>
      <c r="E29" s="929" t="s">
        <v>306</v>
      </c>
      <c r="F29" s="929" t="s">
        <v>305</v>
      </c>
      <c r="H29" s="930" t="str">
        <f>HLOOKUP(D29,'Capital IQ Sheet-GPC'!$AQ$10:$AS$75,ROWS('Capital IQ Sheet-GPC'!AQ$10:AQ32),FALSE)</f>
        <v>(Invalid Identifier)</v>
      </c>
      <c r="I29" s="931" t="str">
        <f t="shared" si="0"/>
        <v>n/a</v>
      </c>
      <c r="K29" s="576" t="str">
        <f>'Capital IQ Sheet-GPC'!J32</f>
        <v>(Invalid Identifier)</v>
      </c>
      <c r="L29" s="576" t="str">
        <f>'Capital IQ Sheet-GPC'!K32</f>
        <v>(Invalid Identifier)</v>
      </c>
      <c r="M29" s="576" t="str">
        <f>'Capital IQ Sheet-GPC'!L32</f>
        <v>(Invalid Identifier)</v>
      </c>
      <c r="N29" s="576" t="str">
        <f>'Capital IQ Sheet-GPC'!M32</f>
        <v>(Invalid Identifier)</v>
      </c>
      <c r="O29" s="576">
        <f t="shared" si="1"/>
        <v>0</v>
      </c>
      <c r="P29" s="576">
        <f t="shared" si="2"/>
        <v>0</v>
      </c>
      <c r="Q29" s="576" t="str">
        <f>'Capital IQ Sheet-GPC'!N32</f>
        <v>(Invalid Identifier)</v>
      </c>
      <c r="R29" s="576" t="str">
        <f t="shared" si="3"/>
        <v>n/a</v>
      </c>
      <c r="T29" s="401">
        <f t="shared" si="4"/>
        <v>42515</v>
      </c>
      <c r="U29" s="384" t="str">
        <f t="shared" si="5"/>
        <v>n/a</v>
      </c>
      <c r="V29" s="384" t="str">
        <f t="shared" si="6"/>
        <v>n/a</v>
      </c>
      <c r="W29" s="384">
        <f t="shared" si="7"/>
        <v>0.21</v>
      </c>
      <c r="Y29" s="932" t="str">
        <f>'MASTER PubCo Inputs'!B47</f>
        <v>(Invalid Identifier)</v>
      </c>
      <c r="Z29" s="255" t="str">
        <f>'Capital IQ Sheet-GPC'!H32</f>
        <v>(Invalid Identifier)</v>
      </c>
      <c r="AA29" s="933" t="e">
        <f t="shared" si="8"/>
        <v>#VALUE!</v>
      </c>
      <c r="AC29" s="325"/>
      <c r="AG29" s="934"/>
    </row>
    <row r="30" spans="2:33" ht="14.85" hidden="1" customHeight="1" outlineLevel="1">
      <c r="B30" s="179" t="str">
        <f>'Comp.1'!B32</f>
        <v>(Invalid Identifier)</v>
      </c>
      <c r="D30" s="625">
        <v>2</v>
      </c>
      <c r="E30" s="929" t="s">
        <v>306</v>
      </c>
      <c r="F30" s="929" t="s">
        <v>305</v>
      </c>
      <c r="H30" s="930" t="str">
        <f>HLOOKUP(D30,'Capital IQ Sheet-GPC'!$AQ$10:$AS$75,ROWS('Capital IQ Sheet-GPC'!AQ$10:AQ33),FALSE)</f>
        <v>(Invalid Identifier)</v>
      </c>
      <c r="I30" s="931" t="str">
        <f t="shared" si="0"/>
        <v>n/a</v>
      </c>
      <c r="K30" s="576" t="str">
        <f>'Capital IQ Sheet-GPC'!J33</f>
        <v>(Invalid Identifier)</v>
      </c>
      <c r="L30" s="576" t="str">
        <f>'Capital IQ Sheet-GPC'!K33</f>
        <v>(Invalid Identifier)</v>
      </c>
      <c r="M30" s="576" t="str">
        <f>'Capital IQ Sheet-GPC'!L33</f>
        <v>(Invalid Identifier)</v>
      </c>
      <c r="N30" s="576" t="str">
        <f>'Capital IQ Sheet-GPC'!M33</f>
        <v>(Invalid Identifier)</v>
      </c>
      <c r="O30" s="576">
        <f t="shared" si="1"/>
        <v>0</v>
      </c>
      <c r="P30" s="576">
        <f t="shared" si="2"/>
        <v>0</v>
      </c>
      <c r="Q30" s="576" t="str">
        <f>'Capital IQ Sheet-GPC'!N33</f>
        <v>(Invalid Identifier)</v>
      </c>
      <c r="R30" s="576" t="str">
        <f t="shared" si="3"/>
        <v>n/a</v>
      </c>
      <c r="T30" s="401">
        <f t="shared" si="4"/>
        <v>42515</v>
      </c>
      <c r="U30" s="384" t="str">
        <f t="shared" si="5"/>
        <v>n/a</v>
      </c>
      <c r="V30" s="384" t="str">
        <f t="shared" si="6"/>
        <v>n/a</v>
      </c>
      <c r="W30" s="384">
        <f t="shared" si="7"/>
        <v>0.21</v>
      </c>
      <c r="Y30" s="932" t="str">
        <f>'MASTER PubCo Inputs'!B48</f>
        <v>(Invalid Identifier)</v>
      </c>
      <c r="Z30" s="255" t="str">
        <f>'Capital IQ Sheet-GPC'!H33</f>
        <v>(Invalid Identifier)</v>
      </c>
      <c r="AA30" s="933" t="e">
        <f t="shared" si="8"/>
        <v>#VALUE!</v>
      </c>
      <c r="AC30" s="325"/>
      <c r="AG30" s="934"/>
    </row>
    <row r="31" spans="2:33" ht="14.85" hidden="1" customHeight="1" outlineLevel="1">
      <c r="B31" s="179" t="str">
        <f>'Comp.1'!B33</f>
        <v>(Invalid Identifier)</v>
      </c>
      <c r="D31" s="625">
        <v>2</v>
      </c>
      <c r="E31" s="929" t="s">
        <v>306</v>
      </c>
      <c r="F31" s="929" t="s">
        <v>305</v>
      </c>
      <c r="H31" s="930" t="str">
        <f>HLOOKUP(D31,'Capital IQ Sheet-GPC'!$AQ$10:$AS$75,ROWS('Capital IQ Sheet-GPC'!AQ$10:AQ34),FALSE)</f>
        <v>(Invalid Identifier)</v>
      </c>
      <c r="I31" s="931" t="str">
        <f t="shared" si="0"/>
        <v>n/a</v>
      </c>
      <c r="K31" s="576" t="str">
        <f>'Capital IQ Sheet-GPC'!J34</f>
        <v>(Invalid Identifier)</v>
      </c>
      <c r="L31" s="576" t="str">
        <f>'Capital IQ Sheet-GPC'!K34</f>
        <v>(Invalid Identifier)</v>
      </c>
      <c r="M31" s="576" t="str">
        <f>'Capital IQ Sheet-GPC'!L34</f>
        <v>(Invalid Identifier)</v>
      </c>
      <c r="N31" s="576" t="str">
        <f>'Capital IQ Sheet-GPC'!M34</f>
        <v>(Invalid Identifier)</v>
      </c>
      <c r="O31" s="576">
        <f t="shared" si="1"/>
        <v>0</v>
      </c>
      <c r="P31" s="576">
        <f t="shared" si="2"/>
        <v>0</v>
      </c>
      <c r="Q31" s="576" t="str">
        <f>'Capital IQ Sheet-GPC'!N34</f>
        <v>(Invalid Identifier)</v>
      </c>
      <c r="R31" s="576" t="str">
        <f t="shared" si="3"/>
        <v>n/a</v>
      </c>
      <c r="T31" s="401">
        <f t="shared" si="4"/>
        <v>42515</v>
      </c>
      <c r="U31" s="384" t="str">
        <f t="shared" si="5"/>
        <v>n/a</v>
      </c>
      <c r="V31" s="384" t="str">
        <f t="shared" si="6"/>
        <v>n/a</v>
      </c>
      <c r="W31" s="384">
        <f t="shared" si="7"/>
        <v>0.21</v>
      </c>
      <c r="Y31" s="932" t="str">
        <f>'MASTER PubCo Inputs'!B49</f>
        <v>(Invalid Identifier)</v>
      </c>
      <c r="Z31" s="255" t="str">
        <f>'Capital IQ Sheet-GPC'!H34</f>
        <v>(Invalid Identifier)</v>
      </c>
      <c r="AA31" s="933" t="e">
        <f t="shared" si="8"/>
        <v>#VALUE!</v>
      </c>
      <c r="AC31" s="325"/>
      <c r="AG31" s="934"/>
    </row>
    <row r="32" spans="2:33" ht="14.85" hidden="1" customHeight="1" outlineLevel="1">
      <c r="B32" s="179" t="str">
        <f>'Comp.1'!B34</f>
        <v>(Invalid Identifier)</v>
      </c>
      <c r="D32" s="625">
        <v>2</v>
      </c>
      <c r="E32" s="929" t="s">
        <v>306</v>
      </c>
      <c r="F32" s="929" t="s">
        <v>305</v>
      </c>
      <c r="H32" s="930" t="str">
        <f>HLOOKUP(D32,'Capital IQ Sheet-GPC'!$AQ$10:$AS$75,ROWS('Capital IQ Sheet-GPC'!AQ$10:AQ35),FALSE)</f>
        <v>(Invalid Identifier)</v>
      </c>
      <c r="I32" s="931" t="str">
        <f t="shared" si="0"/>
        <v>n/a</v>
      </c>
      <c r="K32" s="576" t="str">
        <f>'Capital IQ Sheet-GPC'!J35</f>
        <v>(Invalid Identifier)</v>
      </c>
      <c r="L32" s="576" t="str">
        <f>'Capital IQ Sheet-GPC'!K35</f>
        <v>(Invalid Identifier)</v>
      </c>
      <c r="M32" s="576" t="str">
        <f>'Capital IQ Sheet-GPC'!L35</f>
        <v>(Invalid Identifier)</v>
      </c>
      <c r="N32" s="576" t="str">
        <f>'Capital IQ Sheet-GPC'!M35</f>
        <v>(Invalid Identifier)</v>
      </c>
      <c r="O32" s="576">
        <f t="shared" si="1"/>
        <v>0</v>
      </c>
      <c r="P32" s="576">
        <f t="shared" si="2"/>
        <v>0</v>
      </c>
      <c r="Q32" s="576" t="str">
        <f>'Capital IQ Sheet-GPC'!N35</f>
        <v>(Invalid Identifier)</v>
      </c>
      <c r="R32" s="576" t="str">
        <f t="shared" si="3"/>
        <v>n/a</v>
      </c>
      <c r="T32" s="401">
        <f t="shared" si="4"/>
        <v>42515</v>
      </c>
      <c r="U32" s="384" t="str">
        <f t="shared" si="5"/>
        <v>n/a</v>
      </c>
      <c r="V32" s="384" t="str">
        <f t="shared" si="6"/>
        <v>n/a</v>
      </c>
      <c r="W32" s="384">
        <f t="shared" si="7"/>
        <v>0.21</v>
      </c>
      <c r="Y32" s="932" t="str">
        <f>'MASTER PubCo Inputs'!B50</f>
        <v>(Invalid Identifier)</v>
      </c>
      <c r="Z32" s="255" t="str">
        <f>'Capital IQ Sheet-GPC'!H35</f>
        <v>(Invalid Identifier)</v>
      </c>
      <c r="AA32" s="933" t="e">
        <f t="shared" si="8"/>
        <v>#VALUE!</v>
      </c>
      <c r="AC32" s="325"/>
      <c r="AG32" s="934"/>
    </row>
    <row r="33" spans="2:33" ht="14.85" hidden="1" customHeight="1" outlineLevel="1">
      <c r="B33" s="179" t="str">
        <f>'Comp.1'!B35</f>
        <v>(Invalid Identifier)</v>
      </c>
      <c r="D33" s="625">
        <v>2</v>
      </c>
      <c r="E33" s="929" t="s">
        <v>306</v>
      </c>
      <c r="F33" s="929" t="s">
        <v>305</v>
      </c>
      <c r="H33" s="930" t="str">
        <f>HLOOKUP(D33,'Capital IQ Sheet-GPC'!$AQ$10:$AS$75,ROWS('Capital IQ Sheet-GPC'!AQ$10:AQ36),FALSE)</f>
        <v>(Invalid Identifier)</v>
      </c>
      <c r="I33" s="931" t="str">
        <f t="shared" si="0"/>
        <v>n/a</v>
      </c>
      <c r="K33" s="576" t="str">
        <f>'Capital IQ Sheet-GPC'!J36</f>
        <v>(Invalid Identifier)</v>
      </c>
      <c r="L33" s="576" t="str">
        <f>'Capital IQ Sheet-GPC'!K36</f>
        <v>(Invalid Identifier)</v>
      </c>
      <c r="M33" s="576" t="str">
        <f>'Capital IQ Sheet-GPC'!L36</f>
        <v>(Invalid Identifier)</v>
      </c>
      <c r="N33" s="576" t="str">
        <f>'Capital IQ Sheet-GPC'!M36</f>
        <v>(Invalid Identifier)</v>
      </c>
      <c r="O33" s="576">
        <f t="shared" si="1"/>
        <v>0</v>
      </c>
      <c r="P33" s="576">
        <f t="shared" si="2"/>
        <v>0</v>
      </c>
      <c r="Q33" s="576" t="str">
        <f>'Capital IQ Sheet-GPC'!N36</f>
        <v>(Invalid Identifier)</v>
      </c>
      <c r="R33" s="576" t="str">
        <f t="shared" si="3"/>
        <v>n/a</v>
      </c>
      <c r="T33" s="401">
        <f t="shared" si="4"/>
        <v>42515</v>
      </c>
      <c r="U33" s="384" t="str">
        <f t="shared" si="5"/>
        <v>n/a</v>
      </c>
      <c r="V33" s="384" t="str">
        <f t="shared" si="6"/>
        <v>n/a</v>
      </c>
      <c r="W33" s="384">
        <f t="shared" si="7"/>
        <v>0.21</v>
      </c>
      <c r="Y33" s="932" t="str">
        <f>'MASTER PubCo Inputs'!B51</f>
        <v>(Invalid Identifier)</v>
      </c>
      <c r="Z33" s="255" t="str">
        <f>'Capital IQ Sheet-GPC'!H36</f>
        <v>(Invalid Identifier)</v>
      </c>
      <c r="AA33" s="933" t="e">
        <f t="shared" si="8"/>
        <v>#VALUE!</v>
      </c>
      <c r="AC33" s="325"/>
      <c r="AG33" s="934"/>
    </row>
    <row r="34" spans="2:33" ht="14.85" hidden="1" customHeight="1" outlineLevel="1">
      <c r="B34" s="179" t="str">
        <f>'Comp.1'!B36</f>
        <v>(Invalid Identifier)</v>
      </c>
      <c r="D34" s="625">
        <v>2</v>
      </c>
      <c r="E34" s="929" t="s">
        <v>306</v>
      </c>
      <c r="F34" s="929" t="s">
        <v>305</v>
      </c>
      <c r="H34" s="930" t="str">
        <f>HLOOKUP(D34,'Capital IQ Sheet-GPC'!$AQ$10:$AS$75,ROWS('Capital IQ Sheet-GPC'!AQ$10:AQ37),FALSE)</f>
        <v>(Invalid Identifier)</v>
      </c>
      <c r="I34" s="931" t="str">
        <f t="shared" si="0"/>
        <v>n/a</v>
      </c>
      <c r="K34" s="576" t="str">
        <f>'Capital IQ Sheet-GPC'!J37</f>
        <v>(Invalid Identifier)</v>
      </c>
      <c r="L34" s="576" t="str">
        <f>'Capital IQ Sheet-GPC'!K37</f>
        <v>(Invalid Identifier)</v>
      </c>
      <c r="M34" s="576" t="str">
        <f>'Capital IQ Sheet-GPC'!L37</f>
        <v>(Invalid Identifier)</v>
      </c>
      <c r="N34" s="576" t="str">
        <f>'Capital IQ Sheet-GPC'!M37</f>
        <v>(Invalid Identifier)</v>
      </c>
      <c r="O34" s="576">
        <f t="shared" si="1"/>
        <v>0</v>
      </c>
      <c r="P34" s="576">
        <f t="shared" si="2"/>
        <v>0</v>
      </c>
      <c r="Q34" s="576" t="str">
        <f>'Capital IQ Sheet-GPC'!N37</f>
        <v>(Invalid Identifier)</v>
      </c>
      <c r="R34" s="576" t="str">
        <f t="shared" si="3"/>
        <v>n/a</v>
      </c>
      <c r="T34" s="401">
        <f t="shared" si="4"/>
        <v>42515</v>
      </c>
      <c r="U34" s="384" t="str">
        <f t="shared" si="5"/>
        <v>n/a</v>
      </c>
      <c r="V34" s="384" t="str">
        <f t="shared" si="6"/>
        <v>n/a</v>
      </c>
      <c r="W34" s="384">
        <f t="shared" si="7"/>
        <v>0.21</v>
      </c>
      <c r="Y34" s="932" t="str">
        <f>'MASTER PubCo Inputs'!B52</f>
        <v>(Invalid Identifier)</v>
      </c>
      <c r="Z34" s="255" t="str">
        <f>'Capital IQ Sheet-GPC'!H37</f>
        <v>(Invalid Identifier)</v>
      </c>
      <c r="AA34" s="933" t="e">
        <f t="shared" si="8"/>
        <v>#VALUE!</v>
      </c>
      <c r="AC34" s="325"/>
      <c r="AG34" s="934"/>
    </row>
    <row r="35" spans="2:33" ht="14.85" hidden="1" customHeight="1" outlineLevel="1">
      <c r="B35" s="179" t="str">
        <f>'Comp.1'!B37</f>
        <v>(Invalid Identifier)</v>
      </c>
      <c r="D35" s="625">
        <v>2</v>
      </c>
      <c r="E35" s="929" t="s">
        <v>306</v>
      </c>
      <c r="F35" s="929" t="s">
        <v>305</v>
      </c>
      <c r="H35" s="930" t="str">
        <f>HLOOKUP(D35,'Capital IQ Sheet-GPC'!$AQ$10:$AS$75,ROWS('Capital IQ Sheet-GPC'!AQ$10:AQ38),FALSE)</f>
        <v>(Invalid Identifier)</v>
      </c>
      <c r="I35" s="931" t="str">
        <f t="shared" si="0"/>
        <v>n/a</v>
      </c>
      <c r="K35" s="576" t="str">
        <f>'Capital IQ Sheet-GPC'!J38</f>
        <v>(Invalid Identifier)</v>
      </c>
      <c r="L35" s="576" t="str">
        <f>'Capital IQ Sheet-GPC'!K38</f>
        <v>(Invalid Identifier)</v>
      </c>
      <c r="M35" s="576" t="str">
        <f>'Capital IQ Sheet-GPC'!L38</f>
        <v>(Invalid Identifier)</v>
      </c>
      <c r="N35" s="576" t="str">
        <f>'Capital IQ Sheet-GPC'!M38</f>
        <v>(Invalid Identifier)</v>
      </c>
      <c r="O35" s="576">
        <f t="shared" si="1"/>
        <v>0</v>
      </c>
      <c r="P35" s="576">
        <f t="shared" si="2"/>
        <v>0</v>
      </c>
      <c r="Q35" s="576" t="str">
        <f>'Capital IQ Sheet-GPC'!N38</f>
        <v>(Invalid Identifier)</v>
      </c>
      <c r="R35" s="576" t="str">
        <f t="shared" si="3"/>
        <v>n/a</v>
      </c>
      <c r="T35" s="401">
        <f t="shared" si="4"/>
        <v>42515</v>
      </c>
      <c r="U35" s="384" t="str">
        <f t="shared" si="5"/>
        <v>n/a</v>
      </c>
      <c r="V35" s="384" t="str">
        <f t="shared" si="6"/>
        <v>n/a</v>
      </c>
      <c r="W35" s="384">
        <f t="shared" si="7"/>
        <v>0.21</v>
      </c>
      <c r="Y35" s="932" t="str">
        <f>'MASTER PubCo Inputs'!B53</f>
        <v>CPSE:WDH</v>
      </c>
      <c r="Z35" s="255" t="str">
        <f>'Capital IQ Sheet-GPC'!H38</f>
        <v>(Invalid Identifier)</v>
      </c>
      <c r="AA35" s="933" t="e">
        <f t="shared" si="8"/>
        <v>#VALUE!</v>
      </c>
      <c r="AC35" s="325"/>
      <c r="AG35" s="934"/>
    </row>
    <row r="36" spans="2:33" ht="14.85" hidden="1" customHeight="1" outlineLevel="1">
      <c r="B36" s="179" t="str">
        <f>'Comp.1'!B38</f>
        <v>(Invalid Identifier)</v>
      </c>
      <c r="D36" s="625">
        <v>2</v>
      </c>
      <c r="E36" s="929" t="s">
        <v>306</v>
      </c>
      <c r="F36" s="929" t="s">
        <v>305</v>
      </c>
      <c r="H36" s="930" t="str">
        <f>HLOOKUP(D36,'Capital IQ Sheet-GPC'!$AQ$10:$AS$75,ROWS('Capital IQ Sheet-GPC'!AQ$10:AQ39),FALSE)</f>
        <v>(Invalid Identifier)</v>
      </c>
      <c r="I36" s="931" t="str">
        <f t="shared" si="0"/>
        <v>n/a</v>
      </c>
      <c r="K36" s="576" t="str">
        <f>'Capital IQ Sheet-GPC'!J39</f>
        <v>(Invalid Identifier)</v>
      </c>
      <c r="L36" s="576" t="str">
        <f>'Capital IQ Sheet-GPC'!K39</f>
        <v>(Invalid Identifier)</v>
      </c>
      <c r="M36" s="576" t="str">
        <f>'Capital IQ Sheet-GPC'!L39</f>
        <v>(Invalid Identifier)</v>
      </c>
      <c r="N36" s="576" t="str">
        <f>'Capital IQ Sheet-GPC'!M39</f>
        <v>(Invalid Identifier)</v>
      </c>
      <c r="O36" s="576">
        <f t="shared" si="1"/>
        <v>0</v>
      </c>
      <c r="P36" s="576">
        <f t="shared" si="2"/>
        <v>0</v>
      </c>
      <c r="Q36" s="576" t="str">
        <f>'Capital IQ Sheet-GPC'!N39</f>
        <v>(Invalid Identifier)</v>
      </c>
      <c r="R36" s="576" t="str">
        <f t="shared" si="3"/>
        <v>n/a</v>
      </c>
      <c r="T36" s="401">
        <f t="shared" si="4"/>
        <v>42515</v>
      </c>
      <c r="U36" s="384" t="str">
        <f t="shared" si="5"/>
        <v>n/a</v>
      </c>
      <c r="V36" s="384" t="str">
        <f t="shared" si="6"/>
        <v>n/a</v>
      </c>
      <c r="W36" s="384">
        <f t="shared" si="7"/>
        <v>0.21</v>
      </c>
      <c r="Y36" s="932" t="str">
        <f>'MASTER PubCo Inputs'!B54</f>
        <v>ASX:COH</v>
      </c>
      <c r="Z36" s="255" t="str">
        <f>'Capital IQ Sheet-GPC'!H39</f>
        <v>(Invalid Identifier)</v>
      </c>
      <c r="AA36" s="933" t="e">
        <f t="shared" si="8"/>
        <v>#VALUE!</v>
      </c>
      <c r="AC36" s="325"/>
      <c r="AG36" s="934"/>
    </row>
    <row r="37" spans="2:33" ht="14.85" hidden="1" customHeight="1" outlineLevel="1">
      <c r="B37" s="179" t="str">
        <f>'Comp.1'!B39</f>
        <v>(Invalid Identifier)</v>
      </c>
      <c r="D37" s="625">
        <v>2</v>
      </c>
      <c r="E37" s="929" t="s">
        <v>306</v>
      </c>
      <c r="F37" s="929" t="s">
        <v>305</v>
      </c>
      <c r="H37" s="930" t="str">
        <f>HLOOKUP(D37,'Capital IQ Sheet-GPC'!$AQ$10:$AS$75,ROWS('Capital IQ Sheet-GPC'!AQ$10:AQ40),FALSE)</f>
        <v>(Invalid Identifier)</v>
      </c>
      <c r="I37" s="931" t="str">
        <f t="shared" si="0"/>
        <v>n/a</v>
      </c>
      <c r="K37" s="576" t="str">
        <f>'Capital IQ Sheet-GPC'!J40</f>
        <v>(Invalid Identifier)</v>
      </c>
      <c r="L37" s="576" t="str">
        <f>'Capital IQ Sheet-GPC'!K40</f>
        <v>(Invalid Identifier)</v>
      </c>
      <c r="M37" s="576" t="str">
        <f>'Capital IQ Sheet-GPC'!L40</f>
        <v>(Invalid Identifier)</v>
      </c>
      <c r="N37" s="576" t="str">
        <f>'Capital IQ Sheet-GPC'!M40</f>
        <v>(Invalid Identifier)</v>
      </c>
      <c r="O37" s="576">
        <f t="shared" si="1"/>
        <v>0</v>
      </c>
      <c r="P37" s="576">
        <f t="shared" si="2"/>
        <v>0</v>
      </c>
      <c r="Q37" s="576" t="str">
        <f>'Capital IQ Sheet-GPC'!N40</f>
        <v>(Invalid Identifier)</v>
      </c>
      <c r="R37" s="576" t="str">
        <f t="shared" si="3"/>
        <v>n/a</v>
      </c>
      <c r="T37" s="401">
        <f t="shared" si="4"/>
        <v>42515</v>
      </c>
      <c r="U37" s="384" t="str">
        <f t="shared" si="5"/>
        <v>n/a</v>
      </c>
      <c r="V37" s="384" t="str">
        <f t="shared" si="6"/>
        <v>n/a</v>
      </c>
      <c r="W37" s="384">
        <f t="shared" si="7"/>
        <v>0.21</v>
      </c>
      <c r="Y37" s="932" t="str">
        <f>'MASTER PubCo Inputs'!B55</f>
        <v>BIT:AMP</v>
      </c>
      <c r="Z37" s="255" t="str">
        <f>'Capital IQ Sheet-GPC'!H40</f>
        <v>(Invalid Identifier)</v>
      </c>
      <c r="AA37" s="933" t="e">
        <f t="shared" si="8"/>
        <v>#VALUE!</v>
      </c>
      <c r="AC37" s="325"/>
      <c r="AG37" s="934"/>
    </row>
    <row r="38" spans="2:33" ht="14.85" hidden="1" customHeight="1" outlineLevel="1">
      <c r="B38" s="179" t="str">
        <f>'Comp.1'!B40</f>
        <v>(Invalid Identifier)</v>
      </c>
      <c r="D38" s="625">
        <v>2</v>
      </c>
      <c r="E38" s="929" t="s">
        <v>306</v>
      </c>
      <c r="F38" s="929" t="s">
        <v>305</v>
      </c>
      <c r="H38" s="930" t="str">
        <f>HLOOKUP(D38,'Capital IQ Sheet-GPC'!$AQ$10:$AS$75,ROWS('Capital IQ Sheet-GPC'!AQ$10:AQ41),FALSE)</f>
        <v>(Invalid Identifier)</v>
      </c>
      <c r="I38" s="931" t="str">
        <f t="shared" si="0"/>
        <v>n/a</v>
      </c>
      <c r="K38" s="576" t="str">
        <f>'Capital IQ Sheet-GPC'!J41</f>
        <v>(Invalid Identifier)</v>
      </c>
      <c r="L38" s="576" t="str">
        <f>'Capital IQ Sheet-GPC'!K41</f>
        <v>(Invalid Identifier)</v>
      </c>
      <c r="M38" s="576" t="str">
        <f>'Capital IQ Sheet-GPC'!L41</f>
        <v>(Invalid Identifier)</v>
      </c>
      <c r="N38" s="576" t="str">
        <f>'Capital IQ Sheet-GPC'!M41</f>
        <v>(Invalid Identifier)</v>
      </c>
      <c r="O38" s="576">
        <f t="shared" si="1"/>
        <v>0</v>
      </c>
      <c r="P38" s="576">
        <f t="shared" si="2"/>
        <v>0</v>
      </c>
      <c r="Q38" s="576" t="str">
        <f>'Capital IQ Sheet-GPC'!N41</f>
        <v>(Invalid Identifier)</v>
      </c>
      <c r="R38" s="576" t="str">
        <f t="shared" si="3"/>
        <v>n/a</v>
      </c>
      <c r="T38" s="401">
        <f t="shared" si="4"/>
        <v>42515</v>
      </c>
      <c r="U38" s="384" t="str">
        <f t="shared" si="5"/>
        <v>n/a</v>
      </c>
      <c r="V38" s="384" t="str">
        <f t="shared" si="6"/>
        <v>n/a</v>
      </c>
      <c r="W38" s="384">
        <f t="shared" si="7"/>
        <v>0.21</v>
      </c>
      <c r="Y38" s="932" t="str">
        <f>'MASTER PubCo Inputs'!B56</f>
        <v>OM:ELOS B</v>
      </c>
      <c r="Z38" s="255" t="str">
        <f>'Capital IQ Sheet-GPC'!H41</f>
        <v>(Invalid Identifier)</v>
      </c>
      <c r="AA38" s="933" t="e">
        <f t="shared" si="8"/>
        <v>#VALUE!</v>
      </c>
      <c r="AC38" s="325"/>
      <c r="AG38" s="934"/>
    </row>
    <row r="39" spans="2:33" ht="14.85" hidden="1" customHeight="1" outlineLevel="1">
      <c r="B39" s="179" t="str">
        <f>'Comp.1'!B41</f>
        <v>(Invalid Identifier)</v>
      </c>
      <c r="D39" s="625">
        <v>2</v>
      </c>
      <c r="E39" s="929" t="s">
        <v>306</v>
      </c>
      <c r="F39" s="929" t="s">
        <v>305</v>
      </c>
      <c r="H39" s="930" t="str">
        <f>HLOOKUP(D39,'Capital IQ Sheet-GPC'!$AQ$10:$AS$75,ROWS('Capital IQ Sheet-GPC'!AQ$10:AQ42),FALSE)</f>
        <v>(Invalid Identifier)</v>
      </c>
      <c r="I39" s="931" t="str">
        <f t="shared" si="0"/>
        <v>n/a</v>
      </c>
      <c r="K39" s="576" t="str">
        <f>'Capital IQ Sheet-GPC'!J42</f>
        <v>(Invalid Identifier)</v>
      </c>
      <c r="L39" s="576" t="str">
        <f>'Capital IQ Sheet-GPC'!K42</f>
        <v>(Invalid Identifier)</v>
      </c>
      <c r="M39" s="576" t="str">
        <f>'Capital IQ Sheet-GPC'!L42</f>
        <v>(Invalid Identifier)</v>
      </c>
      <c r="N39" s="576" t="str">
        <f>'Capital IQ Sheet-GPC'!M42</f>
        <v>(Invalid Identifier)</v>
      </c>
      <c r="O39" s="576">
        <f t="shared" si="1"/>
        <v>0</v>
      </c>
      <c r="P39" s="576">
        <f t="shared" si="2"/>
        <v>0</v>
      </c>
      <c r="Q39" s="576" t="str">
        <f>'Capital IQ Sheet-GPC'!N42</f>
        <v>(Invalid Identifier)</v>
      </c>
      <c r="R39" s="576" t="str">
        <f t="shared" si="3"/>
        <v>n/a</v>
      </c>
      <c r="T39" s="401">
        <f t="shared" si="4"/>
        <v>42515</v>
      </c>
      <c r="U39" s="384" t="str">
        <f t="shared" si="5"/>
        <v>n/a</v>
      </c>
      <c r="V39" s="384" t="str">
        <f t="shared" si="6"/>
        <v>n/a</v>
      </c>
      <c r="W39" s="384">
        <f t="shared" si="7"/>
        <v>0.21</v>
      </c>
      <c r="Y39" s="932" t="str">
        <f>'MASTER PubCo Inputs'!B57</f>
        <v>(Invalid Identifier)</v>
      </c>
      <c r="Z39" s="255" t="str">
        <f>'Capital IQ Sheet-GPC'!H42</f>
        <v>(Invalid Identifier)</v>
      </c>
      <c r="AA39" s="933" t="e">
        <f t="shared" si="8"/>
        <v>#VALUE!</v>
      </c>
      <c r="AC39" s="325"/>
      <c r="AG39" s="934"/>
    </row>
    <row r="40" spans="2:33" ht="14.85" customHeight="1" collapsed="1">
      <c r="K40" s="255"/>
      <c r="L40" s="255"/>
      <c r="M40" s="255"/>
      <c r="N40" s="255"/>
      <c r="O40" s="255"/>
      <c r="P40" s="255"/>
      <c r="Q40" s="255"/>
      <c r="R40" s="255"/>
      <c r="S40" s="549"/>
      <c r="T40" s="549"/>
      <c r="U40" s="549"/>
      <c r="V40" s="549"/>
      <c r="W40" s="549"/>
    </row>
    <row r="41" spans="2:33" ht="14.85" customHeight="1">
      <c r="B41" s="935" t="s">
        <v>111</v>
      </c>
      <c r="C41" s="936"/>
      <c r="D41" s="936"/>
      <c r="E41" s="936"/>
      <c r="F41" s="936"/>
      <c r="G41" s="936"/>
      <c r="H41" s="937">
        <f>MAX(H10:H39)</f>
        <v>1.8418399999999999</v>
      </c>
      <c r="I41" s="937">
        <f>MAX(I10:I39)</f>
        <v>1.7769892878056086</v>
      </c>
      <c r="J41" s="936"/>
      <c r="K41" s="938">
        <f t="shared" ref="K41:R41" si="9">MAX(K10:K39)</f>
        <v>1705.3104800000001</v>
      </c>
      <c r="L41" s="938">
        <f t="shared" si="9"/>
        <v>49.826320000000003</v>
      </c>
      <c r="M41" s="938">
        <f t="shared" si="9"/>
        <v>0</v>
      </c>
      <c r="N41" s="938">
        <f t="shared" si="9"/>
        <v>0</v>
      </c>
      <c r="O41" s="938">
        <f t="shared" si="9"/>
        <v>49.826320000000003</v>
      </c>
      <c r="P41" s="938">
        <f t="shared" si="9"/>
        <v>1738.5004800000002</v>
      </c>
      <c r="Q41" s="938">
        <f t="shared" si="9"/>
        <v>358.82100000000003</v>
      </c>
      <c r="R41" s="939">
        <f t="shared" si="9"/>
        <v>1379.6794800000002</v>
      </c>
      <c r="S41" s="548"/>
      <c r="T41" s="548"/>
      <c r="U41" s="940">
        <f>MAX(U10:U39)</f>
        <v>0.55455904975077486</v>
      </c>
      <c r="V41" s="940">
        <f>MAX(V10:V39)</f>
        <v>1</v>
      </c>
      <c r="W41" s="548"/>
    </row>
    <row r="42" spans="2:33" ht="14.85" customHeight="1">
      <c r="B42" s="941" t="s">
        <v>115</v>
      </c>
      <c r="C42" s="942"/>
      <c r="D42" s="942"/>
      <c r="E42" s="942"/>
      <c r="F42" s="942"/>
      <c r="G42" s="942"/>
      <c r="H42" s="943">
        <f>QUARTILE(H10:H39,3)</f>
        <v>1.4734700000000001</v>
      </c>
      <c r="I42" s="943">
        <f>QUARTILE(I10:I39,3)</f>
        <v>1.4511576416776886</v>
      </c>
      <c r="J42" s="942"/>
      <c r="K42" s="944">
        <f t="shared" ref="K42:R42" si="10">QUARTILE(K10:K39,3)</f>
        <v>205.66506000000001</v>
      </c>
      <c r="L42" s="944">
        <f t="shared" si="10"/>
        <v>9.06297</v>
      </c>
      <c r="M42" s="944">
        <f t="shared" si="10"/>
        <v>0</v>
      </c>
      <c r="N42" s="944">
        <f t="shared" si="10"/>
        <v>0</v>
      </c>
      <c r="O42" s="944">
        <f t="shared" si="10"/>
        <v>0</v>
      </c>
      <c r="P42" s="944">
        <f t="shared" si="10"/>
        <v>33.972542499999996</v>
      </c>
      <c r="Q42" s="944">
        <f t="shared" si="10"/>
        <v>57.755760000000002</v>
      </c>
      <c r="R42" s="945">
        <f t="shared" si="10"/>
        <v>178.94606000000002</v>
      </c>
      <c r="S42" s="548"/>
      <c r="T42" s="548"/>
      <c r="U42" s="940">
        <f>QUARTILE(U10:U39,3)</f>
        <v>6.7483714215377646E-2</v>
      </c>
      <c r="V42" s="940">
        <f>QUARTILE(V10:V39,3)</f>
        <v>1</v>
      </c>
      <c r="W42" s="548"/>
    </row>
    <row r="43" spans="2:33" ht="14.85" customHeight="1">
      <c r="B43" s="941" t="s">
        <v>113</v>
      </c>
      <c r="C43" s="942"/>
      <c r="D43" s="942"/>
      <c r="E43" s="942"/>
      <c r="F43" s="942"/>
      <c r="G43" s="942"/>
      <c r="H43" s="943">
        <f>AVERAGE(H10:H39)</f>
        <v>1.1425311111111109</v>
      </c>
      <c r="I43" s="943">
        <f>AVERAGE(I10:I39)</f>
        <v>1.0440349322781663</v>
      </c>
      <c r="J43" s="942"/>
      <c r="K43" s="944">
        <f t="shared" ref="K43:R43" si="11">AVERAGE(K10:K39)</f>
        <v>349.7861166666666</v>
      </c>
      <c r="L43" s="944">
        <f t="shared" si="11"/>
        <v>11.550082222222223</v>
      </c>
      <c r="M43" s="944">
        <f t="shared" si="11"/>
        <v>0</v>
      </c>
      <c r="N43" s="944">
        <f t="shared" si="11"/>
        <v>-1.1407499999999999E-2</v>
      </c>
      <c r="O43" s="944">
        <f t="shared" si="11"/>
        <v>3.463503666666667</v>
      </c>
      <c r="P43" s="944">
        <f t="shared" si="11"/>
        <v>108.39933866666665</v>
      </c>
      <c r="Q43" s="944">
        <f t="shared" si="11"/>
        <v>70.157886666666684</v>
      </c>
      <c r="R43" s="945">
        <f t="shared" si="11"/>
        <v>291.17324222222226</v>
      </c>
      <c r="S43" s="548"/>
      <c r="T43" s="548"/>
      <c r="U43" s="940">
        <f>AVERAGE(U10:U39)</f>
        <v>8.4377215774250336E-2</v>
      </c>
      <c r="V43" s="940">
        <f>AVERAGE(V10:V39)</f>
        <v>0.91562278422574961</v>
      </c>
      <c r="W43" s="548"/>
    </row>
    <row r="44" spans="2:33" ht="14.85" customHeight="1">
      <c r="B44" s="941" t="s">
        <v>44</v>
      </c>
      <c r="C44" s="942"/>
      <c r="D44" s="942"/>
      <c r="E44" s="942"/>
      <c r="F44" s="942"/>
      <c r="G44" s="942"/>
      <c r="H44" s="943">
        <f>MEDIAN(H10:H39)</f>
        <v>1.32524</v>
      </c>
      <c r="I44" s="943">
        <f>MEDIAN(I10:I39)</f>
        <v>1.2079464821169879</v>
      </c>
      <c r="J44" s="942"/>
      <c r="K44" s="944">
        <f t="shared" ref="K44:R44" si="12">MEDIAN(K10:K39)</f>
        <v>138.52769000000001</v>
      </c>
      <c r="L44" s="944">
        <f t="shared" si="12"/>
        <v>2.6891699999999998</v>
      </c>
      <c r="M44" s="944">
        <f t="shared" si="12"/>
        <v>0</v>
      </c>
      <c r="N44" s="944">
        <f t="shared" si="12"/>
        <v>0</v>
      </c>
      <c r="O44" s="944">
        <f t="shared" si="12"/>
        <v>0</v>
      </c>
      <c r="P44" s="944">
        <f t="shared" si="12"/>
        <v>0</v>
      </c>
      <c r="Q44" s="944">
        <f t="shared" si="12"/>
        <v>22.523</v>
      </c>
      <c r="R44" s="945">
        <f t="shared" si="12"/>
        <v>125.38888000000001</v>
      </c>
      <c r="S44" s="548"/>
      <c r="T44" s="548"/>
      <c r="U44" s="940">
        <f>MEDIAN(U10:U39)</f>
        <v>1.9091165278251745E-2</v>
      </c>
      <c r="V44" s="940">
        <f>MEDIAN(V10:V39)</f>
        <v>0.98090883472174828</v>
      </c>
      <c r="W44" s="548"/>
    </row>
    <row r="45" spans="2:33" ht="14.85" customHeight="1">
      <c r="B45" s="941" t="s">
        <v>114</v>
      </c>
      <c r="C45" s="942"/>
      <c r="D45" s="942"/>
      <c r="E45" s="942"/>
      <c r="F45" s="942"/>
      <c r="G45" s="942"/>
      <c r="H45" s="943">
        <f>QUARTILE(H10:H39,1)</f>
        <v>1.13463</v>
      </c>
      <c r="I45" s="943">
        <f>QUARTILE(I10:I39,1)</f>
        <v>0.66812416878074399</v>
      </c>
      <c r="J45" s="942"/>
      <c r="K45" s="944">
        <f t="shared" ref="K45:R45" si="13">QUARTILE(K10:K39,1)</f>
        <v>74.033280000000005</v>
      </c>
      <c r="L45" s="944">
        <f t="shared" si="13"/>
        <v>0</v>
      </c>
      <c r="M45" s="944">
        <f t="shared" si="13"/>
        <v>0</v>
      </c>
      <c r="N45" s="944">
        <f t="shared" si="13"/>
        <v>-1.1407500000000001E-2</v>
      </c>
      <c r="O45" s="944">
        <f t="shared" si="13"/>
        <v>0</v>
      </c>
      <c r="P45" s="944">
        <f t="shared" si="13"/>
        <v>0</v>
      </c>
      <c r="Q45" s="944">
        <f t="shared" si="13"/>
        <v>13.622719999999999</v>
      </c>
      <c r="R45" s="945">
        <f t="shared" si="13"/>
        <v>30.731609999999996</v>
      </c>
      <c r="S45" s="548"/>
      <c r="T45" s="548"/>
      <c r="U45" s="940">
        <f>QUARTILE(U10:U39,1)</f>
        <v>0</v>
      </c>
      <c r="V45" s="940">
        <f>QUARTILE(V10:V39,1)</f>
        <v>0.93251628578462231</v>
      </c>
      <c r="W45" s="548"/>
    </row>
    <row r="46" spans="2:33" ht="14.85" customHeight="1">
      <c r="B46" s="946" t="s">
        <v>112</v>
      </c>
      <c r="C46" s="663"/>
      <c r="D46" s="663"/>
      <c r="E46" s="663"/>
      <c r="F46" s="663"/>
      <c r="G46" s="663"/>
      <c r="H46" s="947">
        <f>MIN(H10:H39)</f>
        <v>0.13317000000000001</v>
      </c>
      <c r="I46" s="947">
        <f>MIN(I10:I39)</f>
        <v>0.13317000000000001</v>
      </c>
      <c r="J46" s="663"/>
      <c r="K46" s="672">
        <f t="shared" ref="K46:R46" si="14">MIN(K10:K39)</f>
        <v>7.2796900000000004</v>
      </c>
      <c r="L46" s="672">
        <f t="shared" si="14"/>
        <v>0</v>
      </c>
      <c r="M46" s="672">
        <f t="shared" si="14"/>
        <v>0</v>
      </c>
      <c r="N46" s="672">
        <f t="shared" si="14"/>
        <v>-4.5629999999999997E-2</v>
      </c>
      <c r="O46" s="672">
        <f t="shared" si="14"/>
        <v>0</v>
      </c>
      <c r="P46" s="672">
        <f t="shared" si="14"/>
        <v>0</v>
      </c>
      <c r="Q46" s="672">
        <f t="shared" si="14"/>
        <v>9.1175599999999992</v>
      </c>
      <c r="R46" s="948">
        <f t="shared" si="14"/>
        <v>3.072160000000002</v>
      </c>
      <c r="S46" s="548"/>
      <c r="T46" s="548"/>
      <c r="U46" s="940">
        <f>MIN(U10:U39)</f>
        <v>0</v>
      </c>
      <c r="V46" s="940">
        <f>MIN(V10:V39)</f>
        <v>0.44544095024922514</v>
      </c>
      <c r="W46" s="548"/>
    </row>
    <row r="47" spans="2:33" ht="14.85" customHeight="1">
      <c r="S47" s="549"/>
      <c r="T47" s="549"/>
      <c r="U47" s="549"/>
      <c r="V47" s="549"/>
      <c r="W47" s="549"/>
    </row>
    <row r="48" spans="2:33" ht="14.85" customHeight="1">
      <c r="B48" s="272" t="s">
        <v>116</v>
      </c>
      <c r="S48" s="549"/>
    </row>
    <row r="49" spans="5:19" ht="14.85" customHeight="1">
      <c r="S49" s="549"/>
    </row>
    <row r="50" spans="5:19" ht="14.85" customHeight="1"/>
    <row r="51" spans="5:19" ht="14.85" customHeight="1"/>
    <row r="52" spans="5:19" ht="14.85" customHeight="1"/>
    <row r="53" spans="5:19" ht="14.85" customHeight="1"/>
    <row r="54" spans="5:19" ht="14.85" customHeight="1"/>
    <row r="55" spans="5:19" ht="14.85" customHeight="1">
      <c r="E55" s="934" t="s">
        <v>306</v>
      </c>
      <c r="F55" s="929" t="s">
        <v>304</v>
      </c>
    </row>
    <row r="56" spans="5:19" ht="14.85" customHeight="1">
      <c r="E56" s="934" t="s">
        <v>307</v>
      </c>
      <c r="F56" s="929" t="s">
        <v>305</v>
      </c>
    </row>
    <row r="57" spans="5:19" ht="14.85" customHeight="1">
      <c r="E57" s="934" t="s">
        <v>308</v>
      </c>
    </row>
    <row r="58" spans="5:19" ht="14.85" customHeight="1">
      <c r="E58" s="934" t="str">
        <f>"IQ20246097"</f>
        <v>IQ20246097</v>
      </c>
    </row>
    <row r="59" spans="5:19" ht="14.85" customHeight="1"/>
    <row r="60" spans="5:19" ht="14.85" customHeight="1"/>
    <row r="61" spans="5:19" ht="14.85" customHeight="1"/>
    <row r="62" spans="5:19" ht="14.85" customHeight="1"/>
    <row r="63" spans="5:19" ht="14.85" customHeight="1"/>
    <row r="64" spans="5:19"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56" priority="12" operator="equal">
      <formula>"(Invalid Identifier)"</formula>
    </cfRule>
  </conditionalFormatting>
  <conditionalFormatting sqref="B4:I4">
    <cfRule type="cellIs" dxfId="155" priority="10" stopIfTrue="1" operator="equal">
      <formula>"input"</formula>
    </cfRule>
  </conditionalFormatting>
  <conditionalFormatting sqref="J4">
    <cfRule type="cellIs" dxfId="154" priority="8" stopIfTrue="1" operator="equal">
      <formula>"input"</formula>
    </cfRule>
  </conditionalFormatting>
  <conditionalFormatting sqref="J4">
    <cfRule type="cellIs" dxfId="153" priority="9" stopIfTrue="1" operator="equal">
      <formula>"input"</formula>
    </cfRule>
  </conditionalFormatting>
  <conditionalFormatting sqref="K4:Q4">
    <cfRule type="cellIs" dxfId="152" priority="6" stopIfTrue="1" operator="equal">
      <formula>"input"</formula>
    </cfRule>
  </conditionalFormatting>
  <conditionalFormatting sqref="K4:Q4">
    <cfRule type="cellIs" dxfId="151" priority="7" stopIfTrue="1" operator="equal">
      <formula>"input"</formula>
    </cfRule>
  </conditionalFormatting>
  <conditionalFormatting sqref="R4">
    <cfRule type="cellIs" dxfId="150" priority="2" stopIfTrue="1" operator="equal">
      <formula>"input"</formula>
    </cfRule>
  </conditionalFormatting>
  <conditionalFormatting sqref="R4">
    <cfRule type="cellIs" dxfId="149" priority="3" stopIfTrue="1" operator="equal">
      <formula>"input"</formula>
    </cfRule>
  </conditionalFormatting>
  <conditionalFormatting sqref="H10:H39">
    <cfRule type="cellIs" dxfId="148" priority="1" operator="equal">
      <formula>"n/a"</formula>
    </cfRule>
  </conditionalFormatting>
  <dataValidations count="2">
    <dataValidation type="list" allowBlank="1" showInputMessage="1" showErrorMessage="1" sqref="E10:E39" xr:uid="{00000000-0002-0000-3D00-000000000000}">
      <formula1>$E$55:$E$59</formula1>
    </dataValidation>
    <dataValidation type="list" allowBlank="1" showInputMessage="1" showErrorMessage="1" sqref="F10:F39" xr:uid="{00000000-0002-0000-3D00-000001000000}">
      <formula1>$F$55:$F$56</formula1>
    </dataValidation>
  </dataValidations>
  <pageMargins left="0.5" right="0.5" top="0.5" bottom="0.5" header="0.5" footer="0.5"/>
  <pageSetup scale="85" orientation="landscape" r:id="rId1"/>
  <legacy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D00-000002000000}">
          <x14:formula1>
            <xm:f>'Capital IQ Sheet-GPC'!$AQ$10:$AS$10</xm:f>
          </x14:formula1>
          <xm:sqref>D10:D39</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2"/>
  <dimension ref="A5:H24"/>
  <sheetViews>
    <sheetView showGridLines="0" workbookViewId="0">
      <selection activeCell="L13" sqref="L13"/>
    </sheetView>
  </sheetViews>
  <sheetFormatPr defaultRowHeight="12.75"/>
  <cols>
    <col min="1" max="1" width="9.33203125" style="8"/>
    <col min="2" max="2" width="5.33203125" style="8" customWidth="1"/>
    <col min="3" max="3" width="34.5" style="8" bestFit="1" customWidth="1"/>
    <col min="4" max="4" width="9.33203125" style="35"/>
    <col min="5" max="16384" width="9.33203125" style="8"/>
  </cols>
  <sheetData>
    <row r="5" spans="1:5">
      <c r="B5" s="8" t="s">
        <v>553</v>
      </c>
    </row>
    <row r="7" spans="1:5">
      <c r="A7" s="8" t="s">
        <v>154</v>
      </c>
      <c r="B7" s="39">
        <v>1</v>
      </c>
      <c r="C7" s="8" t="s">
        <v>554</v>
      </c>
      <c r="D7" s="35" t="s">
        <v>618</v>
      </c>
    </row>
    <row r="8" spans="1:5">
      <c r="A8" s="8" t="s">
        <v>154</v>
      </c>
      <c r="B8" s="39">
        <f t="shared" ref="B8:B13" si="0">+B7+1</f>
        <v>2</v>
      </c>
      <c r="C8" s="8" t="s">
        <v>555</v>
      </c>
      <c r="D8" s="35" t="s">
        <v>618</v>
      </c>
    </row>
    <row r="9" spans="1:5">
      <c r="A9" s="8" t="s">
        <v>154</v>
      </c>
      <c r="B9" s="39">
        <f t="shared" si="0"/>
        <v>3</v>
      </c>
      <c r="C9" s="8" t="s">
        <v>556</v>
      </c>
      <c r="D9" s="35" t="s">
        <v>618</v>
      </c>
    </row>
    <row r="10" spans="1:5">
      <c r="A10" s="8" t="s">
        <v>154</v>
      </c>
      <c r="B10" s="39">
        <f t="shared" si="0"/>
        <v>4</v>
      </c>
      <c r="C10" s="8" t="s">
        <v>574</v>
      </c>
      <c r="D10" s="35" t="s">
        <v>618</v>
      </c>
    </row>
    <row r="11" spans="1:5">
      <c r="A11" s="8" t="s">
        <v>568</v>
      </c>
      <c r="B11" s="39">
        <f t="shared" si="0"/>
        <v>5</v>
      </c>
      <c r="C11" s="8" t="s">
        <v>569</v>
      </c>
      <c r="D11" s="35" t="s">
        <v>618</v>
      </c>
    </row>
    <row r="12" spans="1:5">
      <c r="A12" s="8" t="s">
        <v>568</v>
      </c>
      <c r="B12" s="39">
        <f t="shared" si="0"/>
        <v>6</v>
      </c>
      <c r="C12" s="8" t="s">
        <v>570</v>
      </c>
      <c r="D12" s="35" t="s">
        <v>618</v>
      </c>
    </row>
    <row r="13" spans="1:5">
      <c r="A13" s="8" t="s">
        <v>571</v>
      </c>
      <c r="B13" s="39">
        <f t="shared" si="0"/>
        <v>7</v>
      </c>
      <c r="C13" s="8" t="s">
        <v>572</v>
      </c>
      <c r="D13" s="35" t="s">
        <v>618</v>
      </c>
      <c r="E13" s="8" t="s">
        <v>628</v>
      </c>
    </row>
    <row r="14" spans="1:5">
      <c r="A14" s="8" t="s">
        <v>573</v>
      </c>
      <c r="B14" s="39">
        <f t="shared" ref="B14:B22" si="1">+B13+1</f>
        <v>8</v>
      </c>
      <c r="C14" s="8" t="s">
        <v>569</v>
      </c>
      <c r="D14" s="35" t="s">
        <v>618</v>
      </c>
    </row>
    <row r="15" spans="1:5">
      <c r="A15" s="8" t="s">
        <v>573</v>
      </c>
      <c r="B15" s="39">
        <f t="shared" si="1"/>
        <v>9</v>
      </c>
      <c r="C15" s="8" t="s">
        <v>570</v>
      </c>
      <c r="D15" s="35" t="s">
        <v>618</v>
      </c>
    </row>
    <row r="16" spans="1:5">
      <c r="A16" s="8" t="s">
        <v>575</v>
      </c>
      <c r="B16" s="39">
        <f t="shared" si="1"/>
        <v>10</v>
      </c>
      <c r="C16" s="8" t="s">
        <v>576</v>
      </c>
    </row>
    <row r="17" spans="1:8">
      <c r="A17" s="8" t="s">
        <v>74</v>
      </c>
      <c r="B17" s="39">
        <f t="shared" si="1"/>
        <v>11</v>
      </c>
      <c r="C17" s="8" t="s">
        <v>577</v>
      </c>
    </row>
    <row r="18" spans="1:8">
      <c r="A18" s="8" t="s">
        <v>573</v>
      </c>
      <c r="B18" s="39">
        <f t="shared" si="1"/>
        <v>12</v>
      </c>
      <c r="C18" s="8" t="s">
        <v>636</v>
      </c>
      <c r="E18" s="8" t="s">
        <v>637</v>
      </c>
    </row>
    <row r="19" spans="1:8">
      <c r="B19" s="39">
        <f t="shared" si="1"/>
        <v>13</v>
      </c>
      <c r="C19" s="8" t="s">
        <v>665</v>
      </c>
      <c r="D19" s="35" t="s">
        <v>667</v>
      </c>
      <c r="G19" s="1" t="s">
        <v>618</v>
      </c>
    </row>
    <row r="20" spans="1:8">
      <c r="B20" s="39">
        <f t="shared" si="1"/>
        <v>14</v>
      </c>
      <c r="C20" s="8" t="s">
        <v>666</v>
      </c>
      <c r="D20" s="35" t="s">
        <v>667</v>
      </c>
      <c r="G20" s="1" t="s">
        <v>618</v>
      </c>
    </row>
    <row r="21" spans="1:8">
      <c r="B21" s="39">
        <f t="shared" si="1"/>
        <v>15</v>
      </c>
      <c r="C21" s="8" t="s">
        <v>668</v>
      </c>
      <c r="D21" s="35" t="s">
        <v>667</v>
      </c>
      <c r="G21" s="1" t="s">
        <v>618</v>
      </c>
      <c r="H21" s="8" t="s">
        <v>671</v>
      </c>
    </row>
    <row r="22" spans="1:8">
      <c r="B22" s="39">
        <f t="shared" si="1"/>
        <v>16</v>
      </c>
      <c r="C22" s="8" t="s">
        <v>669</v>
      </c>
      <c r="D22" s="35" t="s">
        <v>667</v>
      </c>
    </row>
    <row r="23" spans="1:8">
      <c r="C23" s="8" t="s">
        <v>670</v>
      </c>
      <c r="D23" s="35" t="s">
        <v>667</v>
      </c>
      <c r="G23" s="1" t="s">
        <v>618</v>
      </c>
      <c r="H23" s="8" t="s">
        <v>672</v>
      </c>
    </row>
    <row r="24" spans="1:8">
      <c r="C24" s="8" t="s">
        <v>673</v>
      </c>
      <c r="D24" s="35" t="s">
        <v>667</v>
      </c>
      <c r="G24" s="1" t="s">
        <v>618</v>
      </c>
    </row>
  </sheetData>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31">
    <tabColor theme="3" tint="-0.499984740745262"/>
    <pageSetUpPr fitToPage="1"/>
  </sheetPr>
  <dimension ref="A6:G30"/>
  <sheetViews>
    <sheetView showGridLines="0" view="pageBreakPreview" zoomScale="60" zoomScaleNormal="100" workbookViewId="0"/>
  </sheetViews>
  <sheetFormatPr defaultColWidth="9.33203125" defaultRowHeight="12.75"/>
  <cols>
    <col min="1" max="1" width="4.5" style="231" customWidth="1"/>
    <col min="2" max="2" width="3.83203125" style="231" customWidth="1"/>
    <col min="3" max="3" width="15.83203125" style="231" customWidth="1"/>
    <col min="4" max="4" width="106" style="278" customWidth="1"/>
    <col min="5" max="5" width="15.83203125" style="231" customWidth="1"/>
    <col min="6" max="6" width="3.83203125" style="231" customWidth="1"/>
    <col min="7" max="7" width="4.5" style="231" customWidth="1"/>
    <col min="8" max="8" width="9.33203125" style="231"/>
    <col min="9" max="9" width="16.33203125" style="231" bestFit="1" customWidth="1"/>
    <col min="10" max="10" width="19" style="231" bestFit="1" customWidth="1"/>
    <col min="11" max="16384" width="9.33203125" style="231"/>
  </cols>
  <sheetData>
    <row r="6" spans="1:7">
      <c r="C6" s="724"/>
      <c r="D6" s="1646"/>
      <c r="E6" s="724"/>
      <c r="F6" s="724"/>
    </row>
    <row r="7" spans="1:7" ht="13.5" thickBot="1">
      <c r="C7" s="724"/>
      <c r="D7" s="1646"/>
      <c r="E7" s="724"/>
      <c r="F7" s="724"/>
    </row>
    <row r="8" spans="1:7" s="155" customFormat="1" ht="15" thickTop="1">
      <c r="A8" s="231"/>
      <c r="B8" s="966"/>
      <c r="C8" s="967"/>
      <c r="D8" s="1645"/>
      <c r="E8" s="967"/>
      <c r="F8" s="967"/>
      <c r="G8" s="231"/>
    </row>
    <row r="9" spans="1:7" s="163" customFormat="1" ht="39.75">
      <c r="A9" s="231"/>
      <c r="B9" s="968"/>
      <c r="C9" s="969"/>
      <c r="D9" s="189" t="s">
        <v>3609</v>
      </c>
      <c r="E9" s="969"/>
      <c r="F9" s="969"/>
      <c r="G9" s="231"/>
    </row>
    <row r="10" spans="1:7" s="155" customFormat="1" ht="15" thickBot="1">
      <c r="A10" s="231"/>
      <c r="B10" s="970"/>
      <c r="C10" s="971"/>
      <c r="D10" s="1644"/>
      <c r="E10" s="971"/>
      <c r="F10" s="971"/>
      <c r="G10" s="231"/>
    </row>
    <row r="11" spans="1:7" s="155" customFormat="1" ht="15" thickTop="1">
      <c r="A11" s="231"/>
      <c r="B11" s="231"/>
      <c r="C11" s="231"/>
      <c r="D11" s="278"/>
      <c r="E11" s="231"/>
      <c r="F11" s="231"/>
      <c r="G11" s="231"/>
    </row>
    <row r="12" spans="1:7" s="155" customFormat="1" ht="14.25">
      <c r="A12" s="231"/>
      <c r="B12" s="231"/>
      <c r="C12" s="231"/>
      <c r="D12" s="278"/>
      <c r="E12" s="231"/>
      <c r="F12" s="231"/>
      <c r="G12" s="231"/>
    </row>
    <row r="13" spans="1:7" s="155" customFormat="1" ht="18">
      <c r="A13" s="231"/>
      <c r="B13" s="231"/>
      <c r="C13" s="231"/>
      <c r="D13" s="174"/>
      <c r="E13" s="231"/>
      <c r="F13" s="231"/>
      <c r="G13" s="231"/>
    </row>
    <row r="14" spans="1:7" s="155" customFormat="1" ht="18">
      <c r="A14" s="231"/>
      <c r="B14" s="231"/>
      <c r="C14" s="231"/>
      <c r="D14" s="175"/>
      <c r="E14" s="231"/>
      <c r="F14" s="231"/>
      <c r="G14" s="231"/>
    </row>
    <row r="15" spans="1:7" s="155" customFormat="1" ht="14.25">
      <c r="A15" s="231"/>
      <c r="B15" s="231"/>
      <c r="C15" s="231"/>
      <c r="D15" s="278"/>
      <c r="E15" s="231"/>
      <c r="F15" s="231"/>
      <c r="G15" s="231"/>
    </row>
    <row r="16" spans="1:7" s="155" customFormat="1" ht="14.25">
      <c r="A16" s="231"/>
      <c r="B16" s="231"/>
      <c r="C16" s="231"/>
      <c r="D16" s="278"/>
      <c r="E16" s="231"/>
      <c r="F16" s="231"/>
      <c r="G16" s="231"/>
    </row>
    <row r="17" spans="1:7" s="155" customFormat="1" ht="14.25">
      <c r="A17" s="231"/>
      <c r="B17" s="231"/>
      <c r="C17" s="231"/>
      <c r="D17" s="278"/>
      <c r="E17" s="231"/>
      <c r="F17" s="231"/>
      <c r="G17" s="231"/>
    </row>
    <row r="18" spans="1:7" s="155" customFormat="1" ht="14.25">
      <c r="A18" s="231"/>
      <c r="B18" s="231"/>
      <c r="C18" s="231"/>
      <c r="D18" s="278"/>
      <c r="E18" s="231"/>
      <c r="F18" s="231"/>
      <c r="G18" s="231"/>
    </row>
    <row r="19" spans="1:7" s="155" customFormat="1" ht="14.25">
      <c r="A19" s="231"/>
      <c r="B19" s="231"/>
      <c r="C19" s="231"/>
      <c r="D19" s="278"/>
      <c r="E19" s="231"/>
      <c r="F19" s="231"/>
      <c r="G19" s="231"/>
    </row>
    <row r="20" spans="1:7" s="155" customFormat="1" ht="14.25">
      <c r="A20" s="231"/>
      <c r="B20" s="231"/>
      <c r="C20" s="231"/>
      <c r="D20" s="278"/>
      <c r="E20" s="231"/>
      <c r="F20" s="231"/>
      <c r="G20" s="231"/>
    </row>
    <row r="21" spans="1:7" s="155" customFormat="1" ht="14.25">
      <c r="A21" s="231"/>
      <c r="B21" s="231"/>
      <c r="C21" s="231"/>
      <c r="D21" s="278"/>
      <c r="E21" s="231"/>
      <c r="F21" s="231"/>
      <c r="G21" s="231"/>
    </row>
    <row r="22" spans="1:7" s="155" customFormat="1" ht="14.25">
      <c r="A22" s="231"/>
      <c r="B22" s="231"/>
      <c r="C22" s="231"/>
      <c r="D22" s="278"/>
      <c r="E22" s="231"/>
      <c r="F22" s="231"/>
      <c r="G22" s="231"/>
    </row>
    <row r="23" spans="1:7" s="155" customFormat="1" ht="14.25">
      <c r="A23" s="231"/>
      <c r="B23" s="231"/>
      <c r="C23" s="231"/>
      <c r="D23" s="278"/>
      <c r="E23" s="231"/>
      <c r="F23" s="231"/>
      <c r="G23" s="231"/>
    </row>
    <row r="24" spans="1:7" s="155" customFormat="1" ht="14.25">
      <c r="A24" s="231"/>
      <c r="B24" s="231"/>
      <c r="C24" s="231"/>
      <c r="D24" s="278"/>
      <c r="E24" s="231"/>
      <c r="F24" s="231"/>
      <c r="G24" s="231"/>
    </row>
    <row r="25" spans="1:7" s="155" customFormat="1" ht="14.25">
      <c r="A25" s="231"/>
      <c r="B25" s="231"/>
      <c r="C25" s="231"/>
      <c r="D25" s="278"/>
      <c r="E25" s="231"/>
      <c r="F25" s="231"/>
      <c r="G25" s="231"/>
    </row>
    <row r="26" spans="1:7" s="155" customFormat="1" ht="14.25">
      <c r="A26" s="231"/>
      <c r="B26" s="231"/>
      <c r="C26" s="231"/>
      <c r="D26" s="278"/>
      <c r="E26" s="231"/>
      <c r="F26" s="231"/>
      <c r="G26" s="231"/>
    </row>
    <row r="27" spans="1:7" s="155" customFormat="1" ht="23.25">
      <c r="A27" s="231"/>
      <c r="B27" s="231"/>
      <c r="C27" s="231"/>
      <c r="D27" s="176"/>
      <c r="E27" s="231"/>
      <c r="F27" s="231"/>
      <c r="G27" s="231"/>
    </row>
    <row r="28" spans="1:7" s="155" customFormat="1" ht="14.25">
      <c r="A28" s="231"/>
      <c r="B28" s="231"/>
      <c r="C28" s="231"/>
      <c r="D28" s="278"/>
      <c r="E28" s="231"/>
      <c r="F28" s="231"/>
      <c r="G28" s="231"/>
    </row>
    <row r="29" spans="1:7" s="155" customFormat="1" ht="18">
      <c r="A29" s="231"/>
      <c r="B29" s="231"/>
      <c r="C29" s="231"/>
      <c r="D29" s="177"/>
      <c r="E29" s="231"/>
      <c r="F29" s="231"/>
      <c r="G29" s="231"/>
    </row>
    <row r="30" spans="1:7" s="155" customFormat="1" ht="36">
      <c r="A30" s="231"/>
      <c r="B30" s="231"/>
      <c r="C30" s="231"/>
      <c r="D30" s="178" t="s">
        <v>458</v>
      </c>
      <c r="E30" s="231"/>
      <c r="F30" s="231"/>
      <c r="G30" s="231"/>
    </row>
  </sheetData>
  <pageMargins left="0.5" right="0.5" top="0.5" bottom="0.5" header="0.5" footer="0.5"/>
  <pageSetup scale="98" orientation="landscape"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33">
    <tabColor rgb="FFFF0000"/>
  </sheetPr>
  <dimension ref="B1:AR764"/>
  <sheetViews>
    <sheetView showGridLines="0" view="pageBreakPreview" zoomScale="80" zoomScaleNormal="100" zoomScaleSheetLayoutView="80" workbookViewId="0"/>
  </sheetViews>
  <sheetFormatPr defaultRowHeight="12.75" outlineLevelRow="1" outlineLevelCol="1"/>
  <cols>
    <col min="1" max="1" width="4.5" style="179" customWidth="1"/>
    <col min="2" max="2" width="11.83203125" style="179" customWidth="1"/>
    <col min="3" max="4" width="26.33203125" style="179" customWidth="1"/>
    <col min="5" max="5" width="26.33203125" style="179" hidden="1" customWidth="1" outlineLevel="1"/>
    <col min="6" max="6" width="10.6640625" style="179" bestFit="1" customWidth="1" collapsed="1"/>
    <col min="7" max="7" width="10" style="179" hidden="1" customWidth="1" outlineLevel="1"/>
    <col min="8" max="8" width="2.83203125" style="179" customWidth="1" collapsed="1"/>
    <col min="9" max="10" width="15.83203125" style="179" customWidth="1"/>
    <col min="11" max="11" width="2.83203125" style="179" customWidth="1"/>
    <col min="12" max="13" width="10.83203125" style="179" customWidth="1"/>
    <col min="14" max="14" width="12" style="179" customWidth="1"/>
    <col min="15" max="15" width="12.1640625" style="179" customWidth="1"/>
    <col min="16" max="16" width="2.83203125" style="179" customWidth="1"/>
    <col min="17" max="17" width="10.5" style="179" customWidth="1"/>
    <col min="18" max="19" width="8.83203125" style="179" customWidth="1"/>
    <col min="20" max="20" width="2.83203125" style="179" customWidth="1"/>
    <col min="21" max="23" width="8.83203125" style="179" customWidth="1"/>
    <col min="24" max="25" width="11.33203125" style="179" hidden="1" customWidth="1" outlineLevel="1"/>
    <col min="26" max="26" width="2.83203125" style="179" customWidth="1" collapsed="1"/>
    <col min="27" max="29" width="11.33203125" style="179" hidden="1" customWidth="1" outlineLevel="1"/>
    <col min="30" max="30" width="2.83203125" style="179" hidden="1" customWidth="1" outlineLevel="1"/>
    <col min="31" max="33" width="11.33203125" style="179" hidden="1" customWidth="1" outlineLevel="1"/>
    <col min="34" max="34" width="2.83203125" style="179" hidden="1" customWidth="1" outlineLevel="1"/>
    <col min="35" max="35" width="10.83203125" style="179" customWidth="1" collapsed="1"/>
    <col min="36" max="36" width="10.83203125" style="179" customWidth="1"/>
    <col min="37" max="37" width="4.5" style="179" customWidth="1"/>
    <col min="38" max="38" width="14.33203125" style="179" bestFit="1" customWidth="1"/>
    <col min="39" max="39" width="10.33203125" style="179" customWidth="1"/>
    <col min="40" max="40" width="9.33203125" style="179"/>
    <col min="41" max="41" width="9.83203125" style="179" bestFit="1" customWidth="1"/>
    <col min="42" max="42" width="12" style="179" bestFit="1" customWidth="1"/>
    <col min="43" max="43" width="11.6640625" style="179" bestFit="1" customWidth="1"/>
    <col min="44" max="44" width="12" style="179" bestFit="1" customWidth="1"/>
    <col min="45" max="16384" width="9.33203125" style="179"/>
  </cols>
  <sheetData>
    <row r="1" spans="2:44" ht="10.7" customHeight="1" thickBot="1"/>
    <row r="2" spans="2:44"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Z2" s="187"/>
      <c r="AA2" s="187"/>
      <c r="AB2" s="187"/>
      <c r="AC2" s="187"/>
      <c r="AD2" s="187"/>
      <c r="AE2" s="187"/>
      <c r="AF2" s="187"/>
      <c r="AG2" s="187"/>
      <c r="AH2" s="1634"/>
      <c r="AI2" s="187"/>
      <c r="AJ2" s="187"/>
      <c r="AL2" s="909" t="s">
        <v>87</v>
      </c>
      <c r="AM2" s="910">
        <f>+'Comp.1'!$AL$2</f>
        <v>43245</v>
      </c>
      <c r="AO2" s="991"/>
      <c r="AP2" s="992" t="s">
        <v>870</v>
      </c>
      <c r="AQ2" s="992" t="s">
        <v>871</v>
      </c>
      <c r="AR2" s="993" t="s">
        <v>110</v>
      </c>
    </row>
    <row r="3" spans="2:44" ht="15.75" customHeight="1">
      <c r="B3" s="188" t="e">
        <f>VLOOKUP(B4,Outline!$E$8:$G$75,COLUMNS(Outline!$E$8:$G$8),FALSE)</f>
        <v>#N/A</v>
      </c>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188"/>
      <c r="AC3" s="188"/>
      <c r="AD3" s="188"/>
      <c r="AE3" s="188"/>
      <c r="AF3" s="188"/>
      <c r="AG3" s="188"/>
      <c r="AH3" s="190"/>
      <c r="AI3" s="188"/>
      <c r="AJ3" s="188"/>
      <c r="AL3" s="911" t="s">
        <v>462</v>
      </c>
      <c r="AM3" s="912" t="str">
        <f>+'Comp.1'!$AL$3</f>
        <v>F</v>
      </c>
      <c r="AO3" s="492" t="str">
        <f>+L7</f>
        <v>Enterprise Value</v>
      </c>
      <c r="AP3" s="698" t="e">
        <f ca="1">SUM('STM Linked'!I10:I29)</f>
        <v>#NAME?</v>
      </c>
      <c r="AQ3" s="698">
        <f>+SUM('Capital IQ Sheet-STM'!I10:I29)</f>
        <v>11.21428</v>
      </c>
      <c r="AR3" s="339" t="e">
        <f ca="1">AP3=AQ3</f>
        <v>#NAME?</v>
      </c>
    </row>
    <row r="4" spans="2:44" ht="16.5" customHeight="1" thickBot="1">
      <c r="B4" s="726" t="s">
        <v>743</v>
      </c>
      <c r="C4" s="726"/>
      <c r="D4" s="726"/>
      <c r="E4" s="726"/>
      <c r="F4" s="726"/>
      <c r="G4" s="726"/>
      <c r="H4" s="726"/>
      <c r="I4" s="726"/>
      <c r="J4" s="726"/>
      <c r="K4" s="726"/>
      <c r="L4" s="726"/>
      <c r="M4" s="726"/>
      <c r="N4" s="726"/>
      <c r="O4" s="726"/>
      <c r="P4" s="726"/>
      <c r="Q4" s="727"/>
      <c r="R4" s="727"/>
      <c r="S4" s="727"/>
      <c r="T4" s="727"/>
      <c r="U4" s="727"/>
      <c r="V4" s="727"/>
      <c r="W4" s="727"/>
      <c r="X4" s="727"/>
      <c r="Y4" s="727"/>
      <c r="Z4" s="727"/>
      <c r="AA4" s="727"/>
      <c r="AB4" s="727"/>
      <c r="AC4" s="727"/>
      <c r="AD4" s="727"/>
      <c r="AE4" s="727"/>
      <c r="AF4" s="727"/>
      <c r="AG4" s="727"/>
      <c r="AH4" s="1635"/>
      <c r="AI4" s="727"/>
      <c r="AJ4" s="727" t="str">
        <f>+'MASTER PubCo Inputs'!$C$24</f>
        <v>(in millions of USD)</v>
      </c>
      <c r="AL4" s="911" t="s">
        <v>463</v>
      </c>
      <c r="AM4" s="912" t="str">
        <f>+'Comp.1'!$AL$4</f>
        <v>USD</v>
      </c>
      <c r="AO4" s="492" t="str">
        <f>+Q7</f>
        <v>Revenue</v>
      </c>
      <c r="AP4" s="698" t="e">
        <f ca="1">+SUM('STM Linked'!N10:N29)</f>
        <v>#NAME?</v>
      </c>
      <c r="AQ4" s="698">
        <f>+SUM('Capital IQ Sheet-STM'!N10:N29)</f>
        <v>0.51100000000000001</v>
      </c>
      <c r="AR4" s="339" t="e">
        <f ca="1">AP4=AQ4</f>
        <v>#NAME?</v>
      </c>
    </row>
    <row r="5" spans="2:44" ht="14.85" customHeight="1" thickTop="1">
      <c r="AL5" s="378" t="s">
        <v>89</v>
      </c>
      <c r="AM5" s="913" t="str">
        <f>+'Comp.1'!$AL$5</f>
        <v>H</v>
      </c>
      <c r="AO5" s="995" t="str">
        <f>+R7</f>
        <v>EBITDA</v>
      </c>
      <c r="AP5" s="996" t="e">
        <f ca="1">+SUM('STM Linked'!O10:O29)</f>
        <v>#NAME?</v>
      </c>
      <c r="AQ5" s="996">
        <f>+SUM('Capital IQ Sheet-STM'!O10:O29)</f>
        <v>-7.125</v>
      </c>
      <c r="AR5" s="701" t="e">
        <f ca="1">AP5=AQ5</f>
        <v>#NAME?</v>
      </c>
    </row>
    <row r="6" spans="2:44" ht="14.85" customHeight="1">
      <c r="L6" s="608" t="s">
        <v>477</v>
      </c>
      <c r="M6" s="1073"/>
      <c r="N6" s="1073"/>
      <c r="O6" s="610"/>
      <c r="Q6" s="608" t="s">
        <v>361</v>
      </c>
      <c r="R6" s="609"/>
      <c r="S6" s="610"/>
      <c r="U6" s="972" t="s">
        <v>360</v>
      </c>
      <c r="V6" s="973"/>
      <c r="W6" s="841"/>
      <c r="X6" s="973"/>
      <c r="Y6" s="974"/>
      <c r="AA6" s="608" t="s">
        <v>362</v>
      </c>
      <c r="AB6" s="609"/>
      <c r="AC6" s="610"/>
      <c r="AE6" s="608" t="s">
        <v>363</v>
      </c>
      <c r="AF6" s="609"/>
      <c r="AG6" s="610"/>
      <c r="AI6" s="1074" t="s">
        <v>366</v>
      </c>
      <c r="AJ6" s="1075"/>
    </row>
    <row r="7" spans="2:44" s="200" customFormat="1" ht="14.85" customHeight="1">
      <c r="B7" s="1076" t="s">
        <v>355</v>
      </c>
      <c r="C7" s="1077" t="s">
        <v>862</v>
      </c>
      <c r="D7" s="1077" t="s">
        <v>356</v>
      </c>
      <c r="E7" s="1077" t="s">
        <v>481</v>
      </c>
      <c r="F7" s="1078" t="s">
        <v>357</v>
      </c>
      <c r="G7" s="1079" t="s">
        <v>359</v>
      </c>
      <c r="I7" s="1011" t="s">
        <v>2251</v>
      </c>
      <c r="J7" s="1012" t="s">
        <v>2252</v>
      </c>
      <c r="L7" s="921" t="str">
        <f>'Capital IQ Sheet-STM'!I8</f>
        <v>Enterprise Value</v>
      </c>
      <c r="M7" s="1080" t="str">
        <f>'Capital IQ Sheet-STM'!J8</f>
        <v>Upfront Value</v>
      </c>
      <c r="N7" s="1080" t="str">
        <f>'Capital IQ Sheet-STM'!K8</f>
        <v>Contingent Payments</v>
      </c>
      <c r="O7" s="924" t="str">
        <f>'Capital IQ Sheet-STM'!L8</f>
        <v>Total Trans. Value</v>
      </c>
      <c r="P7" s="1016"/>
      <c r="Q7" s="921" t="s">
        <v>162</v>
      </c>
      <c r="R7" s="922" t="s">
        <v>175</v>
      </c>
      <c r="S7" s="924" t="s">
        <v>176</v>
      </c>
      <c r="T7" s="265"/>
      <c r="U7" s="921" t="s">
        <v>162</v>
      </c>
      <c r="V7" s="922" t="s">
        <v>175</v>
      </c>
      <c r="W7" s="1019" t="s">
        <v>176</v>
      </c>
      <c r="X7" s="922" t="s">
        <v>479</v>
      </c>
      <c r="Y7" s="924" t="s">
        <v>480</v>
      </c>
      <c r="Z7" s="265"/>
      <c r="AA7" s="921" t="s">
        <v>162</v>
      </c>
      <c r="AB7" s="922" t="s">
        <v>175</v>
      </c>
      <c r="AC7" s="924" t="s">
        <v>176</v>
      </c>
      <c r="AD7" s="265"/>
      <c r="AE7" s="921" t="s">
        <v>162</v>
      </c>
      <c r="AF7" s="922" t="s">
        <v>175</v>
      </c>
      <c r="AG7" s="924" t="s">
        <v>176</v>
      </c>
      <c r="AH7" s="265"/>
      <c r="AI7" s="1081" t="s">
        <v>364</v>
      </c>
      <c r="AJ7" s="1082" t="s">
        <v>365</v>
      </c>
      <c r="AL7" s="594" t="s">
        <v>958</v>
      </c>
      <c r="AM7" s="1083">
        <v>50</v>
      </c>
      <c r="AN7" s="594" t="s">
        <v>959</v>
      </c>
      <c r="AO7" s="1083">
        <v>0</v>
      </c>
    </row>
    <row r="8" spans="2:44" ht="14.85" customHeight="1">
      <c r="L8" s="265"/>
      <c r="M8" s="265"/>
      <c r="N8" s="265"/>
      <c r="O8" s="265"/>
      <c r="P8" s="265"/>
      <c r="Q8" s="265"/>
      <c r="R8" s="265"/>
      <c r="S8" s="265"/>
      <c r="T8" s="265"/>
      <c r="U8" s="265"/>
      <c r="V8" s="265"/>
      <c r="W8" s="265"/>
      <c r="X8" s="265"/>
      <c r="Y8" s="265"/>
      <c r="Z8" s="265"/>
      <c r="AA8" s="265"/>
      <c r="AB8" s="265"/>
      <c r="AC8" s="265"/>
      <c r="AD8" s="265"/>
      <c r="AE8" s="265"/>
      <c r="AF8" s="265"/>
      <c r="AG8" s="265"/>
      <c r="AH8" s="265"/>
      <c r="AI8" s="265"/>
      <c r="AJ8" s="265"/>
    </row>
    <row r="9" spans="2:44" s="1086" customFormat="1" ht="14.85" customHeight="1">
      <c r="B9" s="1084">
        <f>IFERROR('Capital IQ Sheet-STM'!B10,"n/a")</f>
        <v>42902</v>
      </c>
      <c r="C9" s="1084" t="str">
        <f>'Capital IQ Sheet-STM'!C10</f>
        <v>Intrexon Corporation</v>
      </c>
      <c r="D9" s="1084" t="str">
        <f>'Capital IQ Sheet-STM'!D10</f>
        <v>GenVec, Inc.</v>
      </c>
      <c r="E9" s="1084" t="str">
        <f>'Capital IQ Sheet-STM'!E10</f>
        <v>Biotechnology</v>
      </c>
      <c r="F9" s="1085">
        <f>IFERROR('Capital IQ Sheet-STM'!F10,"n/a")</f>
        <v>1</v>
      </c>
      <c r="G9" s="1084" t="str">
        <f>'Capital IQ Sheet-STM'!G10</f>
        <v>Majority</v>
      </c>
      <c r="L9" s="1087">
        <f>'Capital IQ Sheet-STM'!I10</f>
        <v>11.21428</v>
      </c>
      <c r="M9" s="1087">
        <f>'Capital IQ Sheet-STM'!J10</f>
        <v>14.916689999999999</v>
      </c>
      <c r="N9" s="1087">
        <f>'Capital IQ Sheet-STM'!K10</f>
        <v>0</v>
      </c>
      <c r="O9" s="1087">
        <f>'Capital IQ Sheet-STM'!L10</f>
        <v>15.00634</v>
      </c>
      <c r="P9" s="1088"/>
      <c r="Q9" s="1087">
        <f>'Capital IQ Sheet-STM'!N10</f>
        <v>0.51100000000000001</v>
      </c>
      <c r="R9" s="1087">
        <f>'Capital IQ Sheet-STM'!O10</f>
        <v>-7.125</v>
      </c>
      <c r="S9" s="1087">
        <f>'Capital IQ Sheet-STM'!P10</f>
        <v>-7.2149999999999999</v>
      </c>
      <c r="T9" s="1088"/>
      <c r="U9" s="1089">
        <f>IFERROR(IF(($L9/Q9)&gt;$AM$7, "NM", IF(($L9/Q9)&lt;$AO$7, "NM", $L9/Q9)),"n/a")</f>
        <v>21.945753424657536</v>
      </c>
      <c r="V9" s="1089" t="str">
        <f>IFERROR(IF(($L9/R9)&gt;$AM$7, "NM", IF(($L9/R9)&lt;$AO$7, "NM", $L9/R9)),"n/a")</f>
        <v>NM</v>
      </c>
      <c r="W9" s="1089" t="str">
        <f>IFERROR(IF(($L9/S9)&gt;$AM$7, "NM", IF(($L9/S9)&lt;$AO$7, "NM", $L9/S9)),"n/a")</f>
        <v>NM</v>
      </c>
      <c r="X9" s="1089">
        <f>'Capital IQ Sheet-STM'!U10</f>
        <v>3.1703899999999998</v>
      </c>
      <c r="Y9" s="1089" t="str">
        <f>'Capital IQ Sheet-STM'!V10</f>
        <v>NM</v>
      </c>
      <c r="Z9" s="1088"/>
      <c r="AA9" s="576">
        <f>'Capital IQ Sheet-STM'!X10</f>
        <v>0</v>
      </c>
      <c r="AB9" s="576">
        <f>'Capital IQ Sheet-STM'!Y10</f>
        <v>0</v>
      </c>
      <c r="AC9" s="576">
        <f>'Capital IQ Sheet-STM'!Z10</f>
        <v>0.4</v>
      </c>
      <c r="AD9" s="1088"/>
      <c r="AE9" s="1089" t="str">
        <f>IF(ISERROR($L9/AA9), "n/a", $L9/AA9)</f>
        <v>n/a</v>
      </c>
      <c r="AF9" s="1089" t="str">
        <f>IF(ISERROR($L9/AB9), "n/a", $L9/AB9)</f>
        <v>n/a</v>
      </c>
      <c r="AG9" s="1084">
        <f>'Capital IQ Sheet-STM'!AD10</f>
        <v>28.035699999999999</v>
      </c>
      <c r="AI9" s="1085">
        <f>IFERROR('Capital IQ Sheet-STM'!AH10,"n/a")</f>
        <v>7.0265999999999995E-2</v>
      </c>
      <c r="AJ9" s="1085">
        <f>IFERROR('Capital IQ Sheet-STM'!AI10,"n/a")</f>
        <v>1.0002230000000001</v>
      </c>
      <c r="AL9" s="201"/>
    </row>
    <row r="10" spans="2:44" s="1086" customFormat="1" ht="14.85" hidden="1" customHeight="1" outlineLevel="1">
      <c r="B10" s="1084">
        <f>IFERROR('Capital IQ Sheet-STM'!B11,"n/a")</f>
        <v>41578</v>
      </c>
      <c r="C10" s="1084" t="str">
        <f>'Capital IQ Sheet-STM'!C11</f>
        <v>Otonomy, Inc.</v>
      </c>
      <c r="D10" s="1084" t="str">
        <f>'Capital IQ Sheet-STM'!D11</f>
        <v>NeuroSystec Corporation, Assets and Patent Rights for Tinnitus Program</v>
      </c>
      <c r="E10" s="1084" t="str">
        <f>'Capital IQ Sheet-STM'!E11</f>
        <v>Pharmaceuticals</v>
      </c>
      <c r="F10" s="1085">
        <f>IFERROR('Capital IQ Sheet-STM'!F11,"n/a")</f>
        <v>1</v>
      </c>
      <c r="G10" s="1084" t="str">
        <f>'Capital IQ Sheet-STM'!G11</f>
        <v>Majority</v>
      </c>
      <c r="L10" s="1087">
        <f>'Capital IQ Sheet-STM'!I11</f>
        <v>0</v>
      </c>
      <c r="M10" s="1087">
        <f>'Capital IQ Sheet-STM'!J11</f>
        <v>0</v>
      </c>
      <c r="N10" s="1087">
        <f>'Capital IQ Sheet-STM'!K11</f>
        <v>0</v>
      </c>
      <c r="O10" s="1087">
        <f>'Capital IQ Sheet-STM'!L11</f>
        <v>0</v>
      </c>
      <c r="P10" s="1088"/>
      <c r="Q10" s="1087">
        <f>'Capital IQ Sheet-STM'!N11</f>
        <v>0</v>
      </c>
      <c r="R10" s="1087">
        <f>'Capital IQ Sheet-STM'!O11</f>
        <v>0</v>
      </c>
      <c r="S10" s="1087">
        <f>'Capital IQ Sheet-STM'!P11</f>
        <v>0</v>
      </c>
      <c r="T10" s="1088"/>
      <c r="U10" s="1089" t="str">
        <f t="shared" ref="U10:U41" si="0">IFERROR(IF(($L10/Q10)&gt;$AM$7, "NM", IF(($L10/Q10)&lt;$AO$7, "NM", $L10/Q10)),"n/a")</f>
        <v>n/a</v>
      </c>
      <c r="V10" s="1089" t="str">
        <f t="shared" ref="V10:V41" si="1">IFERROR(IF(($L10/R10)&gt;$AM$7, "NM", IF(($L10/R10)&lt;$AO$7, "NM", $L10/R10)),"n/a")</f>
        <v>n/a</v>
      </c>
      <c r="W10" s="1089" t="str">
        <f t="shared" ref="W10:W41" si="2">IFERROR(IF(($L10/S10)&gt;$AM$7, "NM", IF(($L10/S10)&lt;$AO$7, "NM", $L10/S10)),"n/a")</f>
        <v>n/a</v>
      </c>
      <c r="X10" s="1089" t="str">
        <f>'Capital IQ Sheet-STM'!U11</f>
        <v>NA</v>
      </c>
      <c r="Y10" s="1089" t="str">
        <f>'Capital IQ Sheet-STM'!V11</f>
        <v>NA</v>
      </c>
      <c r="Z10" s="1088"/>
      <c r="AA10" s="576">
        <f>'Capital IQ Sheet-STM'!X11</f>
        <v>0</v>
      </c>
      <c r="AB10" s="576">
        <f>'Capital IQ Sheet-STM'!Y11</f>
        <v>0</v>
      </c>
      <c r="AC10" s="576">
        <f>'Capital IQ Sheet-STM'!Z11</f>
        <v>0</v>
      </c>
      <c r="AD10" s="1088"/>
      <c r="AE10" s="1089" t="str">
        <f t="shared" ref="AE10:AE28" si="3">IF(ISERROR($L10/AA10), "n/a", $L10/AA10)</f>
        <v>n/a</v>
      </c>
      <c r="AF10" s="1089" t="str">
        <f t="shared" ref="AF10:AF28" si="4">IF(ISERROR($L10/AB10), "n/a", $L10/AB10)</f>
        <v>n/a</v>
      </c>
      <c r="AG10" s="1084" t="str">
        <f>'Capital IQ Sheet-STM'!AD11</f>
        <v>n/a</v>
      </c>
      <c r="AI10" s="1085" t="str">
        <f>IFERROR('Capital IQ Sheet-STM'!AH11,"n/a")</f>
        <v>NM</v>
      </c>
      <c r="AJ10" s="1085" t="str">
        <f>IFERROR('Capital IQ Sheet-STM'!AI11,"n/a")</f>
        <v>NM</v>
      </c>
      <c r="AL10" s="201"/>
    </row>
    <row r="11" spans="2:44" s="1086" customFormat="1" ht="14.85" hidden="1" customHeight="1" outlineLevel="1">
      <c r="B11" s="1084" t="str">
        <f>IFERROR('Capital IQ Sheet-STM'!B12,"n/a")</f>
        <v>(Invalid Transaction Id)</v>
      </c>
      <c r="C11" s="1084" t="str">
        <f>'Capital IQ Sheet-STM'!C12</f>
        <v>(Invalid Transaction Id)</v>
      </c>
      <c r="D11" s="1084" t="str">
        <f>'Capital IQ Sheet-STM'!D12</f>
        <v>(Invalid Transaction Id)</v>
      </c>
      <c r="E11" s="1084" t="str">
        <f>'Capital IQ Sheet-STM'!E12</f>
        <v>(Invalid Identifier)</v>
      </c>
      <c r="F11" s="1085" t="str">
        <f>IFERROR('Capital IQ Sheet-STM'!F12,"n/a")</f>
        <v>n/a</v>
      </c>
      <c r="G11" s="1084" t="str">
        <f>'Capital IQ Sheet-STM'!G12</f>
        <v>(Invalid Transaction Id)</v>
      </c>
      <c r="L11" s="1087" t="str">
        <f>'Capital IQ Sheet-STM'!I12</f>
        <v>(Invalid Transaction Id)</v>
      </c>
      <c r="M11" s="1087" t="e">
        <f>'Capital IQ Sheet-STM'!J12</f>
        <v>#VALUE!</v>
      </c>
      <c r="N11" s="1087" t="str">
        <f>'Capital IQ Sheet-STM'!K12</f>
        <v>(Invalid Transaction Id)</v>
      </c>
      <c r="O11" s="1087" t="str">
        <f>'Capital IQ Sheet-STM'!L12</f>
        <v>(Invalid Transaction Id)</v>
      </c>
      <c r="P11" s="1088"/>
      <c r="Q11" s="1087" t="str">
        <f>'Capital IQ Sheet-STM'!N12</f>
        <v>(Invalid Transaction Id)</v>
      </c>
      <c r="R11" s="1087" t="str">
        <f>'Capital IQ Sheet-STM'!O12</f>
        <v>(Invalid Transaction Id)</v>
      </c>
      <c r="S11" s="1087" t="str">
        <f>'Capital IQ Sheet-STM'!P12</f>
        <v>(Invalid Transaction Id)</v>
      </c>
      <c r="T11" s="1088"/>
      <c r="U11" s="1089" t="str">
        <f t="shared" si="0"/>
        <v>n/a</v>
      </c>
      <c r="V11" s="1089" t="str">
        <f t="shared" si="1"/>
        <v>n/a</v>
      </c>
      <c r="W11" s="1089" t="str">
        <f t="shared" si="2"/>
        <v>n/a</v>
      </c>
      <c r="X11" s="1089" t="str">
        <f>'Capital IQ Sheet-STM'!U12</f>
        <v>(Invalid Transaction Id)</v>
      </c>
      <c r="Y11" s="1089" t="str">
        <f>'Capital IQ Sheet-STM'!V12</f>
        <v>(Invalid Transaction Id)</v>
      </c>
      <c r="Z11" s="1088"/>
      <c r="AA11" s="576">
        <f>'Capital IQ Sheet-STM'!X12</f>
        <v>0</v>
      </c>
      <c r="AB11" s="576">
        <f>'Capital IQ Sheet-STM'!Y12</f>
        <v>0</v>
      </c>
      <c r="AC11" s="576" t="str">
        <f>'Capital IQ Sheet-STM'!Z12</f>
        <v>(Invalid Transaction Id)</v>
      </c>
      <c r="AD11" s="1088"/>
      <c r="AE11" s="1089" t="str">
        <f t="shared" si="3"/>
        <v>n/a</v>
      </c>
      <c r="AF11" s="1089" t="str">
        <f t="shared" si="4"/>
        <v>n/a</v>
      </c>
      <c r="AG11" s="1084" t="str">
        <f>'Capital IQ Sheet-STM'!AD12</f>
        <v>n/a</v>
      </c>
      <c r="AI11" s="1085" t="str">
        <f>IFERROR('Capital IQ Sheet-STM'!AH12,"n/a")</f>
        <v>n/a</v>
      </c>
      <c r="AJ11" s="1085" t="str">
        <f>IFERROR('Capital IQ Sheet-STM'!AI12,"n/a")</f>
        <v>n/a</v>
      </c>
      <c r="AL11" s="201"/>
    </row>
    <row r="12" spans="2:44" s="1086" customFormat="1" ht="14.85" hidden="1" customHeight="1" outlineLevel="1">
      <c r="B12" s="1084" t="str">
        <f>IFERROR('Capital IQ Sheet-STM'!B13,"n/a")</f>
        <v>(Invalid Transaction Id)</v>
      </c>
      <c r="C12" s="1084" t="str">
        <f>'Capital IQ Sheet-STM'!C13</f>
        <v>(Invalid Transaction Id)</v>
      </c>
      <c r="D12" s="1084" t="str">
        <f>'Capital IQ Sheet-STM'!D13</f>
        <v>(Invalid Transaction Id)</v>
      </c>
      <c r="E12" s="1084" t="str">
        <f>'Capital IQ Sheet-STM'!E13</f>
        <v>(Invalid Identifier)</v>
      </c>
      <c r="F12" s="1085" t="str">
        <f>IFERROR('Capital IQ Sheet-STM'!F13,"n/a")</f>
        <v>n/a</v>
      </c>
      <c r="G12" s="1084" t="str">
        <f>'Capital IQ Sheet-STM'!G13</f>
        <v>(Invalid Transaction Id)</v>
      </c>
      <c r="L12" s="1087" t="str">
        <f>'Capital IQ Sheet-STM'!I13</f>
        <v>(Invalid Transaction Id)</v>
      </c>
      <c r="M12" s="1087" t="e">
        <f>'Capital IQ Sheet-STM'!J13</f>
        <v>#VALUE!</v>
      </c>
      <c r="N12" s="1087" t="str">
        <f>'Capital IQ Sheet-STM'!K13</f>
        <v>(Invalid Transaction Id)</v>
      </c>
      <c r="O12" s="1087" t="str">
        <f>'Capital IQ Sheet-STM'!L13</f>
        <v>(Invalid Transaction Id)</v>
      </c>
      <c r="P12" s="1088"/>
      <c r="Q12" s="1087" t="str">
        <f>'Capital IQ Sheet-STM'!N13</f>
        <v>(Invalid Transaction Id)</v>
      </c>
      <c r="R12" s="1087" t="str">
        <f>'Capital IQ Sheet-STM'!O13</f>
        <v>(Invalid Transaction Id)</v>
      </c>
      <c r="S12" s="1087" t="str">
        <f>'Capital IQ Sheet-STM'!P13</f>
        <v>(Invalid Transaction Id)</v>
      </c>
      <c r="T12" s="1088"/>
      <c r="U12" s="1089" t="str">
        <f t="shared" si="0"/>
        <v>n/a</v>
      </c>
      <c r="V12" s="1089" t="str">
        <f t="shared" si="1"/>
        <v>n/a</v>
      </c>
      <c r="W12" s="1089" t="str">
        <f t="shared" si="2"/>
        <v>n/a</v>
      </c>
      <c r="X12" s="1089" t="str">
        <f>'Capital IQ Sheet-STM'!U13</f>
        <v>(Invalid Transaction Id)</v>
      </c>
      <c r="Y12" s="1089" t="str">
        <f>'Capital IQ Sheet-STM'!V13</f>
        <v>(Invalid Transaction Id)</v>
      </c>
      <c r="Z12" s="1088"/>
      <c r="AA12" s="576">
        <f>'Capital IQ Sheet-STM'!X13</f>
        <v>0</v>
      </c>
      <c r="AB12" s="576">
        <f>'Capital IQ Sheet-STM'!Y13</f>
        <v>0</v>
      </c>
      <c r="AC12" s="576" t="str">
        <f>'Capital IQ Sheet-STM'!Z13</f>
        <v>(Invalid Transaction Id)</v>
      </c>
      <c r="AD12" s="1088"/>
      <c r="AE12" s="1089" t="str">
        <f t="shared" si="3"/>
        <v>n/a</v>
      </c>
      <c r="AF12" s="1089" t="str">
        <f t="shared" si="4"/>
        <v>n/a</v>
      </c>
      <c r="AG12" s="1084" t="str">
        <f>'Capital IQ Sheet-STM'!AD13</f>
        <v>n/a</v>
      </c>
      <c r="AI12" s="1085" t="str">
        <f>IFERROR('Capital IQ Sheet-STM'!AH13,"n/a")</f>
        <v>n/a</v>
      </c>
      <c r="AJ12" s="1085" t="str">
        <f>IFERROR('Capital IQ Sheet-STM'!AI13,"n/a")</f>
        <v>n/a</v>
      </c>
      <c r="AL12" s="1090"/>
    </row>
    <row r="13" spans="2:44" s="1086" customFormat="1" ht="14.85" hidden="1" customHeight="1" outlineLevel="1">
      <c r="B13" s="1084" t="str">
        <f>IFERROR('Capital IQ Sheet-STM'!B14,"n/a")</f>
        <v>(Invalid Transaction Id)</v>
      </c>
      <c r="C13" s="1084" t="str">
        <f>'Capital IQ Sheet-STM'!C14</f>
        <v>(Invalid Transaction Id)</v>
      </c>
      <c r="D13" s="1084" t="str">
        <f>'Capital IQ Sheet-STM'!D14</f>
        <v>(Invalid Transaction Id)</v>
      </c>
      <c r="E13" s="1084" t="str">
        <f>'Capital IQ Sheet-STM'!E14</f>
        <v>(Invalid Identifier)</v>
      </c>
      <c r="F13" s="1085" t="str">
        <f>IFERROR('Capital IQ Sheet-STM'!F14,"n/a")</f>
        <v>n/a</v>
      </c>
      <c r="G13" s="1084" t="str">
        <f>'Capital IQ Sheet-STM'!G14</f>
        <v>(Invalid Transaction Id)</v>
      </c>
      <c r="L13" s="1087" t="str">
        <f>'Capital IQ Sheet-STM'!I14</f>
        <v>(Invalid Transaction Id)</v>
      </c>
      <c r="M13" s="1087" t="e">
        <f>'Capital IQ Sheet-STM'!J14</f>
        <v>#VALUE!</v>
      </c>
      <c r="N13" s="1087" t="str">
        <f>'Capital IQ Sheet-STM'!K14</f>
        <v>(Invalid Transaction Id)</v>
      </c>
      <c r="O13" s="1087" t="str">
        <f>'Capital IQ Sheet-STM'!L14</f>
        <v>(Invalid Transaction Id)</v>
      </c>
      <c r="P13" s="1088"/>
      <c r="Q13" s="1087" t="str">
        <f>'Capital IQ Sheet-STM'!N14</f>
        <v>(Invalid Transaction Id)</v>
      </c>
      <c r="R13" s="1087" t="str">
        <f>'Capital IQ Sheet-STM'!O14</f>
        <v>(Invalid Transaction Id)</v>
      </c>
      <c r="S13" s="1087" t="str">
        <f>'Capital IQ Sheet-STM'!P14</f>
        <v>(Invalid Transaction Id)</v>
      </c>
      <c r="T13" s="1088"/>
      <c r="U13" s="1089" t="str">
        <f t="shared" si="0"/>
        <v>n/a</v>
      </c>
      <c r="V13" s="1089" t="str">
        <f t="shared" si="1"/>
        <v>n/a</v>
      </c>
      <c r="W13" s="1089" t="str">
        <f t="shared" si="2"/>
        <v>n/a</v>
      </c>
      <c r="X13" s="1089" t="str">
        <f>'Capital IQ Sheet-STM'!U14</f>
        <v>(Invalid Transaction Id)</v>
      </c>
      <c r="Y13" s="1089" t="str">
        <f>'Capital IQ Sheet-STM'!V14</f>
        <v>(Invalid Transaction Id)</v>
      </c>
      <c r="Z13" s="1088"/>
      <c r="AA13" s="576">
        <f>'Capital IQ Sheet-STM'!X14</f>
        <v>0</v>
      </c>
      <c r="AB13" s="576">
        <f>'Capital IQ Sheet-STM'!Y14</f>
        <v>0</v>
      </c>
      <c r="AC13" s="576" t="str">
        <f>'Capital IQ Sheet-STM'!Z14</f>
        <v>(Invalid Transaction Id)</v>
      </c>
      <c r="AD13" s="1088"/>
      <c r="AE13" s="1089" t="str">
        <f t="shared" si="3"/>
        <v>n/a</v>
      </c>
      <c r="AF13" s="1089" t="str">
        <f t="shared" si="4"/>
        <v>n/a</v>
      </c>
      <c r="AG13" s="1084" t="str">
        <f>'Capital IQ Sheet-STM'!AD14</f>
        <v>n/a</v>
      </c>
      <c r="AI13" s="1085" t="str">
        <f>IFERROR('Capital IQ Sheet-STM'!AH14,"n/a")</f>
        <v>n/a</v>
      </c>
      <c r="AJ13" s="1085" t="str">
        <f>IFERROR('Capital IQ Sheet-STM'!AI14,"n/a")</f>
        <v>n/a</v>
      </c>
      <c r="AL13" s="1090"/>
    </row>
    <row r="14" spans="2:44" s="1086" customFormat="1" ht="14.85" hidden="1" customHeight="1" outlineLevel="1">
      <c r="B14" s="1084" t="str">
        <f>IFERROR('Capital IQ Sheet-STM'!B15,"n/a")</f>
        <v>(Invalid Transaction Id)</v>
      </c>
      <c r="C14" s="1084" t="str">
        <f>'Capital IQ Sheet-STM'!C15</f>
        <v>(Invalid Transaction Id)</v>
      </c>
      <c r="D14" s="1084" t="str">
        <f>'Capital IQ Sheet-STM'!D15</f>
        <v>(Invalid Transaction Id)</v>
      </c>
      <c r="E14" s="1084" t="str">
        <f>'Capital IQ Sheet-STM'!E15</f>
        <v>(Invalid Identifier)</v>
      </c>
      <c r="F14" s="1085" t="str">
        <f>IFERROR('Capital IQ Sheet-STM'!F15,"n/a")</f>
        <v>n/a</v>
      </c>
      <c r="G14" s="1084" t="str">
        <f>'Capital IQ Sheet-STM'!G15</f>
        <v>(Invalid Transaction Id)</v>
      </c>
      <c r="L14" s="1087" t="str">
        <f>'Capital IQ Sheet-STM'!I15</f>
        <v>(Invalid Transaction Id)</v>
      </c>
      <c r="M14" s="1087" t="e">
        <f>'Capital IQ Sheet-STM'!J15</f>
        <v>#VALUE!</v>
      </c>
      <c r="N14" s="1087" t="str">
        <f>'Capital IQ Sheet-STM'!K15</f>
        <v>(Invalid Transaction Id)</v>
      </c>
      <c r="O14" s="1087" t="str">
        <f>'Capital IQ Sheet-STM'!L15</f>
        <v>(Invalid Transaction Id)</v>
      </c>
      <c r="P14" s="1088"/>
      <c r="Q14" s="1087" t="str">
        <f>'Capital IQ Sheet-STM'!N15</f>
        <v>(Invalid Transaction Id)</v>
      </c>
      <c r="R14" s="1087" t="str">
        <f>'Capital IQ Sheet-STM'!O15</f>
        <v>(Invalid Transaction Id)</v>
      </c>
      <c r="S14" s="1087" t="str">
        <f>'Capital IQ Sheet-STM'!P15</f>
        <v>(Invalid Transaction Id)</v>
      </c>
      <c r="T14" s="1088"/>
      <c r="U14" s="1089" t="str">
        <f t="shared" si="0"/>
        <v>n/a</v>
      </c>
      <c r="V14" s="1089" t="str">
        <f t="shared" si="1"/>
        <v>n/a</v>
      </c>
      <c r="W14" s="1089" t="str">
        <f t="shared" si="2"/>
        <v>n/a</v>
      </c>
      <c r="X14" s="1089" t="str">
        <f>'Capital IQ Sheet-STM'!U15</f>
        <v>(Invalid Transaction Id)</v>
      </c>
      <c r="Y14" s="1089" t="str">
        <f>'Capital IQ Sheet-STM'!V15</f>
        <v>(Invalid Transaction Id)</v>
      </c>
      <c r="Z14" s="1088"/>
      <c r="AA14" s="576">
        <f>'Capital IQ Sheet-STM'!X15</f>
        <v>0</v>
      </c>
      <c r="AB14" s="576">
        <f>'Capital IQ Sheet-STM'!Y15</f>
        <v>0</v>
      </c>
      <c r="AC14" s="576" t="str">
        <f>'Capital IQ Sheet-STM'!Z15</f>
        <v>(Invalid Transaction Id)</v>
      </c>
      <c r="AD14" s="1088"/>
      <c r="AE14" s="1089" t="str">
        <f t="shared" si="3"/>
        <v>n/a</v>
      </c>
      <c r="AF14" s="1089" t="str">
        <f t="shared" si="4"/>
        <v>n/a</v>
      </c>
      <c r="AG14" s="1084" t="str">
        <f>'Capital IQ Sheet-STM'!AD15</f>
        <v>n/a</v>
      </c>
      <c r="AI14" s="1085" t="str">
        <f>IFERROR('Capital IQ Sheet-STM'!AH15,"n/a")</f>
        <v>n/a</v>
      </c>
      <c r="AJ14" s="1085" t="str">
        <f>IFERROR('Capital IQ Sheet-STM'!AI15,"n/a")</f>
        <v>n/a</v>
      </c>
      <c r="AL14" s="1090"/>
    </row>
    <row r="15" spans="2:44" s="1086" customFormat="1" ht="14.85" hidden="1" customHeight="1" outlineLevel="1">
      <c r="B15" s="1084" t="str">
        <f>IFERROR('Capital IQ Sheet-STM'!B16,"n/a")</f>
        <v>(Invalid Transaction Id)</v>
      </c>
      <c r="C15" s="1084" t="str">
        <f>'Capital IQ Sheet-STM'!C16</f>
        <v>(Invalid Transaction Id)</v>
      </c>
      <c r="D15" s="1084" t="str">
        <f>'Capital IQ Sheet-STM'!D16</f>
        <v>(Invalid Transaction Id)</v>
      </c>
      <c r="E15" s="1084" t="str">
        <f>'Capital IQ Sheet-STM'!E16</f>
        <v>(Invalid Identifier)</v>
      </c>
      <c r="F15" s="1085" t="str">
        <f>IFERROR('Capital IQ Sheet-STM'!F16,"n/a")</f>
        <v>n/a</v>
      </c>
      <c r="G15" s="1084" t="str">
        <f>'Capital IQ Sheet-STM'!G16</f>
        <v>(Invalid Transaction Id)</v>
      </c>
      <c r="L15" s="1087" t="str">
        <f>'Capital IQ Sheet-STM'!I16</f>
        <v>(Invalid Transaction Id)</v>
      </c>
      <c r="M15" s="1087" t="e">
        <f>'Capital IQ Sheet-STM'!J16</f>
        <v>#VALUE!</v>
      </c>
      <c r="N15" s="1087" t="str">
        <f>'Capital IQ Sheet-STM'!K16</f>
        <v>(Invalid Transaction Id)</v>
      </c>
      <c r="O15" s="1087" t="str">
        <f>'Capital IQ Sheet-STM'!L16</f>
        <v>(Invalid Transaction Id)</v>
      </c>
      <c r="P15" s="1088"/>
      <c r="Q15" s="1087" t="str">
        <f>'Capital IQ Sheet-STM'!N16</f>
        <v>(Invalid Transaction Id)</v>
      </c>
      <c r="R15" s="1087" t="str">
        <f>'Capital IQ Sheet-STM'!O16</f>
        <v>(Invalid Transaction Id)</v>
      </c>
      <c r="S15" s="1087" t="str">
        <f>'Capital IQ Sheet-STM'!P16</f>
        <v>(Invalid Transaction Id)</v>
      </c>
      <c r="T15" s="1088"/>
      <c r="U15" s="1089" t="str">
        <f t="shared" si="0"/>
        <v>n/a</v>
      </c>
      <c r="V15" s="1089" t="str">
        <f t="shared" si="1"/>
        <v>n/a</v>
      </c>
      <c r="W15" s="1089" t="str">
        <f t="shared" si="2"/>
        <v>n/a</v>
      </c>
      <c r="X15" s="1089" t="str">
        <f>'Capital IQ Sheet-STM'!U16</f>
        <v>(Invalid Transaction Id)</v>
      </c>
      <c r="Y15" s="1089" t="str">
        <f>'Capital IQ Sheet-STM'!V16</f>
        <v>(Invalid Transaction Id)</v>
      </c>
      <c r="Z15" s="1088"/>
      <c r="AA15" s="576">
        <f>'Capital IQ Sheet-STM'!X16</f>
        <v>0</v>
      </c>
      <c r="AB15" s="576">
        <f>'Capital IQ Sheet-STM'!Y16</f>
        <v>0</v>
      </c>
      <c r="AC15" s="576" t="str">
        <f>'Capital IQ Sheet-STM'!Z16</f>
        <v>(Invalid Transaction Id)</v>
      </c>
      <c r="AD15" s="1088"/>
      <c r="AE15" s="1089" t="str">
        <f t="shared" si="3"/>
        <v>n/a</v>
      </c>
      <c r="AF15" s="1089" t="str">
        <f t="shared" si="4"/>
        <v>n/a</v>
      </c>
      <c r="AG15" s="1084" t="str">
        <f>'Capital IQ Sheet-STM'!AD16</f>
        <v>n/a</v>
      </c>
      <c r="AI15" s="1085" t="str">
        <f>IFERROR('Capital IQ Sheet-STM'!AH16,"n/a")</f>
        <v>n/a</v>
      </c>
      <c r="AJ15" s="1085" t="str">
        <f>IFERROR('Capital IQ Sheet-STM'!AI16,"n/a")</f>
        <v>n/a</v>
      </c>
      <c r="AL15" s="1090"/>
    </row>
    <row r="16" spans="2:44" s="1086" customFormat="1" ht="14.85" hidden="1" customHeight="1" outlineLevel="1">
      <c r="B16" s="1084" t="str">
        <f>IFERROR('Capital IQ Sheet-STM'!B17,"n/a")</f>
        <v>(Invalid Transaction Id)</v>
      </c>
      <c r="C16" s="1084" t="str">
        <f>'Capital IQ Sheet-STM'!C17</f>
        <v>(Invalid Transaction Id)</v>
      </c>
      <c r="D16" s="1084" t="str">
        <f>'Capital IQ Sheet-STM'!D17</f>
        <v>(Invalid Transaction Id)</v>
      </c>
      <c r="E16" s="1084" t="str">
        <f>'Capital IQ Sheet-STM'!E17</f>
        <v>(Invalid Identifier)</v>
      </c>
      <c r="F16" s="1085" t="str">
        <f>IFERROR('Capital IQ Sheet-STM'!F17,"n/a")</f>
        <v>n/a</v>
      </c>
      <c r="G16" s="1084" t="str">
        <f>'Capital IQ Sheet-STM'!G17</f>
        <v>(Invalid Transaction Id)</v>
      </c>
      <c r="L16" s="1087" t="str">
        <f>'Capital IQ Sheet-STM'!I17</f>
        <v>(Invalid Transaction Id)</v>
      </c>
      <c r="M16" s="1087" t="e">
        <f>'Capital IQ Sheet-STM'!J17</f>
        <v>#VALUE!</v>
      </c>
      <c r="N16" s="1087" t="str">
        <f>'Capital IQ Sheet-STM'!K17</f>
        <v>(Invalid Transaction Id)</v>
      </c>
      <c r="O16" s="1087" t="str">
        <f>'Capital IQ Sheet-STM'!L17</f>
        <v>(Invalid Transaction Id)</v>
      </c>
      <c r="P16" s="1088"/>
      <c r="Q16" s="1087" t="str">
        <f>'Capital IQ Sheet-STM'!N17</f>
        <v>(Invalid Transaction Id)</v>
      </c>
      <c r="R16" s="1087" t="str">
        <f>'Capital IQ Sheet-STM'!O17</f>
        <v>(Invalid Transaction Id)</v>
      </c>
      <c r="S16" s="1087" t="str">
        <f>'Capital IQ Sheet-STM'!P17</f>
        <v>(Invalid Transaction Id)</v>
      </c>
      <c r="T16" s="1088"/>
      <c r="U16" s="1089" t="str">
        <f t="shared" si="0"/>
        <v>n/a</v>
      </c>
      <c r="V16" s="1089" t="str">
        <f t="shared" si="1"/>
        <v>n/a</v>
      </c>
      <c r="W16" s="1089" t="str">
        <f t="shared" si="2"/>
        <v>n/a</v>
      </c>
      <c r="X16" s="1089" t="str">
        <f>'Capital IQ Sheet-STM'!U17</f>
        <v>(Invalid Transaction Id)</v>
      </c>
      <c r="Y16" s="1089" t="str">
        <f>'Capital IQ Sheet-STM'!V17</f>
        <v>(Invalid Transaction Id)</v>
      </c>
      <c r="Z16" s="1088"/>
      <c r="AA16" s="576">
        <f>'Capital IQ Sheet-STM'!X17</f>
        <v>0</v>
      </c>
      <c r="AB16" s="576">
        <f>'Capital IQ Sheet-STM'!Y17</f>
        <v>0</v>
      </c>
      <c r="AC16" s="576" t="str">
        <f>'Capital IQ Sheet-STM'!Z17</f>
        <v>(Invalid Transaction Id)</v>
      </c>
      <c r="AD16" s="1088"/>
      <c r="AE16" s="1089" t="str">
        <f t="shared" si="3"/>
        <v>n/a</v>
      </c>
      <c r="AF16" s="1089" t="str">
        <f t="shared" si="4"/>
        <v>n/a</v>
      </c>
      <c r="AG16" s="1084" t="str">
        <f>'Capital IQ Sheet-STM'!AD17</f>
        <v>n/a</v>
      </c>
      <c r="AI16" s="1085" t="str">
        <f>IFERROR('Capital IQ Sheet-STM'!AH17,"n/a")</f>
        <v>n/a</v>
      </c>
      <c r="AJ16" s="1085" t="str">
        <f>IFERROR('Capital IQ Sheet-STM'!AI17,"n/a")</f>
        <v>n/a</v>
      </c>
      <c r="AL16" s="1090"/>
    </row>
    <row r="17" spans="2:38" s="1086" customFormat="1" ht="14.85" hidden="1" customHeight="1" outlineLevel="1">
      <c r="B17" s="1084" t="str">
        <f>IFERROR('Capital IQ Sheet-STM'!B18,"n/a")</f>
        <v>(Invalid Transaction Id)</v>
      </c>
      <c r="C17" s="1084" t="str">
        <f>'Capital IQ Sheet-STM'!C18</f>
        <v>(Invalid Transaction Id)</v>
      </c>
      <c r="D17" s="1084" t="str">
        <f>'Capital IQ Sheet-STM'!D18</f>
        <v>(Invalid Transaction Id)</v>
      </c>
      <c r="E17" s="1084" t="str">
        <f>'Capital IQ Sheet-STM'!E18</f>
        <v>(Invalid Identifier)</v>
      </c>
      <c r="F17" s="1085" t="str">
        <f>IFERROR('Capital IQ Sheet-STM'!F18,"n/a")</f>
        <v>n/a</v>
      </c>
      <c r="G17" s="1084" t="str">
        <f>'Capital IQ Sheet-STM'!G18</f>
        <v>(Invalid Transaction Id)</v>
      </c>
      <c r="L17" s="1087" t="str">
        <f>'Capital IQ Sheet-STM'!I18</f>
        <v>(Invalid Transaction Id)</v>
      </c>
      <c r="M17" s="1087" t="e">
        <f>'Capital IQ Sheet-STM'!J18</f>
        <v>#VALUE!</v>
      </c>
      <c r="N17" s="1087" t="str">
        <f>'Capital IQ Sheet-STM'!K18</f>
        <v>(Invalid Transaction Id)</v>
      </c>
      <c r="O17" s="1087" t="str">
        <f>'Capital IQ Sheet-STM'!L18</f>
        <v>(Invalid Transaction Id)</v>
      </c>
      <c r="P17" s="1088"/>
      <c r="Q17" s="1087" t="str">
        <f>'Capital IQ Sheet-STM'!N18</f>
        <v>(Invalid Transaction Id)</v>
      </c>
      <c r="R17" s="1087" t="str">
        <f>'Capital IQ Sheet-STM'!O18</f>
        <v>(Invalid Transaction Id)</v>
      </c>
      <c r="S17" s="1087" t="str">
        <f>'Capital IQ Sheet-STM'!P18</f>
        <v>(Invalid Transaction Id)</v>
      </c>
      <c r="T17" s="1088"/>
      <c r="U17" s="1089" t="str">
        <f t="shared" si="0"/>
        <v>n/a</v>
      </c>
      <c r="V17" s="1089" t="str">
        <f t="shared" si="1"/>
        <v>n/a</v>
      </c>
      <c r="W17" s="1089" t="str">
        <f t="shared" si="2"/>
        <v>n/a</v>
      </c>
      <c r="X17" s="1089" t="str">
        <f>'Capital IQ Sheet-STM'!U18</f>
        <v>(Invalid Transaction Id)</v>
      </c>
      <c r="Y17" s="1089" t="str">
        <f>'Capital IQ Sheet-STM'!V18</f>
        <v>(Invalid Transaction Id)</v>
      </c>
      <c r="Z17" s="1088"/>
      <c r="AA17" s="576">
        <f>'Capital IQ Sheet-STM'!X18</f>
        <v>0</v>
      </c>
      <c r="AB17" s="576">
        <f>'Capital IQ Sheet-STM'!Y18</f>
        <v>0</v>
      </c>
      <c r="AC17" s="576" t="str">
        <f>'Capital IQ Sheet-STM'!Z18</f>
        <v>(Invalid Transaction Id)</v>
      </c>
      <c r="AD17" s="1088"/>
      <c r="AE17" s="1089" t="str">
        <f t="shared" si="3"/>
        <v>n/a</v>
      </c>
      <c r="AF17" s="1089" t="str">
        <f t="shared" si="4"/>
        <v>n/a</v>
      </c>
      <c r="AG17" s="1084" t="str">
        <f>'Capital IQ Sheet-STM'!AD18</f>
        <v>n/a</v>
      </c>
      <c r="AI17" s="1085" t="str">
        <f>IFERROR('Capital IQ Sheet-STM'!AH18,"n/a")</f>
        <v>n/a</v>
      </c>
      <c r="AJ17" s="1085" t="str">
        <f>IFERROR('Capital IQ Sheet-STM'!AI18,"n/a")</f>
        <v>n/a</v>
      </c>
      <c r="AL17" s="1090"/>
    </row>
    <row r="18" spans="2:38" s="1086" customFormat="1" ht="14.85" hidden="1" customHeight="1" outlineLevel="1">
      <c r="B18" s="1084" t="str">
        <f>IFERROR('Capital IQ Sheet-STM'!B19,"n/a")</f>
        <v>(Invalid Transaction Id)</v>
      </c>
      <c r="C18" s="1084" t="str">
        <f>'Capital IQ Sheet-STM'!C19</f>
        <v>(Invalid Transaction Id)</v>
      </c>
      <c r="D18" s="1084" t="str">
        <f>'Capital IQ Sheet-STM'!D19</f>
        <v>(Invalid Transaction Id)</v>
      </c>
      <c r="E18" s="1084" t="str">
        <f>'Capital IQ Sheet-STM'!E19</f>
        <v>(Invalid Identifier)</v>
      </c>
      <c r="F18" s="1085" t="str">
        <f>IFERROR('Capital IQ Sheet-STM'!F19,"n/a")</f>
        <v>n/a</v>
      </c>
      <c r="G18" s="1084" t="str">
        <f>'Capital IQ Sheet-STM'!G19</f>
        <v>(Invalid Transaction Id)</v>
      </c>
      <c r="L18" s="1087" t="str">
        <f>'Capital IQ Sheet-STM'!I19</f>
        <v>(Invalid Transaction Id)</v>
      </c>
      <c r="M18" s="1087" t="e">
        <f>'Capital IQ Sheet-STM'!J19</f>
        <v>#VALUE!</v>
      </c>
      <c r="N18" s="1087" t="str">
        <f>'Capital IQ Sheet-STM'!K19</f>
        <v>(Invalid Transaction Id)</v>
      </c>
      <c r="O18" s="1087" t="str">
        <f>'Capital IQ Sheet-STM'!L19</f>
        <v>(Invalid Transaction Id)</v>
      </c>
      <c r="P18" s="1088"/>
      <c r="Q18" s="1087" t="str">
        <f>'Capital IQ Sheet-STM'!N19</f>
        <v>(Invalid Transaction Id)</v>
      </c>
      <c r="R18" s="1087" t="str">
        <f>'Capital IQ Sheet-STM'!O19</f>
        <v>(Invalid Transaction Id)</v>
      </c>
      <c r="S18" s="1087" t="str">
        <f>'Capital IQ Sheet-STM'!P19</f>
        <v>(Invalid Transaction Id)</v>
      </c>
      <c r="T18" s="1088"/>
      <c r="U18" s="1089" t="str">
        <f t="shared" si="0"/>
        <v>n/a</v>
      </c>
      <c r="V18" s="1089" t="str">
        <f t="shared" si="1"/>
        <v>n/a</v>
      </c>
      <c r="W18" s="1089" t="str">
        <f t="shared" si="2"/>
        <v>n/a</v>
      </c>
      <c r="X18" s="1089" t="str">
        <f>'Capital IQ Sheet-STM'!U19</f>
        <v>(Invalid Transaction Id)</v>
      </c>
      <c r="Y18" s="1089" t="str">
        <f>'Capital IQ Sheet-STM'!V19</f>
        <v>(Invalid Transaction Id)</v>
      </c>
      <c r="Z18" s="1088"/>
      <c r="AA18" s="576">
        <f>'Capital IQ Sheet-STM'!X19</f>
        <v>0</v>
      </c>
      <c r="AB18" s="576">
        <f>'Capital IQ Sheet-STM'!Y19</f>
        <v>0</v>
      </c>
      <c r="AC18" s="576" t="str">
        <f>'Capital IQ Sheet-STM'!Z19</f>
        <v>(Invalid Transaction Id)</v>
      </c>
      <c r="AD18" s="1088"/>
      <c r="AE18" s="1089" t="str">
        <f t="shared" si="3"/>
        <v>n/a</v>
      </c>
      <c r="AF18" s="1089" t="str">
        <f t="shared" si="4"/>
        <v>n/a</v>
      </c>
      <c r="AG18" s="1084" t="str">
        <f>'Capital IQ Sheet-STM'!AD19</f>
        <v>n/a</v>
      </c>
      <c r="AI18" s="1085" t="str">
        <f>IFERROR('Capital IQ Sheet-STM'!AH19,"n/a")</f>
        <v>n/a</v>
      </c>
      <c r="AJ18" s="1085" t="str">
        <f>IFERROR('Capital IQ Sheet-STM'!AI19,"n/a")</f>
        <v>n/a</v>
      </c>
      <c r="AL18" s="1090"/>
    </row>
    <row r="19" spans="2:38" s="1086" customFormat="1" ht="14.85" hidden="1" customHeight="1" outlineLevel="1">
      <c r="B19" s="1084" t="str">
        <f>IFERROR('Capital IQ Sheet-STM'!B20,"n/a")</f>
        <v>(Invalid Transaction Id)</v>
      </c>
      <c r="C19" s="1084" t="str">
        <f>'Capital IQ Sheet-STM'!C20</f>
        <v>(Invalid Transaction Id)</v>
      </c>
      <c r="D19" s="1084" t="str">
        <f>'Capital IQ Sheet-STM'!D20</f>
        <v>(Invalid Transaction Id)</v>
      </c>
      <c r="E19" s="1084" t="str">
        <f>'Capital IQ Sheet-STM'!E20</f>
        <v>(Invalid Identifier)</v>
      </c>
      <c r="F19" s="1085" t="str">
        <f>IFERROR('Capital IQ Sheet-STM'!F20,"n/a")</f>
        <v>n/a</v>
      </c>
      <c r="G19" s="1084" t="str">
        <f>'Capital IQ Sheet-STM'!G20</f>
        <v>(Invalid Transaction Id)</v>
      </c>
      <c r="L19" s="1087" t="str">
        <f>'Capital IQ Sheet-STM'!I20</f>
        <v>(Invalid Transaction Id)</v>
      </c>
      <c r="M19" s="1087" t="e">
        <f>'Capital IQ Sheet-STM'!J20</f>
        <v>#VALUE!</v>
      </c>
      <c r="N19" s="1087" t="str">
        <f>'Capital IQ Sheet-STM'!K20</f>
        <v>(Invalid Transaction Id)</v>
      </c>
      <c r="O19" s="1087" t="str">
        <f>'Capital IQ Sheet-STM'!L20</f>
        <v>(Invalid Transaction Id)</v>
      </c>
      <c r="P19" s="1088"/>
      <c r="Q19" s="1087" t="str">
        <f>'Capital IQ Sheet-STM'!N20</f>
        <v>(Invalid Transaction Id)</v>
      </c>
      <c r="R19" s="1087" t="str">
        <f>'Capital IQ Sheet-STM'!O20</f>
        <v>(Invalid Transaction Id)</v>
      </c>
      <c r="S19" s="1087" t="str">
        <f>'Capital IQ Sheet-STM'!P20</f>
        <v>(Invalid Transaction Id)</v>
      </c>
      <c r="T19" s="1088"/>
      <c r="U19" s="1089" t="str">
        <f t="shared" si="0"/>
        <v>n/a</v>
      </c>
      <c r="V19" s="1089" t="str">
        <f t="shared" si="1"/>
        <v>n/a</v>
      </c>
      <c r="W19" s="1089" t="str">
        <f t="shared" si="2"/>
        <v>n/a</v>
      </c>
      <c r="X19" s="1089" t="str">
        <f>'Capital IQ Sheet-STM'!U20</f>
        <v>(Invalid Transaction Id)</v>
      </c>
      <c r="Y19" s="1089" t="str">
        <f>'Capital IQ Sheet-STM'!V20</f>
        <v>(Invalid Transaction Id)</v>
      </c>
      <c r="Z19" s="1088"/>
      <c r="AA19" s="576">
        <f>'Capital IQ Sheet-STM'!X20</f>
        <v>0</v>
      </c>
      <c r="AB19" s="576">
        <f>'Capital IQ Sheet-STM'!Y20</f>
        <v>0</v>
      </c>
      <c r="AC19" s="576" t="str">
        <f>'Capital IQ Sheet-STM'!Z20</f>
        <v>(Invalid Transaction Id)</v>
      </c>
      <c r="AD19" s="1088"/>
      <c r="AE19" s="1089" t="str">
        <f t="shared" si="3"/>
        <v>n/a</v>
      </c>
      <c r="AF19" s="1089" t="str">
        <f t="shared" si="4"/>
        <v>n/a</v>
      </c>
      <c r="AG19" s="1084" t="str">
        <f>'Capital IQ Sheet-STM'!AD20</f>
        <v>n/a</v>
      </c>
      <c r="AI19" s="1085" t="str">
        <f>IFERROR('Capital IQ Sheet-STM'!AH20,"n/a")</f>
        <v>n/a</v>
      </c>
      <c r="AJ19" s="1085" t="str">
        <f>IFERROR('Capital IQ Sheet-STM'!AI20,"n/a")</f>
        <v>n/a</v>
      </c>
      <c r="AL19" s="1090"/>
    </row>
    <row r="20" spans="2:38" s="1086" customFormat="1" ht="14.85" hidden="1" customHeight="1" outlineLevel="1">
      <c r="B20" s="1084" t="str">
        <f>IFERROR('Capital IQ Sheet-STM'!B21,"n/a")</f>
        <v>(Invalid Transaction Id)</v>
      </c>
      <c r="C20" s="1084" t="str">
        <f>'Capital IQ Sheet-STM'!C21</f>
        <v>(Invalid Transaction Id)</v>
      </c>
      <c r="D20" s="1084" t="str">
        <f>'Capital IQ Sheet-STM'!D21</f>
        <v>(Invalid Transaction Id)</v>
      </c>
      <c r="E20" s="1084" t="str">
        <f>'Capital IQ Sheet-STM'!E21</f>
        <v>(Invalid Identifier)</v>
      </c>
      <c r="F20" s="1085" t="str">
        <f>IFERROR('Capital IQ Sheet-STM'!F21,"n/a")</f>
        <v>n/a</v>
      </c>
      <c r="G20" s="1084" t="str">
        <f>'Capital IQ Sheet-STM'!G21</f>
        <v>(Invalid Transaction Id)</v>
      </c>
      <c r="L20" s="1087" t="str">
        <f>'Capital IQ Sheet-STM'!I21</f>
        <v>(Invalid Transaction Id)</v>
      </c>
      <c r="M20" s="1087" t="e">
        <f>'Capital IQ Sheet-STM'!J21</f>
        <v>#VALUE!</v>
      </c>
      <c r="N20" s="1087" t="str">
        <f>'Capital IQ Sheet-STM'!K21</f>
        <v>(Invalid Transaction Id)</v>
      </c>
      <c r="O20" s="1087" t="str">
        <f>'Capital IQ Sheet-STM'!L21</f>
        <v>(Invalid Transaction Id)</v>
      </c>
      <c r="P20" s="1088"/>
      <c r="Q20" s="1087" t="str">
        <f>'Capital IQ Sheet-STM'!N21</f>
        <v>(Invalid Transaction Id)</v>
      </c>
      <c r="R20" s="1087" t="str">
        <f>'Capital IQ Sheet-STM'!O21</f>
        <v>(Invalid Transaction Id)</v>
      </c>
      <c r="S20" s="1087" t="str">
        <f>'Capital IQ Sheet-STM'!P21</f>
        <v>(Invalid Transaction Id)</v>
      </c>
      <c r="T20" s="1088"/>
      <c r="U20" s="1089" t="str">
        <f t="shared" si="0"/>
        <v>n/a</v>
      </c>
      <c r="V20" s="1089" t="str">
        <f t="shared" si="1"/>
        <v>n/a</v>
      </c>
      <c r="W20" s="1089" t="str">
        <f t="shared" si="2"/>
        <v>n/a</v>
      </c>
      <c r="X20" s="1089" t="str">
        <f>'Capital IQ Sheet-STM'!U21</f>
        <v>(Invalid Transaction Id)</v>
      </c>
      <c r="Y20" s="1089" t="str">
        <f>'Capital IQ Sheet-STM'!V21</f>
        <v>(Invalid Transaction Id)</v>
      </c>
      <c r="Z20" s="1088"/>
      <c r="AA20" s="576">
        <f>'Capital IQ Sheet-STM'!X21</f>
        <v>0</v>
      </c>
      <c r="AB20" s="576">
        <f>'Capital IQ Sheet-STM'!Y21</f>
        <v>0</v>
      </c>
      <c r="AC20" s="576" t="str">
        <f>'Capital IQ Sheet-STM'!Z21</f>
        <v>(Invalid Transaction Id)</v>
      </c>
      <c r="AD20" s="1088"/>
      <c r="AE20" s="1089" t="str">
        <f t="shared" si="3"/>
        <v>n/a</v>
      </c>
      <c r="AF20" s="1089" t="str">
        <f t="shared" si="4"/>
        <v>n/a</v>
      </c>
      <c r="AG20" s="1084" t="str">
        <f>'Capital IQ Sheet-STM'!AD21</f>
        <v>n/a</v>
      </c>
      <c r="AI20" s="1085" t="str">
        <f>IFERROR('Capital IQ Sheet-STM'!AH21,"n/a")</f>
        <v>n/a</v>
      </c>
      <c r="AJ20" s="1085" t="str">
        <f>IFERROR('Capital IQ Sheet-STM'!AI21,"n/a")</f>
        <v>n/a</v>
      </c>
      <c r="AL20" s="1090"/>
    </row>
    <row r="21" spans="2:38" s="1086" customFormat="1" ht="14.85" hidden="1" customHeight="1" outlineLevel="1">
      <c r="B21" s="1084" t="str">
        <f>IFERROR('Capital IQ Sheet-STM'!B22,"n/a")</f>
        <v>(Invalid Transaction Id)</v>
      </c>
      <c r="C21" s="1084" t="str">
        <f>'Capital IQ Sheet-STM'!C22</f>
        <v>(Invalid Transaction Id)</v>
      </c>
      <c r="D21" s="1084" t="str">
        <f>'Capital IQ Sheet-STM'!D22</f>
        <v>(Invalid Transaction Id)</v>
      </c>
      <c r="E21" s="1084" t="str">
        <f>'Capital IQ Sheet-STM'!E22</f>
        <v>(Invalid Identifier)</v>
      </c>
      <c r="F21" s="1085" t="str">
        <f>IFERROR('Capital IQ Sheet-STM'!F22,"n/a")</f>
        <v>n/a</v>
      </c>
      <c r="G21" s="1084" t="str">
        <f>'Capital IQ Sheet-STM'!G22</f>
        <v>(Invalid Transaction Id)</v>
      </c>
      <c r="L21" s="1087" t="str">
        <f>'Capital IQ Sheet-STM'!I22</f>
        <v>(Invalid Transaction Id)</v>
      </c>
      <c r="M21" s="1087" t="e">
        <f>'Capital IQ Sheet-STM'!J22</f>
        <v>#VALUE!</v>
      </c>
      <c r="N21" s="1087" t="str">
        <f>'Capital IQ Sheet-STM'!K22</f>
        <v>(Invalid Transaction Id)</v>
      </c>
      <c r="O21" s="1087" t="str">
        <f>'Capital IQ Sheet-STM'!L22</f>
        <v>(Invalid Transaction Id)</v>
      </c>
      <c r="P21" s="1088"/>
      <c r="Q21" s="1087" t="str">
        <f>'Capital IQ Sheet-STM'!N22</f>
        <v>(Invalid Transaction Id)</v>
      </c>
      <c r="R21" s="1087" t="str">
        <f>'Capital IQ Sheet-STM'!O22</f>
        <v>(Invalid Transaction Id)</v>
      </c>
      <c r="S21" s="1087" t="str">
        <f>'Capital IQ Sheet-STM'!P22</f>
        <v>(Invalid Transaction Id)</v>
      </c>
      <c r="T21" s="1088"/>
      <c r="U21" s="1089" t="str">
        <f t="shared" si="0"/>
        <v>n/a</v>
      </c>
      <c r="V21" s="1089" t="str">
        <f t="shared" si="1"/>
        <v>n/a</v>
      </c>
      <c r="W21" s="1089" t="str">
        <f t="shared" si="2"/>
        <v>n/a</v>
      </c>
      <c r="X21" s="1089" t="str">
        <f>'Capital IQ Sheet-STM'!U22</f>
        <v>(Invalid Transaction Id)</v>
      </c>
      <c r="Y21" s="1089" t="str">
        <f>'Capital IQ Sheet-STM'!V22</f>
        <v>(Invalid Transaction Id)</v>
      </c>
      <c r="Z21" s="1088"/>
      <c r="AA21" s="576">
        <f>'Capital IQ Sheet-STM'!X22</f>
        <v>0</v>
      </c>
      <c r="AB21" s="576">
        <f>'Capital IQ Sheet-STM'!Y22</f>
        <v>0</v>
      </c>
      <c r="AC21" s="576" t="str">
        <f>'Capital IQ Sheet-STM'!Z22</f>
        <v>(Invalid Transaction Id)</v>
      </c>
      <c r="AD21" s="1088"/>
      <c r="AE21" s="1089" t="str">
        <f t="shared" si="3"/>
        <v>n/a</v>
      </c>
      <c r="AF21" s="1089" t="str">
        <f t="shared" si="4"/>
        <v>n/a</v>
      </c>
      <c r="AG21" s="1084" t="str">
        <f>'Capital IQ Sheet-STM'!AD22</f>
        <v>n/a</v>
      </c>
      <c r="AI21" s="1085" t="str">
        <f>IFERROR('Capital IQ Sheet-STM'!AH22,"n/a")</f>
        <v>n/a</v>
      </c>
      <c r="AJ21" s="1085" t="str">
        <f>IFERROR('Capital IQ Sheet-STM'!AI22,"n/a")</f>
        <v>n/a</v>
      </c>
      <c r="AL21" s="1090"/>
    </row>
    <row r="22" spans="2:38" s="1086" customFormat="1" ht="14.85" hidden="1" customHeight="1" outlineLevel="1">
      <c r="B22" s="1084" t="str">
        <f>IFERROR('Capital IQ Sheet-STM'!B23,"n/a")</f>
        <v>(Invalid Transaction Id)</v>
      </c>
      <c r="C22" s="1084" t="str">
        <f>'Capital IQ Sheet-STM'!C23</f>
        <v>(Invalid Transaction Id)</v>
      </c>
      <c r="D22" s="1084" t="str">
        <f>'Capital IQ Sheet-STM'!D23</f>
        <v>(Invalid Transaction Id)</v>
      </c>
      <c r="E22" s="1084" t="str">
        <f>'Capital IQ Sheet-STM'!E23</f>
        <v>(Invalid Identifier)</v>
      </c>
      <c r="F22" s="1085" t="str">
        <f>IFERROR('Capital IQ Sheet-STM'!F23,"n/a")</f>
        <v>n/a</v>
      </c>
      <c r="G22" s="1084" t="str">
        <f>'Capital IQ Sheet-STM'!G23</f>
        <v>(Invalid Transaction Id)</v>
      </c>
      <c r="L22" s="1087" t="str">
        <f>'Capital IQ Sheet-STM'!I23</f>
        <v>(Invalid Transaction Id)</v>
      </c>
      <c r="M22" s="1087" t="e">
        <f>'Capital IQ Sheet-STM'!J23</f>
        <v>#VALUE!</v>
      </c>
      <c r="N22" s="1087" t="str">
        <f>'Capital IQ Sheet-STM'!K23</f>
        <v>(Invalid Transaction Id)</v>
      </c>
      <c r="O22" s="1087" t="str">
        <f>'Capital IQ Sheet-STM'!L23</f>
        <v>(Invalid Transaction Id)</v>
      </c>
      <c r="P22" s="1088"/>
      <c r="Q22" s="1087" t="str">
        <f>'Capital IQ Sheet-STM'!N23</f>
        <v>(Invalid Transaction Id)</v>
      </c>
      <c r="R22" s="1087" t="str">
        <f>'Capital IQ Sheet-STM'!O23</f>
        <v>(Invalid Transaction Id)</v>
      </c>
      <c r="S22" s="1087" t="str">
        <f>'Capital IQ Sheet-STM'!P23</f>
        <v>(Invalid Transaction Id)</v>
      </c>
      <c r="T22" s="1088"/>
      <c r="U22" s="1089" t="str">
        <f t="shared" si="0"/>
        <v>n/a</v>
      </c>
      <c r="V22" s="1089" t="str">
        <f t="shared" si="1"/>
        <v>n/a</v>
      </c>
      <c r="W22" s="1089" t="str">
        <f t="shared" si="2"/>
        <v>n/a</v>
      </c>
      <c r="X22" s="1089" t="str">
        <f>'Capital IQ Sheet-STM'!U23</f>
        <v>(Invalid Transaction Id)</v>
      </c>
      <c r="Y22" s="1089" t="str">
        <f>'Capital IQ Sheet-STM'!V23</f>
        <v>(Invalid Transaction Id)</v>
      </c>
      <c r="Z22" s="1088"/>
      <c r="AA22" s="576">
        <f>'Capital IQ Sheet-STM'!X23</f>
        <v>0</v>
      </c>
      <c r="AB22" s="576">
        <f>'Capital IQ Sheet-STM'!Y23</f>
        <v>0</v>
      </c>
      <c r="AC22" s="576" t="str">
        <f>'Capital IQ Sheet-STM'!Z23</f>
        <v>(Invalid Transaction Id)</v>
      </c>
      <c r="AD22" s="1088"/>
      <c r="AE22" s="1089" t="str">
        <f t="shared" si="3"/>
        <v>n/a</v>
      </c>
      <c r="AF22" s="1089" t="str">
        <f t="shared" si="4"/>
        <v>n/a</v>
      </c>
      <c r="AG22" s="1084" t="str">
        <f>'Capital IQ Sheet-STM'!AD23</f>
        <v>n/a</v>
      </c>
      <c r="AI22" s="1085" t="str">
        <f>IFERROR('Capital IQ Sheet-STM'!AH23,"n/a")</f>
        <v>n/a</v>
      </c>
      <c r="AJ22" s="1085" t="str">
        <f>IFERROR('Capital IQ Sheet-STM'!AI23,"n/a")</f>
        <v>n/a</v>
      </c>
      <c r="AL22" s="1090"/>
    </row>
    <row r="23" spans="2:38" s="1086" customFormat="1" ht="14.85" hidden="1" customHeight="1" outlineLevel="1">
      <c r="B23" s="1084" t="str">
        <f>IFERROR('Capital IQ Sheet-STM'!B24,"n/a")</f>
        <v>(Invalid Transaction Id)</v>
      </c>
      <c r="C23" s="1084" t="str">
        <f>'Capital IQ Sheet-STM'!C24</f>
        <v>(Invalid Transaction Id)</v>
      </c>
      <c r="D23" s="1084" t="str">
        <f>'Capital IQ Sheet-STM'!D24</f>
        <v>(Invalid Transaction Id)</v>
      </c>
      <c r="E23" s="1084" t="str">
        <f>'Capital IQ Sheet-STM'!E24</f>
        <v>(Invalid Identifier)</v>
      </c>
      <c r="F23" s="1085" t="str">
        <f>IFERROR('Capital IQ Sheet-STM'!F24,"n/a")</f>
        <v>n/a</v>
      </c>
      <c r="G23" s="1084" t="str">
        <f>'Capital IQ Sheet-STM'!G24</f>
        <v>(Invalid Transaction Id)</v>
      </c>
      <c r="L23" s="1087" t="str">
        <f>'Capital IQ Sheet-STM'!I24</f>
        <v>(Invalid Transaction Id)</v>
      </c>
      <c r="M23" s="1087" t="e">
        <f>'Capital IQ Sheet-STM'!J24</f>
        <v>#VALUE!</v>
      </c>
      <c r="N23" s="1087" t="str">
        <f>'Capital IQ Sheet-STM'!K24</f>
        <v>(Invalid Transaction Id)</v>
      </c>
      <c r="O23" s="1087" t="str">
        <f>'Capital IQ Sheet-STM'!L24</f>
        <v>(Invalid Transaction Id)</v>
      </c>
      <c r="P23" s="1088"/>
      <c r="Q23" s="1087" t="str">
        <f>'Capital IQ Sheet-STM'!N24</f>
        <v>(Invalid Transaction Id)</v>
      </c>
      <c r="R23" s="1087" t="str">
        <f>'Capital IQ Sheet-STM'!O24</f>
        <v>(Invalid Transaction Id)</v>
      </c>
      <c r="S23" s="1087" t="str">
        <f>'Capital IQ Sheet-STM'!P24</f>
        <v>(Invalid Transaction Id)</v>
      </c>
      <c r="T23" s="1088"/>
      <c r="U23" s="1089" t="str">
        <f t="shared" si="0"/>
        <v>n/a</v>
      </c>
      <c r="V23" s="1089" t="str">
        <f t="shared" si="1"/>
        <v>n/a</v>
      </c>
      <c r="W23" s="1089" t="str">
        <f t="shared" si="2"/>
        <v>n/a</v>
      </c>
      <c r="X23" s="1089" t="str">
        <f>'Capital IQ Sheet-STM'!U24</f>
        <v>(Invalid Transaction Id)</v>
      </c>
      <c r="Y23" s="1089" t="str">
        <f>'Capital IQ Sheet-STM'!V24</f>
        <v>(Invalid Transaction Id)</v>
      </c>
      <c r="Z23" s="1088"/>
      <c r="AA23" s="576">
        <f>'Capital IQ Sheet-STM'!X24</f>
        <v>0</v>
      </c>
      <c r="AB23" s="576">
        <f>'Capital IQ Sheet-STM'!Y24</f>
        <v>0</v>
      </c>
      <c r="AC23" s="576" t="str">
        <f>'Capital IQ Sheet-STM'!Z24</f>
        <v>(Invalid Transaction Id)</v>
      </c>
      <c r="AD23" s="1088"/>
      <c r="AE23" s="1089" t="str">
        <f t="shared" si="3"/>
        <v>n/a</v>
      </c>
      <c r="AF23" s="1089" t="str">
        <f t="shared" si="4"/>
        <v>n/a</v>
      </c>
      <c r="AG23" s="1084" t="str">
        <f>'Capital IQ Sheet-STM'!AD24</f>
        <v>n/a</v>
      </c>
      <c r="AI23" s="1085" t="str">
        <f>IFERROR('Capital IQ Sheet-STM'!AH24,"n/a")</f>
        <v>n/a</v>
      </c>
      <c r="AJ23" s="1085" t="str">
        <f>IFERROR('Capital IQ Sheet-STM'!AI24,"n/a")</f>
        <v>n/a</v>
      </c>
      <c r="AL23" s="1090"/>
    </row>
    <row r="24" spans="2:38" s="1086" customFormat="1" ht="14.85" hidden="1" customHeight="1" outlineLevel="1">
      <c r="B24" s="1084" t="str">
        <f>IFERROR('Capital IQ Sheet-STM'!B25,"n/a")</f>
        <v>(Invalid Transaction Id)</v>
      </c>
      <c r="C24" s="1084" t="str">
        <f>'Capital IQ Sheet-STM'!C25</f>
        <v>(Invalid Transaction Id)</v>
      </c>
      <c r="D24" s="1084" t="str">
        <f>'Capital IQ Sheet-STM'!D25</f>
        <v>(Invalid Transaction Id)</v>
      </c>
      <c r="E24" s="1084" t="str">
        <f>'Capital IQ Sheet-STM'!E25</f>
        <v>(Invalid Identifier)</v>
      </c>
      <c r="F24" s="1085" t="str">
        <f>IFERROR('Capital IQ Sheet-STM'!F25,"n/a")</f>
        <v>n/a</v>
      </c>
      <c r="G24" s="1084" t="str">
        <f>'Capital IQ Sheet-STM'!G25</f>
        <v>(Invalid Transaction Id)</v>
      </c>
      <c r="L24" s="1087" t="str">
        <f>'Capital IQ Sheet-STM'!I25</f>
        <v>(Invalid Transaction Id)</v>
      </c>
      <c r="M24" s="1087" t="e">
        <f>'Capital IQ Sheet-STM'!J25</f>
        <v>#VALUE!</v>
      </c>
      <c r="N24" s="1087" t="str">
        <f>'Capital IQ Sheet-STM'!K25</f>
        <v>(Invalid Transaction Id)</v>
      </c>
      <c r="O24" s="1087" t="str">
        <f>'Capital IQ Sheet-STM'!L25</f>
        <v>(Invalid Transaction Id)</v>
      </c>
      <c r="P24" s="1088"/>
      <c r="Q24" s="1087" t="str">
        <f>'Capital IQ Sheet-STM'!N25</f>
        <v>(Invalid Transaction Id)</v>
      </c>
      <c r="R24" s="1087" t="str">
        <f>'Capital IQ Sheet-STM'!O25</f>
        <v>(Invalid Transaction Id)</v>
      </c>
      <c r="S24" s="1087" t="str">
        <f>'Capital IQ Sheet-STM'!P25</f>
        <v>(Invalid Transaction Id)</v>
      </c>
      <c r="T24" s="1088"/>
      <c r="U24" s="1089" t="str">
        <f t="shared" si="0"/>
        <v>n/a</v>
      </c>
      <c r="V24" s="1089" t="str">
        <f t="shared" si="1"/>
        <v>n/a</v>
      </c>
      <c r="W24" s="1089" t="str">
        <f t="shared" si="2"/>
        <v>n/a</v>
      </c>
      <c r="X24" s="1089" t="str">
        <f>'Capital IQ Sheet-STM'!U25</f>
        <v>(Invalid Transaction Id)</v>
      </c>
      <c r="Y24" s="1089" t="str">
        <f>'Capital IQ Sheet-STM'!V25</f>
        <v>(Invalid Transaction Id)</v>
      </c>
      <c r="Z24" s="1088"/>
      <c r="AA24" s="576">
        <f>'Capital IQ Sheet-STM'!X25</f>
        <v>0</v>
      </c>
      <c r="AB24" s="576">
        <f>'Capital IQ Sheet-STM'!Y25</f>
        <v>0</v>
      </c>
      <c r="AC24" s="576" t="str">
        <f>'Capital IQ Sheet-STM'!Z25</f>
        <v>(Invalid Transaction Id)</v>
      </c>
      <c r="AD24" s="1088"/>
      <c r="AE24" s="1089" t="str">
        <f t="shared" si="3"/>
        <v>n/a</v>
      </c>
      <c r="AF24" s="1089" t="str">
        <f t="shared" si="4"/>
        <v>n/a</v>
      </c>
      <c r="AG24" s="1084" t="str">
        <f>'Capital IQ Sheet-STM'!AD25</f>
        <v>n/a</v>
      </c>
      <c r="AI24" s="1085" t="str">
        <f>IFERROR('Capital IQ Sheet-STM'!AH25,"n/a")</f>
        <v>n/a</v>
      </c>
      <c r="AJ24" s="1085" t="str">
        <f>IFERROR('Capital IQ Sheet-STM'!AI25,"n/a")</f>
        <v>n/a</v>
      </c>
      <c r="AL24" s="1090"/>
    </row>
    <row r="25" spans="2:38" s="1086" customFormat="1" ht="14.85" hidden="1" customHeight="1" outlineLevel="1">
      <c r="B25" s="1084" t="str">
        <f>IFERROR('Capital IQ Sheet-STM'!B26,"n/a")</f>
        <v>(Invalid Transaction Id)</v>
      </c>
      <c r="C25" s="1084" t="str">
        <f>'Capital IQ Sheet-STM'!C26</f>
        <v>(Invalid Transaction Id)</v>
      </c>
      <c r="D25" s="1084" t="str">
        <f>'Capital IQ Sheet-STM'!D26</f>
        <v>(Invalid Transaction Id)</v>
      </c>
      <c r="E25" s="1084" t="str">
        <f>'Capital IQ Sheet-STM'!E26</f>
        <v>(Invalid Identifier)</v>
      </c>
      <c r="F25" s="1085" t="str">
        <f>IFERROR('Capital IQ Sheet-STM'!F26,"n/a")</f>
        <v>n/a</v>
      </c>
      <c r="G25" s="1084" t="str">
        <f>'Capital IQ Sheet-STM'!G26</f>
        <v>(Invalid Transaction Id)</v>
      </c>
      <c r="L25" s="1087" t="str">
        <f>'Capital IQ Sheet-STM'!I26</f>
        <v>(Invalid Transaction Id)</v>
      </c>
      <c r="M25" s="1087" t="e">
        <f>'Capital IQ Sheet-STM'!J26</f>
        <v>#VALUE!</v>
      </c>
      <c r="N25" s="1087" t="str">
        <f>'Capital IQ Sheet-STM'!K26</f>
        <v>(Invalid Transaction Id)</v>
      </c>
      <c r="O25" s="1087" t="str">
        <f>'Capital IQ Sheet-STM'!L26</f>
        <v>(Invalid Transaction Id)</v>
      </c>
      <c r="P25" s="1088"/>
      <c r="Q25" s="1087" t="str">
        <f>'Capital IQ Sheet-STM'!N26</f>
        <v>(Invalid Transaction Id)</v>
      </c>
      <c r="R25" s="1087" t="str">
        <f>'Capital IQ Sheet-STM'!O26</f>
        <v>(Invalid Transaction Id)</v>
      </c>
      <c r="S25" s="1087" t="str">
        <f>'Capital IQ Sheet-STM'!P26</f>
        <v>(Invalid Transaction Id)</v>
      </c>
      <c r="T25" s="1088"/>
      <c r="U25" s="1089" t="str">
        <f t="shared" si="0"/>
        <v>n/a</v>
      </c>
      <c r="V25" s="1089" t="str">
        <f t="shared" si="1"/>
        <v>n/a</v>
      </c>
      <c r="W25" s="1089" t="str">
        <f t="shared" si="2"/>
        <v>n/a</v>
      </c>
      <c r="X25" s="1089" t="str">
        <f>'Capital IQ Sheet-STM'!U26</f>
        <v>(Invalid Transaction Id)</v>
      </c>
      <c r="Y25" s="1089" t="str">
        <f>'Capital IQ Sheet-STM'!V26</f>
        <v>(Invalid Transaction Id)</v>
      </c>
      <c r="Z25" s="1088"/>
      <c r="AA25" s="576">
        <f>'Capital IQ Sheet-STM'!X26</f>
        <v>0</v>
      </c>
      <c r="AB25" s="576">
        <f>'Capital IQ Sheet-STM'!Y26</f>
        <v>0</v>
      </c>
      <c r="AC25" s="576" t="str">
        <f>'Capital IQ Sheet-STM'!Z26</f>
        <v>(Invalid Transaction Id)</v>
      </c>
      <c r="AD25" s="1088"/>
      <c r="AE25" s="1089" t="str">
        <f t="shared" si="3"/>
        <v>n/a</v>
      </c>
      <c r="AF25" s="1089" t="str">
        <f t="shared" si="4"/>
        <v>n/a</v>
      </c>
      <c r="AG25" s="1084" t="str">
        <f>'Capital IQ Sheet-STM'!AD26</f>
        <v>n/a</v>
      </c>
      <c r="AI25" s="1085" t="str">
        <f>IFERROR('Capital IQ Sheet-STM'!AH26,"n/a")</f>
        <v>n/a</v>
      </c>
      <c r="AJ25" s="1085" t="str">
        <f>IFERROR('Capital IQ Sheet-STM'!AI26,"n/a")</f>
        <v>n/a</v>
      </c>
      <c r="AL25" s="1090"/>
    </row>
    <row r="26" spans="2:38" s="1086" customFormat="1" ht="14.85" hidden="1" customHeight="1" outlineLevel="1">
      <c r="B26" s="1084" t="str">
        <f>IFERROR('Capital IQ Sheet-STM'!B27,"n/a")</f>
        <v>(Invalid Transaction Id)</v>
      </c>
      <c r="C26" s="1084" t="str">
        <f>'Capital IQ Sheet-STM'!C27</f>
        <v>(Invalid Transaction Id)</v>
      </c>
      <c r="D26" s="1084" t="str">
        <f>'Capital IQ Sheet-STM'!D27</f>
        <v>(Invalid Transaction Id)</v>
      </c>
      <c r="E26" s="1084" t="str">
        <f>'Capital IQ Sheet-STM'!E27</f>
        <v>(Invalid Identifier)</v>
      </c>
      <c r="F26" s="1085" t="str">
        <f>IFERROR('Capital IQ Sheet-STM'!F27,"n/a")</f>
        <v>n/a</v>
      </c>
      <c r="G26" s="1084" t="str">
        <f>'Capital IQ Sheet-STM'!G27</f>
        <v>(Invalid Transaction Id)</v>
      </c>
      <c r="L26" s="1087" t="str">
        <f>'Capital IQ Sheet-STM'!I27</f>
        <v>(Invalid Transaction Id)</v>
      </c>
      <c r="M26" s="1087" t="e">
        <f>'Capital IQ Sheet-STM'!J27</f>
        <v>#VALUE!</v>
      </c>
      <c r="N26" s="1087" t="str">
        <f>'Capital IQ Sheet-STM'!K27</f>
        <v>(Invalid Transaction Id)</v>
      </c>
      <c r="O26" s="1087" t="str">
        <f>'Capital IQ Sheet-STM'!L27</f>
        <v>(Invalid Transaction Id)</v>
      </c>
      <c r="P26" s="1088"/>
      <c r="Q26" s="1087" t="str">
        <f>'Capital IQ Sheet-STM'!N27</f>
        <v>(Invalid Transaction Id)</v>
      </c>
      <c r="R26" s="1087" t="str">
        <f>'Capital IQ Sheet-STM'!O27</f>
        <v>(Invalid Transaction Id)</v>
      </c>
      <c r="S26" s="1087" t="str">
        <f>'Capital IQ Sheet-STM'!P27</f>
        <v>(Invalid Transaction Id)</v>
      </c>
      <c r="T26" s="1088"/>
      <c r="U26" s="1089" t="str">
        <f t="shared" si="0"/>
        <v>n/a</v>
      </c>
      <c r="V26" s="1089" t="str">
        <f t="shared" si="1"/>
        <v>n/a</v>
      </c>
      <c r="W26" s="1089" t="str">
        <f t="shared" si="2"/>
        <v>n/a</v>
      </c>
      <c r="X26" s="1089" t="str">
        <f>'Capital IQ Sheet-STM'!U27</f>
        <v>(Invalid Transaction Id)</v>
      </c>
      <c r="Y26" s="1089" t="str">
        <f>'Capital IQ Sheet-STM'!V27</f>
        <v>(Invalid Transaction Id)</v>
      </c>
      <c r="Z26" s="1088"/>
      <c r="AA26" s="576">
        <f>'Capital IQ Sheet-STM'!X27</f>
        <v>0</v>
      </c>
      <c r="AB26" s="576">
        <f>'Capital IQ Sheet-STM'!Y27</f>
        <v>0</v>
      </c>
      <c r="AC26" s="576" t="str">
        <f>'Capital IQ Sheet-STM'!Z27</f>
        <v>(Invalid Transaction Id)</v>
      </c>
      <c r="AD26" s="1088"/>
      <c r="AE26" s="1089" t="str">
        <f t="shared" si="3"/>
        <v>n/a</v>
      </c>
      <c r="AF26" s="1089" t="str">
        <f t="shared" si="4"/>
        <v>n/a</v>
      </c>
      <c r="AG26" s="1084" t="str">
        <f>'Capital IQ Sheet-STM'!AD27</f>
        <v>n/a</v>
      </c>
      <c r="AI26" s="1085" t="str">
        <f>IFERROR('Capital IQ Sheet-STM'!AH27,"n/a")</f>
        <v>n/a</v>
      </c>
      <c r="AJ26" s="1085" t="str">
        <f>IFERROR('Capital IQ Sheet-STM'!AI27,"n/a")</f>
        <v>n/a</v>
      </c>
      <c r="AL26" s="1090"/>
    </row>
    <row r="27" spans="2:38" s="1086" customFormat="1" ht="14.85" hidden="1" customHeight="1" outlineLevel="1">
      <c r="B27" s="1084" t="str">
        <f>IFERROR('Capital IQ Sheet-STM'!B28,"n/a")</f>
        <v>(Invalid Transaction Id)</v>
      </c>
      <c r="C27" s="1084" t="str">
        <f>'Capital IQ Sheet-STM'!C28</f>
        <v>(Invalid Transaction Id)</v>
      </c>
      <c r="D27" s="1084" t="str">
        <f>'Capital IQ Sheet-STM'!D28</f>
        <v>(Invalid Transaction Id)</v>
      </c>
      <c r="E27" s="1084" t="str">
        <f>'Capital IQ Sheet-STM'!E28</f>
        <v>(Invalid Identifier)</v>
      </c>
      <c r="F27" s="1085" t="str">
        <f>IFERROR('Capital IQ Sheet-STM'!F28,"n/a")</f>
        <v>n/a</v>
      </c>
      <c r="G27" s="1084" t="str">
        <f>'Capital IQ Sheet-STM'!G28</f>
        <v>(Invalid Transaction Id)</v>
      </c>
      <c r="L27" s="1087" t="str">
        <f>'Capital IQ Sheet-STM'!I28</f>
        <v>(Invalid Transaction Id)</v>
      </c>
      <c r="M27" s="1087" t="e">
        <f>'Capital IQ Sheet-STM'!J28</f>
        <v>#VALUE!</v>
      </c>
      <c r="N27" s="1087" t="str">
        <f>'Capital IQ Sheet-STM'!K28</f>
        <v>(Invalid Transaction Id)</v>
      </c>
      <c r="O27" s="1087" t="str">
        <f>'Capital IQ Sheet-STM'!L28</f>
        <v>(Invalid Transaction Id)</v>
      </c>
      <c r="P27" s="1088"/>
      <c r="Q27" s="1087" t="str">
        <f>'Capital IQ Sheet-STM'!N28</f>
        <v>(Invalid Transaction Id)</v>
      </c>
      <c r="R27" s="1087" t="str">
        <f>'Capital IQ Sheet-STM'!O28</f>
        <v>(Invalid Transaction Id)</v>
      </c>
      <c r="S27" s="1087" t="str">
        <f>'Capital IQ Sheet-STM'!P28</f>
        <v>(Invalid Transaction Id)</v>
      </c>
      <c r="T27" s="1088"/>
      <c r="U27" s="1089" t="str">
        <f t="shared" si="0"/>
        <v>n/a</v>
      </c>
      <c r="V27" s="1089" t="str">
        <f t="shared" si="1"/>
        <v>n/a</v>
      </c>
      <c r="W27" s="1089" t="str">
        <f t="shared" si="2"/>
        <v>n/a</v>
      </c>
      <c r="X27" s="1089" t="str">
        <f>'Capital IQ Sheet-STM'!U28</f>
        <v>(Invalid Transaction Id)</v>
      </c>
      <c r="Y27" s="1089" t="str">
        <f>'Capital IQ Sheet-STM'!V28</f>
        <v>(Invalid Transaction Id)</v>
      </c>
      <c r="Z27" s="1088"/>
      <c r="AA27" s="576">
        <f>'Capital IQ Sheet-STM'!X28</f>
        <v>0</v>
      </c>
      <c r="AB27" s="576">
        <f>'Capital IQ Sheet-STM'!Y28</f>
        <v>0</v>
      </c>
      <c r="AC27" s="576" t="str">
        <f>'Capital IQ Sheet-STM'!Z28</f>
        <v>(Invalid Transaction Id)</v>
      </c>
      <c r="AD27" s="1088"/>
      <c r="AE27" s="1089" t="str">
        <f t="shared" si="3"/>
        <v>n/a</v>
      </c>
      <c r="AF27" s="1089" t="str">
        <f t="shared" si="4"/>
        <v>n/a</v>
      </c>
      <c r="AG27" s="1084" t="str">
        <f>'Capital IQ Sheet-STM'!AD28</f>
        <v>n/a</v>
      </c>
      <c r="AI27" s="1085" t="str">
        <f>IFERROR('Capital IQ Sheet-STM'!AH28,"n/a")</f>
        <v>n/a</v>
      </c>
      <c r="AJ27" s="1085" t="str">
        <f>IFERROR('Capital IQ Sheet-STM'!AI28,"n/a")</f>
        <v>n/a</v>
      </c>
      <c r="AL27" s="1090"/>
    </row>
    <row r="28" spans="2:38" s="1086" customFormat="1" ht="14.85" hidden="1" customHeight="1" outlineLevel="1">
      <c r="B28" s="1084" t="str">
        <f>IFERROR('Capital IQ Sheet-STM'!B29,"n/a")</f>
        <v>(Invalid Transaction Id)</v>
      </c>
      <c r="C28" s="1084" t="str">
        <f>'Capital IQ Sheet-STM'!C29</f>
        <v>(Invalid Transaction Id)</v>
      </c>
      <c r="D28" s="1084" t="str">
        <f>'Capital IQ Sheet-STM'!D29</f>
        <v>(Invalid Transaction Id)</v>
      </c>
      <c r="E28" s="1084" t="str">
        <f>'Capital IQ Sheet-STM'!E29</f>
        <v>(Invalid Identifier)</v>
      </c>
      <c r="F28" s="1085" t="str">
        <f>IFERROR('Capital IQ Sheet-STM'!F29,"n/a")</f>
        <v>n/a</v>
      </c>
      <c r="G28" s="1084" t="str">
        <f>'Capital IQ Sheet-STM'!G29</f>
        <v>(Invalid Transaction Id)</v>
      </c>
      <c r="L28" s="1087" t="str">
        <f>'Capital IQ Sheet-STM'!I29</f>
        <v>(Invalid Transaction Id)</v>
      </c>
      <c r="M28" s="1087" t="e">
        <f>'Capital IQ Sheet-STM'!J29</f>
        <v>#VALUE!</v>
      </c>
      <c r="N28" s="1087" t="str">
        <f>'Capital IQ Sheet-STM'!K29</f>
        <v>(Invalid Transaction Id)</v>
      </c>
      <c r="O28" s="1087" t="str">
        <f>'Capital IQ Sheet-STM'!L29</f>
        <v>(Invalid Transaction Id)</v>
      </c>
      <c r="P28" s="1088"/>
      <c r="Q28" s="1087" t="str">
        <f>'Capital IQ Sheet-STM'!N29</f>
        <v>(Invalid Transaction Id)</v>
      </c>
      <c r="R28" s="1087" t="str">
        <f>'Capital IQ Sheet-STM'!O29</f>
        <v>(Invalid Transaction Id)</v>
      </c>
      <c r="S28" s="1087" t="str">
        <f>'Capital IQ Sheet-STM'!P29</f>
        <v>(Invalid Transaction Id)</v>
      </c>
      <c r="T28" s="1088"/>
      <c r="U28" s="1089" t="str">
        <f t="shared" si="0"/>
        <v>n/a</v>
      </c>
      <c r="V28" s="1089" t="str">
        <f t="shared" si="1"/>
        <v>n/a</v>
      </c>
      <c r="W28" s="1089" t="str">
        <f t="shared" si="2"/>
        <v>n/a</v>
      </c>
      <c r="X28" s="1089" t="str">
        <f>'Capital IQ Sheet-STM'!U29</f>
        <v>(Invalid Transaction Id)</v>
      </c>
      <c r="Y28" s="1089" t="str">
        <f>'Capital IQ Sheet-STM'!V29</f>
        <v>(Invalid Transaction Id)</v>
      </c>
      <c r="Z28" s="1088"/>
      <c r="AA28" s="576">
        <f>'Capital IQ Sheet-STM'!X29</f>
        <v>0</v>
      </c>
      <c r="AB28" s="576">
        <f>'Capital IQ Sheet-STM'!Y29</f>
        <v>0</v>
      </c>
      <c r="AC28" s="576" t="str">
        <f>'Capital IQ Sheet-STM'!Z29</f>
        <v>(Invalid Transaction Id)</v>
      </c>
      <c r="AD28" s="1088"/>
      <c r="AE28" s="1089" t="str">
        <f t="shared" si="3"/>
        <v>n/a</v>
      </c>
      <c r="AF28" s="1089" t="str">
        <f t="shared" si="4"/>
        <v>n/a</v>
      </c>
      <c r="AG28" s="1084" t="str">
        <f>'Capital IQ Sheet-STM'!AD29</f>
        <v>n/a</v>
      </c>
      <c r="AI28" s="1085" t="str">
        <f>IFERROR('Capital IQ Sheet-STM'!AH29,"n/a")</f>
        <v>n/a</v>
      </c>
      <c r="AJ28" s="1085" t="str">
        <f>IFERROR('Capital IQ Sheet-STM'!AI29,"n/a")</f>
        <v>n/a</v>
      </c>
      <c r="AL28" s="1090"/>
    </row>
    <row r="29" spans="2:38" s="1086" customFormat="1" ht="14.85" hidden="1" customHeight="1" outlineLevel="1">
      <c r="B29" s="1084" t="str">
        <f>IFERROR('Capital IQ Sheet-STM'!B30,"n/a")</f>
        <v>(Invalid Transaction Id)</v>
      </c>
      <c r="C29" s="1084" t="str">
        <f>'Capital IQ Sheet-STM'!C30</f>
        <v>(Invalid Transaction Id)</v>
      </c>
      <c r="D29" s="1084" t="str">
        <f>'Capital IQ Sheet-STM'!D30</f>
        <v>(Invalid Transaction Id)</v>
      </c>
      <c r="E29" s="1084" t="str">
        <f>'Capital IQ Sheet-STM'!E30</f>
        <v>(Invalid Identifier)</v>
      </c>
      <c r="F29" s="1085" t="str">
        <f>IFERROR('Capital IQ Sheet-STM'!F30,"n/a")</f>
        <v>n/a</v>
      </c>
      <c r="G29" s="1084" t="str">
        <f>'Capital IQ Sheet-STM'!G30</f>
        <v>(Invalid Transaction Id)</v>
      </c>
      <c r="L29" s="1087" t="str">
        <f>'Capital IQ Sheet-STM'!I30</f>
        <v>(Invalid Transaction Id)</v>
      </c>
      <c r="M29" s="1087" t="e">
        <f>'Capital IQ Sheet-STM'!J30</f>
        <v>#VALUE!</v>
      </c>
      <c r="N29" s="1087" t="str">
        <f>'Capital IQ Sheet-STM'!K30</f>
        <v>(Invalid Transaction Id)</v>
      </c>
      <c r="O29" s="1087" t="str">
        <f>'Capital IQ Sheet-STM'!L30</f>
        <v>(Invalid Transaction Id)</v>
      </c>
      <c r="P29" s="1088"/>
      <c r="Q29" s="1087" t="str">
        <f>'Capital IQ Sheet-STM'!N30</f>
        <v>(Invalid Transaction Id)</v>
      </c>
      <c r="R29" s="1087" t="str">
        <f>'Capital IQ Sheet-STM'!O30</f>
        <v>(Invalid Transaction Id)</v>
      </c>
      <c r="S29" s="1087" t="str">
        <f>'Capital IQ Sheet-STM'!P30</f>
        <v>(Invalid Transaction Id)</v>
      </c>
      <c r="T29" s="1088"/>
      <c r="U29" s="1089" t="str">
        <f t="shared" si="0"/>
        <v>n/a</v>
      </c>
      <c r="V29" s="1089" t="str">
        <f t="shared" si="1"/>
        <v>n/a</v>
      </c>
      <c r="W29" s="1089" t="str">
        <f t="shared" si="2"/>
        <v>n/a</v>
      </c>
      <c r="X29" s="1089" t="str">
        <f>'Capital IQ Sheet-STM'!U30</f>
        <v>(Invalid Transaction Id)</v>
      </c>
      <c r="Y29" s="1089" t="str">
        <f>'Capital IQ Sheet-STM'!V30</f>
        <v>(Invalid Transaction Id)</v>
      </c>
      <c r="Z29" s="1088"/>
      <c r="AA29" s="576">
        <f>'Capital IQ Sheet-STM'!X30</f>
        <v>0</v>
      </c>
      <c r="AB29" s="576">
        <f>'Capital IQ Sheet-STM'!Y30</f>
        <v>0</v>
      </c>
      <c r="AC29" s="576" t="str">
        <f>'Capital IQ Sheet-STM'!Z30</f>
        <v>(Invalid Transaction Id)</v>
      </c>
      <c r="AD29" s="1088"/>
      <c r="AE29" s="1089" t="str">
        <f t="shared" ref="AE29:AE41" si="5">IF(ISERROR($L29/AA29), "n/a", $L29/AA29)</f>
        <v>n/a</v>
      </c>
      <c r="AF29" s="1089" t="str">
        <f t="shared" ref="AF29:AF41" si="6">IF(ISERROR($L29/AB29), "n/a", $L29/AB29)</f>
        <v>n/a</v>
      </c>
      <c r="AG29" s="1084" t="str">
        <f>'Capital IQ Sheet-STM'!AD30</f>
        <v>n/a</v>
      </c>
      <c r="AI29" s="1085" t="str">
        <f>IFERROR('Capital IQ Sheet-STM'!AH30,"n/a")</f>
        <v>n/a</v>
      </c>
      <c r="AJ29" s="1085" t="str">
        <f>IFERROR('Capital IQ Sheet-STM'!AI30,"n/a")</f>
        <v>n/a</v>
      </c>
      <c r="AL29" s="1090"/>
    </row>
    <row r="30" spans="2:38" s="1086" customFormat="1" ht="14.85" hidden="1" customHeight="1" outlineLevel="1">
      <c r="B30" s="1084" t="str">
        <f>IFERROR('Capital IQ Sheet-STM'!B31,"n/a")</f>
        <v>(Invalid Transaction Id)</v>
      </c>
      <c r="C30" s="1084" t="str">
        <f>'Capital IQ Sheet-STM'!C31</f>
        <v>(Invalid Transaction Id)</v>
      </c>
      <c r="D30" s="1084" t="str">
        <f>'Capital IQ Sheet-STM'!D31</f>
        <v>(Invalid Transaction Id)</v>
      </c>
      <c r="E30" s="1084" t="str">
        <f>'Capital IQ Sheet-STM'!E31</f>
        <v>(Invalid Identifier)</v>
      </c>
      <c r="F30" s="1085" t="str">
        <f>IFERROR('Capital IQ Sheet-STM'!F31,"n/a")</f>
        <v>n/a</v>
      </c>
      <c r="G30" s="1084" t="str">
        <f>'Capital IQ Sheet-STM'!G31</f>
        <v>(Invalid Transaction Id)</v>
      </c>
      <c r="L30" s="1087" t="str">
        <f>'Capital IQ Sheet-STM'!I31</f>
        <v>(Invalid Transaction Id)</v>
      </c>
      <c r="M30" s="1087" t="e">
        <f>'Capital IQ Sheet-STM'!J31</f>
        <v>#VALUE!</v>
      </c>
      <c r="N30" s="1087" t="str">
        <f>'Capital IQ Sheet-STM'!K31</f>
        <v>(Invalid Transaction Id)</v>
      </c>
      <c r="O30" s="1087" t="str">
        <f>'Capital IQ Sheet-STM'!L31</f>
        <v>(Invalid Transaction Id)</v>
      </c>
      <c r="P30" s="1088"/>
      <c r="Q30" s="1087" t="str">
        <f>'Capital IQ Sheet-STM'!N31</f>
        <v>(Invalid Transaction Id)</v>
      </c>
      <c r="R30" s="1087" t="str">
        <f>'Capital IQ Sheet-STM'!O31</f>
        <v>(Invalid Transaction Id)</v>
      </c>
      <c r="S30" s="1087" t="str">
        <f>'Capital IQ Sheet-STM'!P31</f>
        <v>(Invalid Transaction Id)</v>
      </c>
      <c r="T30" s="1088"/>
      <c r="U30" s="1089" t="str">
        <f t="shared" si="0"/>
        <v>n/a</v>
      </c>
      <c r="V30" s="1089" t="str">
        <f t="shared" si="1"/>
        <v>n/a</v>
      </c>
      <c r="W30" s="1089" t="str">
        <f t="shared" si="2"/>
        <v>n/a</v>
      </c>
      <c r="X30" s="1089" t="str">
        <f>'Capital IQ Sheet-STM'!U31</f>
        <v>(Invalid Transaction Id)</v>
      </c>
      <c r="Y30" s="1089" t="str">
        <f>'Capital IQ Sheet-STM'!V31</f>
        <v>(Invalid Transaction Id)</v>
      </c>
      <c r="Z30" s="1088"/>
      <c r="AA30" s="576">
        <f>'Capital IQ Sheet-STM'!X31</f>
        <v>0</v>
      </c>
      <c r="AB30" s="576">
        <f>'Capital IQ Sheet-STM'!Y31</f>
        <v>0</v>
      </c>
      <c r="AC30" s="576" t="str">
        <f>'Capital IQ Sheet-STM'!Z31</f>
        <v>(Invalid Transaction Id)</v>
      </c>
      <c r="AD30" s="1088"/>
      <c r="AE30" s="1089" t="str">
        <f t="shared" si="5"/>
        <v>n/a</v>
      </c>
      <c r="AF30" s="1089" t="str">
        <f t="shared" si="6"/>
        <v>n/a</v>
      </c>
      <c r="AG30" s="1084" t="str">
        <f>'Capital IQ Sheet-STM'!AD31</f>
        <v>n/a</v>
      </c>
      <c r="AI30" s="1085" t="str">
        <f>IFERROR('Capital IQ Sheet-STM'!AH31,"n/a")</f>
        <v>n/a</v>
      </c>
      <c r="AJ30" s="1085" t="str">
        <f>IFERROR('Capital IQ Sheet-STM'!AI31,"n/a")</f>
        <v>n/a</v>
      </c>
      <c r="AL30" s="1090"/>
    </row>
    <row r="31" spans="2:38" s="1086" customFormat="1" ht="14.85" hidden="1" customHeight="1" outlineLevel="1">
      <c r="B31" s="1084" t="str">
        <f>IFERROR('Capital IQ Sheet-STM'!B32,"n/a")</f>
        <v>(Invalid Transaction Id)</v>
      </c>
      <c r="C31" s="1084" t="str">
        <f>'Capital IQ Sheet-STM'!C32</f>
        <v>(Invalid Transaction Id)</v>
      </c>
      <c r="D31" s="1084" t="str">
        <f>'Capital IQ Sheet-STM'!D32</f>
        <v>(Invalid Transaction Id)</v>
      </c>
      <c r="E31" s="1084" t="str">
        <f>'Capital IQ Sheet-STM'!E32</f>
        <v>(Invalid Identifier)</v>
      </c>
      <c r="F31" s="1085" t="str">
        <f>IFERROR('Capital IQ Sheet-STM'!F32,"n/a")</f>
        <v>n/a</v>
      </c>
      <c r="G31" s="1084" t="str">
        <f>'Capital IQ Sheet-STM'!G32</f>
        <v>(Invalid Transaction Id)</v>
      </c>
      <c r="L31" s="1087" t="str">
        <f>'Capital IQ Sheet-STM'!I32</f>
        <v>(Invalid Transaction Id)</v>
      </c>
      <c r="M31" s="1087" t="e">
        <f>'Capital IQ Sheet-STM'!J32</f>
        <v>#VALUE!</v>
      </c>
      <c r="N31" s="1087" t="str">
        <f>'Capital IQ Sheet-STM'!K32</f>
        <v>(Invalid Transaction Id)</v>
      </c>
      <c r="O31" s="1087" t="str">
        <f>'Capital IQ Sheet-STM'!L32</f>
        <v>(Invalid Transaction Id)</v>
      </c>
      <c r="P31" s="1088"/>
      <c r="Q31" s="1087" t="str">
        <f>'Capital IQ Sheet-STM'!N32</f>
        <v>(Invalid Transaction Id)</v>
      </c>
      <c r="R31" s="1087" t="str">
        <f>'Capital IQ Sheet-STM'!O32</f>
        <v>(Invalid Transaction Id)</v>
      </c>
      <c r="S31" s="1087" t="str">
        <f>'Capital IQ Sheet-STM'!P32</f>
        <v>(Invalid Transaction Id)</v>
      </c>
      <c r="T31" s="1088"/>
      <c r="U31" s="1089" t="str">
        <f t="shared" si="0"/>
        <v>n/a</v>
      </c>
      <c r="V31" s="1089" t="str">
        <f t="shared" si="1"/>
        <v>n/a</v>
      </c>
      <c r="W31" s="1089" t="str">
        <f t="shared" si="2"/>
        <v>n/a</v>
      </c>
      <c r="X31" s="1089" t="str">
        <f>'Capital IQ Sheet-STM'!U32</f>
        <v>(Invalid Transaction Id)</v>
      </c>
      <c r="Y31" s="1089" t="str">
        <f>'Capital IQ Sheet-STM'!V32</f>
        <v>(Invalid Transaction Id)</v>
      </c>
      <c r="Z31" s="1088"/>
      <c r="AA31" s="576">
        <f>'Capital IQ Sheet-STM'!X32</f>
        <v>0</v>
      </c>
      <c r="AB31" s="576">
        <f>'Capital IQ Sheet-STM'!Y32</f>
        <v>0</v>
      </c>
      <c r="AC31" s="576" t="str">
        <f>'Capital IQ Sheet-STM'!Z32</f>
        <v>(Invalid Transaction Id)</v>
      </c>
      <c r="AD31" s="1088"/>
      <c r="AE31" s="1089" t="str">
        <f t="shared" si="5"/>
        <v>n/a</v>
      </c>
      <c r="AF31" s="1089" t="str">
        <f t="shared" si="6"/>
        <v>n/a</v>
      </c>
      <c r="AG31" s="1084" t="str">
        <f>'Capital IQ Sheet-STM'!AD32</f>
        <v>n/a</v>
      </c>
      <c r="AI31" s="1085" t="str">
        <f>IFERROR('Capital IQ Sheet-STM'!AH32,"n/a")</f>
        <v>n/a</v>
      </c>
      <c r="AJ31" s="1085" t="str">
        <f>IFERROR('Capital IQ Sheet-STM'!AI32,"n/a")</f>
        <v>n/a</v>
      </c>
      <c r="AL31" s="1090"/>
    </row>
    <row r="32" spans="2:38" s="1086" customFormat="1" ht="14.85" hidden="1" customHeight="1" outlineLevel="1">
      <c r="B32" s="1084" t="str">
        <f>IFERROR('Capital IQ Sheet-STM'!B33,"n/a")</f>
        <v>(Invalid Transaction Id)</v>
      </c>
      <c r="C32" s="1084" t="str">
        <f>'Capital IQ Sheet-STM'!C33</f>
        <v>(Invalid Transaction Id)</v>
      </c>
      <c r="D32" s="1084" t="str">
        <f>'Capital IQ Sheet-STM'!D33</f>
        <v>(Invalid Transaction Id)</v>
      </c>
      <c r="E32" s="1084" t="str">
        <f>'Capital IQ Sheet-STM'!E33</f>
        <v>(Invalid Identifier)</v>
      </c>
      <c r="F32" s="1085" t="str">
        <f>IFERROR('Capital IQ Sheet-STM'!F33,"n/a")</f>
        <v>n/a</v>
      </c>
      <c r="G32" s="1084" t="str">
        <f>'Capital IQ Sheet-STM'!G33</f>
        <v>(Invalid Transaction Id)</v>
      </c>
      <c r="L32" s="1087" t="str">
        <f>'Capital IQ Sheet-STM'!I33</f>
        <v>(Invalid Transaction Id)</v>
      </c>
      <c r="M32" s="1087" t="e">
        <f>'Capital IQ Sheet-STM'!J33</f>
        <v>#VALUE!</v>
      </c>
      <c r="N32" s="1087" t="str">
        <f>'Capital IQ Sheet-STM'!K33</f>
        <v>(Invalid Transaction Id)</v>
      </c>
      <c r="O32" s="1087" t="str">
        <f>'Capital IQ Sheet-STM'!L33</f>
        <v>(Invalid Transaction Id)</v>
      </c>
      <c r="P32" s="1088"/>
      <c r="Q32" s="1087" t="str">
        <f>'Capital IQ Sheet-STM'!N33</f>
        <v>(Invalid Transaction Id)</v>
      </c>
      <c r="R32" s="1087" t="str">
        <f>'Capital IQ Sheet-STM'!O33</f>
        <v>(Invalid Transaction Id)</v>
      </c>
      <c r="S32" s="1087" t="str">
        <f>'Capital IQ Sheet-STM'!P33</f>
        <v>(Invalid Transaction Id)</v>
      </c>
      <c r="T32" s="1088"/>
      <c r="U32" s="1089" t="str">
        <f t="shared" si="0"/>
        <v>n/a</v>
      </c>
      <c r="V32" s="1089" t="str">
        <f t="shared" si="1"/>
        <v>n/a</v>
      </c>
      <c r="W32" s="1089" t="str">
        <f t="shared" si="2"/>
        <v>n/a</v>
      </c>
      <c r="X32" s="1089" t="str">
        <f>'Capital IQ Sheet-STM'!U33</f>
        <v>(Invalid Transaction Id)</v>
      </c>
      <c r="Y32" s="1089" t="str">
        <f>'Capital IQ Sheet-STM'!V33</f>
        <v>(Invalid Transaction Id)</v>
      </c>
      <c r="Z32" s="1088"/>
      <c r="AA32" s="576">
        <f>'Capital IQ Sheet-STM'!X33</f>
        <v>0</v>
      </c>
      <c r="AB32" s="576">
        <f>'Capital IQ Sheet-STM'!Y33</f>
        <v>0</v>
      </c>
      <c r="AC32" s="576" t="str">
        <f>'Capital IQ Sheet-STM'!Z33</f>
        <v>(Invalid Transaction Id)</v>
      </c>
      <c r="AD32" s="1088"/>
      <c r="AE32" s="1089" t="str">
        <f t="shared" si="5"/>
        <v>n/a</v>
      </c>
      <c r="AF32" s="1089" t="str">
        <f t="shared" si="6"/>
        <v>n/a</v>
      </c>
      <c r="AG32" s="1084" t="str">
        <f>'Capital IQ Sheet-STM'!AD33</f>
        <v>n/a</v>
      </c>
      <c r="AI32" s="1085" t="str">
        <f>IFERROR('Capital IQ Sheet-STM'!AH33,"n/a")</f>
        <v>n/a</v>
      </c>
      <c r="AJ32" s="1085" t="str">
        <f>IFERROR('Capital IQ Sheet-STM'!AI33,"n/a")</f>
        <v>n/a</v>
      </c>
      <c r="AL32" s="1090"/>
    </row>
    <row r="33" spans="2:38" s="1086" customFormat="1" ht="14.85" hidden="1" customHeight="1" outlineLevel="1">
      <c r="B33" s="1084" t="str">
        <f>IFERROR('Capital IQ Sheet-STM'!B34,"n/a")</f>
        <v>(Invalid Transaction Id)</v>
      </c>
      <c r="C33" s="1084" t="str">
        <f>'Capital IQ Sheet-STM'!C34</f>
        <v>(Invalid Transaction Id)</v>
      </c>
      <c r="D33" s="1084" t="str">
        <f>'Capital IQ Sheet-STM'!D34</f>
        <v>(Invalid Transaction Id)</v>
      </c>
      <c r="E33" s="1084" t="str">
        <f>'Capital IQ Sheet-STM'!E34</f>
        <v>(Invalid Identifier)</v>
      </c>
      <c r="F33" s="1085" t="str">
        <f>IFERROR('Capital IQ Sheet-STM'!F34,"n/a")</f>
        <v>n/a</v>
      </c>
      <c r="G33" s="1084" t="str">
        <f>'Capital IQ Sheet-STM'!G34</f>
        <v>(Invalid Transaction Id)</v>
      </c>
      <c r="L33" s="1087" t="str">
        <f>'Capital IQ Sheet-STM'!I34</f>
        <v>(Invalid Transaction Id)</v>
      </c>
      <c r="M33" s="1087" t="e">
        <f>'Capital IQ Sheet-STM'!J34</f>
        <v>#VALUE!</v>
      </c>
      <c r="N33" s="1087" t="str">
        <f>'Capital IQ Sheet-STM'!K34</f>
        <v>(Invalid Transaction Id)</v>
      </c>
      <c r="O33" s="1087" t="str">
        <f>'Capital IQ Sheet-STM'!L34</f>
        <v>(Invalid Transaction Id)</v>
      </c>
      <c r="P33" s="1088"/>
      <c r="Q33" s="1087" t="str">
        <f>'Capital IQ Sheet-STM'!N34</f>
        <v>(Invalid Transaction Id)</v>
      </c>
      <c r="R33" s="1087" t="str">
        <f>'Capital IQ Sheet-STM'!O34</f>
        <v>(Invalid Transaction Id)</v>
      </c>
      <c r="S33" s="1087" t="str">
        <f>'Capital IQ Sheet-STM'!P34</f>
        <v>(Invalid Transaction Id)</v>
      </c>
      <c r="T33" s="1088"/>
      <c r="U33" s="1089" t="str">
        <f t="shared" si="0"/>
        <v>n/a</v>
      </c>
      <c r="V33" s="1089" t="str">
        <f t="shared" si="1"/>
        <v>n/a</v>
      </c>
      <c r="W33" s="1089" t="str">
        <f t="shared" si="2"/>
        <v>n/a</v>
      </c>
      <c r="X33" s="1089" t="str">
        <f>'Capital IQ Sheet-STM'!U34</f>
        <v>(Invalid Transaction Id)</v>
      </c>
      <c r="Y33" s="1089" t="str">
        <f>'Capital IQ Sheet-STM'!V34</f>
        <v>(Invalid Transaction Id)</v>
      </c>
      <c r="Z33" s="1088"/>
      <c r="AA33" s="576">
        <f>'Capital IQ Sheet-STM'!X34</f>
        <v>0</v>
      </c>
      <c r="AB33" s="576">
        <f>'Capital IQ Sheet-STM'!Y34</f>
        <v>0</v>
      </c>
      <c r="AC33" s="576" t="str">
        <f>'Capital IQ Sheet-STM'!Z34</f>
        <v>(Invalid Transaction Id)</v>
      </c>
      <c r="AD33" s="1088"/>
      <c r="AE33" s="1089" t="str">
        <f t="shared" si="5"/>
        <v>n/a</v>
      </c>
      <c r="AF33" s="1089" t="str">
        <f t="shared" si="6"/>
        <v>n/a</v>
      </c>
      <c r="AG33" s="1084" t="str">
        <f>'Capital IQ Sheet-STM'!AD34</f>
        <v>n/a</v>
      </c>
      <c r="AI33" s="1085" t="str">
        <f>IFERROR('Capital IQ Sheet-STM'!AH34,"n/a")</f>
        <v>n/a</v>
      </c>
      <c r="AJ33" s="1085" t="str">
        <f>IFERROR('Capital IQ Sheet-STM'!AI34,"n/a")</f>
        <v>n/a</v>
      </c>
      <c r="AL33" s="1090"/>
    </row>
    <row r="34" spans="2:38" s="1086" customFormat="1" ht="14.85" hidden="1" customHeight="1" outlineLevel="1">
      <c r="B34" s="1084" t="str">
        <f>IFERROR('Capital IQ Sheet-STM'!B35,"n/a")</f>
        <v>(Invalid Transaction Id)</v>
      </c>
      <c r="C34" s="1084" t="str">
        <f>'Capital IQ Sheet-STM'!C35</f>
        <v>(Invalid Transaction Id)</v>
      </c>
      <c r="D34" s="1084" t="str">
        <f>'Capital IQ Sheet-STM'!D35</f>
        <v>(Invalid Transaction Id)</v>
      </c>
      <c r="E34" s="1084" t="str">
        <f>'Capital IQ Sheet-STM'!E35</f>
        <v>(Invalid Identifier)</v>
      </c>
      <c r="F34" s="1085" t="str">
        <f>IFERROR('Capital IQ Sheet-STM'!F35,"n/a")</f>
        <v>n/a</v>
      </c>
      <c r="G34" s="1084" t="str">
        <f>'Capital IQ Sheet-STM'!G35</f>
        <v>(Invalid Transaction Id)</v>
      </c>
      <c r="L34" s="1087" t="str">
        <f>'Capital IQ Sheet-STM'!I35</f>
        <v>(Invalid Transaction Id)</v>
      </c>
      <c r="M34" s="1087" t="e">
        <f>'Capital IQ Sheet-STM'!J35</f>
        <v>#VALUE!</v>
      </c>
      <c r="N34" s="1087" t="str">
        <f>'Capital IQ Sheet-STM'!K35</f>
        <v>(Invalid Transaction Id)</v>
      </c>
      <c r="O34" s="1087" t="str">
        <f>'Capital IQ Sheet-STM'!L35</f>
        <v>(Invalid Transaction Id)</v>
      </c>
      <c r="P34" s="1088"/>
      <c r="Q34" s="1087" t="str">
        <f>'Capital IQ Sheet-STM'!N35</f>
        <v>(Invalid Transaction Id)</v>
      </c>
      <c r="R34" s="1087" t="str">
        <f>'Capital IQ Sheet-STM'!O35</f>
        <v>(Invalid Transaction Id)</v>
      </c>
      <c r="S34" s="1087" t="str">
        <f>'Capital IQ Sheet-STM'!P35</f>
        <v>(Invalid Transaction Id)</v>
      </c>
      <c r="T34" s="1088"/>
      <c r="U34" s="1089" t="str">
        <f t="shared" si="0"/>
        <v>n/a</v>
      </c>
      <c r="V34" s="1089" t="str">
        <f t="shared" si="1"/>
        <v>n/a</v>
      </c>
      <c r="W34" s="1089" t="str">
        <f t="shared" si="2"/>
        <v>n/a</v>
      </c>
      <c r="X34" s="1089" t="str">
        <f>'Capital IQ Sheet-STM'!U35</f>
        <v>(Invalid Transaction Id)</v>
      </c>
      <c r="Y34" s="1089" t="str">
        <f>'Capital IQ Sheet-STM'!V35</f>
        <v>(Invalid Transaction Id)</v>
      </c>
      <c r="Z34" s="1088"/>
      <c r="AA34" s="576">
        <f>'Capital IQ Sheet-STM'!X35</f>
        <v>0</v>
      </c>
      <c r="AB34" s="576">
        <f>'Capital IQ Sheet-STM'!Y35</f>
        <v>0</v>
      </c>
      <c r="AC34" s="576" t="str">
        <f>'Capital IQ Sheet-STM'!Z35</f>
        <v>(Invalid Transaction Id)</v>
      </c>
      <c r="AD34" s="1088"/>
      <c r="AE34" s="1089" t="str">
        <f t="shared" si="5"/>
        <v>n/a</v>
      </c>
      <c r="AF34" s="1089" t="str">
        <f t="shared" si="6"/>
        <v>n/a</v>
      </c>
      <c r="AG34" s="1084" t="str">
        <f>'Capital IQ Sheet-STM'!AD35</f>
        <v>n/a</v>
      </c>
      <c r="AI34" s="1085" t="str">
        <f>IFERROR('Capital IQ Sheet-STM'!AH35,"n/a")</f>
        <v>n/a</v>
      </c>
      <c r="AJ34" s="1085" t="str">
        <f>IFERROR('Capital IQ Sheet-STM'!AI35,"n/a")</f>
        <v>n/a</v>
      </c>
      <c r="AL34" s="1090"/>
    </row>
    <row r="35" spans="2:38" s="1086" customFormat="1" ht="14.85" hidden="1" customHeight="1" outlineLevel="1">
      <c r="B35" s="1084" t="str">
        <f>IFERROR('Capital IQ Sheet-STM'!B36,"n/a")</f>
        <v>(Invalid Transaction Id)</v>
      </c>
      <c r="C35" s="1084" t="str">
        <f>'Capital IQ Sheet-STM'!C36</f>
        <v>(Invalid Transaction Id)</v>
      </c>
      <c r="D35" s="1084" t="str">
        <f>'Capital IQ Sheet-STM'!D36</f>
        <v>(Invalid Transaction Id)</v>
      </c>
      <c r="E35" s="1084" t="str">
        <f>'Capital IQ Sheet-STM'!E36</f>
        <v>(Invalid Identifier)</v>
      </c>
      <c r="F35" s="1085" t="str">
        <f>IFERROR('Capital IQ Sheet-STM'!F36,"n/a")</f>
        <v>n/a</v>
      </c>
      <c r="G35" s="1084" t="str">
        <f>'Capital IQ Sheet-STM'!G36</f>
        <v>(Invalid Transaction Id)</v>
      </c>
      <c r="L35" s="1087" t="str">
        <f>'Capital IQ Sheet-STM'!I36</f>
        <v>(Invalid Transaction Id)</v>
      </c>
      <c r="M35" s="1087" t="e">
        <f>'Capital IQ Sheet-STM'!J36</f>
        <v>#VALUE!</v>
      </c>
      <c r="N35" s="1087" t="str">
        <f>'Capital IQ Sheet-STM'!K36</f>
        <v>(Invalid Transaction Id)</v>
      </c>
      <c r="O35" s="1087" t="str">
        <f>'Capital IQ Sheet-STM'!L36</f>
        <v>(Invalid Transaction Id)</v>
      </c>
      <c r="P35" s="1088"/>
      <c r="Q35" s="1087" t="str">
        <f>'Capital IQ Sheet-STM'!N36</f>
        <v>(Invalid Transaction Id)</v>
      </c>
      <c r="R35" s="1087" t="str">
        <f>'Capital IQ Sheet-STM'!O36</f>
        <v>(Invalid Transaction Id)</v>
      </c>
      <c r="S35" s="1087" t="str">
        <f>'Capital IQ Sheet-STM'!P36</f>
        <v>(Invalid Transaction Id)</v>
      </c>
      <c r="T35" s="1088"/>
      <c r="U35" s="1089" t="str">
        <f t="shared" si="0"/>
        <v>n/a</v>
      </c>
      <c r="V35" s="1089" t="str">
        <f t="shared" si="1"/>
        <v>n/a</v>
      </c>
      <c r="W35" s="1089" t="str">
        <f t="shared" si="2"/>
        <v>n/a</v>
      </c>
      <c r="X35" s="1089" t="str">
        <f>'Capital IQ Sheet-STM'!U36</f>
        <v>(Invalid Transaction Id)</v>
      </c>
      <c r="Y35" s="1089" t="str">
        <f>'Capital IQ Sheet-STM'!V36</f>
        <v>(Invalid Transaction Id)</v>
      </c>
      <c r="Z35" s="1088"/>
      <c r="AA35" s="576">
        <f>'Capital IQ Sheet-STM'!X36</f>
        <v>0</v>
      </c>
      <c r="AB35" s="576">
        <f>'Capital IQ Sheet-STM'!Y36</f>
        <v>0</v>
      </c>
      <c r="AC35" s="576" t="str">
        <f>'Capital IQ Sheet-STM'!Z36</f>
        <v>(Invalid Transaction Id)</v>
      </c>
      <c r="AD35" s="1088"/>
      <c r="AE35" s="1089" t="str">
        <f t="shared" si="5"/>
        <v>n/a</v>
      </c>
      <c r="AF35" s="1089" t="str">
        <f t="shared" si="6"/>
        <v>n/a</v>
      </c>
      <c r="AG35" s="1084" t="str">
        <f>'Capital IQ Sheet-STM'!AD36</f>
        <v>n/a</v>
      </c>
      <c r="AI35" s="1085" t="str">
        <f>IFERROR('Capital IQ Sheet-STM'!AH36,"n/a")</f>
        <v>n/a</v>
      </c>
      <c r="AJ35" s="1085" t="str">
        <f>IFERROR('Capital IQ Sheet-STM'!AI36,"n/a")</f>
        <v>n/a</v>
      </c>
      <c r="AL35" s="1090"/>
    </row>
    <row r="36" spans="2:38" s="1086" customFormat="1" ht="14.85" hidden="1" customHeight="1" outlineLevel="1">
      <c r="B36" s="1084" t="str">
        <f>IFERROR('Capital IQ Sheet-STM'!B37,"n/a")</f>
        <v>(Invalid Transaction Id)</v>
      </c>
      <c r="C36" s="1084" t="str">
        <f>'Capital IQ Sheet-STM'!C37</f>
        <v>(Invalid Transaction Id)</v>
      </c>
      <c r="D36" s="1084" t="str">
        <f>'Capital IQ Sheet-STM'!D37</f>
        <v>(Invalid Transaction Id)</v>
      </c>
      <c r="E36" s="1084" t="str">
        <f>'Capital IQ Sheet-STM'!E37</f>
        <v>(Invalid Identifier)</v>
      </c>
      <c r="F36" s="1085" t="str">
        <f>IFERROR('Capital IQ Sheet-STM'!F37,"n/a")</f>
        <v>n/a</v>
      </c>
      <c r="G36" s="1084" t="str">
        <f>'Capital IQ Sheet-STM'!G37</f>
        <v>(Invalid Transaction Id)</v>
      </c>
      <c r="L36" s="1087" t="str">
        <f>'Capital IQ Sheet-STM'!I37</f>
        <v>(Invalid Transaction Id)</v>
      </c>
      <c r="M36" s="1087" t="e">
        <f>'Capital IQ Sheet-STM'!J37</f>
        <v>#VALUE!</v>
      </c>
      <c r="N36" s="1087" t="str">
        <f>'Capital IQ Sheet-STM'!K37</f>
        <v>(Invalid Transaction Id)</v>
      </c>
      <c r="O36" s="1087" t="str">
        <f>'Capital IQ Sheet-STM'!L37</f>
        <v>(Invalid Transaction Id)</v>
      </c>
      <c r="P36" s="1088"/>
      <c r="Q36" s="1087" t="str">
        <f>'Capital IQ Sheet-STM'!N37</f>
        <v>(Invalid Transaction Id)</v>
      </c>
      <c r="R36" s="1087" t="str">
        <f>'Capital IQ Sheet-STM'!O37</f>
        <v>(Invalid Transaction Id)</v>
      </c>
      <c r="S36" s="1087" t="str">
        <f>'Capital IQ Sheet-STM'!P37</f>
        <v>(Invalid Transaction Id)</v>
      </c>
      <c r="T36" s="1088"/>
      <c r="U36" s="1089" t="str">
        <f t="shared" si="0"/>
        <v>n/a</v>
      </c>
      <c r="V36" s="1089" t="str">
        <f t="shared" si="1"/>
        <v>n/a</v>
      </c>
      <c r="W36" s="1089" t="str">
        <f t="shared" si="2"/>
        <v>n/a</v>
      </c>
      <c r="X36" s="1089" t="str">
        <f>'Capital IQ Sheet-STM'!U37</f>
        <v>(Invalid Transaction Id)</v>
      </c>
      <c r="Y36" s="1089" t="str">
        <f>'Capital IQ Sheet-STM'!V37</f>
        <v>(Invalid Transaction Id)</v>
      </c>
      <c r="Z36" s="1088"/>
      <c r="AA36" s="576">
        <f>'Capital IQ Sheet-STM'!X37</f>
        <v>0</v>
      </c>
      <c r="AB36" s="576">
        <f>'Capital IQ Sheet-STM'!Y37</f>
        <v>0</v>
      </c>
      <c r="AC36" s="576" t="str">
        <f>'Capital IQ Sheet-STM'!Z37</f>
        <v>(Invalid Transaction Id)</v>
      </c>
      <c r="AD36" s="1088"/>
      <c r="AE36" s="1089" t="str">
        <f t="shared" si="5"/>
        <v>n/a</v>
      </c>
      <c r="AF36" s="1089" t="str">
        <f t="shared" si="6"/>
        <v>n/a</v>
      </c>
      <c r="AG36" s="1084" t="str">
        <f>'Capital IQ Sheet-STM'!AD37</f>
        <v>n/a</v>
      </c>
      <c r="AI36" s="1085" t="str">
        <f>IFERROR('Capital IQ Sheet-STM'!AH37,"n/a")</f>
        <v>n/a</v>
      </c>
      <c r="AJ36" s="1085" t="str">
        <f>IFERROR('Capital IQ Sheet-STM'!AI37,"n/a")</f>
        <v>n/a</v>
      </c>
      <c r="AL36" s="1090"/>
    </row>
    <row r="37" spans="2:38" s="1086" customFormat="1" ht="14.85" hidden="1" customHeight="1" outlineLevel="1">
      <c r="B37" s="1084" t="str">
        <f>IFERROR('Capital IQ Sheet-STM'!B38,"n/a")</f>
        <v>(Invalid Transaction Id)</v>
      </c>
      <c r="C37" s="1084" t="str">
        <f>'Capital IQ Sheet-STM'!C38</f>
        <v>(Invalid Transaction Id)</v>
      </c>
      <c r="D37" s="1084" t="str">
        <f>'Capital IQ Sheet-STM'!D38</f>
        <v>(Invalid Transaction Id)</v>
      </c>
      <c r="E37" s="1084" t="str">
        <f>'Capital IQ Sheet-STM'!E38</f>
        <v>(Invalid Identifier)</v>
      </c>
      <c r="F37" s="1085" t="str">
        <f>IFERROR('Capital IQ Sheet-STM'!F38,"n/a")</f>
        <v>n/a</v>
      </c>
      <c r="G37" s="1084" t="str">
        <f>'Capital IQ Sheet-STM'!G38</f>
        <v>(Invalid Transaction Id)</v>
      </c>
      <c r="L37" s="1087" t="str">
        <f>'Capital IQ Sheet-STM'!I38</f>
        <v>(Invalid Transaction Id)</v>
      </c>
      <c r="M37" s="1087" t="e">
        <f>'Capital IQ Sheet-STM'!J38</f>
        <v>#VALUE!</v>
      </c>
      <c r="N37" s="1087" t="str">
        <f>'Capital IQ Sheet-STM'!K38</f>
        <v>(Invalid Transaction Id)</v>
      </c>
      <c r="O37" s="1087" t="str">
        <f>'Capital IQ Sheet-STM'!L38</f>
        <v>(Invalid Transaction Id)</v>
      </c>
      <c r="P37" s="1088"/>
      <c r="Q37" s="1087" t="str">
        <f>'Capital IQ Sheet-STM'!N38</f>
        <v>(Invalid Transaction Id)</v>
      </c>
      <c r="R37" s="1087" t="str">
        <f>'Capital IQ Sheet-STM'!O38</f>
        <v>(Invalid Transaction Id)</v>
      </c>
      <c r="S37" s="1087" t="str">
        <f>'Capital IQ Sheet-STM'!P38</f>
        <v>(Invalid Transaction Id)</v>
      </c>
      <c r="T37" s="1088"/>
      <c r="U37" s="1089" t="str">
        <f t="shared" si="0"/>
        <v>n/a</v>
      </c>
      <c r="V37" s="1089" t="str">
        <f t="shared" si="1"/>
        <v>n/a</v>
      </c>
      <c r="W37" s="1089" t="str">
        <f t="shared" si="2"/>
        <v>n/a</v>
      </c>
      <c r="X37" s="1089" t="str">
        <f>'Capital IQ Sheet-STM'!U38</f>
        <v>(Invalid Transaction Id)</v>
      </c>
      <c r="Y37" s="1089" t="str">
        <f>'Capital IQ Sheet-STM'!V38</f>
        <v>(Invalid Transaction Id)</v>
      </c>
      <c r="Z37" s="1088"/>
      <c r="AA37" s="576">
        <f>'Capital IQ Sheet-STM'!X38</f>
        <v>0</v>
      </c>
      <c r="AB37" s="576">
        <f>'Capital IQ Sheet-STM'!Y38</f>
        <v>0</v>
      </c>
      <c r="AC37" s="576" t="str">
        <f>'Capital IQ Sheet-STM'!Z38</f>
        <v>(Invalid Transaction Id)</v>
      </c>
      <c r="AD37" s="1088"/>
      <c r="AE37" s="1089" t="str">
        <f t="shared" si="5"/>
        <v>n/a</v>
      </c>
      <c r="AF37" s="1089" t="str">
        <f t="shared" si="6"/>
        <v>n/a</v>
      </c>
      <c r="AG37" s="1084" t="str">
        <f>'Capital IQ Sheet-STM'!AD38</f>
        <v>n/a</v>
      </c>
      <c r="AI37" s="1085" t="str">
        <f>IFERROR('Capital IQ Sheet-STM'!AH38,"n/a")</f>
        <v>n/a</v>
      </c>
      <c r="AJ37" s="1085" t="str">
        <f>IFERROR('Capital IQ Sheet-STM'!AI38,"n/a")</f>
        <v>n/a</v>
      </c>
      <c r="AL37" s="1090"/>
    </row>
    <row r="38" spans="2:38" s="1086" customFormat="1" ht="14.85" hidden="1" customHeight="1" outlineLevel="1">
      <c r="B38" s="1084" t="str">
        <f>IFERROR('Capital IQ Sheet-STM'!B39,"n/a")</f>
        <v>(Invalid Transaction Id)</v>
      </c>
      <c r="C38" s="1084" t="str">
        <f>'Capital IQ Sheet-STM'!C39</f>
        <v>(Invalid Transaction Id)</v>
      </c>
      <c r="D38" s="1084" t="str">
        <f>'Capital IQ Sheet-STM'!D39</f>
        <v>(Invalid Transaction Id)</v>
      </c>
      <c r="E38" s="1084" t="str">
        <f>'Capital IQ Sheet-STM'!E39</f>
        <v>(Invalid Identifier)</v>
      </c>
      <c r="F38" s="1085" t="str">
        <f>IFERROR('Capital IQ Sheet-STM'!F39,"n/a")</f>
        <v>n/a</v>
      </c>
      <c r="G38" s="1084" t="str">
        <f>'Capital IQ Sheet-STM'!G39</f>
        <v>(Invalid Transaction Id)</v>
      </c>
      <c r="L38" s="1087" t="str">
        <f>'Capital IQ Sheet-STM'!I39</f>
        <v>(Invalid Transaction Id)</v>
      </c>
      <c r="M38" s="1087" t="e">
        <f>'Capital IQ Sheet-STM'!J39</f>
        <v>#VALUE!</v>
      </c>
      <c r="N38" s="1087" t="str">
        <f>'Capital IQ Sheet-STM'!K39</f>
        <v>(Invalid Transaction Id)</v>
      </c>
      <c r="O38" s="1087" t="str">
        <f>'Capital IQ Sheet-STM'!L39</f>
        <v>(Invalid Transaction Id)</v>
      </c>
      <c r="P38" s="1088"/>
      <c r="Q38" s="1087" t="str">
        <f>'Capital IQ Sheet-STM'!N39</f>
        <v>(Invalid Transaction Id)</v>
      </c>
      <c r="R38" s="1087" t="str">
        <f>'Capital IQ Sheet-STM'!O39</f>
        <v>(Invalid Transaction Id)</v>
      </c>
      <c r="S38" s="1087" t="str">
        <f>'Capital IQ Sheet-STM'!P39</f>
        <v>(Invalid Transaction Id)</v>
      </c>
      <c r="T38" s="1088"/>
      <c r="U38" s="1089" t="str">
        <f t="shared" si="0"/>
        <v>n/a</v>
      </c>
      <c r="V38" s="1089" t="str">
        <f t="shared" si="1"/>
        <v>n/a</v>
      </c>
      <c r="W38" s="1089" t="str">
        <f t="shared" si="2"/>
        <v>n/a</v>
      </c>
      <c r="X38" s="1089" t="str">
        <f>'Capital IQ Sheet-STM'!U39</f>
        <v>(Invalid Transaction Id)</v>
      </c>
      <c r="Y38" s="1089" t="str">
        <f>'Capital IQ Sheet-STM'!V39</f>
        <v>(Invalid Transaction Id)</v>
      </c>
      <c r="Z38" s="1088"/>
      <c r="AA38" s="576">
        <f>'Capital IQ Sheet-STM'!X39</f>
        <v>0</v>
      </c>
      <c r="AB38" s="576">
        <f>'Capital IQ Sheet-STM'!Y39</f>
        <v>0</v>
      </c>
      <c r="AC38" s="576" t="str">
        <f>'Capital IQ Sheet-STM'!Z39</f>
        <v>(Invalid Transaction Id)</v>
      </c>
      <c r="AD38" s="1088"/>
      <c r="AE38" s="1089" t="str">
        <f t="shared" si="5"/>
        <v>n/a</v>
      </c>
      <c r="AF38" s="1089" t="str">
        <f t="shared" si="6"/>
        <v>n/a</v>
      </c>
      <c r="AG38" s="1084" t="str">
        <f>'Capital IQ Sheet-STM'!AD39</f>
        <v>n/a</v>
      </c>
      <c r="AI38" s="1085" t="str">
        <f>IFERROR('Capital IQ Sheet-STM'!AH39,"n/a")</f>
        <v>n/a</v>
      </c>
      <c r="AJ38" s="1085" t="str">
        <f>IFERROR('Capital IQ Sheet-STM'!AI39,"n/a")</f>
        <v>n/a</v>
      </c>
      <c r="AL38" s="1090"/>
    </row>
    <row r="39" spans="2:38" s="1086" customFormat="1" ht="14.85" hidden="1" customHeight="1" outlineLevel="1">
      <c r="B39" s="1084">
        <f>IFERROR('Capital IQ Sheet-STM'!B40,"n/a")</f>
        <v>0</v>
      </c>
      <c r="C39" s="1084">
        <f>'Capital IQ Sheet-STM'!C40</f>
        <v>0</v>
      </c>
      <c r="D39" s="1084">
        <f>'Capital IQ Sheet-STM'!D40</f>
        <v>0</v>
      </c>
      <c r="E39" s="1084">
        <f>'Capital IQ Sheet-STM'!E40</f>
        <v>0</v>
      </c>
      <c r="F39" s="1085">
        <f>IFERROR('Capital IQ Sheet-STM'!F40,"n/a")</f>
        <v>0</v>
      </c>
      <c r="G39" s="1084">
        <f>'Capital IQ Sheet-STM'!G40</f>
        <v>0</v>
      </c>
      <c r="L39" s="1087">
        <f>'Capital IQ Sheet-STM'!I40</f>
        <v>0</v>
      </c>
      <c r="M39" s="1087">
        <f>'Capital IQ Sheet-STM'!J40</f>
        <v>0</v>
      </c>
      <c r="N39" s="1087">
        <f>'Capital IQ Sheet-STM'!K40</f>
        <v>0</v>
      </c>
      <c r="O39" s="1087">
        <f>'Capital IQ Sheet-STM'!L40</f>
        <v>0</v>
      </c>
      <c r="P39" s="1088"/>
      <c r="Q39" s="1087">
        <f>'Capital IQ Sheet-STM'!N40</f>
        <v>0</v>
      </c>
      <c r="R39" s="1087">
        <f>'Capital IQ Sheet-STM'!O40</f>
        <v>0</v>
      </c>
      <c r="S39" s="1087">
        <f>'Capital IQ Sheet-STM'!P40</f>
        <v>0</v>
      </c>
      <c r="T39" s="1088"/>
      <c r="U39" s="1089" t="str">
        <f t="shared" si="0"/>
        <v>n/a</v>
      </c>
      <c r="V39" s="1089" t="str">
        <f t="shared" si="1"/>
        <v>n/a</v>
      </c>
      <c r="W39" s="1089" t="str">
        <f t="shared" si="2"/>
        <v>n/a</v>
      </c>
      <c r="X39" s="1089">
        <f>'Capital IQ Sheet-STM'!U40</f>
        <v>0</v>
      </c>
      <c r="Y39" s="1089">
        <f>'Capital IQ Sheet-STM'!V40</f>
        <v>0</v>
      </c>
      <c r="Z39" s="1088"/>
      <c r="AA39" s="576">
        <f>'Capital IQ Sheet-STM'!X40</f>
        <v>0</v>
      </c>
      <c r="AB39" s="576">
        <f>'Capital IQ Sheet-STM'!Y40</f>
        <v>0</v>
      </c>
      <c r="AC39" s="576">
        <f>'Capital IQ Sheet-STM'!Z40</f>
        <v>0</v>
      </c>
      <c r="AD39" s="1088"/>
      <c r="AE39" s="1089" t="str">
        <f t="shared" si="5"/>
        <v>n/a</v>
      </c>
      <c r="AF39" s="1089" t="str">
        <f t="shared" si="6"/>
        <v>n/a</v>
      </c>
      <c r="AG39" s="1084">
        <f>'Capital IQ Sheet-STM'!AD40</f>
        <v>0</v>
      </c>
      <c r="AI39" s="1085">
        <f>IFERROR('Capital IQ Sheet-STM'!AH40,"n/a")</f>
        <v>0</v>
      </c>
      <c r="AJ39" s="1085">
        <f>IFERROR('Capital IQ Sheet-STM'!AI40,"n/a")</f>
        <v>0</v>
      </c>
      <c r="AL39" s="1090"/>
    </row>
    <row r="40" spans="2:38" s="1086" customFormat="1" ht="14.85" hidden="1" customHeight="1" outlineLevel="1">
      <c r="B40" s="1084">
        <f>IFERROR('Capital IQ Sheet-STM'!B41,"n/a")</f>
        <v>0</v>
      </c>
      <c r="C40" s="1084">
        <f>'Capital IQ Sheet-STM'!C41</f>
        <v>0</v>
      </c>
      <c r="D40" s="1084">
        <f>'Capital IQ Sheet-STM'!D41</f>
        <v>0</v>
      </c>
      <c r="E40" s="1084">
        <f>'Capital IQ Sheet-STM'!E41</f>
        <v>0</v>
      </c>
      <c r="F40" s="1085">
        <f>IFERROR('Capital IQ Sheet-STM'!F41,"n/a")</f>
        <v>0</v>
      </c>
      <c r="G40" s="1084">
        <f>'Capital IQ Sheet-STM'!G41</f>
        <v>0</v>
      </c>
      <c r="L40" s="1087">
        <f>'Capital IQ Sheet-STM'!I41</f>
        <v>0</v>
      </c>
      <c r="M40" s="1087">
        <f>'Capital IQ Sheet-STM'!J41</f>
        <v>0</v>
      </c>
      <c r="N40" s="1087">
        <f>'Capital IQ Sheet-STM'!K41</f>
        <v>0</v>
      </c>
      <c r="O40" s="1087">
        <f>'Capital IQ Sheet-STM'!L41</f>
        <v>0</v>
      </c>
      <c r="P40" s="1088"/>
      <c r="Q40" s="1087">
        <f>'Capital IQ Sheet-STM'!N41</f>
        <v>0</v>
      </c>
      <c r="R40" s="1087">
        <f>'Capital IQ Sheet-STM'!O41</f>
        <v>0</v>
      </c>
      <c r="S40" s="1087">
        <f>'Capital IQ Sheet-STM'!P41</f>
        <v>0</v>
      </c>
      <c r="T40" s="1088"/>
      <c r="U40" s="1089" t="str">
        <f t="shared" si="0"/>
        <v>n/a</v>
      </c>
      <c r="V40" s="1089" t="str">
        <f t="shared" si="1"/>
        <v>n/a</v>
      </c>
      <c r="W40" s="1089" t="str">
        <f t="shared" si="2"/>
        <v>n/a</v>
      </c>
      <c r="X40" s="1089">
        <f>'Capital IQ Sheet-STM'!U41</f>
        <v>0</v>
      </c>
      <c r="Y40" s="1089">
        <f>'Capital IQ Sheet-STM'!V41</f>
        <v>0</v>
      </c>
      <c r="Z40" s="1088"/>
      <c r="AA40" s="576">
        <f>'Capital IQ Sheet-STM'!X41</f>
        <v>0</v>
      </c>
      <c r="AB40" s="576">
        <f>'Capital IQ Sheet-STM'!Y41</f>
        <v>0</v>
      </c>
      <c r="AC40" s="576">
        <f>'Capital IQ Sheet-STM'!Z41</f>
        <v>0</v>
      </c>
      <c r="AD40" s="1088"/>
      <c r="AE40" s="1089" t="str">
        <f t="shared" si="5"/>
        <v>n/a</v>
      </c>
      <c r="AF40" s="1089" t="str">
        <f t="shared" si="6"/>
        <v>n/a</v>
      </c>
      <c r="AG40" s="1084">
        <f>'Capital IQ Sheet-STM'!AD41</f>
        <v>0</v>
      </c>
      <c r="AI40" s="1085">
        <f>IFERROR('Capital IQ Sheet-STM'!AH41,"n/a")</f>
        <v>0</v>
      </c>
      <c r="AJ40" s="1085">
        <f>IFERROR('Capital IQ Sheet-STM'!AI41,"n/a")</f>
        <v>0</v>
      </c>
      <c r="AL40" s="1090"/>
    </row>
    <row r="41" spans="2:38" s="1086" customFormat="1" ht="14.85" hidden="1" customHeight="1" outlineLevel="1">
      <c r="B41" s="1084">
        <f>IFERROR('Capital IQ Sheet-STM'!B42,"n/a")</f>
        <v>0</v>
      </c>
      <c r="C41" s="1084">
        <f>'Capital IQ Sheet-STM'!C42</f>
        <v>0</v>
      </c>
      <c r="D41" s="1084">
        <f>'Capital IQ Sheet-STM'!D42</f>
        <v>0</v>
      </c>
      <c r="E41" s="1084">
        <f>'Capital IQ Sheet-STM'!E42</f>
        <v>0</v>
      </c>
      <c r="F41" s="1085">
        <f>IFERROR('Capital IQ Sheet-STM'!F42,"n/a")</f>
        <v>0</v>
      </c>
      <c r="G41" s="1084">
        <f>'Capital IQ Sheet-STM'!G42</f>
        <v>0</v>
      </c>
      <c r="L41" s="1087">
        <f>'Capital IQ Sheet-STM'!I42</f>
        <v>0</v>
      </c>
      <c r="M41" s="1087">
        <f>'Capital IQ Sheet-STM'!J42</f>
        <v>0</v>
      </c>
      <c r="N41" s="1087">
        <f>'Capital IQ Sheet-STM'!K42</f>
        <v>0</v>
      </c>
      <c r="O41" s="1087">
        <f>'Capital IQ Sheet-STM'!L42</f>
        <v>0</v>
      </c>
      <c r="P41" s="1088"/>
      <c r="Q41" s="1087">
        <f>'Capital IQ Sheet-STM'!N42</f>
        <v>0</v>
      </c>
      <c r="R41" s="1087">
        <f>'Capital IQ Sheet-STM'!O42</f>
        <v>0</v>
      </c>
      <c r="S41" s="1087">
        <f>'Capital IQ Sheet-STM'!P42</f>
        <v>0</v>
      </c>
      <c r="T41" s="1088"/>
      <c r="U41" s="1089" t="str">
        <f t="shared" si="0"/>
        <v>n/a</v>
      </c>
      <c r="V41" s="1089" t="str">
        <f t="shared" si="1"/>
        <v>n/a</v>
      </c>
      <c r="W41" s="1089" t="str">
        <f t="shared" si="2"/>
        <v>n/a</v>
      </c>
      <c r="X41" s="1089">
        <f>'Capital IQ Sheet-STM'!U42</f>
        <v>0</v>
      </c>
      <c r="Y41" s="1089">
        <f>'Capital IQ Sheet-STM'!V42</f>
        <v>0</v>
      </c>
      <c r="Z41" s="1088"/>
      <c r="AA41" s="576">
        <f>'Capital IQ Sheet-STM'!X42</f>
        <v>0</v>
      </c>
      <c r="AB41" s="576">
        <f>'Capital IQ Sheet-STM'!Y42</f>
        <v>0</v>
      </c>
      <c r="AC41" s="576">
        <f>'Capital IQ Sheet-STM'!Z42</f>
        <v>0</v>
      </c>
      <c r="AD41" s="1088"/>
      <c r="AE41" s="1089" t="str">
        <f t="shared" si="5"/>
        <v>n/a</v>
      </c>
      <c r="AF41" s="1089" t="str">
        <f t="shared" si="6"/>
        <v>n/a</v>
      </c>
      <c r="AG41" s="1084">
        <f>'Capital IQ Sheet-STM'!AD42</f>
        <v>0</v>
      </c>
      <c r="AI41" s="1085">
        <f>IFERROR('Capital IQ Sheet-STM'!AH42,"n/a")</f>
        <v>0</v>
      </c>
      <c r="AJ41" s="1085">
        <f>IFERROR('Capital IQ Sheet-STM'!AI42,"n/a")</f>
        <v>0</v>
      </c>
      <c r="AL41" s="1090"/>
    </row>
    <row r="42" spans="2:38" ht="14.85" customHeight="1" collapsed="1">
      <c r="F42" s="360"/>
    </row>
    <row r="43" spans="2:38" ht="14.85" customHeight="1">
      <c r="B43" s="665" t="s">
        <v>111</v>
      </c>
      <c r="C43" s="1091"/>
      <c r="D43" s="1091"/>
      <c r="E43" s="632"/>
      <c r="F43" s="1092"/>
      <c r="G43" s="1091"/>
      <c r="H43" s="1091"/>
      <c r="I43" s="1093"/>
      <c r="J43" s="1093"/>
      <c r="K43" s="1093"/>
      <c r="L43" s="1025">
        <f>MAX(L9:L42)</f>
        <v>11.21428</v>
      </c>
      <c r="M43" s="1094" t="e">
        <f>MAX(M9:M42)</f>
        <v>#VALUE!</v>
      </c>
      <c r="N43" s="1094">
        <f>MAX(N9:N42)</f>
        <v>0</v>
      </c>
      <c r="O43" s="1095">
        <f>MAX(O9:O42)</f>
        <v>15.00634</v>
      </c>
      <c r="P43" s="1091"/>
      <c r="Q43" s="1025">
        <f>MAX(Q9:Q42)</f>
        <v>0.51100000000000001</v>
      </c>
      <c r="R43" s="1025">
        <f>MAX(R9:R42)</f>
        <v>0</v>
      </c>
      <c r="S43" s="1025">
        <f>MAX(S9:S42)</f>
        <v>0</v>
      </c>
      <c r="T43" s="1096"/>
      <c r="U43" s="1028">
        <f>MAX(U9:U42)</f>
        <v>21.945753424657536</v>
      </c>
      <c r="V43" s="1028">
        <f>MAX(V9:V42)</f>
        <v>0</v>
      </c>
      <c r="W43" s="1028">
        <f>MAX(W9:W42)</f>
        <v>0</v>
      </c>
      <c r="X43" s="1028">
        <f>MAX(X9:X42)</f>
        <v>3.1703899999999998</v>
      </c>
      <c r="Y43" s="1028">
        <f>MAX(Y9:Y42)</f>
        <v>0</v>
      </c>
      <c r="Z43" s="1091"/>
      <c r="AA43" s="1025">
        <f>MAX(AA9:AA42)</f>
        <v>0</v>
      </c>
      <c r="AB43" s="1025">
        <f>MAX(AB9:AB42)</f>
        <v>0</v>
      </c>
      <c r="AC43" s="1025">
        <f>MAX(AC9:AC42)</f>
        <v>0.4</v>
      </c>
      <c r="AD43" s="1091"/>
      <c r="AE43" s="1028">
        <f>MAX(AE9:AE42)</f>
        <v>0</v>
      </c>
      <c r="AF43" s="1028">
        <f>MAX(AF9:AF42)</f>
        <v>0</v>
      </c>
      <c r="AG43" s="1028">
        <f>MAX(AG9:AG42)</f>
        <v>28.035699999999999</v>
      </c>
      <c r="AH43" s="1097"/>
      <c r="AI43" s="1098">
        <f>MAX(AI9:AI42)</f>
        <v>7.0265999999999995E-2</v>
      </c>
      <c r="AJ43" s="1099">
        <f>MAX(AJ9:AJ42)</f>
        <v>1.0002230000000001</v>
      </c>
    </row>
    <row r="44" spans="2:38" ht="14.85" customHeight="1">
      <c r="B44" s="1030" t="s">
        <v>115</v>
      </c>
      <c r="C44" s="637"/>
      <c r="D44" s="637"/>
      <c r="E44" s="637"/>
      <c r="F44" s="1100"/>
      <c r="G44" s="637"/>
      <c r="H44" s="637"/>
      <c r="I44" s="637"/>
      <c r="J44" s="637"/>
      <c r="K44" s="637"/>
      <c r="L44" s="944">
        <f>QUARTILE(L9:L42,3)</f>
        <v>0</v>
      </c>
      <c r="M44" s="944" t="e">
        <f>QUARTILE(M9:M42,3)</f>
        <v>#VALUE!</v>
      </c>
      <c r="N44" s="944">
        <f>QUARTILE(N9:N42,3)</f>
        <v>0</v>
      </c>
      <c r="O44" s="944">
        <f>QUARTILE(O9:O42,3)</f>
        <v>0</v>
      </c>
      <c r="P44" s="637"/>
      <c r="Q44" s="944">
        <f>QUARTILE(Q9:Q42,3)</f>
        <v>0</v>
      </c>
      <c r="R44" s="944">
        <f>QUARTILE(R9:R42,3)</f>
        <v>0</v>
      </c>
      <c r="S44" s="944">
        <f>QUARTILE(S9:S42,3)</f>
        <v>0</v>
      </c>
      <c r="T44" s="675"/>
      <c r="U44" s="943">
        <f>QUARTILE(U9:U42,3)</f>
        <v>21.945753424657536</v>
      </c>
      <c r="V44" s="943" t="e">
        <f>QUARTILE(V9:V42,3)</f>
        <v>#NUM!</v>
      </c>
      <c r="W44" s="943" t="e">
        <f>QUARTILE(W9:W42,3)</f>
        <v>#NUM!</v>
      </c>
      <c r="X44" s="943">
        <f>QUARTILE(X9:X42,3)</f>
        <v>0.79259749999999995</v>
      </c>
      <c r="Y44" s="943">
        <f>QUARTILE(Y9:Y42,3)</f>
        <v>0</v>
      </c>
      <c r="Z44" s="637"/>
      <c r="AA44" s="944">
        <f>QUARTILE(AA9:AA42,3)</f>
        <v>0</v>
      </c>
      <c r="AB44" s="944">
        <f>QUARTILE(AB9:AB42,3)</f>
        <v>0</v>
      </c>
      <c r="AC44" s="944">
        <f>QUARTILE(AC9:AC42,3)</f>
        <v>0</v>
      </c>
      <c r="AD44" s="637"/>
      <c r="AE44" s="943" t="e">
        <f>QUARTILE(AE9:AE42,3)</f>
        <v>#NUM!</v>
      </c>
      <c r="AF44" s="943" t="e">
        <f>QUARTILE(AF9:AF42,3)</f>
        <v>#NUM!</v>
      </c>
      <c r="AG44" s="943">
        <f>QUARTILE(AG9:AG42,3)</f>
        <v>7.0089249999999996</v>
      </c>
      <c r="AI44" s="1046">
        <f>QUARTILE(AI9:AI42,3)</f>
        <v>1.7566499999999999E-2</v>
      </c>
      <c r="AJ44" s="1047">
        <f>QUARTILE(AJ9:AJ42,3)</f>
        <v>0.25005575000000002</v>
      </c>
    </row>
    <row r="45" spans="2:38" ht="14.85" customHeight="1">
      <c r="B45" s="1030" t="s">
        <v>113</v>
      </c>
      <c r="C45" s="637"/>
      <c r="D45" s="637"/>
      <c r="E45" s="637"/>
      <c r="F45" s="1100"/>
      <c r="G45" s="637"/>
      <c r="H45" s="637"/>
      <c r="I45" s="637"/>
      <c r="J45" s="637"/>
      <c r="K45" s="637"/>
      <c r="L45" s="944">
        <f>AVERAGE(L9:L42)</f>
        <v>2.2428560000000002</v>
      </c>
      <c r="M45" s="944" t="e">
        <f>AVERAGE(M9:M42)</f>
        <v>#VALUE!</v>
      </c>
      <c r="N45" s="944">
        <f>AVERAGE(N9:N42)</f>
        <v>0</v>
      </c>
      <c r="O45" s="944">
        <f>AVERAGE(O9:O42)</f>
        <v>3.001268</v>
      </c>
      <c r="P45" s="637"/>
      <c r="Q45" s="944">
        <f>AVERAGE(Q9:Q42)</f>
        <v>0.1022</v>
      </c>
      <c r="R45" s="944">
        <f>AVERAGE(R9:R42)</f>
        <v>-1.425</v>
      </c>
      <c r="S45" s="944">
        <f>AVERAGE(S9:S42)</f>
        <v>-1.4430000000000001</v>
      </c>
      <c r="T45" s="675"/>
      <c r="U45" s="943">
        <f>AVERAGE(U9:U42)</f>
        <v>21.945753424657536</v>
      </c>
      <c r="V45" s="943" t="e">
        <f>AVERAGE(V9:V42)</f>
        <v>#DIV/0!</v>
      </c>
      <c r="W45" s="943" t="e">
        <f>AVERAGE(W9:W42)</f>
        <v>#DIV/0!</v>
      </c>
      <c r="X45" s="943">
        <f>AVERAGE(X9:X42)</f>
        <v>0.79259749999999995</v>
      </c>
      <c r="Y45" s="943">
        <f>AVERAGE(Y9:Y42)</f>
        <v>0</v>
      </c>
      <c r="Z45" s="637"/>
      <c r="AA45" s="944">
        <f>AVERAGE(AA9:AA42)</f>
        <v>0</v>
      </c>
      <c r="AB45" s="944">
        <f>AVERAGE(AB9:AB42)</f>
        <v>0</v>
      </c>
      <c r="AC45" s="944">
        <f>AVERAGE(AC9:AC42)</f>
        <v>0.08</v>
      </c>
      <c r="AD45" s="637"/>
      <c r="AE45" s="943" t="e">
        <f>AVERAGE(AE9:AE42)</f>
        <v>#DIV/0!</v>
      </c>
      <c r="AF45" s="943" t="e">
        <f>AVERAGE(AF9:AF42)</f>
        <v>#DIV/0!</v>
      </c>
      <c r="AG45" s="943">
        <f>AVERAGE(AG9:AG42)</f>
        <v>7.0089249999999996</v>
      </c>
      <c r="AI45" s="1046">
        <f>AVERAGE(AI9:AI42)</f>
        <v>1.7566499999999999E-2</v>
      </c>
      <c r="AJ45" s="1047">
        <f>AVERAGE(AJ9:AJ42)</f>
        <v>0.25005575000000002</v>
      </c>
    </row>
    <row r="46" spans="2:38" ht="14.85" customHeight="1">
      <c r="B46" s="1030" t="s">
        <v>44</v>
      </c>
      <c r="C46" s="637"/>
      <c r="D46" s="637"/>
      <c r="E46" s="637"/>
      <c r="F46" s="1100"/>
      <c r="G46" s="637"/>
      <c r="H46" s="637"/>
      <c r="I46" s="637"/>
      <c r="J46" s="637"/>
      <c r="K46" s="637"/>
      <c r="L46" s="944">
        <f>MEDIAN(L9:L42)</f>
        <v>0</v>
      </c>
      <c r="M46" s="944" t="e">
        <f>MEDIAN(M9:M42)</f>
        <v>#VALUE!</v>
      </c>
      <c r="N46" s="944">
        <f>MEDIAN(N9:N42)</f>
        <v>0</v>
      </c>
      <c r="O46" s="944">
        <f>MEDIAN(O9:O42)</f>
        <v>0</v>
      </c>
      <c r="P46" s="637"/>
      <c r="Q46" s="944">
        <f>MEDIAN(Q9:Q42)</f>
        <v>0</v>
      </c>
      <c r="R46" s="944">
        <f>MEDIAN(R9:R42)</f>
        <v>0</v>
      </c>
      <c r="S46" s="944">
        <f>MEDIAN(S9:S42)</f>
        <v>0</v>
      </c>
      <c r="T46" s="675"/>
      <c r="U46" s="943">
        <f>MEDIAN(U9:U42)</f>
        <v>21.945753424657536</v>
      </c>
      <c r="V46" s="943" t="e">
        <f>MEDIAN(V9:V42)</f>
        <v>#NUM!</v>
      </c>
      <c r="W46" s="943" t="e">
        <f>MEDIAN(W9:W42)</f>
        <v>#NUM!</v>
      </c>
      <c r="X46" s="943">
        <f>MEDIAN(X9:X42)</f>
        <v>0</v>
      </c>
      <c r="Y46" s="943">
        <f>MEDIAN(Y9:Y42)</f>
        <v>0</v>
      </c>
      <c r="Z46" s="637"/>
      <c r="AA46" s="944">
        <f>MEDIAN(AA9:AA42)</f>
        <v>0</v>
      </c>
      <c r="AB46" s="944">
        <f>MEDIAN(AB9:AB42)</f>
        <v>0</v>
      </c>
      <c r="AC46" s="944">
        <f>MEDIAN(AC9:AC42)</f>
        <v>0</v>
      </c>
      <c r="AD46" s="637"/>
      <c r="AE46" s="943" t="e">
        <f>MEDIAN(AE9:AE42)</f>
        <v>#NUM!</v>
      </c>
      <c r="AF46" s="943" t="e">
        <f>MEDIAN(AF9:AF42)</f>
        <v>#NUM!</v>
      </c>
      <c r="AG46" s="943">
        <f>MEDIAN(AG9:AG42)</f>
        <v>0</v>
      </c>
      <c r="AI46" s="1046">
        <f>MEDIAN(AI9:AI42)</f>
        <v>0</v>
      </c>
      <c r="AJ46" s="1047">
        <f>MEDIAN(AJ9:AJ42)</f>
        <v>0</v>
      </c>
    </row>
    <row r="47" spans="2:38" ht="14.85" customHeight="1">
      <c r="B47" s="1030" t="s">
        <v>114</v>
      </c>
      <c r="C47" s="637"/>
      <c r="D47" s="637"/>
      <c r="E47" s="637"/>
      <c r="F47" s="637"/>
      <c r="G47" s="637"/>
      <c r="H47" s="637"/>
      <c r="I47" s="637"/>
      <c r="J47" s="637"/>
      <c r="K47" s="637"/>
      <c r="L47" s="944">
        <f>QUARTILE(L9:L42,1)</f>
        <v>0</v>
      </c>
      <c r="M47" s="944" t="e">
        <f>QUARTILE(M9:M42,1)</f>
        <v>#VALUE!</v>
      </c>
      <c r="N47" s="944">
        <f>QUARTILE(N9:N42,1)</f>
        <v>0</v>
      </c>
      <c r="O47" s="944">
        <f>QUARTILE(O9:O42,1)</f>
        <v>0</v>
      </c>
      <c r="P47" s="637"/>
      <c r="Q47" s="944">
        <f>QUARTILE(Q9:Q42,1)</f>
        <v>0</v>
      </c>
      <c r="R47" s="944">
        <f>QUARTILE(R9:R42,1)</f>
        <v>0</v>
      </c>
      <c r="S47" s="944">
        <f>QUARTILE(S9:S42,1)</f>
        <v>0</v>
      </c>
      <c r="T47" s="675"/>
      <c r="U47" s="943">
        <f>QUARTILE(U9:U42,1)</f>
        <v>21.945753424657536</v>
      </c>
      <c r="V47" s="943" t="e">
        <f>QUARTILE(V9:V42,1)</f>
        <v>#NUM!</v>
      </c>
      <c r="W47" s="943" t="e">
        <f>QUARTILE(W9:W42,1)</f>
        <v>#NUM!</v>
      </c>
      <c r="X47" s="943">
        <f>QUARTILE(X9:X42,1)</f>
        <v>0</v>
      </c>
      <c r="Y47" s="943">
        <f>QUARTILE(Y9:Y42,1)</f>
        <v>0</v>
      </c>
      <c r="Z47" s="637"/>
      <c r="AA47" s="944">
        <f>QUARTILE(AA9:AA42,1)</f>
        <v>0</v>
      </c>
      <c r="AB47" s="944">
        <f>QUARTILE(AB9:AB42,1)</f>
        <v>0</v>
      </c>
      <c r="AC47" s="944">
        <f>QUARTILE(AC9:AC42,1)</f>
        <v>0</v>
      </c>
      <c r="AD47" s="637"/>
      <c r="AE47" s="943" t="e">
        <f>QUARTILE(AE9:AE42,1)</f>
        <v>#NUM!</v>
      </c>
      <c r="AF47" s="943" t="e">
        <f>QUARTILE(AF9:AF42,1)</f>
        <v>#NUM!</v>
      </c>
      <c r="AG47" s="943">
        <f>QUARTILE(AG9:AG42,1)</f>
        <v>0</v>
      </c>
      <c r="AI47" s="1046">
        <f>QUARTILE(AI9:AI42,1)</f>
        <v>0</v>
      </c>
      <c r="AJ47" s="1047">
        <f>QUARTILE(AJ9:AJ42,1)</f>
        <v>0</v>
      </c>
    </row>
    <row r="48" spans="2:38" ht="14.85" customHeight="1">
      <c r="B48" s="946" t="s">
        <v>112</v>
      </c>
      <c r="C48" s="1101"/>
      <c r="D48" s="1101"/>
      <c r="E48" s="1101"/>
      <c r="F48" s="1101"/>
      <c r="G48" s="1101"/>
      <c r="H48" s="1101"/>
      <c r="I48" s="1101"/>
      <c r="J48" s="1101"/>
      <c r="K48" s="1101"/>
      <c r="L48" s="672">
        <f>MIN(L9:L42)</f>
        <v>0</v>
      </c>
      <c r="M48" s="672" t="e">
        <f>MIN(M9:M42)</f>
        <v>#VALUE!</v>
      </c>
      <c r="N48" s="672">
        <f>MIN(N9:N42)</f>
        <v>0</v>
      </c>
      <c r="O48" s="672">
        <f>MIN(O9:O42)</f>
        <v>0</v>
      </c>
      <c r="P48" s="1101"/>
      <c r="Q48" s="672">
        <f>MIN(Q9:Q42)</f>
        <v>0</v>
      </c>
      <c r="R48" s="672">
        <f>MIN(R9:R42)</f>
        <v>-7.125</v>
      </c>
      <c r="S48" s="672">
        <f>MIN(S9:S42)</f>
        <v>-7.2149999999999999</v>
      </c>
      <c r="T48" s="1102"/>
      <c r="U48" s="947">
        <f>MIN(U9:U42)</f>
        <v>21.945753424657536</v>
      </c>
      <c r="V48" s="947">
        <f>MIN(V9:V42)</f>
        <v>0</v>
      </c>
      <c r="W48" s="947">
        <f>MIN(W9:W42)</f>
        <v>0</v>
      </c>
      <c r="X48" s="947">
        <f>MIN(X9:X42)</f>
        <v>0</v>
      </c>
      <c r="Y48" s="947">
        <f>MIN(Y9:Y42)</f>
        <v>0</v>
      </c>
      <c r="Z48" s="1101"/>
      <c r="AA48" s="672">
        <f>MIN(AA9:AA42)</f>
        <v>0</v>
      </c>
      <c r="AB48" s="672">
        <f>MIN(AB9:AB42)</f>
        <v>0</v>
      </c>
      <c r="AC48" s="672">
        <f>MIN(AC9:AC42)</f>
        <v>0</v>
      </c>
      <c r="AD48" s="1101"/>
      <c r="AE48" s="947">
        <f>MIN(AE9:AE42)</f>
        <v>0</v>
      </c>
      <c r="AF48" s="947">
        <f>MIN(AF9:AF42)</f>
        <v>0</v>
      </c>
      <c r="AG48" s="947">
        <f>MIN(AG9:AG42)</f>
        <v>0</v>
      </c>
      <c r="AH48" s="264"/>
      <c r="AI48" s="1048">
        <f>MIN(AI9:AI42)</f>
        <v>0</v>
      </c>
      <c r="AJ48" s="1103">
        <f>MIN(AJ9:AJ42)</f>
        <v>0</v>
      </c>
    </row>
    <row r="49" spans="2:2" ht="14.85" customHeight="1"/>
    <row r="50" spans="2:2" ht="14.85" customHeight="1">
      <c r="B50" s="272" t="s">
        <v>116</v>
      </c>
    </row>
    <row r="51" spans="2:2" ht="14.85" customHeight="1"/>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U4">
    <cfRule type="cellIs" dxfId="147" priority="9" stopIfTrue="1" operator="equal">
      <formula>"input"</formula>
    </cfRule>
  </conditionalFormatting>
  <conditionalFormatting sqref="B4:P4">
    <cfRule type="cellIs" dxfId="146" priority="15" stopIfTrue="1" operator="equal">
      <formula>"input"</formula>
    </cfRule>
  </conditionalFormatting>
  <conditionalFormatting sqref="Q4">
    <cfRule type="cellIs" dxfId="145" priority="13" stopIfTrue="1" operator="equal">
      <formula>"input"</formula>
    </cfRule>
  </conditionalFormatting>
  <conditionalFormatting sqref="Q4">
    <cfRule type="cellIs" dxfId="144" priority="14" stopIfTrue="1" operator="equal">
      <formula>"input"</formula>
    </cfRule>
  </conditionalFormatting>
  <conditionalFormatting sqref="R4:T4">
    <cfRule type="cellIs" dxfId="143" priority="11" stopIfTrue="1" operator="equal">
      <formula>"input"</formula>
    </cfRule>
  </conditionalFormatting>
  <conditionalFormatting sqref="R4:T4">
    <cfRule type="cellIs" dxfId="142" priority="12" stopIfTrue="1" operator="equal">
      <formula>"input"</formula>
    </cfRule>
  </conditionalFormatting>
  <conditionalFormatting sqref="U4">
    <cfRule type="cellIs" dxfId="141" priority="10" stopIfTrue="1" operator="equal">
      <formula>"input"</formula>
    </cfRule>
  </conditionalFormatting>
  <conditionalFormatting sqref="V4:AI4">
    <cfRule type="cellIs" dxfId="140" priority="7" stopIfTrue="1" operator="equal">
      <formula>"input"</formula>
    </cfRule>
  </conditionalFormatting>
  <conditionalFormatting sqref="V4:AI4">
    <cfRule type="cellIs" dxfId="139" priority="8" stopIfTrue="1" operator="equal">
      <formula>"input"</formula>
    </cfRule>
  </conditionalFormatting>
  <conditionalFormatting sqref="AJ4">
    <cfRule type="cellIs" dxfId="138" priority="1" stopIfTrue="1" operator="equal">
      <formula>"input"</formula>
    </cfRule>
  </conditionalFormatting>
  <conditionalFormatting sqref="AJ4">
    <cfRule type="cellIs" dxfId="137" priority="2" stopIfTrue="1" operator="equal">
      <formula>"input"</formula>
    </cfRule>
  </conditionalFormatting>
  <pageMargins left="0.5" right="0.5" top="0.5" bottom="0.5" header="0.5" footer="0.5"/>
  <pageSetup scale="49" fitToWidth="0" fitToHeight="0" orientation="landscape" r:id="rId1"/>
  <legacyDrawingHF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4">
    <tabColor rgb="FFFF0000"/>
  </sheetPr>
  <dimension ref="B1:D764"/>
  <sheetViews>
    <sheetView showGridLines="0" view="pageBreakPreview" zoomScale="80" zoomScaleNormal="100" zoomScaleSheetLayoutView="80" workbookViewId="0"/>
  </sheetViews>
  <sheetFormatPr defaultRowHeight="12.75" outlineLevelRow="1"/>
  <cols>
    <col min="1" max="1" width="4.5" style="179" customWidth="1"/>
    <col min="2" max="2" width="39" style="179" customWidth="1"/>
    <col min="3" max="3" width="2.83203125" style="179" customWidth="1"/>
    <col min="4" max="4" width="103.1640625" style="179" customWidth="1"/>
    <col min="5" max="5" width="4.5" style="179" customWidth="1"/>
    <col min="6" max="16384" width="9.33203125" style="179"/>
  </cols>
  <sheetData>
    <row r="1" spans="2:4" ht="13.5" thickBot="1"/>
    <row r="2" spans="2:4" ht="15" thickTop="1">
      <c r="B2" s="187" t="str">
        <f>'MASTER PubCo Inputs'!$C$5</f>
        <v>Decibel Therapeutics, Inc.</v>
      </c>
      <c r="C2" s="187"/>
      <c r="D2" s="187"/>
    </row>
    <row r="3" spans="2:4" ht="14.25">
      <c r="B3" s="188" t="e">
        <f>VLOOKUP(B4,Outline!$E$8:$G$75,COLUMNS(Outline!$E$8:$G$8),FALSE)</f>
        <v>#N/A</v>
      </c>
      <c r="C3" s="188"/>
      <c r="D3" s="188"/>
    </row>
    <row r="4" spans="2:4" ht="15" thickBot="1">
      <c r="B4" s="726" t="s">
        <v>744</v>
      </c>
      <c r="C4" s="726"/>
      <c r="D4" s="727"/>
    </row>
    <row r="5" spans="2:4" ht="14.85" customHeight="1" thickTop="1"/>
    <row r="6" spans="2:4" ht="14.85" customHeight="1">
      <c r="B6" s="1054" t="s">
        <v>745</v>
      </c>
      <c r="C6" s="1104"/>
      <c r="D6" s="1055" t="s">
        <v>127</v>
      </c>
    </row>
    <row r="7" spans="2:4" ht="14.85" customHeight="1"/>
    <row r="8" spans="2:4" ht="14.85" customHeight="1">
      <c r="B8" s="1105" t="str">
        <f>Trans.1!D9</f>
        <v>GenVec, Inc.</v>
      </c>
      <c r="C8" s="1106"/>
      <c r="D8" s="1105" t="str">
        <f>'Capital IQ Sheet-STM'!AL10</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 As of June 16, 2017, GenVec, Inc. operates as a subsidiary of Intrexon Corporation.</v>
      </c>
    </row>
    <row r="9" spans="2:4" ht="14.25" customHeight="1" outlineLevel="1">
      <c r="B9" s="1105" t="str">
        <f>Trans.1!D10</f>
        <v>NeuroSystec Corporation, Assets and Patent Rights for Tinnitus Program</v>
      </c>
      <c r="C9" s="1106"/>
      <c r="D9" s="1105" t="str">
        <f>'Capital IQ Sheet-STM'!AL11</f>
        <v>As of October 31, 2013, Assets and Patent Rights for Tinnitus Program of NeuroSystec Corporation were acquired by Otonomy, Inc. Assets and Patent Rights for Tinnitus Program of NeuroSystec Corporation includes the assets and patents right related to the use of gacyclidine for the treatment of tinnitus.</v>
      </c>
    </row>
    <row r="10" spans="2:4" ht="14.85" customHeight="1" outlineLevel="1">
      <c r="B10" s="1105" t="str">
        <f>Trans.1!D11</f>
        <v>(Invalid Transaction Id)</v>
      </c>
      <c r="C10" s="1106"/>
      <c r="D10" s="1105" t="str">
        <f>'Capital IQ Sheet-STM'!AL12</f>
        <v>(Invalid Identifier)</v>
      </c>
    </row>
    <row r="11" spans="2:4" ht="14.85" customHeight="1" outlineLevel="1">
      <c r="B11" s="1105" t="str">
        <f>Trans.1!D12</f>
        <v>(Invalid Transaction Id)</v>
      </c>
      <c r="C11" s="1106"/>
      <c r="D11" s="1105" t="str">
        <f>'Capital IQ Sheet-STM'!AL13</f>
        <v>(Invalid Identifier)</v>
      </c>
    </row>
    <row r="12" spans="2:4" ht="14.85" customHeight="1" outlineLevel="1">
      <c r="B12" s="1105" t="str">
        <f>Trans.1!D13</f>
        <v>(Invalid Transaction Id)</v>
      </c>
      <c r="C12" s="1106"/>
      <c r="D12" s="1105" t="str">
        <f>'Capital IQ Sheet-STM'!AL14</f>
        <v>(Invalid Identifier)</v>
      </c>
    </row>
    <row r="13" spans="2:4" ht="14.85" customHeight="1" outlineLevel="1">
      <c r="B13" s="1105" t="str">
        <f>Trans.1!D14</f>
        <v>(Invalid Transaction Id)</v>
      </c>
      <c r="C13" s="1106"/>
      <c r="D13" s="1105" t="str">
        <f>'Capital IQ Sheet-STM'!AL15</f>
        <v>(Invalid Identifier)</v>
      </c>
    </row>
    <row r="14" spans="2:4" ht="14.85" customHeight="1" outlineLevel="1">
      <c r="B14" s="1105" t="str">
        <f>Trans.1!D15</f>
        <v>(Invalid Transaction Id)</v>
      </c>
      <c r="C14" s="1106"/>
      <c r="D14" s="1105" t="str">
        <f>'Capital IQ Sheet-STM'!AL16</f>
        <v>(Invalid Identifier)</v>
      </c>
    </row>
    <row r="15" spans="2:4" ht="14.85" customHeight="1" outlineLevel="1">
      <c r="B15" s="1105" t="str">
        <f>Trans.1!D16</f>
        <v>(Invalid Transaction Id)</v>
      </c>
      <c r="C15" s="1106"/>
      <c r="D15" s="1105" t="str">
        <f>'Capital IQ Sheet-STM'!AL17</f>
        <v>(Invalid Identifier)</v>
      </c>
    </row>
    <row r="16" spans="2:4" ht="14.85" customHeight="1" outlineLevel="1">
      <c r="B16" s="1105" t="str">
        <f>Trans.1!D17</f>
        <v>(Invalid Transaction Id)</v>
      </c>
      <c r="C16" s="1106"/>
      <c r="D16" s="1105" t="str">
        <f>'Capital IQ Sheet-STM'!AL18</f>
        <v>(Invalid Identifier)</v>
      </c>
    </row>
    <row r="17" spans="2:4" ht="14.85" customHeight="1" outlineLevel="1">
      <c r="B17" s="1105" t="str">
        <f>Trans.1!D18</f>
        <v>(Invalid Transaction Id)</v>
      </c>
      <c r="C17" s="1106"/>
      <c r="D17" s="1105" t="str">
        <f>'Capital IQ Sheet-STM'!AL19</f>
        <v>(Invalid Identifier)</v>
      </c>
    </row>
    <row r="18" spans="2:4" ht="14.85" customHeight="1" outlineLevel="1">
      <c r="B18" s="1105" t="str">
        <f>Trans.1!D19</f>
        <v>(Invalid Transaction Id)</v>
      </c>
      <c r="C18" s="1106"/>
      <c r="D18" s="1105" t="str">
        <f>'Capital IQ Sheet-STM'!AL20</f>
        <v>(Invalid Identifier)</v>
      </c>
    </row>
    <row r="19" spans="2:4" ht="14.85" customHeight="1" outlineLevel="1">
      <c r="B19" s="1105" t="str">
        <f>Trans.1!D20</f>
        <v>(Invalid Transaction Id)</v>
      </c>
      <c r="C19" s="1106"/>
      <c r="D19" s="1105" t="str">
        <f>'Capital IQ Sheet-STM'!AL21</f>
        <v>(Invalid Identifier)</v>
      </c>
    </row>
    <row r="20" spans="2:4" ht="14.85" customHeight="1" outlineLevel="1">
      <c r="B20" s="1105" t="str">
        <f>Trans.1!D21</f>
        <v>(Invalid Transaction Id)</v>
      </c>
      <c r="C20" s="1106"/>
      <c r="D20" s="1105" t="str">
        <f>'Capital IQ Sheet-STM'!AL22</f>
        <v>(Invalid Identifier)</v>
      </c>
    </row>
    <row r="21" spans="2:4" ht="14.85" customHeight="1" outlineLevel="1">
      <c r="B21" s="1105" t="str">
        <f>Trans.1!D22</f>
        <v>(Invalid Transaction Id)</v>
      </c>
      <c r="C21" s="1106"/>
      <c r="D21" s="1105" t="str">
        <f>'Capital IQ Sheet-STM'!AL23</f>
        <v>(Invalid Identifier)</v>
      </c>
    </row>
    <row r="22" spans="2:4" ht="14.85" customHeight="1" outlineLevel="1">
      <c r="B22" s="1105" t="str">
        <f>Trans.1!D23</f>
        <v>(Invalid Transaction Id)</v>
      </c>
      <c r="C22" s="1106"/>
      <c r="D22" s="1105" t="str">
        <f>'Capital IQ Sheet-STM'!AL24</f>
        <v>(Invalid Identifier)</v>
      </c>
    </row>
    <row r="23" spans="2:4" ht="14.85" customHeight="1" outlineLevel="1">
      <c r="B23" s="1105" t="str">
        <f>Trans.1!D24</f>
        <v>(Invalid Transaction Id)</v>
      </c>
      <c r="C23" s="1106"/>
      <c r="D23" s="1105" t="str">
        <f>'Capital IQ Sheet-STM'!AL25</f>
        <v>(Invalid Identifier)</v>
      </c>
    </row>
    <row r="24" spans="2:4" ht="14.85" customHeight="1" outlineLevel="1">
      <c r="B24" s="1105" t="str">
        <f>Trans.1!D25</f>
        <v>(Invalid Transaction Id)</v>
      </c>
      <c r="C24" s="1106"/>
      <c r="D24" s="1105" t="str">
        <f>'Capital IQ Sheet-STM'!AL26</f>
        <v>(Invalid Identifier)</v>
      </c>
    </row>
    <row r="25" spans="2:4" ht="14.85" customHeight="1" outlineLevel="1">
      <c r="B25" s="1105" t="str">
        <f>Trans.1!D26</f>
        <v>(Invalid Transaction Id)</v>
      </c>
      <c r="C25" s="1106"/>
      <c r="D25" s="1105" t="str">
        <f>'Capital IQ Sheet-STM'!AL27</f>
        <v>(Invalid Identifier)</v>
      </c>
    </row>
    <row r="26" spans="2:4" ht="14.85" customHeight="1" outlineLevel="1">
      <c r="B26" s="1105" t="str">
        <f>Trans.1!D27</f>
        <v>(Invalid Transaction Id)</v>
      </c>
      <c r="C26" s="1106"/>
      <c r="D26" s="1105" t="str">
        <f>'Capital IQ Sheet-STM'!AL28</f>
        <v>(Invalid Identifier)</v>
      </c>
    </row>
    <row r="27" spans="2:4" ht="14.85" customHeight="1" outlineLevel="1">
      <c r="B27" s="1105" t="str">
        <f>Trans.1!D28</f>
        <v>(Invalid Transaction Id)</v>
      </c>
      <c r="C27" s="1106"/>
      <c r="D27" s="1105" t="str">
        <f>'Capital IQ Sheet-STM'!AL29</f>
        <v>(Invalid Identifier)</v>
      </c>
    </row>
    <row r="28" spans="2:4" ht="14.85" customHeight="1">
      <c r="D28" s="1059"/>
    </row>
    <row r="29" spans="2:4" ht="14.85" customHeight="1">
      <c r="B29" s="272" t="s">
        <v>116</v>
      </c>
      <c r="C29" s="272"/>
    </row>
    <row r="30" spans="2:4" ht="14.85" customHeight="1"/>
    <row r="31" spans="2:4" ht="14.85" customHeight="1"/>
    <row r="32" spans="2:4"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8:C27">
    <cfRule type="cellIs" dxfId="136" priority="8" operator="equal">
      <formula>"(Invalid Identifier)"</formula>
    </cfRule>
  </conditionalFormatting>
  <conditionalFormatting sqref="D4">
    <cfRule type="cellIs" dxfId="135" priority="2" stopIfTrue="1" operator="equal">
      <formula>"input"</formula>
    </cfRule>
  </conditionalFormatting>
  <conditionalFormatting sqref="D4">
    <cfRule type="cellIs" dxfId="134" priority="3" stopIfTrue="1" operator="equal">
      <formula>"input"</formula>
    </cfRule>
  </conditionalFormatting>
  <conditionalFormatting sqref="B4:C4">
    <cfRule type="cellIs" dxfId="133" priority="1" stopIfTrue="1" operator="equal">
      <formula>"input"</formula>
    </cfRule>
  </conditionalFormatting>
  <pageMargins left="0.5" right="0.5" top="0.5" bottom="0.5" header="0.5" footer="0.5"/>
  <pageSetup scale="99" fitToWidth="0" fitToHeight="0" orientation="landscape" r:id="rId1"/>
  <legacyDrawingHF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26"/>
  <dimension ref="A1:U764"/>
  <sheetViews>
    <sheetView showGridLines="0" view="pageBreakPreview" zoomScale="80" zoomScaleNormal="100" zoomScaleSheetLayoutView="80" workbookViewId="0">
      <selection activeCell="A2" sqref="A2"/>
    </sheetView>
  </sheetViews>
  <sheetFormatPr defaultRowHeight="12.75"/>
  <cols>
    <col min="1" max="1" width="4.5" style="179" customWidth="1"/>
    <col min="2" max="2" width="23.5" style="179" customWidth="1"/>
    <col min="3" max="3" width="2.83203125" style="179" customWidth="1"/>
    <col min="4" max="4" width="15.5" style="179" customWidth="1"/>
    <col min="5" max="5" width="2.83203125" style="179" customWidth="1"/>
    <col min="6" max="6" width="15.5" style="179" customWidth="1"/>
    <col min="7" max="7" width="2.83203125" style="179" customWidth="1"/>
    <col min="8" max="8" width="15.5" style="179" customWidth="1"/>
    <col min="9" max="9" width="2.83203125" style="179" customWidth="1"/>
    <col min="10" max="10" width="19" style="179" bestFit="1" customWidth="1"/>
    <col min="11" max="11" width="2.83203125" style="179" customWidth="1"/>
    <col min="12" max="12" width="15.5" style="179" customWidth="1"/>
    <col min="13" max="13" width="2.83203125" style="179" customWidth="1"/>
    <col min="14" max="14" width="15.5" style="179" customWidth="1"/>
    <col min="15" max="15" width="2.83203125" style="179" customWidth="1"/>
    <col min="16" max="16" width="19.83203125" style="179" bestFit="1" customWidth="1"/>
    <col min="17" max="17" width="2.83203125" style="179" customWidth="1"/>
    <col min="18" max="18" width="15.5" style="179" customWidth="1"/>
    <col min="19" max="19" width="4.5" style="179" customWidth="1"/>
    <col min="20" max="20" width="12.33203125" style="179" customWidth="1"/>
    <col min="21" max="21" width="9.33203125" style="179" customWidth="1"/>
    <col min="22" max="16384" width="9.33203125" style="179"/>
  </cols>
  <sheetData>
    <row r="1" spans="2:18" ht="10.7" customHeight="1" thickBot="1"/>
    <row r="2" spans="2:18" ht="16.5" customHeight="1" thickTop="1">
      <c r="B2" s="187" t="str">
        <f>'MASTER PubCo Inputs'!$C$5</f>
        <v>Decibel Therapeutics, Inc.</v>
      </c>
      <c r="C2" s="187"/>
      <c r="D2" s="187"/>
      <c r="E2" s="187"/>
      <c r="F2" s="187"/>
      <c r="G2" s="187"/>
      <c r="H2" s="187"/>
      <c r="I2" s="187"/>
      <c r="J2" s="187"/>
      <c r="K2" s="187"/>
      <c r="L2" s="187"/>
      <c r="M2" s="187"/>
      <c r="N2" s="187"/>
      <c r="O2" s="187"/>
      <c r="P2" s="187"/>
      <c r="Q2" s="187"/>
      <c r="R2" s="187"/>
    </row>
    <row r="3" spans="2:18" ht="15.75" customHeight="1">
      <c r="B3" s="188" t="e">
        <f>VLOOKUP(B4,Outline!$E$8:$G$75,COLUMNS(Outline!$E$8:$G$8),FALSE)</f>
        <v>#N/A</v>
      </c>
      <c r="C3" s="188"/>
      <c r="D3" s="188"/>
      <c r="E3" s="188"/>
      <c r="F3" s="188"/>
      <c r="G3" s="188"/>
      <c r="H3" s="188"/>
      <c r="I3" s="188"/>
      <c r="J3" s="188"/>
      <c r="K3" s="188"/>
      <c r="L3" s="188"/>
      <c r="M3" s="188"/>
      <c r="N3" s="188"/>
      <c r="O3" s="188"/>
      <c r="P3" s="188"/>
      <c r="Q3" s="188"/>
      <c r="R3" s="188"/>
    </row>
    <row r="4" spans="2:18" ht="16.5" customHeight="1" thickBot="1">
      <c r="B4" s="726" t="s">
        <v>344</v>
      </c>
      <c r="C4" s="726"/>
      <c r="D4" s="726"/>
      <c r="E4" s="726"/>
      <c r="F4" s="726"/>
      <c r="G4" s="726"/>
      <c r="H4" s="726"/>
      <c r="I4" s="726"/>
      <c r="J4" s="726"/>
      <c r="K4" s="726"/>
      <c r="L4" s="727"/>
      <c r="M4" s="726"/>
      <c r="N4" s="727"/>
      <c r="O4" s="726"/>
      <c r="P4" s="726"/>
      <c r="Q4" s="726"/>
      <c r="R4" s="727" t="str">
        <f>+'MASTER PubCo Inputs'!$C$21</f>
        <v>(in thousands of USD)</v>
      </c>
    </row>
    <row r="5" spans="2:18" ht="14.85" customHeight="1" thickTop="1"/>
    <row r="6" spans="2:18" ht="14.85" customHeight="1">
      <c r="B6" s="972" t="s">
        <v>710</v>
      </c>
      <c r="C6" s="973"/>
      <c r="D6" s="973"/>
      <c r="E6" s="973"/>
      <c r="F6" s="973"/>
      <c r="G6" s="973"/>
      <c r="H6" s="973"/>
      <c r="I6" s="973"/>
      <c r="J6" s="973"/>
      <c r="K6" s="973"/>
      <c r="L6" s="973"/>
      <c r="M6" s="973"/>
      <c r="N6" s="973"/>
      <c r="O6" s="973"/>
      <c r="P6" s="973"/>
      <c r="Q6" s="973"/>
      <c r="R6" s="974"/>
    </row>
    <row r="7" spans="2:18" ht="14.85" customHeight="1"/>
    <row r="8" spans="2:18" ht="14.85" customHeight="1">
      <c r="B8" s="199" t="s">
        <v>626</v>
      </c>
      <c r="D8" s="975" t="s">
        <v>627</v>
      </c>
      <c r="E8" s="976"/>
      <c r="F8" s="975"/>
      <c r="G8" s="976"/>
      <c r="H8" s="975"/>
      <c r="I8" s="976"/>
      <c r="J8" s="975"/>
      <c r="K8" s="976"/>
      <c r="L8" s="975"/>
      <c r="M8" s="976"/>
      <c r="N8" s="975"/>
      <c r="P8" s="199"/>
      <c r="R8" s="199"/>
    </row>
    <row r="9" spans="2:18" ht="14.85" customHeight="1">
      <c r="D9" s="208">
        <f>+'Comp.1'!V8</f>
        <v>2016</v>
      </c>
      <c r="E9" s="203"/>
      <c r="F9" s="208">
        <f>+'Comp.1'!W8</f>
        <v>2017</v>
      </c>
      <c r="G9" s="203"/>
      <c r="H9" s="208" t="str">
        <f>+'Comp.1'!T8</f>
        <v>LTM</v>
      </c>
      <c r="I9" s="203"/>
      <c r="J9" s="208" t="str">
        <f>"Est. "&amp;'Comp.1'!X8</f>
        <v>Est. 2018</v>
      </c>
      <c r="K9" s="203"/>
      <c r="L9" s="208" t="str">
        <f>"Est. "&amp;'Comp.1'!Y8</f>
        <v>Est. 2019</v>
      </c>
      <c r="M9" s="203"/>
      <c r="N9" s="208" t="str">
        <f>"Est. "&amp;'Comp.1'!Z8</f>
        <v>Est. 2020</v>
      </c>
    </row>
    <row r="10" spans="2:18" ht="14.85" customHeight="1">
      <c r="B10" s="410" t="str">
        <f>+'Comp.1'!B10</f>
        <v>Revenue Analysis</v>
      </c>
    </row>
    <row r="11" spans="2:18" ht="14.85" customHeight="1">
      <c r="B11" s="252" t="str">
        <f>+'Comp.1'!$B43</f>
        <v>High</v>
      </c>
      <c r="D11" s="930">
        <f>'Comp.1'!V43</f>
        <v>80.82005351784025</v>
      </c>
      <c r="F11" s="930">
        <f>'Comp.1'!W43</f>
        <v>20.910995145631055</v>
      </c>
      <c r="H11" s="930">
        <f>+'Comp.1'!T43</f>
        <v>81.286718906498578</v>
      </c>
      <c r="J11" s="930">
        <f>+'Comp.1'!X43</f>
        <v>60.547843030553054</v>
      </c>
      <c r="L11" s="930">
        <f>+'Comp.1'!Y43</f>
        <v>41.280368091000682</v>
      </c>
      <c r="N11" s="930">
        <f>+'Comp.1'!Z43</f>
        <v>33.528055407047397</v>
      </c>
    </row>
    <row r="12" spans="2:18" ht="14.85" customHeight="1">
      <c r="B12" s="252" t="str">
        <f>+'Comp.1'!$B44</f>
        <v>3rd Quartile</v>
      </c>
      <c r="D12" s="930">
        <f>'Comp.1'!V44</f>
        <v>59.330956480735637</v>
      </c>
      <c r="F12" s="930">
        <f>'Comp.1'!W44</f>
        <v>19.059457496927099</v>
      </c>
      <c r="H12" s="930">
        <f>+'Comp.1'!T44</f>
        <v>51.604339097015185</v>
      </c>
      <c r="J12" s="930">
        <f>+'Comp.1'!X44</f>
        <v>38.676661111111116</v>
      </c>
      <c r="L12" s="930">
        <f>+'Comp.1'!Y44</f>
        <v>27.236254718962414</v>
      </c>
      <c r="N12" s="930">
        <f>+'Comp.1'!Z44</f>
        <v>13.037621978501557</v>
      </c>
    </row>
    <row r="13" spans="2:18" ht="14.85" customHeight="1">
      <c r="B13" s="252" t="str">
        <f>+'Comp.1'!$B45</f>
        <v xml:space="preserve">Mean </v>
      </c>
      <c r="D13" s="930">
        <f>'Comp.1'!V45</f>
        <v>46.223103920526391</v>
      </c>
      <c r="F13" s="930">
        <f>'Comp.1'!W45</f>
        <v>17.207919848223142</v>
      </c>
      <c r="H13" s="930">
        <f>+'Comp.1'!T45</f>
        <v>38.904507581615199</v>
      </c>
      <c r="J13" s="930">
        <f>+'Comp.1'!X45</f>
        <v>28.502410163157549</v>
      </c>
      <c r="L13" s="930">
        <f>+'Comp.1'!Y45</f>
        <v>17.459551740954549</v>
      </c>
      <c r="N13" s="930">
        <f>+'Comp.1'!Z45</f>
        <v>11.163655489301169</v>
      </c>
    </row>
    <row r="14" spans="2:18" ht="14.85" customHeight="1">
      <c r="B14" s="252" t="str">
        <f>+'Comp.1'!$B46</f>
        <v>Median</v>
      </c>
      <c r="D14" s="930">
        <f>'Comp.1'!V46</f>
        <v>37.841859443631016</v>
      </c>
      <c r="F14" s="930">
        <f>'Comp.1'!W46</f>
        <v>17.207919848223142</v>
      </c>
      <c r="H14" s="930">
        <f>+'Comp.1'!T46</f>
        <v>21.921959287531795</v>
      </c>
      <c r="J14" s="930">
        <f>+'Comp.1'!X46</f>
        <v>19.232936956780559</v>
      </c>
      <c r="L14" s="930">
        <f>+'Comp.1'!Y46</f>
        <v>14.105022874627334</v>
      </c>
      <c r="N14" s="930">
        <f>+'Comp.1'!Z46</f>
        <v>4.8519646462623784</v>
      </c>
    </row>
    <row r="15" spans="2:18" ht="14.85" customHeight="1">
      <c r="B15" s="252" t="str">
        <f>+'Comp.1'!$B47</f>
        <v>1st Quartile</v>
      </c>
      <c r="D15" s="930">
        <f>'Comp.1'!V47</f>
        <v>28.924629121869451</v>
      </c>
      <c r="F15" s="930">
        <f>'Comp.1'!W47</f>
        <v>15.356382199519189</v>
      </c>
      <c r="H15" s="930">
        <f>+'Comp.1'!T47</f>
        <v>17.713401919173513</v>
      </c>
      <c r="J15" s="930">
        <f>+'Comp.1'!X47</f>
        <v>13.876132766818227</v>
      </c>
      <c r="L15" s="930">
        <f>+'Comp.1'!Y47</f>
        <v>4.8335677773978354</v>
      </c>
      <c r="N15" s="930">
        <f>+'Comp.1'!Z47</f>
        <v>2.97799815706199</v>
      </c>
    </row>
    <row r="16" spans="2:18" ht="14.85" customHeight="1">
      <c r="B16" s="252" t="str">
        <f>+'Comp.1'!$B48</f>
        <v>Low</v>
      </c>
      <c r="D16" s="930">
        <f>'Comp.1'!V48</f>
        <v>20.007398800107886</v>
      </c>
      <c r="F16" s="930">
        <f>'Comp.1'!W48</f>
        <v>13.504844550815232</v>
      </c>
      <c r="H16" s="930">
        <f>+'Comp.1'!T48</f>
        <v>13.504844550815232</v>
      </c>
      <c r="J16" s="930">
        <f>+'Comp.1'!X48</f>
        <v>10.178476950524781</v>
      </c>
      <c r="L16" s="930">
        <f>+'Comp.1'!Y48</f>
        <v>1.9104818600765021</v>
      </c>
      <c r="N16" s="930">
        <f>+'Comp.1'!Z48</f>
        <v>1.4226372576325175</v>
      </c>
    </row>
    <row r="17" spans="2:21" ht="14.85" customHeight="1">
      <c r="D17" s="203"/>
      <c r="F17" s="203"/>
      <c r="H17" s="203"/>
      <c r="J17" s="203"/>
      <c r="L17" s="203"/>
      <c r="N17" s="203"/>
    </row>
    <row r="18" spans="2:21" ht="14.85" customHeight="1">
      <c r="B18" s="410" t="str">
        <f>+'Comp.2'!B10</f>
        <v>EBITDA Analysis</v>
      </c>
      <c r="D18" s="203"/>
      <c r="F18" s="203"/>
      <c r="H18" s="203"/>
      <c r="J18" s="203"/>
      <c r="L18" s="203"/>
      <c r="N18" s="203"/>
    </row>
    <row r="19" spans="2:21" ht="14.85" customHeight="1">
      <c r="B19" s="252" t="str">
        <f t="shared" ref="B19:B24" si="0">+B11</f>
        <v>High</v>
      </c>
      <c r="D19" s="930">
        <f>'Comp.2'!S43</f>
        <v>-0.10358733387102437</v>
      </c>
      <c r="F19" s="930">
        <f>'Comp.2'!T43</f>
        <v>-0.12352283907605556</v>
      </c>
      <c r="H19" s="930">
        <f>'Comp.2'!Q43</f>
        <v>0</v>
      </c>
      <c r="J19" s="930">
        <f>+'Comp.2'!U43</f>
        <v>0</v>
      </c>
      <c r="L19" s="930">
        <f>+'Comp.2'!V43</f>
        <v>0</v>
      </c>
      <c r="N19" s="930">
        <f>+'Comp.2'!W43</f>
        <v>33.281533722988868</v>
      </c>
    </row>
    <row r="20" spans="2:21" ht="14.85" customHeight="1">
      <c r="B20" s="252" t="str">
        <f t="shared" si="0"/>
        <v>3rd Quartile</v>
      </c>
      <c r="D20" s="930">
        <f>'Comp.2'!S44</f>
        <v>-2.4903789115646826</v>
      </c>
      <c r="F20" s="930">
        <f>'Comp.2'!T44</f>
        <v>-2.0732538897701573</v>
      </c>
      <c r="H20" s="930" t="e">
        <f>'Comp.2'!Q44</f>
        <v>#NUM!</v>
      </c>
      <c r="J20" s="930" t="e">
        <f>+'Comp.2'!U44</f>
        <v>#NUM!</v>
      </c>
      <c r="L20" s="930" t="e">
        <f>+'Comp.2'!V44</f>
        <v>#NUM!</v>
      </c>
      <c r="N20" s="930">
        <f>+'Comp.2'!W44</f>
        <v>33.281533722988868</v>
      </c>
    </row>
    <row r="21" spans="2:21" ht="14.85" customHeight="1">
      <c r="B21" s="252" t="str">
        <f t="shared" si="0"/>
        <v xml:space="preserve">Mean </v>
      </c>
      <c r="D21" s="930">
        <f>'Comp.2'!S45</f>
        <v>-15.569183489735153</v>
      </c>
      <c r="F21" s="930">
        <f>'Comp.2'!T45</f>
        <v>-21.567862681183602</v>
      </c>
      <c r="H21" s="930" t="e">
        <f>'Comp.2'!Q45</f>
        <v>#DIV/0!</v>
      </c>
      <c r="J21" s="930" t="e">
        <f>+'Comp.2'!U45</f>
        <v>#DIV/0!</v>
      </c>
      <c r="L21" s="930" t="e">
        <f>+'Comp.2'!V45</f>
        <v>#DIV/0!</v>
      </c>
      <c r="N21" s="930">
        <f>+'Comp.2'!W45</f>
        <v>33.281533722988868</v>
      </c>
    </row>
    <row r="22" spans="2:21" ht="14.85" customHeight="1">
      <c r="B22" s="252" t="str">
        <f t="shared" si="0"/>
        <v>Median</v>
      </c>
      <c r="D22" s="930">
        <f>'Comp.2'!S46</f>
        <v>-6.7753332827645583</v>
      </c>
      <c r="F22" s="930">
        <f>'Comp.2'!T46</f>
        <v>-4.2989350777527013</v>
      </c>
      <c r="H22" s="930" t="e">
        <f>'Comp.2'!Q46</f>
        <v>#NUM!</v>
      </c>
      <c r="J22" s="930" t="e">
        <f>+'Comp.2'!U46</f>
        <v>#NUM!</v>
      </c>
      <c r="L22" s="930" t="e">
        <f>+'Comp.2'!V46</f>
        <v>#NUM!</v>
      </c>
      <c r="N22" s="930">
        <f>+'Comp.2'!W46</f>
        <v>33.281533722988868</v>
      </c>
    </row>
    <row r="23" spans="2:21" ht="14.85" customHeight="1">
      <c r="B23" s="252" t="str">
        <f t="shared" si="0"/>
        <v>1st Quartile</v>
      </c>
      <c r="D23" s="930">
        <f>'Comp.2'!S47</f>
        <v>-15.852954631953796</v>
      </c>
      <c r="F23" s="930">
        <f>'Comp.2'!T47</f>
        <v>-8.7046547759144737</v>
      </c>
      <c r="H23" s="930" t="e">
        <f>'Comp.2'!Q47</f>
        <v>#NUM!</v>
      </c>
      <c r="J23" s="930" t="e">
        <f>+'Comp.2'!U47</f>
        <v>#NUM!</v>
      </c>
      <c r="L23" s="930" t="e">
        <f>+'Comp.2'!V47</f>
        <v>#NUM!</v>
      </c>
      <c r="N23" s="930">
        <f>+'Comp.2'!W47</f>
        <v>33.281533722988868</v>
      </c>
    </row>
    <row r="24" spans="2:21" ht="14.85" customHeight="1">
      <c r="B24" s="252" t="str">
        <f t="shared" si="0"/>
        <v>Low</v>
      </c>
      <c r="D24" s="930">
        <f>'Comp.2'!S48</f>
        <v>-72.758005887243172</v>
      </c>
      <c r="F24" s="930">
        <f>'Comp.2'!T48</f>
        <v>-141.40574238408686</v>
      </c>
      <c r="H24" s="930">
        <f>'Comp.2'!Q48</f>
        <v>0</v>
      </c>
      <c r="J24" s="930">
        <f>+'Comp.2'!U48</f>
        <v>0</v>
      </c>
      <c r="L24" s="930">
        <f>+'Comp.2'!V48</f>
        <v>0</v>
      </c>
      <c r="N24" s="930">
        <f>+'Comp.2'!W48</f>
        <v>33.281533722988868</v>
      </c>
    </row>
    <row r="25" spans="2:21" ht="14.85" customHeight="1"/>
    <row r="26" spans="2:21" ht="14.85" customHeight="1"/>
    <row r="27" spans="2:21" ht="25.5">
      <c r="F27" s="977" t="s">
        <v>3222</v>
      </c>
      <c r="G27" s="974"/>
      <c r="H27" s="974"/>
      <c r="J27" s="978" t="s">
        <v>1784</v>
      </c>
      <c r="L27" s="977" t="s">
        <v>336</v>
      </c>
      <c r="M27" s="974"/>
      <c r="N27" s="974"/>
      <c r="P27" s="977" t="s">
        <v>3223</v>
      </c>
    </row>
    <row r="28" spans="2:21" s="200" customFormat="1" ht="14.85" customHeight="1">
      <c r="D28" s="979" t="s">
        <v>337</v>
      </c>
      <c r="E28" s="265"/>
      <c r="F28" s="980" t="s">
        <v>112</v>
      </c>
      <c r="G28" s="265"/>
      <c r="H28" s="980" t="s">
        <v>111</v>
      </c>
      <c r="I28" s="265"/>
      <c r="J28" s="981">
        <f>DCF!$F$69</f>
        <v>0.25</v>
      </c>
      <c r="K28" s="265"/>
      <c r="L28" s="979" t="s">
        <v>112</v>
      </c>
      <c r="M28" s="265"/>
      <c r="N28" s="979" t="s">
        <v>111</v>
      </c>
      <c r="O28" s="265"/>
      <c r="P28" s="981"/>
      <c r="R28" s="982" t="s">
        <v>70</v>
      </c>
    </row>
    <row r="29" spans="2:21" ht="14.85" customHeight="1"/>
    <row r="30" spans="2:21" ht="14.85" customHeight="1">
      <c r="B30" s="182" t="s">
        <v>330</v>
      </c>
      <c r="T30" s="983" t="s">
        <v>676</v>
      </c>
      <c r="U30" s="696"/>
    </row>
    <row r="31" spans="2:21" ht="14.85" customHeight="1">
      <c r="B31" s="252" t="s">
        <v>162</v>
      </c>
      <c r="D31" s="263" t="e">
        <f>'Hist IS'!#REF!</f>
        <v>#REF!</v>
      </c>
      <c r="F31" s="984">
        <v>0.67581966101694912</v>
      </c>
      <c r="H31" s="984">
        <v>0.78</v>
      </c>
      <c r="J31" s="985">
        <f>IF($T$31&lt;&gt;"Discount",1,1/((1+DCF!$F$62)^(0/12)))</f>
        <v>1</v>
      </c>
      <c r="L31" s="601" t="str">
        <f>IFERROR($D31*F31*$J31,"n/a")</f>
        <v>n/a</v>
      </c>
      <c r="N31" s="601" t="str">
        <f>IFERROR($D31*H31*$J31,"n/a")</f>
        <v>n/a</v>
      </c>
      <c r="P31" s="986">
        <v>0</v>
      </c>
      <c r="R31" s="180" t="str">
        <f>'Hist IS'!$B$3</f>
        <v>Exhibit C.2</v>
      </c>
      <c r="T31" s="378" t="s">
        <v>50</v>
      </c>
      <c r="U31" s="701"/>
    </row>
    <row r="32" spans="2:21" ht="14.85" customHeight="1">
      <c r="B32" s="252" t="s">
        <v>175</v>
      </c>
      <c r="D32" s="263" t="e">
        <f>'Hist IS'!#REF!</f>
        <v>#REF!</v>
      </c>
      <c r="F32" s="984">
        <v>0.67581966101694912</v>
      </c>
      <c r="H32" s="984">
        <v>0.78</v>
      </c>
      <c r="J32" s="985">
        <f>IF($T$31&lt;&gt;"Discount",1,$J$31)</f>
        <v>1</v>
      </c>
      <c r="L32" s="601" t="str">
        <f>IFERROR($D32*F32*$J32,"n/a")</f>
        <v>n/a</v>
      </c>
      <c r="N32" s="601" t="str">
        <f>IFERROR($D32*H32*$J32,"n/a")</f>
        <v>n/a</v>
      </c>
      <c r="P32" s="986">
        <v>0</v>
      </c>
      <c r="R32" s="180" t="str">
        <f>'Hist IS'!$B$3</f>
        <v>Exhibit C.2</v>
      </c>
    </row>
    <row r="33" spans="2:18" ht="14.85" customHeight="1">
      <c r="J33" s="985"/>
      <c r="P33" s="986"/>
    </row>
    <row r="34" spans="2:18" ht="14.85" customHeight="1">
      <c r="B34" s="286" t="str">
        <f>+$J$9</f>
        <v>Est. 2018</v>
      </c>
      <c r="J34" s="985"/>
      <c r="P34" s="986"/>
    </row>
    <row r="35" spans="2:18" ht="14.85" customHeight="1">
      <c r="B35" s="252" t="s">
        <v>162</v>
      </c>
      <c r="D35" s="263">
        <f>DCF!$F$14</f>
        <v>3722</v>
      </c>
      <c r="F35" s="984">
        <v>0.67581966101694912</v>
      </c>
      <c r="H35" s="984">
        <v>0.78</v>
      </c>
      <c r="J35" s="985">
        <f>IF($T$31&lt;&gt;"Discount",1,1/(1+DCF!$D$62)^(DCF!F$57))</f>
        <v>0.87415507913620483</v>
      </c>
      <c r="L35" s="601">
        <f>IFERROR($D35*F35*$J35,"n/a")</f>
        <v>2198.8503664185528</v>
      </c>
      <c r="N35" s="601">
        <f>IFERROR($D35*H35*$J35,"n/a")</f>
        <v>2537.8120595450646</v>
      </c>
      <c r="P35" s="986">
        <v>0.5</v>
      </c>
      <c r="R35" s="180" t="e">
        <f>DCF!$B$3</f>
        <v>#N/A</v>
      </c>
    </row>
    <row r="36" spans="2:18" ht="14.85" customHeight="1">
      <c r="B36" s="252" t="s">
        <v>175</v>
      </c>
      <c r="D36" s="263">
        <f>DCF!$F$30</f>
        <v>-6328.3000000000011</v>
      </c>
      <c r="F36" s="984" t="s">
        <v>13</v>
      </c>
      <c r="H36" s="984" t="s">
        <v>13</v>
      </c>
      <c r="J36" s="985">
        <f>IF($T$31&lt;&gt;"Discount",1,$J$35)</f>
        <v>0.87415507913620483</v>
      </c>
      <c r="L36" s="601" t="str">
        <f>IFERROR($D36*F36*$J36,"n/a")</f>
        <v>n/a</v>
      </c>
      <c r="N36" s="601" t="str">
        <f>IFERROR($D36*H36*$J36,"n/a")</f>
        <v>n/a</v>
      </c>
      <c r="P36" s="986">
        <v>0</v>
      </c>
      <c r="R36" s="180" t="e">
        <f>DCF!$B$3</f>
        <v>#N/A</v>
      </c>
    </row>
    <row r="37" spans="2:18" ht="14.85" customHeight="1">
      <c r="J37" s="985"/>
      <c r="P37" s="986"/>
    </row>
    <row r="38" spans="2:18" ht="14.85" customHeight="1">
      <c r="B38" s="286" t="str">
        <f>+$L$9</f>
        <v>Est. 2019</v>
      </c>
      <c r="J38" s="985"/>
      <c r="P38" s="986"/>
    </row>
    <row r="39" spans="2:18" ht="14.85" customHeight="1">
      <c r="B39" s="252" t="s">
        <v>162</v>
      </c>
      <c r="D39" s="263">
        <f>DCF!$G$14</f>
        <v>8657.4</v>
      </c>
      <c r="F39" s="984">
        <v>0.67581966101694912</v>
      </c>
      <c r="H39" s="984">
        <v>0.78</v>
      </c>
      <c r="J39" s="985">
        <f>IF($T$31&lt;&gt;"Discount",1,1/(1+DCF!$D$62)^(DCF!F$57+1))</f>
        <v>0.69932406330896391</v>
      </c>
      <c r="L39" s="601">
        <f>IFERROR($D39*F39*$J39,"n/a")</f>
        <v>4091.6339951062819</v>
      </c>
      <c r="N39" s="601">
        <f>IFERROR($D39*H39*$J39,"n/a")</f>
        <v>4722.3759536389989</v>
      </c>
      <c r="P39" s="986">
        <v>0.5</v>
      </c>
      <c r="R39" s="180" t="e">
        <f>DCF!$B$3</f>
        <v>#N/A</v>
      </c>
    </row>
    <row r="40" spans="2:18" ht="14.85" customHeight="1">
      <c r="B40" s="252" t="s">
        <v>175</v>
      </c>
      <c r="D40" s="263">
        <f>DCF!$G$30</f>
        <v>-4843.8</v>
      </c>
      <c r="F40" s="984">
        <v>0.67581966101694912</v>
      </c>
      <c r="H40" s="984">
        <v>0.78</v>
      </c>
      <c r="J40" s="985">
        <f>IF($T$31&lt;&gt;"Discount",1,$J$39)</f>
        <v>0.69932406330896391</v>
      </c>
      <c r="L40" s="601">
        <f>IFERROR($D40*F40*$J40,"n/a")</f>
        <v>-2289.2619892226085</v>
      </c>
      <c r="N40" s="601">
        <f>IFERROR($D40*H40*$J40,"n/a")</f>
        <v>-2642.1610003276483</v>
      </c>
      <c r="P40" s="986"/>
      <c r="R40" s="180" t="e">
        <f>DCF!$B$3</f>
        <v>#N/A</v>
      </c>
    </row>
    <row r="41" spans="2:18" ht="14.85" customHeight="1">
      <c r="J41" s="985"/>
      <c r="P41" s="986"/>
    </row>
    <row r="42" spans="2:18" ht="14.85" customHeight="1">
      <c r="B42" s="286" t="str">
        <f>+$N$9</f>
        <v>Est. 2020</v>
      </c>
      <c r="J42" s="985"/>
      <c r="P42" s="986"/>
    </row>
    <row r="43" spans="2:18" ht="14.85" customHeight="1">
      <c r="B43" s="252" t="s">
        <v>162</v>
      </c>
      <c r="D43" s="263">
        <f>DCF!$H$14</f>
        <v>19751.599999999999</v>
      </c>
      <c r="F43" s="984">
        <v>0.67581966101694912</v>
      </c>
      <c r="H43" s="984">
        <v>0.78</v>
      </c>
      <c r="J43" s="985">
        <f>IF($T$31&lt;&gt;"Discount",1,1/(1+DCF!$D$62)^(DCF!F$57+2))</f>
        <v>0.55945925064717117</v>
      </c>
      <c r="L43" s="601">
        <f>IFERROR($D43*F43*$J43,"n/a")</f>
        <v>7467.9527819198593</v>
      </c>
      <c r="N43" s="601">
        <f>IFERROR($D43*H43*$J43,"n/a")</f>
        <v>8619.1679613644792</v>
      </c>
      <c r="P43" s="986">
        <v>0</v>
      </c>
      <c r="R43" s="180" t="e">
        <f>DCF!$B$3</f>
        <v>#N/A</v>
      </c>
    </row>
    <row r="44" spans="2:18" ht="14.85" customHeight="1">
      <c r="B44" s="252" t="s">
        <v>175</v>
      </c>
      <c r="D44" s="263">
        <f>DCF!$H$30</f>
        <v>-753.20000000000255</v>
      </c>
      <c r="F44" s="984">
        <v>0.67581966101694912</v>
      </c>
      <c r="H44" s="984">
        <v>0.78</v>
      </c>
      <c r="J44" s="985">
        <f>IF($T$31&lt;&gt;"Discount",1,$J$43)</f>
        <v>0.55945925064717117</v>
      </c>
      <c r="L44" s="601">
        <f>IFERROR($D44*F44*$J44,"n/a")</f>
        <v>-284.7800702394772</v>
      </c>
      <c r="N44" s="601">
        <f>IFERROR($D44*H44*$J44,"n/a")</f>
        <v>-328.68007191821158</v>
      </c>
      <c r="P44" s="986">
        <v>0</v>
      </c>
      <c r="R44" s="180" t="e">
        <f>DCF!$B$3</f>
        <v>#N/A</v>
      </c>
    </row>
    <row r="45" spans="2:18" ht="14.85" customHeight="1">
      <c r="B45" s="264"/>
      <c r="C45" s="264"/>
      <c r="D45" s="264"/>
      <c r="E45" s="264"/>
      <c r="F45" s="264"/>
      <c r="G45" s="264"/>
      <c r="H45" s="264"/>
      <c r="I45" s="264"/>
      <c r="J45" s="264"/>
      <c r="K45" s="264"/>
      <c r="L45" s="264"/>
      <c r="M45" s="264"/>
      <c r="N45" s="264"/>
    </row>
    <row r="46" spans="2:18" ht="14.85" customHeight="1">
      <c r="B46" s="182" t="s">
        <v>338</v>
      </c>
      <c r="L46" s="309">
        <f>SUMPRODUCT(L31:L44,$P$31:$P$44)</f>
        <v>3145.2421807624173</v>
      </c>
      <c r="N46" s="309">
        <f>SUMPRODUCT(N31:N44,$P$31:$P$44)</f>
        <v>3630.0940065920317</v>
      </c>
    </row>
    <row r="47" spans="2:18" ht="14.85" customHeight="1"/>
    <row r="48" spans="2:18" ht="14.85" customHeight="1">
      <c r="B48" s="267" t="s">
        <v>343</v>
      </c>
      <c r="C48" s="987"/>
      <c r="D48" s="987"/>
      <c r="E48" s="987"/>
      <c r="F48" s="987"/>
      <c r="G48" s="987"/>
      <c r="H48" s="987"/>
      <c r="I48" s="987"/>
      <c r="J48" s="988"/>
      <c r="K48" s="987"/>
      <c r="L48" s="989">
        <f>MROUND(L46,1)</f>
        <v>3145</v>
      </c>
      <c r="M48" s="987"/>
      <c r="N48" s="990">
        <f>MROUND(N46,1)</f>
        <v>3630</v>
      </c>
    </row>
    <row r="49" spans="1:18" ht="14.85" customHeight="1"/>
    <row r="50" spans="1:18" ht="14.85" customHeight="1">
      <c r="B50" s="252" t="s">
        <v>148</v>
      </c>
      <c r="L50" s="261">
        <f>-'Hist BS'!$G$71</f>
        <v>0</v>
      </c>
      <c r="M50" s="263"/>
      <c r="N50" s="285">
        <f>L50</f>
        <v>0</v>
      </c>
      <c r="R50" s="185" t="str">
        <f>'Hist BS'!$B$3</f>
        <v>Exhibit C.3</v>
      </c>
    </row>
    <row r="51" spans="1:18" ht="14.85" customHeight="1">
      <c r="B51" s="252" t="s">
        <v>630</v>
      </c>
      <c r="L51" s="261">
        <f>'Hist BS'!$G$13</f>
        <v>104442</v>
      </c>
      <c r="M51" s="263"/>
      <c r="N51" s="285">
        <f>L51</f>
        <v>104442</v>
      </c>
      <c r="R51" s="185" t="str">
        <f>'Hist BS'!$B$3</f>
        <v>Exhibit C.3</v>
      </c>
    </row>
    <row r="52" spans="1:18" ht="14.85" customHeight="1">
      <c r="B52" s="264"/>
      <c r="C52" s="264"/>
      <c r="D52" s="264"/>
      <c r="E52" s="264"/>
      <c r="F52" s="264"/>
      <c r="G52" s="264"/>
      <c r="H52" s="264"/>
      <c r="I52" s="264"/>
      <c r="J52" s="264"/>
      <c r="K52" s="264"/>
      <c r="L52" s="264"/>
      <c r="M52" s="264"/>
      <c r="N52" s="264"/>
    </row>
    <row r="53" spans="1:18" ht="14.85" customHeight="1">
      <c r="B53" s="182" t="s">
        <v>339</v>
      </c>
      <c r="L53" s="309">
        <f>SUM(L48:L51)</f>
        <v>107587</v>
      </c>
      <c r="N53" s="309">
        <f>SUM(N48:N51)</f>
        <v>108072</v>
      </c>
    </row>
    <row r="54" spans="1:18" ht="14.85" customHeight="1"/>
    <row r="55" spans="1:18" ht="14.85" customHeight="1">
      <c r="B55" s="409" t="s">
        <v>86</v>
      </c>
    </row>
    <row r="56" spans="1:18" ht="14.85" customHeight="1">
      <c r="A56" s="273" t="s">
        <v>261</v>
      </c>
      <c r="B56" s="890" t="s">
        <v>956</v>
      </c>
      <c r="C56" s="275"/>
      <c r="D56" s="275"/>
      <c r="E56" s="275"/>
      <c r="F56" s="275"/>
      <c r="G56" s="275"/>
      <c r="H56" s="275"/>
      <c r="I56" s="275"/>
      <c r="J56" s="275"/>
      <c r="K56" s="275"/>
      <c r="L56" s="275"/>
    </row>
    <row r="57" spans="1:18" ht="14.85" customHeight="1">
      <c r="A57" s="273" t="s">
        <v>260</v>
      </c>
      <c r="B57" s="890" t="s">
        <v>1782</v>
      </c>
      <c r="C57" s="275"/>
      <c r="D57" s="275"/>
      <c r="E57" s="275"/>
      <c r="F57" s="275"/>
      <c r="G57" s="275"/>
      <c r="H57" s="275"/>
      <c r="I57" s="275"/>
      <c r="J57" s="275"/>
      <c r="K57" s="275"/>
      <c r="L57" s="275"/>
    </row>
    <row r="58" spans="1:18" ht="14.85" customHeight="1">
      <c r="A58" s="273" t="s">
        <v>299</v>
      </c>
      <c r="B58" s="890" t="s">
        <v>957</v>
      </c>
      <c r="C58" s="275"/>
      <c r="D58" s="275"/>
      <c r="E58" s="275"/>
      <c r="F58" s="275"/>
      <c r="G58" s="275"/>
      <c r="H58" s="275"/>
      <c r="I58" s="275"/>
      <c r="J58" s="275"/>
      <c r="K58" s="275"/>
      <c r="L58" s="275"/>
    </row>
    <row r="59" spans="1:18" ht="14.85" customHeight="1"/>
    <row r="60" spans="1:18" ht="14.85" customHeight="1"/>
    <row r="61" spans="1:18" ht="14.85" customHeight="1"/>
    <row r="62" spans="1:18" ht="14.85" customHeight="1"/>
    <row r="63" spans="1:18" ht="14.85" customHeight="1"/>
    <row r="64" spans="1:18"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D4 N4 F4 H4 J4">
    <cfRule type="cellIs" dxfId="132" priority="16" stopIfTrue="1" operator="equal">
      <formula>"input"</formula>
    </cfRule>
  </conditionalFormatting>
  <conditionalFormatting sqref="L4">
    <cfRule type="cellIs" dxfId="131" priority="14" stopIfTrue="1" operator="equal">
      <formula>"input"</formula>
    </cfRule>
  </conditionalFormatting>
  <conditionalFormatting sqref="L4">
    <cfRule type="cellIs" dxfId="130" priority="15" stopIfTrue="1" operator="equal">
      <formula>"input"</formula>
    </cfRule>
  </conditionalFormatting>
  <conditionalFormatting sqref="R4">
    <cfRule type="cellIs" dxfId="129" priority="10" stopIfTrue="1" operator="equal">
      <formula>"input"</formula>
    </cfRule>
  </conditionalFormatting>
  <conditionalFormatting sqref="R4">
    <cfRule type="cellIs" dxfId="128" priority="11" stopIfTrue="1" operator="equal">
      <formula>"input"</formula>
    </cfRule>
  </conditionalFormatting>
  <conditionalFormatting sqref="E4">
    <cfRule type="cellIs" dxfId="127" priority="9" stopIfTrue="1" operator="equal">
      <formula>"input"</formula>
    </cfRule>
  </conditionalFormatting>
  <conditionalFormatting sqref="G4">
    <cfRule type="cellIs" dxfId="126" priority="8" stopIfTrue="1" operator="equal">
      <formula>"input"</formula>
    </cfRule>
  </conditionalFormatting>
  <conditionalFormatting sqref="K4">
    <cfRule type="cellIs" dxfId="125" priority="7" stopIfTrue="1" operator="equal">
      <formula>"input"</formula>
    </cfRule>
  </conditionalFormatting>
  <conditionalFormatting sqref="M4">
    <cfRule type="cellIs" dxfId="124" priority="6" stopIfTrue="1" operator="equal">
      <formula>"input"</formula>
    </cfRule>
  </conditionalFormatting>
  <conditionalFormatting sqref="Q4">
    <cfRule type="cellIs" dxfId="123" priority="5" stopIfTrue="1" operator="equal">
      <formula>"input"</formula>
    </cfRule>
  </conditionalFormatting>
  <conditionalFormatting sqref="I4">
    <cfRule type="cellIs" dxfId="122" priority="4" stopIfTrue="1" operator="equal">
      <formula>"input"</formula>
    </cfRule>
  </conditionalFormatting>
  <conditionalFormatting sqref="P4">
    <cfRule type="cellIs" dxfId="121" priority="3" stopIfTrue="1" operator="equal">
      <formula>"input"</formula>
    </cfRule>
  </conditionalFormatting>
  <conditionalFormatting sqref="O4">
    <cfRule type="cellIs" dxfId="120" priority="2" stopIfTrue="1" operator="equal">
      <formula>"input"</formula>
    </cfRule>
  </conditionalFormatting>
  <conditionalFormatting sqref="P31:P44">
    <cfRule type="expression" dxfId="119" priority="1">
      <formula>SUM($P$31:$P$44)&lt;&gt;1</formula>
    </cfRule>
  </conditionalFormatting>
  <dataValidations disablePrompts="1" count="1">
    <dataValidation type="list" allowBlank="1" showInputMessage="1" showErrorMessage="1" sqref="T31" xr:uid="{00000000-0002-0000-4200-000000000000}">
      <formula1>"Discount,No Discount"</formula1>
    </dataValidation>
  </dataValidations>
  <pageMargins left="0.5" right="0.5" top="0.5" bottom="0.5" header="0.5" footer="0.5"/>
  <pageSetup scale="72" fitToWidth="0" fitToHeight="0" orientation="landscape" r:id="rId1"/>
  <legacyDrawing r:id="rId2"/>
  <legacyDrawingHF r:id="rId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32"/>
  <dimension ref="A1:U764"/>
  <sheetViews>
    <sheetView showGridLines="0" view="pageBreakPreview" zoomScale="80" zoomScaleNormal="100" zoomScaleSheetLayoutView="80" workbookViewId="0">
      <selection activeCell="B4" sqref="B4"/>
    </sheetView>
  </sheetViews>
  <sheetFormatPr defaultRowHeight="12.75"/>
  <cols>
    <col min="1" max="1" width="4.5" style="179" customWidth="1"/>
    <col min="2" max="2" width="36.5" style="179" customWidth="1"/>
    <col min="3" max="3" width="2.83203125" style="179" customWidth="1"/>
    <col min="4" max="4" width="15.1640625" style="179" customWidth="1"/>
    <col min="5" max="5" width="2.83203125" style="179" customWidth="1"/>
    <col min="6" max="6" width="15.1640625" style="179" customWidth="1"/>
    <col min="7" max="7" width="2.83203125" style="179" customWidth="1"/>
    <col min="8" max="8" width="15.1640625" style="179" customWidth="1"/>
    <col min="9" max="9" width="2.83203125" style="179" customWidth="1"/>
    <col min="10" max="10" width="15.1640625" style="179" customWidth="1"/>
    <col min="11" max="11" width="2.83203125" style="179" customWidth="1"/>
    <col min="12" max="12" width="15.1640625" style="179" customWidth="1"/>
    <col min="13" max="13" width="2.83203125" style="179" customWidth="1"/>
    <col min="14" max="14" width="15.1640625" style="179" customWidth="1"/>
    <col min="15" max="15" width="2.83203125" style="179" customWidth="1"/>
    <col min="16" max="16" width="15.1640625" style="179" customWidth="1"/>
    <col min="17" max="17" width="2.83203125" style="179" customWidth="1"/>
    <col min="18" max="18" width="15.83203125" style="179" customWidth="1"/>
    <col min="19" max="19" width="4.5" style="179" customWidth="1"/>
    <col min="20" max="16384" width="9.33203125" style="179"/>
  </cols>
  <sheetData>
    <row r="1" spans="2:20" ht="10.7" customHeight="1" thickBot="1"/>
    <row r="2" spans="2:20" ht="16.5" customHeight="1" thickTop="1">
      <c r="B2" s="187" t="str">
        <f>'MASTER PubCo Inputs'!$C$5</f>
        <v>Decibel Therapeutics, Inc.</v>
      </c>
      <c r="C2" s="187"/>
      <c r="D2" s="187"/>
      <c r="E2" s="187"/>
      <c r="F2" s="187"/>
      <c r="G2" s="187"/>
      <c r="H2" s="187"/>
      <c r="I2" s="187"/>
      <c r="J2" s="187"/>
      <c r="K2" s="187"/>
      <c r="L2" s="187"/>
      <c r="M2" s="187"/>
      <c r="N2" s="187"/>
      <c r="O2" s="187"/>
      <c r="P2" s="187"/>
      <c r="Q2" s="187"/>
      <c r="R2" s="187"/>
    </row>
    <row r="3" spans="2:20" ht="15.75" customHeight="1">
      <c r="B3" s="188" t="e">
        <f>VLOOKUP(B4,Outline!$E$8:$G$75,COLUMNS(Outline!$E$8:$G$8),FALSE)</f>
        <v>#N/A</v>
      </c>
      <c r="C3" s="188"/>
      <c r="D3" s="188"/>
      <c r="E3" s="188"/>
      <c r="F3" s="188"/>
      <c r="G3" s="188"/>
      <c r="H3" s="188"/>
      <c r="I3" s="188"/>
      <c r="J3" s="188"/>
      <c r="K3" s="188"/>
      <c r="L3" s="188"/>
      <c r="M3" s="188"/>
      <c r="N3" s="188"/>
      <c r="O3" s="188"/>
      <c r="P3" s="188"/>
      <c r="Q3" s="188"/>
      <c r="R3" s="188"/>
    </row>
    <row r="4" spans="2:20" ht="16.5" customHeight="1" thickBot="1">
      <c r="B4" s="726" t="s">
        <v>367</v>
      </c>
      <c r="C4" s="726"/>
      <c r="D4" s="726"/>
      <c r="E4" s="726"/>
      <c r="F4" s="726"/>
      <c r="G4" s="726"/>
      <c r="H4" s="726"/>
      <c r="I4" s="726"/>
      <c r="J4" s="726"/>
      <c r="K4" s="726"/>
      <c r="L4" s="727"/>
      <c r="M4" s="726"/>
      <c r="N4" s="727"/>
      <c r="O4" s="727"/>
      <c r="P4" s="727"/>
      <c r="Q4" s="726"/>
      <c r="R4" s="727" t="str">
        <f>+'MASTER PubCo Inputs'!$C$21</f>
        <v>(in thousands of USD)</v>
      </c>
    </row>
    <row r="5" spans="2:20" ht="14.85" customHeight="1" thickTop="1"/>
    <row r="6" spans="2:20" ht="14.85" customHeight="1"/>
    <row r="7" spans="2:20" ht="14.85" customHeight="1">
      <c r="B7" s="972" t="s">
        <v>710</v>
      </c>
      <c r="C7" s="973"/>
      <c r="D7" s="973"/>
      <c r="E7" s="973"/>
      <c r="F7" s="973"/>
      <c r="G7" s="973"/>
      <c r="H7" s="973"/>
      <c r="I7" s="973"/>
      <c r="J7" s="973"/>
      <c r="K7" s="973"/>
      <c r="L7" s="974"/>
      <c r="N7" s="972" t="s">
        <v>3224</v>
      </c>
      <c r="O7" s="973"/>
      <c r="P7" s="973"/>
      <c r="Q7" s="973"/>
      <c r="R7" s="974"/>
    </row>
    <row r="8" spans="2:20" ht="14.85" customHeight="1"/>
    <row r="9" spans="2:20" ht="14.85" customHeight="1">
      <c r="B9" s="199" t="s">
        <v>629</v>
      </c>
      <c r="D9" s="975" t="s">
        <v>737</v>
      </c>
      <c r="E9" s="975"/>
      <c r="F9" s="975"/>
      <c r="G9" s="975"/>
      <c r="H9" s="975"/>
      <c r="I9" s="975"/>
      <c r="J9" s="975"/>
      <c r="K9" s="975"/>
      <c r="L9" s="975"/>
    </row>
    <row r="10" spans="2:20" ht="14.85" customHeight="1">
      <c r="D10" s="1060" t="str">
        <f>+Trans.1!U7</f>
        <v>Revenue</v>
      </c>
      <c r="E10" s="1060"/>
      <c r="F10" s="1060" t="str">
        <f>+Trans.1!V7</f>
        <v>EBITDA</v>
      </c>
      <c r="G10" s="1060"/>
      <c r="H10" s="1060" t="str">
        <f>+Trans.1!W7</f>
        <v>EBIT</v>
      </c>
      <c r="I10" s="1060"/>
      <c r="J10" s="1060" t="str">
        <f>+Trans.1!X7</f>
        <v>Price/Book Value</v>
      </c>
      <c r="K10" s="1060"/>
      <c r="L10" s="1060" t="str">
        <f>+Trans.1!Y7</f>
        <v>Price/Net Income</v>
      </c>
      <c r="M10" s="265"/>
      <c r="N10" s="1060" t="str">
        <f>'Control Premium Summary'!B14</f>
        <v>Business Services</v>
      </c>
      <c r="O10" s="265"/>
      <c r="P10" s="1060" t="str">
        <f>Trans.1!AI7</f>
        <v>1 Week</v>
      </c>
      <c r="Q10" s="265"/>
      <c r="R10" s="1060" t="str">
        <f>Trans.1!AJ7</f>
        <v>1 Month</v>
      </c>
      <c r="S10" s="265"/>
      <c r="T10" s="265"/>
    </row>
    <row r="11" spans="2:20" ht="14.85" customHeight="1">
      <c r="D11" s="180"/>
      <c r="E11" s="180"/>
      <c r="F11" s="180"/>
      <c r="G11" s="180"/>
      <c r="H11" s="180"/>
      <c r="I11" s="180"/>
      <c r="J11" s="180"/>
      <c r="K11" s="180"/>
      <c r="L11" s="180"/>
      <c r="P11" s="180"/>
      <c r="Q11" s="180"/>
      <c r="R11" s="180"/>
    </row>
    <row r="12" spans="2:20" ht="14.85" customHeight="1">
      <c r="B12" s="252" t="str">
        <f>+'Comp.1'!$B43</f>
        <v>High</v>
      </c>
      <c r="D12" s="930">
        <f>+Trans.1!U43</f>
        <v>21.945753424657536</v>
      </c>
      <c r="E12" s="930"/>
      <c r="F12" s="930">
        <f>+Trans.1!V43</f>
        <v>0</v>
      </c>
      <c r="G12" s="930"/>
      <c r="H12" s="930">
        <f>+Trans.1!W43</f>
        <v>0</v>
      </c>
      <c r="I12" s="930"/>
      <c r="J12" s="930">
        <f>+Trans.1!X43</f>
        <v>3.1703899999999998</v>
      </c>
      <c r="K12" s="930"/>
      <c r="L12" s="930">
        <f>+Trans.1!Y43</f>
        <v>0</v>
      </c>
      <c r="M12" s="203"/>
      <c r="N12" s="203"/>
      <c r="O12" s="203"/>
      <c r="P12" s="1061">
        <f>Trans.1!AI43</f>
        <v>7.0265999999999995E-2</v>
      </c>
      <c r="Q12" s="1061"/>
      <c r="R12" s="1061">
        <f>Trans.1!AJ43</f>
        <v>1.0002230000000001</v>
      </c>
    </row>
    <row r="13" spans="2:20" ht="14.85" customHeight="1">
      <c r="B13" s="252" t="str">
        <f>+'Comp.1'!$B44</f>
        <v>3rd Quartile</v>
      </c>
      <c r="D13" s="930">
        <f>+Trans.1!U44</f>
        <v>21.945753424657536</v>
      </c>
      <c r="E13" s="930"/>
      <c r="F13" s="930" t="e">
        <f>+Trans.1!V44</f>
        <v>#NUM!</v>
      </c>
      <c r="G13" s="930"/>
      <c r="H13" s="930" t="e">
        <f>+Trans.1!W44</f>
        <v>#NUM!</v>
      </c>
      <c r="I13" s="930"/>
      <c r="J13" s="930">
        <f>+Trans.1!X44</f>
        <v>0.79259749999999995</v>
      </c>
      <c r="K13" s="930"/>
      <c r="L13" s="930">
        <f>+Trans.1!Y44</f>
        <v>0</v>
      </c>
      <c r="M13" s="203"/>
      <c r="N13" s="203"/>
      <c r="O13" s="203"/>
      <c r="P13" s="1061">
        <f>Trans.1!AI44</f>
        <v>1.7566499999999999E-2</v>
      </c>
      <c r="Q13" s="1061"/>
      <c r="R13" s="1061">
        <f>Trans.1!AJ44</f>
        <v>0.25005575000000002</v>
      </c>
    </row>
    <row r="14" spans="2:20" ht="14.85" customHeight="1">
      <c r="B14" s="252" t="str">
        <f>+'Comp.1'!$B45</f>
        <v xml:space="preserve">Mean </v>
      </c>
      <c r="D14" s="930">
        <f>+Trans.1!U45</f>
        <v>21.945753424657536</v>
      </c>
      <c r="E14" s="930"/>
      <c r="F14" s="930" t="e">
        <f>+Trans.1!V45</f>
        <v>#DIV/0!</v>
      </c>
      <c r="G14" s="930"/>
      <c r="H14" s="930" t="e">
        <f>+Trans.1!W45</f>
        <v>#DIV/0!</v>
      </c>
      <c r="I14" s="930"/>
      <c r="J14" s="930">
        <f>+Trans.1!X45</f>
        <v>0.79259749999999995</v>
      </c>
      <c r="K14" s="930"/>
      <c r="L14" s="930">
        <f>+Trans.1!Y45</f>
        <v>0</v>
      </c>
      <c r="M14" s="203"/>
      <c r="N14" s="1061">
        <f>'Control Premium Summary'!E15</f>
        <v>0.43099999999999999</v>
      </c>
      <c r="O14" s="203"/>
      <c r="P14" s="1061">
        <f>Trans.1!AI45</f>
        <v>1.7566499999999999E-2</v>
      </c>
      <c r="Q14" s="1061"/>
      <c r="R14" s="1061">
        <f>Trans.1!AJ45</f>
        <v>0.25005575000000002</v>
      </c>
    </row>
    <row r="15" spans="2:20" ht="14.85" customHeight="1">
      <c r="B15" s="252" t="str">
        <f>+'Comp.1'!$B46</f>
        <v>Median</v>
      </c>
      <c r="D15" s="930">
        <f>+Trans.1!U46</f>
        <v>21.945753424657536</v>
      </c>
      <c r="E15" s="930"/>
      <c r="F15" s="930" t="e">
        <f>+Trans.1!V46</f>
        <v>#NUM!</v>
      </c>
      <c r="G15" s="930"/>
      <c r="H15" s="930" t="e">
        <f>+Trans.1!W46</f>
        <v>#NUM!</v>
      </c>
      <c r="I15" s="930"/>
      <c r="J15" s="930">
        <f>+Trans.1!X46</f>
        <v>0</v>
      </c>
      <c r="K15" s="930"/>
      <c r="L15" s="930">
        <f>+Trans.1!Y46</f>
        <v>0</v>
      </c>
      <c r="M15" s="203"/>
      <c r="N15" s="1061">
        <f>'Control Premium Summary'!E16</f>
        <v>0.28899999999999998</v>
      </c>
      <c r="O15" s="203"/>
      <c r="P15" s="1061">
        <f>Trans.1!AI46</f>
        <v>0</v>
      </c>
      <c r="Q15" s="1061"/>
      <c r="R15" s="1061">
        <f>Trans.1!AJ46</f>
        <v>0</v>
      </c>
    </row>
    <row r="16" spans="2:20" ht="14.85" customHeight="1">
      <c r="B16" s="252" t="str">
        <f>+'Comp.1'!$B47</f>
        <v>1st Quartile</v>
      </c>
      <c r="D16" s="930">
        <f>+Trans.1!U47</f>
        <v>21.945753424657536</v>
      </c>
      <c r="E16" s="930"/>
      <c r="F16" s="930" t="e">
        <f>+Trans.1!V47</f>
        <v>#NUM!</v>
      </c>
      <c r="G16" s="930"/>
      <c r="H16" s="930" t="e">
        <f>+Trans.1!W47</f>
        <v>#NUM!</v>
      </c>
      <c r="I16" s="930"/>
      <c r="J16" s="930">
        <f>+Trans.1!X47</f>
        <v>0</v>
      </c>
      <c r="K16" s="930"/>
      <c r="L16" s="930">
        <f>+Trans.1!Y47</f>
        <v>0</v>
      </c>
      <c r="M16" s="203"/>
      <c r="N16" s="203"/>
      <c r="O16" s="203"/>
      <c r="P16" s="1061">
        <f>Trans.1!AI47</f>
        <v>0</v>
      </c>
      <c r="Q16" s="1061"/>
      <c r="R16" s="1061">
        <f>Trans.1!AJ47</f>
        <v>0</v>
      </c>
    </row>
    <row r="17" spans="2:21" ht="14.85" customHeight="1">
      <c r="B17" s="252" t="str">
        <f>+'Comp.1'!$B48</f>
        <v>Low</v>
      </c>
      <c r="D17" s="930">
        <f>+Trans.1!U48</f>
        <v>21.945753424657536</v>
      </c>
      <c r="E17" s="930"/>
      <c r="F17" s="930">
        <f>+Trans.1!V48</f>
        <v>0</v>
      </c>
      <c r="G17" s="930"/>
      <c r="H17" s="930">
        <f>+Trans.1!W48</f>
        <v>0</v>
      </c>
      <c r="I17" s="930"/>
      <c r="J17" s="930">
        <f>+Trans.1!X48</f>
        <v>0</v>
      </c>
      <c r="K17" s="930"/>
      <c r="L17" s="930">
        <f>+Trans.1!Y48</f>
        <v>0</v>
      </c>
      <c r="M17" s="203"/>
      <c r="N17" s="203"/>
      <c r="O17" s="203"/>
      <c r="P17" s="1061">
        <f>Trans.1!AI48</f>
        <v>0</v>
      </c>
      <c r="Q17" s="1061"/>
      <c r="R17" s="1061">
        <f>Trans.1!AJ48</f>
        <v>0</v>
      </c>
    </row>
    <row r="18" spans="2:21" ht="14.85" customHeight="1">
      <c r="D18" s="203"/>
      <c r="E18" s="203"/>
      <c r="F18" s="203"/>
      <c r="G18" s="203"/>
      <c r="H18" s="203"/>
      <c r="I18" s="203"/>
      <c r="J18" s="203"/>
      <c r="K18" s="203"/>
      <c r="L18" s="203"/>
      <c r="M18" s="203"/>
      <c r="N18" s="203"/>
      <c r="O18" s="203"/>
      <c r="P18" s="203"/>
      <c r="Q18" s="203"/>
      <c r="R18" s="203"/>
    </row>
    <row r="19" spans="2:21" ht="14.85" customHeight="1">
      <c r="F19" s="977" t="s">
        <v>3225</v>
      </c>
      <c r="G19" s="1062"/>
      <c r="H19" s="974"/>
      <c r="J19" s="978" t="s">
        <v>1783</v>
      </c>
      <c r="L19" s="977" t="s">
        <v>736</v>
      </c>
      <c r="M19" s="1062"/>
      <c r="N19" s="974"/>
      <c r="O19" s="203"/>
      <c r="P19" s="977" t="s">
        <v>3226</v>
      </c>
    </row>
    <row r="20" spans="2:21" s="200" customFormat="1" ht="14.85" customHeight="1">
      <c r="D20" s="1063" t="s">
        <v>337</v>
      </c>
      <c r="E20" s="265"/>
      <c r="F20" s="980" t="s">
        <v>112</v>
      </c>
      <c r="G20" s="1064"/>
      <c r="H20" s="980" t="s">
        <v>111</v>
      </c>
      <c r="I20" s="1064"/>
      <c r="J20" s="1065">
        <f>'GCM SUMM'!J28</f>
        <v>0.25</v>
      </c>
      <c r="K20" s="1064"/>
      <c r="L20" s="979" t="s">
        <v>112</v>
      </c>
      <c r="M20" s="1064"/>
      <c r="N20" s="979" t="s">
        <v>111</v>
      </c>
      <c r="O20" s="265"/>
      <c r="P20" s="981"/>
      <c r="Q20" s="1066"/>
      <c r="R20" s="982" t="s">
        <v>70</v>
      </c>
    </row>
    <row r="21" spans="2:21" ht="14.85" customHeight="1">
      <c r="O21" s="203"/>
    </row>
    <row r="22" spans="2:21" ht="14.85" customHeight="1">
      <c r="B22" s="182" t="s">
        <v>330</v>
      </c>
      <c r="O22" s="203"/>
      <c r="T22" s="1067" t="s">
        <v>676</v>
      </c>
      <c r="U22" s="696"/>
    </row>
    <row r="23" spans="2:21" ht="14.85" customHeight="1">
      <c r="B23" s="252" t="s">
        <v>162</v>
      </c>
      <c r="D23" s="261" t="e">
        <f>'Hist IS'!#REF!</f>
        <v>#REF!</v>
      </c>
      <c r="E23" s="263"/>
      <c r="F23" s="984">
        <v>0.67581966101694912</v>
      </c>
      <c r="G23" s="263"/>
      <c r="H23" s="984">
        <v>0.78</v>
      </c>
      <c r="I23" s="263"/>
      <c r="J23" s="985">
        <f>IF($T$23&lt;&gt;"Discount",1,1/((1+DCF!$F$62)^(0/12)))</f>
        <v>1</v>
      </c>
      <c r="K23" s="263"/>
      <c r="L23" s="601" t="str">
        <f>IFERROR($D23*F23*$J23,"n/a")</f>
        <v>n/a</v>
      </c>
      <c r="N23" s="601" t="str">
        <f>IFERROR($D23*H23*$J23,"n/a")</f>
        <v>n/a</v>
      </c>
      <c r="O23" s="203"/>
      <c r="P23" s="986">
        <v>0</v>
      </c>
      <c r="R23" s="180" t="str">
        <f>'Hist IS'!$B$3</f>
        <v>Exhibit C.2</v>
      </c>
      <c r="T23" s="378" t="s">
        <v>50</v>
      </c>
      <c r="U23" s="701"/>
    </row>
    <row r="24" spans="2:21" ht="14.85" customHeight="1">
      <c r="B24" s="252" t="s">
        <v>175</v>
      </c>
      <c r="D24" s="261" t="e">
        <f>'Hist IS'!#REF!</f>
        <v>#REF!</v>
      </c>
      <c r="E24" s="263"/>
      <c r="F24" s="984">
        <v>0.67581966101694912</v>
      </c>
      <c r="G24" s="263"/>
      <c r="H24" s="984">
        <v>0.78</v>
      </c>
      <c r="I24" s="263"/>
      <c r="J24" s="985">
        <f>IF($T$23&lt;&gt;"Discount",1,$J$23)</f>
        <v>1</v>
      </c>
      <c r="K24" s="263"/>
      <c r="L24" s="601" t="str">
        <f>IFERROR($D24*F24*$J24,"n/a")</f>
        <v>n/a</v>
      </c>
      <c r="N24" s="601" t="str">
        <f>IFERROR($D24*H24*$J24,"n/a")</f>
        <v>n/a</v>
      </c>
      <c r="O24" s="203"/>
      <c r="P24" s="986">
        <v>0</v>
      </c>
      <c r="R24" s="180" t="str">
        <f>'Hist IS'!$B$3</f>
        <v>Exhibit C.2</v>
      </c>
    </row>
    <row r="25" spans="2:21" ht="14.85" customHeight="1">
      <c r="D25" s="261"/>
      <c r="J25" s="985"/>
      <c r="O25" s="203"/>
      <c r="P25" s="986"/>
    </row>
    <row r="26" spans="2:21" ht="14.85" customHeight="1">
      <c r="B26" s="182" t="s">
        <v>333</v>
      </c>
      <c r="D26" s="261"/>
      <c r="J26" s="985"/>
      <c r="O26" s="203"/>
      <c r="P26" s="986"/>
    </row>
    <row r="27" spans="2:21" ht="14.85" customHeight="1">
      <c r="B27" s="252" t="s">
        <v>162</v>
      </c>
      <c r="D27" s="261">
        <f>DCF!$F$14</f>
        <v>3722</v>
      </c>
      <c r="E27" s="263"/>
      <c r="F27" s="984">
        <v>0.67581966101694912</v>
      </c>
      <c r="G27" s="263"/>
      <c r="H27" s="984">
        <v>0.78</v>
      </c>
      <c r="I27" s="263"/>
      <c r="J27" s="985">
        <f>IF($T$23&lt;&gt;"Discount",1,1/(1+DCF!$D$62)^(DCF!F$57))</f>
        <v>0.87415507913620483</v>
      </c>
      <c r="K27" s="263"/>
      <c r="L27" s="601">
        <f>IFERROR($D27*F27*$J27,"n/a")</f>
        <v>2198.8503664185528</v>
      </c>
      <c r="N27" s="601">
        <f>IFERROR($D27*H27*$J27,"n/a")</f>
        <v>2537.8120595450646</v>
      </c>
      <c r="O27" s="203"/>
      <c r="P27" s="986">
        <v>0.5</v>
      </c>
      <c r="R27" s="180" t="e">
        <f>DCF!$B$3</f>
        <v>#N/A</v>
      </c>
    </row>
    <row r="28" spans="2:21" ht="14.85" customHeight="1">
      <c r="B28" s="252" t="s">
        <v>175</v>
      </c>
      <c r="D28" s="261">
        <f>DCF!$F$30</f>
        <v>-6328.3000000000011</v>
      </c>
      <c r="E28" s="263"/>
      <c r="F28" s="984" t="s">
        <v>13</v>
      </c>
      <c r="G28" s="263"/>
      <c r="H28" s="984" t="s">
        <v>13</v>
      </c>
      <c r="I28" s="263"/>
      <c r="J28" s="985">
        <f>IF($T$23&lt;&gt;"Discount",1,$J$27)</f>
        <v>0.87415507913620483</v>
      </c>
      <c r="K28" s="263"/>
      <c r="L28" s="601" t="str">
        <f>IFERROR($D28*F28*$J28,"n/a")</f>
        <v>n/a</v>
      </c>
      <c r="N28" s="601" t="str">
        <f>IFERROR($D28*H28*$J28,"n/a")</f>
        <v>n/a</v>
      </c>
      <c r="O28" s="203"/>
      <c r="P28" s="986">
        <v>0</v>
      </c>
      <c r="R28" s="180" t="e">
        <f>DCF!$B$3</f>
        <v>#N/A</v>
      </c>
    </row>
    <row r="29" spans="2:21" ht="14.85" customHeight="1">
      <c r="D29" s="261"/>
      <c r="J29" s="985"/>
      <c r="O29" s="203"/>
      <c r="P29" s="986"/>
    </row>
    <row r="30" spans="2:21" ht="14.85" customHeight="1">
      <c r="B30" s="182" t="s">
        <v>334</v>
      </c>
      <c r="D30" s="261"/>
      <c r="J30" s="985"/>
      <c r="O30" s="203"/>
      <c r="P30" s="986"/>
    </row>
    <row r="31" spans="2:21" ht="14.85" customHeight="1">
      <c r="B31" s="252" t="s">
        <v>162</v>
      </c>
      <c r="D31" s="261">
        <f>DCF!$G$14</f>
        <v>8657.4</v>
      </c>
      <c r="E31" s="263"/>
      <c r="F31" s="984">
        <v>0.67581966101694912</v>
      </c>
      <c r="G31" s="263"/>
      <c r="H31" s="984">
        <v>0.78</v>
      </c>
      <c r="I31" s="263"/>
      <c r="J31" s="985">
        <f>IF($T$23&lt;&gt;"Discount",1,1/(1+DCF!$D$62)^(DCF!F$57+1))</f>
        <v>0.69932406330896391</v>
      </c>
      <c r="K31" s="263"/>
      <c r="L31" s="601">
        <f>IFERROR($D31*F31*$J31,"n/a")</f>
        <v>4091.6339951062819</v>
      </c>
      <c r="N31" s="601">
        <f>IFERROR($D31*H31*$J31,"n/a")</f>
        <v>4722.3759536389989</v>
      </c>
      <c r="O31" s="203"/>
      <c r="P31" s="986">
        <v>0.5</v>
      </c>
      <c r="R31" s="180" t="e">
        <f>DCF!$B$3</f>
        <v>#N/A</v>
      </c>
    </row>
    <row r="32" spans="2:21" ht="14.85" customHeight="1">
      <c r="B32" s="252" t="s">
        <v>175</v>
      </c>
      <c r="D32" s="261">
        <f>DCF!$G$30</f>
        <v>-4843.8</v>
      </c>
      <c r="E32" s="263"/>
      <c r="F32" s="984">
        <v>0.67581966101694912</v>
      </c>
      <c r="G32" s="263"/>
      <c r="H32" s="984">
        <v>0.78</v>
      </c>
      <c r="I32" s="263"/>
      <c r="J32" s="985">
        <f>IF($T$23&lt;&gt;"Discount",1,$J$31)</f>
        <v>0.69932406330896391</v>
      </c>
      <c r="K32" s="263"/>
      <c r="L32" s="601">
        <f>IFERROR($D32*F32*$J32,"n/a")</f>
        <v>-2289.2619892226085</v>
      </c>
      <c r="N32" s="601">
        <f>IFERROR($D32*H32*$J32,"n/a")</f>
        <v>-2642.1610003276483</v>
      </c>
      <c r="O32" s="203"/>
      <c r="P32" s="986"/>
      <c r="R32" s="180" t="e">
        <f>DCF!$B$3</f>
        <v>#N/A</v>
      </c>
    </row>
    <row r="33" spans="2:18" ht="14.85" customHeight="1">
      <c r="D33" s="261"/>
      <c r="J33" s="985"/>
      <c r="O33" s="203"/>
      <c r="P33" s="986"/>
    </row>
    <row r="34" spans="2:18" ht="14.85" customHeight="1">
      <c r="B34" s="182" t="s">
        <v>335</v>
      </c>
      <c r="D34" s="261"/>
      <c r="J34" s="985"/>
      <c r="O34" s="203"/>
      <c r="P34" s="986"/>
    </row>
    <row r="35" spans="2:18" ht="14.85" customHeight="1">
      <c r="B35" s="252" t="s">
        <v>162</v>
      </c>
      <c r="D35" s="261">
        <f>DCF!$H$14</f>
        <v>19751.599999999999</v>
      </c>
      <c r="E35" s="263"/>
      <c r="F35" s="984">
        <v>0.67581966101694912</v>
      </c>
      <c r="G35" s="263"/>
      <c r="H35" s="984">
        <v>0.78</v>
      </c>
      <c r="I35" s="263"/>
      <c r="J35" s="985">
        <f>IF($T$23&lt;&gt;"Discount",1,1/(1+DCF!$D$62)^(DCF!F$57+2))</f>
        <v>0.55945925064717117</v>
      </c>
      <c r="K35" s="263"/>
      <c r="L35" s="601">
        <f>IFERROR($D35*F35*$J35,"n/a")</f>
        <v>7467.9527819198593</v>
      </c>
      <c r="N35" s="601">
        <f>IFERROR($D35*H35*$J35,"n/a")</f>
        <v>8619.1679613644792</v>
      </c>
      <c r="O35" s="203"/>
      <c r="P35" s="986">
        <v>0</v>
      </c>
      <c r="R35" s="180" t="e">
        <f>DCF!$B$3</f>
        <v>#N/A</v>
      </c>
    </row>
    <row r="36" spans="2:18" ht="14.85" customHeight="1">
      <c r="B36" s="252" t="s">
        <v>175</v>
      </c>
      <c r="D36" s="261">
        <f>DCF!$H$30</f>
        <v>-753.20000000000255</v>
      </c>
      <c r="E36" s="263"/>
      <c r="F36" s="984">
        <v>0.67581966101694912</v>
      </c>
      <c r="G36" s="263"/>
      <c r="H36" s="984">
        <v>0.78</v>
      </c>
      <c r="I36" s="263"/>
      <c r="J36" s="985">
        <f>IF($T$23&lt;&gt;"Discount",1,$J$35)</f>
        <v>0.55945925064717117</v>
      </c>
      <c r="K36" s="263"/>
      <c r="L36" s="601">
        <f>IFERROR($D36*F36*$J36,"n/a")</f>
        <v>-284.7800702394772</v>
      </c>
      <c r="N36" s="601">
        <f>IFERROR($D36*H36*$J36,"n/a")</f>
        <v>-328.68007191821158</v>
      </c>
      <c r="O36" s="203"/>
      <c r="P36" s="986">
        <v>0</v>
      </c>
      <c r="R36" s="180" t="e">
        <f>DCF!$B$3</f>
        <v>#N/A</v>
      </c>
    </row>
    <row r="37" spans="2:18" ht="14.85" customHeight="1">
      <c r="O37" s="203"/>
    </row>
    <row r="38" spans="2:18" ht="14.85" customHeight="1">
      <c r="B38" s="1068" t="s">
        <v>368</v>
      </c>
      <c r="C38" s="1069"/>
      <c r="D38" s="1069"/>
      <c r="E38" s="1069"/>
      <c r="F38" s="1069"/>
      <c r="G38" s="1069"/>
      <c r="H38" s="1069"/>
      <c r="I38" s="1069"/>
      <c r="J38" s="1069"/>
      <c r="K38" s="1069"/>
      <c r="L38" s="1070">
        <f>SUMPRODUCT(L23:L36,$P$23:$P$36)</f>
        <v>3145.2421807624173</v>
      </c>
      <c r="M38" s="1069"/>
      <c r="N38" s="1070">
        <f>SUMPRODUCT(N23:N36,$P$23:$P$36)</f>
        <v>3630.0940065920317</v>
      </c>
      <c r="O38" s="203"/>
    </row>
    <row r="39" spans="2:18" ht="14.85" customHeight="1">
      <c r="O39" s="203"/>
    </row>
    <row r="40" spans="2:18" ht="14.85" customHeight="1">
      <c r="B40" s="252" t="str">
        <f>'GCM SUMM'!B50</f>
        <v>Less: Total Debt</v>
      </c>
      <c r="L40" s="261">
        <f>-'Hist BS'!$G$71</f>
        <v>0</v>
      </c>
      <c r="M40" s="263"/>
      <c r="N40" s="255">
        <f>L40</f>
        <v>0</v>
      </c>
      <c r="O40" s="203"/>
      <c r="R40" s="185" t="str">
        <f>'Hist BS'!$B$3</f>
        <v>Exhibit C.3</v>
      </c>
    </row>
    <row r="41" spans="2:18" ht="14.85" customHeight="1">
      <c r="B41" s="264"/>
      <c r="C41" s="264"/>
      <c r="D41" s="264"/>
      <c r="E41" s="264"/>
      <c r="F41" s="264"/>
      <c r="G41" s="264"/>
      <c r="H41" s="264"/>
      <c r="I41" s="264"/>
      <c r="J41" s="264"/>
      <c r="K41" s="264"/>
      <c r="L41" s="264"/>
      <c r="M41" s="264"/>
      <c r="N41" s="264"/>
      <c r="O41" s="203"/>
    </row>
    <row r="42" spans="2:18" ht="14.85" customHeight="1">
      <c r="B42" s="182" t="s">
        <v>631</v>
      </c>
      <c r="L42" s="309">
        <f>SUM(L38:L40)</f>
        <v>3145.2421807624173</v>
      </c>
      <c r="N42" s="309">
        <f>SUM(N38:N40)</f>
        <v>3630.0940065920317</v>
      </c>
      <c r="O42" s="203"/>
    </row>
    <row r="43" spans="2:18" ht="14.85" customHeight="1">
      <c r="O43" s="203"/>
    </row>
    <row r="44" spans="2:18" ht="14.85" customHeight="1">
      <c r="B44" s="252" t="s">
        <v>632</v>
      </c>
      <c r="D44" s="883">
        <f>'Control Premium Summary'!H39</f>
        <v>0.25</v>
      </c>
      <c r="O44" s="203"/>
    </row>
    <row r="45" spans="2:18" ht="14.85" customHeight="1">
      <c r="B45" s="252" t="s">
        <v>633</v>
      </c>
      <c r="D45" s="257">
        <f>1-(1/(1+D44))</f>
        <v>0.19999999999999996</v>
      </c>
      <c r="L45" s="601">
        <f>+L42*(1-$D$45)</f>
        <v>2516.1937446099341</v>
      </c>
      <c r="N45" s="601">
        <f>+N42*(1-$D$45)</f>
        <v>2904.0752052736257</v>
      </c>
      <c r="O45" s="203"/>
    </row>
    <row r="46" spans="2:18" ht="14.85" customHeight="1">
      <c r="B46" s="264"/>
      <c r="C46" s="264"/>
      <c r="D46" s="264"/>
      <c r="E46" s="264"/>
      <c r="F46" s="264"/>
      <c r="G46" s="264"/>
      <c r="H46" s="264"/>
      <c r="I46" s="264"/>
      <c r="J46" s="264"/>
      <c r="K46" s="264"/>
      <c r="L46" s="264"/>
      <c r="M46" s="264"/>
      <c r="N46" s="264"/>
      <c r="O46" s="203"/>
    </row>
    <row r="47" spans="2:18" ht="14.85" customHeight="1">
      <c r="B47" s="182" t="s">
        <v>634</v>
      </c>
      <c r="L47" s="309">
        <f>L45</f>
        <v>2516.1937446099341</v>
      </c>
      <c r="N47" s="309">
        <f>N45</f>
        <v>2904.0752052736257</v>
      </c>
      <c r="O47" s="203"/>
    </row>
    <row r="48" spans="2:18" ht="14.85" customHeight="1">
      <c r="O48" s="203"/>
    </row>
    <row r="49" spans="1:18" ht="14.85" customHeight="1">
      <c r="B49" s="252" t="s">
        <v>340</v>
      </c>
      <c r="D49" s="447"/>
      <c r="E49" s="447"/>
      <c r="G49" s="447"/>
      <c r="I49" s="447"/>
      <c r="K49" s="447"/>
      <c r="L49" s="255">
        <f>-L40</f>
        <v>0</v>
      </c>
      <c r="M49" s="263"/>
      <c r="N49" s="255">
        <f>-N40</f>
        <v>0</v>
      </c>
      <c r="O49" s="203"/>
      <c r="R49" s="185" t="str">
        <f>'Hist BS'!$B$3</f>
        <v>Exhibit C.3</v>
      </c>
    </row>
    <row r="50" spans="1:18" ht="14.85" customHeight="1">
      <c r="B50" s="264"/>
      <c r="C50" s="264"/>
      <c r="D50" s="264"/>
      <c r="E50" s="264"/>
      <c r="F50" s="264"/>
      <c r="G50" s="264"/>
      <c r="H50" s="264"/>
      <c r="I50" s="264"/>
      <c r="J50" s="264"/>
      <c r="K50" s="264"/>
      <c r="L50" s="264"/>
      <c r="M50" s="264"/>
      <c r="N50" s="264"/>
      <c r="O50" s="203"/>
    </row>
    <row r="51" spans="1:18" ht="14.85" customHeight="1">
      <c r="B51" s="182" t="s">
        <v>341</v>
      </c>
      <c r="L51" s="309">
        <f>SUM(L47:L49)</f>
        <v>2516.1937446099341</v>
      </c>
      <c r="N51" s="309">
        <f>SUM(N47:N49)</f>
        <v>2904.0752052736257</v>
      </c>
      <c r="O51" s="203"/>
    </row>
    <row r="52" spans="1:18" ht="14.85" customHeight="1">
      <c r="O52" s="203"/>
    </row>
    <row r="53" spans="1:18" ht="14.85" customHeight="1">
      <c r="B53" s="267" t="s">
        <v>343</v>
      </c>
      <c r="C53" s="987"/>
      <c r="D53" s="987"/>
      <c r="E53" s="988"/>
      <c r="F53" s="987"/>
      <c r="G53" s="988"/>
      <c r="H53" s="987"/>
      <c r="I53" s="988"/>
      <c r="J53" s="988"/>
      <c r="K53" s="988"/>
      <c r="L53" s="989">
        <f>MROUND(L51,1)</f>
        <v>2516</v>
      </c>
      <c r="M53" s="988"/>
      <c r="N53" s="990">
        <f>MROUND(N51,1)</f>
        <v>2904</v>
      </c>
      <c r="O53" s="203"/>
    </row>
    <row r="54" spans="1:18" ht="14.85" customHeight="1">
      <c r="O54" s="203"/>
    </row>
    <row r="55" spans="1:18" ht="14.85" customHeight="1">
      <c r="B55" s="1071" t="s">
        <v>86</v>
      </c>
      <c r="O55" s="203"/>
    </row>
    <row r="56" spans="1:18" ht="14.85" customHeight="1">
      <c r="A56" s="273" t="s">
        <v>261</v>
      </c>
      <c r="B56" s="1072" t="e">
        <f>"Refer to "&amp;'Control Premium Summary'!B3&amp;"."</f>
        <v>#N/A</v>
      </c>
      <c r="O56" s="203"/>
    </row>
    <row r="57" spans="1:18" ht="14.85" customHeight="1">
      <c r="A57" s="273" t="s">
        <v>260</v>
      </c>
      <c r="B57" s="890" t="s">
        <v>960</v>
      </c>
      <c r="C57" s="275"/>
      <c r="D57" s="275"/>
      <c r="E57" s="275"/>
      <c r="F57" s="275"/>
      <c r="G57" s="275"/>
      <c r="H57" s="275"/>
      <c r="I57" s="275"/>
      <c r="J57" s="275"/>
      <c r="K57" s="275"/>
      <c r="L57" s="275"/>
      <c r="M57" s="275"/>
      <c r="O57" s="203"/>
    </row>
    <row r="58" spans="1:18" ht="14.85" customHeight="1">
      <c r="A58" s="273" t="s">
        <v>299</v>
      </c>
      <c r="B58" s="890" t="s">
        <v>1782</v>
      </c>
      <c r="C58" s="275"/>
      <c r="D58" s="275"/>
      <c r="E58" s="275"/>
      <c r="F58" s="275"/>
      <c r="G58" s="275"/>
      <c r="H58" s="275"/>
      <c r="I58" s="275"/>
      <c r="J58" s="275"/>
      <c r="K58" s="275"/>
      <c r="L58" s="275"/>
      <c r="M58" s="275"/>
      <c r="O58" s="203"/>
    </row>
    <row r="59" spans="1:18" ht="14.85" customHeight="1">
      <c r="A59" s="273" t="s">
        <v>300</v>
      </c>
      <c r="B59" s="890" t="s">
        <v>957</v>
      </c>
      <c r="O59" s="203"/>
    </row>
    <row r="60" spans="1:18" ht="14.85" customHeight="1">
      <c r="O60" s="203"/>
    </row>
    <row r="61" spans="1:18" ht="14.85" customHeight="1">
      <c r="O61" s="203"/>
    </row>
    <row r="62" spans="1:18" ht="14.85" customHeight="1">
      <c r="O62" s="203"/>
    </row>
    <row r="63" spans="1:18" ht="14.85" customHeight="1">
      <c r="O63" s="203"/>
    </row>
    <row r="64" spans="1:18" ht="14.85" customHeight="1">
      <c r="O64" s="203"/>
    </row>
    <row r="65" spans="15:15" ht="14.85" customHeight="1">
      <c r="O65" s="203"/>
    </row>
    <row r="66" spans="15:15" ht="14.85" customHeight="1"/>
    <row r="67" spans="15:15" ht="14.85" customHeight="1"/>
    <row r="68" spans="15:15" ht="14.85" customHeight="1"/>
    <row r="69" spans="15:15" ht="14.85" customHeight="1"/>
    <row r="70" spans="15:15" ht="14.85" customHeight="1"/>
    <row r="71" spans="15:15" ht="14.85" customHeight="1"/>
    <row r="72" spans="15:15" ht="14.85" customHeight="1"/>
    <row r="73" spans="15:15" ht="14.85" customHeight="1"/>
    <row r="74" spans="15:15" ht="14.85" customHeight="1"/>
    <row r="75" spans="15:15" ht="14.85" customHeight="1"/>
    <row r="76" spans="15:15" ht="14.85" customHeight="1"/>
    <row r="77" spans="15:15" ht="14.85" customHeight="1"/>
    <row r="78" spans="15:15" ht="14.85" customHeight="1"/>
    <row r="79" spans="15:15" ht="14.85" customHeight="1"/>
    <row r="80" spans="15:15"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F4 N4:P4 H4 J4">
    <cfRule type="cellIs" dxfId="118" priority="14" stopIfTrue="1" operator="equal">
      <formula>"input"</formula>
    </cfRule>
  </conditionalFormatting>
  <conditionalFormatting sqref="L4">
    <cfRule type="cellIs" dxfId="117" priority="18" stopIfTrue="1" operator="equal">
      <formula>"input"</formula>
    </cfRule>
  </conditionalFormatting>
  <conditionalFormatting sqref="L4">
    <cfRule type="cellIs" dxfId="116" priority="19" stopIfTrue="1" operator="equal">
      <formula>"input"</formula>
    </cfRule>
  </conditionalFormatting>
  <conditionalFormatting sqref="G4">
    <cfRule type="cellIs" dxfId="115" priority="11" stopIfTrue="1" operator="equal">
      <formula>"input"</formula>
    </cfRule>
  </conditionalFormatting>
  <conditionalFormatting sqref="K4">
    <cfRule type="cellIs" dxfId="114" priority="10" stopIfTrue="1" operator="equal">
      <formula>"input"</formula>
    </cfRule>
  </conditionalFormatting>
  <conditionalFormatting sqref="M4">
    <cfRule type="cellIs" dxfId="113" priority="9" stopIfTrue="1" operator="equal">
      <formula>"input"</formula>
    </cfRule>
  </conditionalFormatting>
  <conditionalFormatting sqref="Q4">
    <cfRule type="cellIs" dxfId="112" priority="8" stopIfTrue="1" operator="equal">
      <formula>"input"</formula>
    </cfRule>
  </conditionalFormatting>
  <conditionalFormatting sqref="I4">
    <cfRule type="cellIs" dxfId="111" priority="5" stopIfTrue="1" operator="equal">
      <formula>"input"</formula>
    </cfRule>
  </conditionalFormatting>
  <conditionalFormatting sqref="P23:P36">
    <cfRule type="expression" dxfId="110" priority="4">
      <formula>SUM($P$23:$P$36)&lt;&gt;1</formula>
    </cfRule>
  </conditionalFormatting>
  <conditionalFormatting sqref="R4">
    <cfRule type="cellIs" dxfId="109" priority="2" stopIfTrue="1" operator="equal">
      <formula>"input"</formula>
    </cfRule>
  </conditionalFormatting>
  <conditionalFormatting sqref="R4">
    <cfRule type="cellIs" dxfId="108" priority="3" stopIfTrue="1" operator="equal">
      <formula>"input"</formula>
    </cfRule>
  </conditionalFormatting>
  <conditionalFormatting sqref="B4">
    <cfRule type="cellIs" dxfId="107" priority="1" stopIfTrue="1" operator="equal">
      <formula>"input"</formula>
    </cfRule>
  </conditionalFormatting>
  <dataValidations disablePrompts="1" count="1">
    <dataValidation type="list" allowBlank="1" showInputMessage="1" showErrorMessage="1" sqref="T23" xr:uid="{00000000-0002-0000-4300-000000000000}">
      <formula1>"Discount,No Discount"</formula1>
    </dataValidation>
  </dataValidations>
  <pageMargins left="0.5" right="0.5" top="0.5" bottom="0.5" header="0.5" footer="0.5"/>
  <pageSetup scale="80" fitToWidth="0" fitToHeight="0" orientation="landscape" r:id="rId1"/>
  <legacyDrawingHF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7"/>
  <dimension ref="A1:AT764"/>
  <sheetViews>
    <sheetView showGridLines="0" view="pageBreakPreview" zoomScale="80" zoomScaleNormal="100" zoomScaleSheetLayoutView="80" workbookViewId="0">
      <selection activeCell="E8" sqref="E8"/>
    </sheetView>
  </sheetViews>
  <sheetFormatPr defaultRowHeight="12.75" outlineLevelRow="1"/>
  <cols>
    <col min="1" max="1" width="4.5" style="179" customWidth="1"/>
    <col min="2" max="2" width="40.6640625" style="179" customWidth="1"/>
    <col min="3" max="3" width="2.83203125" style="179" customWidth="1"/>
    <col min="4" max="4" width="13.6640625" style="179" customWidth="1"/>
    <col min="5" max="5" width="3.5" style="179" customWidth="1"/>
    <col min="6" max="15" width="16.33203125" style="179" customWidth="1"/>
    <col min="16" max="16" width="4.5" style="179" customWidth="1"/>
    <col min="17" max="17" width="10.83203125" style="179" bestFit="1" customWidth="1"/>
    <col min="18" max="46" width="9.6640625" style="179" bestFit="1" customWidth="1"/>
    <col min="47" max="16384" width="9.33203125" style="179"/>
  </cols>
  <sheetData>
    <row r="1" spans="2:15" ht="10.7" customHeight="1" thickBot="1"/>
    <row r="2" spans="2:15" ht="16.5" customHeight="1" thickTop="1">
      <c r="B2" s="187" t="str">
        <f>'MASTER PubCo Inputs'!$C$5</f>
        <v>Decibel Therapeutics, Inc.</v>
      </c>
      <c r="C2" s="187"/>
      <c r="D2" s="187"/>
      <c r="E2" s="187"/>
      <c r="F2" s="187"/>
      <c r="G2" s="187"/>
      <c r="H2" s="187"/>
      <c r="I2" s="187"/>
      <c r="J2" s="187"/>
      <c r="K2" s="187"/>
      <c r="L2" s="187"/>
      <c r="M2" s="187"/>
      <c r="N2" s="187"/>
      <c r="O2" s="187"/>
    </row>
    <row r="3" spans="2:15" ht="15.75" customHeight="1">
      <c r="B3" s="188" t="e">
        <f>VLOOKUP(B4,Outline!$E$8:$G$75,COLUMNS(Outline!$E$8:$G$8),FALSE)</f>
        <v>#N/A</v>
      </c>
      <c r="C3" s="188"/>
      <c r="D3" s="188"/>
      <c r="E3" s="188"/>
      <c r="F3" s="188"/>
      <c r="G3" s="188"/>
      <c r="H3" s="188"/>
      <c r="I3" s="188"/>
      <c r="J3" s="188"/>
      <c r="K3" s="188"/>
      <c r="L3" s="188"/>
      <c r="M3" s="188"/>
      <c r="N3" s="188"/>
      <c r="O3" s="188"/>
    </row>
    <row r="4" spans="2:15" ht="16.5" customHeight="1" thickBot="1">
      <c r="B4" s="726" t="s">
        <v>146</v>
      </c>
      <c r="C4" s="726"/>
      <c r="D4" s="726"/>
      <c r="E4" s="726"/>
      <c r="F4" s="726"/>
      <c r="G4" s="726"/>
      <c r="H4" s="726"/>
      <c r="I4" s="726"/>
      <c r="J4" s="726"/>
      <c r="K4" s="726"/>
      <c r="L4" s="726"/>
      <c r="M4" s="726"/>
      <c r="N4" s="726"/>
      <c r="O4" s="727" t="str">
        <f>+'MASTER PubCo Inputs'!$C$21</f>
        <v>(in thousands of USD)</v>
      </c>
    </row>
    <row r="5" spans="2:15" ht="14.85" customHeight="1" thickTop="1"/>
    <row r="6" spans="2:15" ht="14.85" customHeight="1"/>
    <row r="7" spans="2:15" ht="14.85" customHeight="1">
      <c r="F7" s="608" t="s">
        <v>161</v>
      </c>
      <c r="G7" s="609"/>
      <c r="H7" s="609"/>
      <c r="I7" s="609"/>
      <c r="J7" s="609"/>
      <c r="K7" s="609"/>
      <c r="L7" s="609"/>
      <c r="M7" s="609"/>
      <c r="N7" s="609"/>
      <c r="O7" s="610"/>
    </row>
    <row r="8" spans="2:15" ht="14.85" customHeight="1">
      <c r="F8" s="611" t="s">
        <v>160</v>
      </c>
      <c r="G8" s="612"/>
      <c r="H8" s="612"/>
      <c r="I8" s="612"/>
      <c r="J8" s="612"/>
      <c r="K8" s="612"/>
      <c r="L8" s="612"/>
      <c r="M8" s="612"/>
      <c r="N8" s="612"/>
      <c r="O8" s="613"/>
    </row>
    <row r="9" spans="2:15" ht="14.85" customHeight="1">
      <c r="F9" s="614">
        <f>'Hist IS'!E9+1</f>
        <v>2018</v>
      </c>
      <c r="G9" s="615">
        <f>F9+1</f>
        <v>2019</v>
      </c>
      <c r="H9" s="615">
        <f t="shared" ref="H9:O9" si="0">G9+1</f>
        <v>2020</v>
      </c>
      <c r="I9" s="615">
        <f t="shared" si="0"/>
        <v>2021</v>
      </c>
      <c r="J9" s="615">
        <f t="shared" si="0"/>
        <v>2022</v>
      </c>
      <c r="K9" s="615">
        <f t="shared" si="0"/>
        <v>2023</v>
      </c>
      <c r="L9" s="615">
        <f t="shared" si="0"/>
        <v>2024</v>
      </c>
      <c r="M9" s="615">
        <f t="shared" si="0"/>
        <v>2025</v>
      </c>
      <c r="N9" s="615">
        <f t="shared" si="0"/>
        <v>2026</v>
      </c>
      <c r="O9" s="616">
        <f t="shared" si="0"/>
        <v>2027</v>
      </c>
    </row>
    <row r="10" spans="2:15" ht="14.85" customHeight="1"/>
    <row r="11" spans="2:15" ht="14.85" customHeight="1" outlineLevel="1">
      <c r="B11" s="182" t="s">
        <v>162</v>
      </c>
    </row>
    <row r="12" spans="2:15" ht="14.85" customHeight="1" outlineLevel="1">
      <c r="B12" s="252" t="s">
        <v>162</v>
      </c>
      <c r="F12" s="617">
        <v>3722</v>
      </c>
      <c r="G12" s="617">
        <v>8657.4</v>
      </c>
      <c r="H12" s="617">
        <v>19751.599999999999</v>
      </c>
      <c r="I12" s="617">
        <v>34969.599999999999</v>
      </c>
      <c r="J12" s="618">
        <f t="shared" ref="J12:O12" si="1">I12*(1+J15)</f>
        <v>54202.879999999997</v>
      </c>
      <c r="K12" s="618">
        <f t="shared" si="1"/>
        <v>75884.031999999992</v>
      </c>
      <c r="L12" s="618">
        <f t="shared" si="1"/>
        <v>98649.241599999994</v>
      </c>
      <c r="M12" s="618">
        <f t="shared" si="1"/>
        <v>118379.08991999998</v>
      </c>
      <c r="N12" s="618">
        <f t="shared" si="1"/>
        <v>130216.998912</v>
      </c>
      <c r="O12" s="618">
        <f t="shared" si="1"/>
        <v>136727.84885760001</v>
      </c>
    </row>
    <row r="13" spans="2:15" ht="14.85" customHeight="1" outlineLevel="1">
      <c r="B13" s="264"/>
      <c r="C13" s="264"/>
      <c r="D13" s="264"/>
      <c r="E13" s="264"/>
      <c r="F13" s="264"/>
      <c r="G13" s="264"/>
      <c r="H13" s="264"/>
      <c r="I13" s="264"/>
      <c r="J13" s="264"/>
      <c r="K13" s="264"/>
      <c r="L13" s="264"/>
      <c r="M13" s="264"/>
      <c r="N13" s="264"/>
      <c r="O13" s="264"/>
    </row>
    <row r="14" spans="2:15" ht="14.85" customHeight="1">
      <c r="B14" s="182" t="s">
        <v>746</v>
      </c>
      <c r="F14" s="309">
        <f t="shared" ref="F14:N14" si="2">SUM(F12)</f>
        <v>3722</v>
      </c>
      <c r="G14" s="309">
        <f t="shared" si="2"/>
        <v>8657.4</v>
      </c>
      <c r="H14" s="309">
        <f t="shared" si="2"/>
        <v>19751.599999999999</v>
      </c>
      <c r="I14" s="309">
        <f t="shared" si="2"/>
        <v>34969.599999999999</v>
      </c>
      <c r="J14" s="309">
        <f t="shared" si="2"/>
        <v>54202.879999999997</v>
      </c>
      <c r="K14" s="309">
        <f t="shared" si="2"/>
        <v>75884.031999999992</v>
      </c>
      <c r="L14" s="309">
        <f t="shared" si="2"/>
        <v>98649.241599999994</v>
      </c>
      <c r="M14" s="309">
        <f t="shared" si="2"/>
        <v>118379.08991999998</v>
      </c>
      <c r="N14" s="309">
        <f t="shared" si="2"/>
        <v>130216.998912</v>
      </c>
      <c r="O14" s="309">
        <f>N14*(1+O15)</f>
        <v>136727.84885760001</v>
      </c>
    </row>
    <row r="15" spans="2:15" ht="14.85" customHeight="1">
      <c r="B15" s="318" t="s">
        <v>164</v>
      </c>
      <c r="F15" s="619" t="s">
        <v>13</v>
      </c>
      <c r="G15" s="619">
        <f>G14/F14-1</f>
        <v>1.3260075228371844</v>
      </c>
      <c r="H15" s="619">
        <f>H14/G14-1</f>
        <v>1.281470187354171</v>
      </c>
      <c r="I15" s="619">
        <f>I14/H14-1</f>
        <v>0.77046922780939275</v>
      </c>
      <c r="J15" s="620">
        <v>0.55000000000000004</v>
      </c>
      <c r="K15" s="620">
        <v>0.4</v>
      </c>
      <c r="L15" s="620">
        <v>0.3</v>
      </c>
      <c r="M15" s="620">
        <v>0.2</v>
      </c>
      <c r="N15" s="620">
        <v>0.1</v>
      </c>
      <c r="O15" s="620">
        <v>0.05</v>
      </c>
    </row>
    <row r="16" spans="2:15" ht="14.85" customHeight="1"/>
    <row r="17" spans="2:15" ht="14.85" customHeight="1">
      <c r="B17" s="252" t="s">
        <v>165</v>
      </c>
      <c r="F17" s="564">
        <v>-1396.1</v>
      </c>
      <c r="G17" s="564">
        <v>-3103.8</v>
      </c>
      <c r="H17" s="564">
        <v>-7209.6</v>
      </c>
      <c r="I17" s="564">
        <v>-11888.5</v>
      </c>
      <c r="J17" s="285">
        <f t="shared" ref="J17:O17" si="3">I17*(1+J15)</f>
        <v>-18427.174999999999</v>
      </c>
      <c r="K17" s="285">
        <f t="shared" si="3"/>
        <v>-25798.044999999998</v>
      </c>
      <c r="L17" s="285">
        <f t="shared" si="3"/>
        <v>-33537.458500000001</v>
      </c>
      <c r="M17" s="285">
        <f t="shared" si="3"/>
        <v>-40244.950199999999</v>
      </c>
      <c r="N17" s="285">
        <f t="shared" si="3"/>
        <v>-44269.445220000001</v>
      </c>
      <c r="O17" s="285">
        <f t="shared" si="3"/>
        <v>-46482.917481000004</v>
      </c>
    </row>
    <row r="18" spans="2:15" ht="14.85" customHeight="1">
      <c r="B18" s="264"/>
      <c r="C18" s="264"/>
      <c r="D18" s="264"/>
      <c r="E18" s="264"/>
      <c r="F18" s="264"/>
      <c r="G18" s="264"/>
      <c r="H18" s="264"/>
      <c r="I18" s="264"/>
      <c r="J18" s="264"/>
      <c r="K18" s="264"/>
      <c r="L18" s="264"/>
      <c r="M18" s="264"/>
      <c r="N18" s="264"/>
      <c r="O18" s="264"/>
    </row>
    <row r="19" spans="2:15" ht="14.85" customHeight="1">
      <c r="B19" s="182" t="s">
        <v>166</v>
      </c>
      <c r="F19" s="309">
        <f t="shared" ref="F19:N19" si="4">F14+F17</f>
        <v>2325.9</v>
      </c>
      <c r="G19" s="309">
        <f t="shared" si="4"/>
        <v>5553.5999999999995</v>
      </c>
      <c r="H19" s="309">
        <f t="shared" si="4"/>
        <v>12541.999999999998</v>
      </c>
      <c r="I19" s="309">
        <f t="shared" si="4"/>
        <v>23081.1</v>
      </c>
      <c r="J19" s="309">
        <f t="shared" si="4"/>
        <v>35775.705000000002</v>
      </c>
      <c r="K19" s="309">
        <f t="shared" si="4"/>
        <v>50085.986999999994</v>
      </c>
      <c r="L19" s="309">
        <f t="shared" si="4"/>
        <v>65111.783099999993</v>
      </c>
      <c r="M19" s="309">
        <f t="shared" si="4"/>
        <v>78134.139719999977</v>
      </c>
      <c r="N19" s="309">
        <f t="shared" si="4"/>
        <v>85947.553691999987</v>
      </c>
      <c r="O19" s="309">
        <f>O14+O17</f>
        <v>90244.931376599998</v>
      </c>
    </row>
    <row r="20" spans="2:15" ht="14.85" customHeight="1">
      <c r="B20" s="318" t="s">
        <v>167</v>
      </c>
      <c r="F20" s="619">
        <f>F19/F$14</f>
        <v>0.6249059645351962</v>
      </c>
      <c r="G20" s="619">
        <f t="shared" ref="G20:O20" si="5">G19/G$14</f>
        <v>0.64148589645852094</v>
      </c>
      <c r="H20" s="619">
        <f t="shared" si="5"/>
        <v>0.63498653273658834</v>
      </c>
      <c r="I20" s="619">
        <f t="shared" si="5"/>
        <v>0.66003328605417277</v>
      </c>
      <c r="J20" s="620">
        <f t="shared" si="5"/>
        <v>0.66003328605417289</v>
      </c>
      <c r="K20" s="620">
        <f t="shared" si="5"/>
        <v>0.66003328605417277</v>
      </c>
      <c r="L20" s="620">
        <f t="shared" si="5"/>
        <v>0.66003328605417277</v>
      </c>
      <c r="M20" s="620">
        <f t="shared" si="5"/>
        <v>0.66003328605417266</v>
      </c>
      <c r="N20" s="620">
        <f t="shared" si="5"/>
        <v>0.66003328605417266</v>
      </c>
      <c r="O20" s="620">
        <f t="shared" si="5"/>
        <v>0.66003328605417266</v>
      </c>
    </row>
    <row r="21" spans="2:15" ht="14.85" customHeight="1"/>
    <row r="22" spans="2:15" ht="14.85" customHeight="1">
      <c r="B22" s="182" t="s">
        <v>168</v>
      </c>
    </row>
    <row r="23" spans="2:15" ht="14.85" customHeight="1">
      <c r="B23" s="252" t="s">
        <v>169</v>
      </c>
      <c r="F23" s="564">
        <v>-7182.5</v>
      </c>
      <c r="G23" s="564">
        <v>-8960.7999999999993</v>
      </c>
      <c r="H23" s="564">
        <v>-11089.1</v>
      </c>
      <c r="I23" s="564">
        <v>-13882.3</v>
      </c>
      <c r="J23" s="564"/>
      <c r="K23" s="564"/>
      <c r="L23" s="564"/>
      <c r="M23" s="564"/>
      <c r="N23" s="564"/>
      <c r="O23" s="564"/>
    </row>
    <row r="24" spans="2:15" ht="14.85" customHeight="1">
      <c r="B24" s="252" t="s">
        <v>170</v>
      </c>
      <c r="F24" s="564">
        <v>-90.2</v>
      </c>
      <c r="G24" s="564">
        <v>-158.6</v>
      </c>
      <c r="H24" s="564">
        <v>-242.6</v>
      </c>
      <c r="I24" s="564">
        <v>-501.6</v>
      </c>
      <c r="J24" s="564"/>
      <c r="K24" s="564"/>
      <c r="L24" s="564"/>
      <c r="M24" s="564"/>
      <c r="N24" s="564"/>
      <c r="O24" s="564"/>
    </row>
    <row r="25" spans="2:15" ht="14.85" customHeight="1">
      <c r="B25" s="252" t="s">
        <v>171</v>
      </c>
      <c r="F25" s="564">
        <v>-1381.5</v>
      </c>
      <c r="G25" s="564">
        <v>-1278</v>
      </c>
      <c r="H25" s="564">
        <v>-1963.5</v>
      </c>
      <c r="I25" s="564">
        <v>-2757</v>
      </c>
      <c r="J25" s="564"/>
      <c r="K25" s="564"/>
      <c r="L25" s="564"/>
      <c r="M25" s="564"/>
      <c r="N25" s="564"/>
      <c r="O25" s="564"/>
    </row>
    <row r="26" spans="2:15" ht="14.85" customHeight="1">
      <c r="B26" s="252" t="s">
        <v>173</v>
      </c>
      <c r="F26" s="564">
        <v>0</v>
      </c>
      <c r="G26" s="564">
        <v>0</v>
      </c>
      <c r="H26" s="564">
        <v>0</v>
      </c>
      <c r="I26" s="564">
        <v>0</v>
      </c>
      <c r="J26" s="564"/>
      <c r="K26" s="564"/>
      <c r="L26" s="564"/>
      <c r="M26" s="564"/>
      <c r="N26" s="564"/>
      <c r="O26" s="564"/>
    </row>
    <row r="27" spans="2:15" ht="14.85" customHeight="1">
      <c r="B27" s="264"/>
      <c r="C27" s="264"/>
      <c r="D27" s="264"/>
      <c r="E27" s="264"/>
      <c r="F27" s="621"/>
      <c r="G27" s="264"/>
      <c r="H27" s="264"/>
      <c r="I27" s="264"/>
      <c r="J27" s="264"/>
      <c r="K27" s="264"/>
      <c r="L27" s="264"/>
      <c r="M27" s="264"/>
      <c r="N27" s="264"/>
      <c r="O27" s="264"/>
    </row>
    <row r="28" spans="2:15" ht="14.85" customHeight="1">
      <c r="B28" s="286" t="s">
        <v>163</v>
      </c>
      <c r="F28" s="309">
        <f>SUM(F23:F26)</f>
        <v>-8654.2000000000007</v>
      </c>
      <c r="G28" s="309">
        <f>SUM(G23:G26)</f>
        <v>-10397.4</v>
      </c>
      <c r="H28" s="309">
        <f>SUM(H23:H26)</f>
        <v>-13295.2</v>
      </c>
      <c r="I28" s="309">
        <f>SUM(I23:I26)</f>
        <v>-17140.900000000001</v>
      </c>
      <c r="J28" s="309">
        <f t="shared" ref="J28:O28" si="6">J30-J19</f>
        <v>-26019.186600000001</v>
      </c>
      <c r="K28" s="309">
        <f t="shared" si="6"/>
        <v>-35668.020919999995</v>
      </c>
      <c r="L28" s="309">
        <f t="shared" si="6"/>
        <v>-45381.934779999996</v>
      </c>
      <c r="M28" s="309">
        <f t="shared" si="6"/>
        <v>-54458.321735999984</v>
      </c>
      <c r="N28" s="309">
        <f t="shared" si="6"/>
        <v>-59904.153909599991</v>
      </c>
      <c r="O28" s="309">
        <f t="shared" si="6"/>
        <v>-62899.36160507999</v>
      </c>
    </row>
    <row r="29" spans="2:15" ht="14.85" customHeight="1"/>
    <row r="30" spans="2:15" ht="14.85" customHeight="1">
      <c r="B30" s="182" t="s">
        <v>175</v>
      </c>
      <c r="F30" s="622">
        <f>F19+F28</f>
        <v>-6328.3000000000011</v>
      </c>
      <c r="G30" s="622">
        <f>G19+G28</f>
        <v>-4843.8</v>
      </c>
      <c r="H30" s="622">
        <f>H19+H28</f>
        <v>-753.20000000000255</v>
      </c>
      <c r="I30" s="622">
        <f>I19+I28</f>
        <v>5940.1999999999971</v>
      </c>
      <c r="J30" s="623">
        <f t="shared" ref="J30:O30" si="7">J14*J31</f>
        <v>9756.518399999999</v>
      </c>
      <c r="K30" s="623">
        <f t="shared" si="7"/>
        <v>14417.966079999998</v>
      </c>
      <c r="L30" s="623">
        <f t="shared" si="7"/>
        <v>19729.848320000001</v>
      </c>
      <c r="M30" s="623">
        <f t="shared" si="7"/>
        <v>23675.817983999998</v>
      </c>
      <c r="N30" s="623">
        <f t="shared" si="7"/>
        <v>26043.3997824</v>
      </c>
      <c r="O30" s="623">
        <f t="shared" si="7"/>
        <v>27345.569771520004</v>
      </c>
    </row>
    <row r="31" spans="2:15" ht="14.85" customHeight="1">
      <c r="B31" s="318" t="s">
        <v>167</v>
      </c>
      <c r="F31" s="619">
        <f>F30/F$14</f>
        <v>-1.7002418054809245</v>
      </c>
      <c r="G31" s="619">
        <f>G30/G$14</f>
        <v>-0.55949823272576071</v>
      </c>
      <c r="H31" s="619">
        <f>H30/H$14</f>
        <v>-3.8133619554871635E-2</v>
      </c>
      <c r="I31" s="619">
        <f>I30/I$14</f>
        <v>0.16986754209370417</v>
      </c>
      <c r="J31" s="620">
        <v>0.18</v>
      </c>
      <c r="K31" s="620">
        <v>0.19</v>
      </c>
      <c r="L31" s="620">
        <v>0.2</v>
      </c>
      <c r="M31" s="620">
        <f>L31</f>
        <v>0.2</v>
      </c>
      <c r="N31" s="620">
        <f>M31</f>
        <v>0.2</v>
      </c>
      <c r="O31" s="620">
        <f>N31</f>
        <v>0.2</v>
      </c>
    </row>
    <row r="32" spans="2:15" ht="14.85" customHeight="1"/>
    <row r="33" spans="2:15" ht="14.85" customHeight="1">
      <c r="B33" s="252" t="s">
        <v>174</v>
      </c>
      <c r="F33" s="564">
        <f>-F52</f>
        <v>-1894.7292254970469</v>
      </c>
      <c r="G33" s="564">
        <f t="shared" ref="G33:O33" si="8">-G52</f>
        <v>-2135.5389828366851</v>
      </c>
      <c r="H33" s="564">
        <f t="shared" si="8"/>
        <v>-2684.939265031062</v>
      </c>
      <c r="I33" s="564">
        <f t="shared" si="8"/>
        <v>-3657.6355584060034</v>
      </c>
      <c r="J33" s="564">
        <f t="shared" si="8"/>
        <v>-5165.3148131371627</v>
      </c>
      <c r="K33" s="564">
        <f t="shared" si="8"/>
        <v>-5381.3365442637387</v>
      </c>
      <c r="L33" s="564">
        <f t="shared" si="8"/>
        <v>-7884.5030305348091</v>
      </c>
      <c r="M33" s="564">
        <f t="shared" si="8"/>
        <v>-11177.274522867659</v>
      </c>
      <c r="N33" s="564">
        <f t="shared" si="8"/>
        <v>-13277.226588864478</v>
      </c>
      <c r="O33" s="564">
        <f t="shared" si="8"/>
        <v>-15572.698407777763</v>
      </c>
    </row>
    <row r="34" spans="2:15" ht="14.85" customHeight="1">
      <c r="B34" s="264"/>
      <c r="C34" s="264"/>
      <c r="D34" s="264"/>
      <c r="E34" s="264"/>
      <c r="F34" s="264"/>
      <c r="G34" s="264"/>
      <c r="H34" s="264"/>
      <c r="I34" s="264"/>
      <c r="J34" s="264"/>
      <c r="K34" s="264"/>
      <c r="L34" s="264"/>
      <c r="M34" s="264"/>
      <c r="N34" s="264"/>
      <c r="O34" s="264"/>
    </row>
    <row r="35" spans="2:15" ht="14.85" customHeight="1">
      <c r="B35" s="182" t="s">
        <v>176</v>
      </c>
      <c r="F35" s="309">
        <f>F30+F33</f>
        <v>-8223.0292254970482</v>
      </c>
      <c r="G35" s="309">
        <f t="shared" ref="G35:O35" si="9">G30+G33</f>
        <v>-6979.3389828366853</v>
      </c>
      <c r="H35" s="309">
        <f t="shared" si="9"/>
        <v>-3438.1392650310645</v>
      </c>
      <c r="I35" s="309">
        <f t="shared" si="9"/>
        <v>2282.5644415939937</v>
      </c>
      <c r="J35" s="309">
        <f t="shared" si="9"/>
        <v>4591.2035868628363</v>
      </c>
      <c r="K35" s="309">
        <f t="shared" si="9"/>
        <v>9036.6295357362596</v>
      </c>
      <c r="L35" s="309">
        <f t="shared" si="9"/>
        <v>11845.345289465193</v>
      </c>
      <c r="M35" s="309">
        <f t="shared" si="9"/>
        <v>12498.543461132338</v>
      </c>
      <c r="N35" s="309">
        <f t="shared" si="9"/>
        <v>12766.173193535522</v>
      </c>
      <c r="O35" s="309">
        <f t="shared" si="9"/>
        <v>11772.871363742241</v>
      </c>
    </row>
    <row r="36" spans="2:15" ht="14.85" customHeight="1">
      <c r="B36" s="318" t="s">
        <v>167</v>
      </c>
      <c r="F36" s="619">
        <f t="shared" ref="F36:O36" si="10">F35/F$14</f>
        <v>-2.2093039294726085</v>
      </c>
      <c r="G36" s="619">
        <f t="shared" si="10"/>
        <v>-0.80617032629157548</v>
      </c>
      <c r="H36" s="619">
        <f t="shared" si="10"/>
        <v>-0.17406889897684566</v>
      </c>
      <c r="I36" s="619">
        <f t="shared" si="10"/>
        <v>6.5272821010077142E-2</v>
      </c>
      <c r="J36" s="619">
        <f t="shared" si="10"/>
        <v>8.4704052383615711E-2</v>
      </c>
      <c r="K36" s="619">
        <f t="shared" si="10"/>
        <v>0.1190847309712834</v>
      </c>
      <c r="L36" s="619">
        <f t="shared" si="10"/>
        <v>0.12007538119244085</v>
      </c>
      <c r="M36" s="619">
        <f t="shared" si="10"/>
        <v>0.10558066859255966</v>
      </c>
      <c r="N36" s="619">
        <f t="shared" si="10"/>
        <v>9.8037685557189336E-2</v>
      </c>
      <c r="O36" s="619">
        <f t="shared" si="10"/>
        <v>8.6104414441592725E-2</v>
      </c>
    </row>
    <row r="37" spans="2:15" ht="14.85" customHeight="1"/>
    <row r="38" spans="2:15" ht="14.85" customHeight="1">
      <c r="B38" s="182" t="s">
        <v>177</v>
      </c>
    </row>
    <row r="39" spans="2:15" ht="14.85" customHeight="1">
      <c r="B39" s="252" t="s">
        <v>178</v>
      </c>
      <c r="D39" s="285"/>
      <c r="E39" s="624" t="s">
        <v>261</v>
      </c>
      <c r="F39" s="625">
        <v>2553</v>
      </c>
      <c r="G39" s="255">
        <f>F43</f>
        <v>10776.029225497048</v>
      </c>
      <c r="H39" s="255">
        <f t="shared" ref="H39:O39" si="11">G43</f>
        <v>17755.368208333733</v>
      </c>
      <c r="I39" s="255">
        <f t="shared" si="11"/>
        <v>21193.5074733648</v>
      </c>
      <c r="J39" s="255">
        <f t="shared" si="11"/>
        <v>18910.943031770807</v>
      </c>
      <c r="K39" s="255">
        <f t="shared" si="11"/>
        <v>14319.739444907969</v>
      </c>
      <c r="L39" s="255">
        <f t="shared" si="11"/>
        <v>5283.1099091717097</v>
      </c>
      <c r="M39" s="255">
        <f t="shared" si="11"/>
        <v>0</v>
      </c>
      <c r="N39" s="255">
        <f t="shared" si="11"/>
        <v>0</v>
      </c>
      <c r="O39" s="255">
        <f t="shared" si="11"/>
        <v>0</v>
      </c>
    </row>
    <row r="40" spans="2:15" ht="14.85" customHeight="1">
      <c r="B40" s="348" t="s">
        <v>179</v>
      </c>
      <c r="F40" s="255">
        <f>IF(F35&gt;0,0,-F35)</f>
        <v>8223.0292254970482</v>
      </c>
      <c r="G40" s="255">
        <f t="shared" ref="G40:O40" si="12">IF(G35&gt;0,0,-G35)</f>
        <v>6979.3389828366853</v>
      </c>
      <c r="H40" s="255">
        <f t="shared" si="12"/>
        <v>3438.1392650310645</v>
      </c>
      <c r="I40" s="255">
        <f t="shared" si="12"/>
        <v>0</v>
      </c>
      <c r="J40" s="255">
        <f t="shared" si="12"/>
        <v>0</v>
      </c>
      <c r="K40" s="255">
        <f t="shared" si="12"/>
        <v>0</v>
      </c>
      <c r="L40" s="255">
        <f t="shared" si="12"/>
        <v>0</v>
      </c>
      <c r="M40" s="255">
        <f t="shared" si="12"/>
        <v>0</v>
      </c>
      <c r="N40" s="255">
        <f t="shared" si="12"/>
        <v>0</v>
      </c>
      <c r="O40" s="255">
        <f t="shared" si="12"/>
        <v>0</v>
      </c>
    </row>
    <row r="41" spans="2:15" ht="14.85" customHeight="1">
      <c r="B41" s="348" t="s">
        <v>180</v>
      </c>
      <c r="F41" s="255">
        <f>IF(F35&gt;0,-MAX(MIN(SUM(F39:F40),F35),0),0)</f>
        <v>0</v>
      </c>
      <c r="G41" s="255">
        <f t="shared" ref="G41:O41" si="13">IF(G35&gt;0,-MAX(MIN(SUM(G39:G40),G35),0),0)</f>
        <v>0</v>
      </c>
      <c r="H41" s="255">
        <f t="shared" si="13"/>
        <v>0</v>
      </c>
      <c r="I41" s="255">
        <f t="shared" si="13"/>
        <v>-2282.5644415939937</v>
      </c>
      <c r="J41" s="255">
        <f t="shared" si="13"/>
        <v>-4591.2035868628363</v>
      </c>
      <c r="K41" s="255">
        <f t="shared" si="13"/>
        <v>-9036.6295357362596</v>
      </c>
      <c r="L41" s="255">
        <f t="shared" si="13"/>
        <v>-5283.1099091717097</v>
      </c>
      <c r="M41" s="255">
        <f t="shared" si="13"/>
        <v>0</v>
      </c>
      <c r="N41" s="255">
        <f t="shared" si="13"/>
        <v>0</v>
      </c>
      <c r="O41" s="255">
        <f t="shared" si="13"/>
        <v>0</v>
      </c>
    </row>
    <row r="42" spans="2:15" ht="14.85" customHeight="1">
      <c r="B42" s="264"/>
      <c r="C42" s="264"/>
      <c r="D42" s="264"/>
      <c r="E42" s="264"/>
      <c r="F42" s="264"/>
      <c r="G42" s="264"/>
      <c r="H42" s="264"/>
      <c r="I42" s="264"/>
      <c r="J42" s="264"/>
      <c r="K42" s="264"/>
      <c r="L42" s="264"/>
      <c r="M42" s="264"/>
      <c r="N42" s="264"/>
      <c r="O42" s="264"/>
    </row>
    <row r="43" spans="2:15" ht="14.85" customHeight="1">
      <c r="B43" s="252" t="s">
        <v>181</v>
      </c>
      <c r="F43" s="255">
        <f>SUM(F39:F41)</f>
        <v>10776.029225497048</v>
      </c>
      <c r="G43" s="255">
        <f t="shared" ref="G43:O43" si="14">SUM(G39:G41)</f>
        <v>17755.368208333733</v>
      </c>
      <c r="H43" s="255">
        <f t="shared" si="14"/>
        <v>21193.5074733648</v>
      </c>
      <c r="I43" s="255">
        <f t="shared" si="14"/>
        <v>18910.943031770807</v>
      </c>
      <c r="J43" s="255">
        <f t="shared" si="14"/>
        <v>14319.739444907969</v>
      </c>
      <c r="K43" s="255">
        <f t="shared" si="14"/>
        <v>5283.1099091717097</v>
      </c>
      <c r="L43" s="255">
        <f t="shared" si="14"/>
        <v>0</v>
      </c>
      <c r="M43" s="255">
        <f t="shared" si="14"/>
        <v>0</v>
      </c>
      <c r="N43" s="255">
        <f t="shared" si="14"/>
        <v>0</v>
      </c>
      <c r="O43" s="255">
        <f t="shared" si="14"/>
        <v>0</v>
      </c>
    </row>
    <row r="44" spans="2:15" ht="14.85" customHeight="1"/>
    <row r="45" spans="2:15" ht="14.85" customHeight="1">
      <c r="B45" s="182" t="s">
        <v>182</v>
      </c>
      <c r="F45" s="309">
        <f>F35+SUM(F40:F41)</f>
        <v>0</v>
      </c>
      <c r="G45" s="309">
        <f t="shared" ref="G45:O45" si="15">G35+SUM(G40:G41)</f>
        <v>0</v>
      </c>
      <c r="H45" s="309">
        <f t="shared" si="15"/>
        <v>0</v>
      </c>
      <c r="I45" s="309">
        <f t="shared" si="15"/>
        <v>0</v>
      </c>
      <c r="J45" s="309">
        <f t="shared" si="15"/>
        <v>0</v>
      </c>
      <c r="K45" s="309">
        <f t="shared" si="15"/>
        <v>0</v>
      </c>
      <c r="L45" s="309">
        <f t="shared" si="15"/>
        <v>6562.2353802934831</v>
      </c>
      <c r="M45" s="309">
        <f t="shared" si="15"/>
        <v>12498.543461132338</v>
      </c>
      <c r="N45" s="309">
        <f t="shared" si="15"/>
        <v>12766.173193535522</v>
      </c>
      <c r="O45" s="309">
        <f t="shared" si="15"/>
        <v>11772.871363742241</v>
      </c>
    </row>
    <row r="46" spans="2:15" ht="14.85" customHeight="1"/>
    <row r="47" spans="2:15" ht="14.85" customHeight="1">
      <c r="B47" s="252" t="s">
        <v>183</v>
      </c>
      <c r="D47" s="322">
        <f>+'MASTER PubCo Inputs'!C9</f>
        <v>0.21</v>
      </c>
      <c r="E47" s="624" t="s">
        <v>260</v>
      </c>
      <c r="F47" s="255">
        <f>-$D47*F45</f>
        <v>0</v>
      </c>
      <c r="G47" s="255">
        <f t="shared" ref="G47:O47" si="16">-$D47*G45</f>
        <v>0</v>
      </c>
      <c r="H47" s="255">
        <f t="shared" si="16"/>
        <v>0</v>
      </c>
      <c r="I47" s="255">
        <f t="shared" si="16"/>
        <v>0</v>
      </c>
      <c r="J47" s="255">
        <f t="shared" si="16"/>
        <v>0</v>
      </c>
      <c r="K47" s="255">
        <f t="shared" si="16"/>
        <v>0</v>
      </c>
      <c r="L47" s="255">
        <f t="shared" si="16"/>
        <v>-1378.0694298616313</v>
      </c>
      <c r="M47" s="255">
        <f t="shared" si="16"/>
        <v>-2624.6941268377909</v>
      </c>
      <c r="N47" s="255">
        <f t="shared" si="16"/>
        <v>-2680.8963706424597</v>
      </c>
      <c r="O47" s="255">
        <f t="shared" si="16"/>
        <v>-2472.3029863858706</v>
      </c>
    </row>
    <row r="48" spans="2:15" ht="14.85" customHeight="1"/>
    <row r="49" spans="2:15" ht="14.85" customHeight="1">
      <c r="B49" s="182" t="s">
        <v>184</v>
      </c>
      <c r="F49" s="309">
        <f>F35+F47</f>
        <v>-8223.0292254970482</v>
      </c>
      <c r="G49" s="309">
        <f t="shared" ref="G49:O49" si="17">G35+G47</f>
        <v>-6979.3389828366853</v>
      </c>
      <c r="H49" s="309">
        <f t="shared" si="17"/>
        <v>-3438.1392650310645</v>
      </c>
      <c r="I49" s="309">
        <f t="shared" si="17"/>
        <v>2282.5644415939937</v>
      </c>
      <c r="J49" s="309">
        <f t="shared" si="17"/>
        <v>4591.2035868628363</v>
      </c>
      <c r="K49" s="309">
        <f t="shared" si="17"/>
        <v>9036.6295357362596</v>
      </c>
      <c r="L49" s="309">
        <f t="shared" si="17"/>
        <v>10467.275859603562</v>
      </c>
      <c r="M49" s="309">
        <f t="shared" si="17"/>
        <v>9873.8493342945476</v>
      </c>
      <c r="N49" s="309">
        <f t="shared" si="17"/>
        <v>10085.276822893062</v>
      </c>
      <c r="O49" s="309">
        <f t="shared" si="17"/>
        <v>9300.5683773563705</v>
      </c>
    </row>
    <row r="50" spans="2:15" ht="14.85" customHeight="1">
      <c r="D50" s="324"/>
    </row>
    <row r="51" spans="2:15" ht="14.85" customHeight="1">
      <c r="B51" s="252" t="s">
        <v>185</v>
      </c>
      <c r="D51" s="402">
        <f>'Comp.5'!W44</f>
        <v>-0.13907741200570514</v>
      </c>
      <c r="E51" s="624" t="s">
        <v>299</v>
      </c>
      <c r="F51" s="564">
        <f>-$D$51*F14</f>
        <v>517.6461274852345</v>
      </c>
      <c r="G51" s="564">
        <f t="shared" ref="G51:O51" si="18">-$D$51*G14</f>
        <v>1204.0487866981916</v>
      </c>
      <c r="H51" s="564">
        <f t="shared" si="18"/>
        <v>2747.0014109718854</v>
      </c>
      <c r="I51" s="564">
        <f t="shared" si="18"/>
        <v>4863.4814668747067</v>
      </c>
      <c r="J51" s="564">
        <f t="shared" si="18"/>
        <v>7538.3962736557951</v>
      </c>
      <c r="K51" s="564">
        <f t="shared" si="18"/>
        <v>10553.754783118113</v>
      </c>
      <c r="L51" s="564">
        <f t="shared" si="18"/>
        <v>13719.881218053546</v>
      </c>
      <c r="M51" s="564">
        <f t="shared" si="18"/>
        <v>16463.857461664255</v>
      </c>
      <c r="N51" s="564">
        <f t="shared" si="18"/>
        <v>18110.243207830681</v>
      </c>
      <c r="O51" s="564">
        <f t="shared" si="18"/>
        <v>19015.755368222217</v>
      </c>
    </row>
    <row r="52" spans="2:15" ht="14.85" customHeight="1">
      <c r="B52" s="252" t="s">
        <v>186</v>
      </c>
      <c r="F52" s="564">
        <f>F107</f>
        <v>1894.7292254970469</v>
      </c>
      <c r="G52" s="564">
        <f t="shared" ref="G52:O52" si="19">G107</f>
        <v>2135.5389828366851</v>
      </c>
      <c r="H52" s="564">
        <f t="shared" si="19"/>
        <v>2684.939265031062</v>
      </c>
      <c r="I52" s="564">
        <f t="shared" si="19"/>
        <v>3657.6355584060034</v>
      </c>
      <c r="J52" s="564">
        <f t="shared" si="19"/>
        <v>5165.3148131371627</v>
      </c>
      <c r="K52" s="564">
        <f t="shared" si="19"/>
        <v>5381.3365442637387</v>
      </c>
      <c r="L52" s="564">
        <f t="shared" si="19"/>
        <v>7884.5030305348091</v>
      </c>
      <c r="M52" s="564">
        <f t="shared" si="19"/>
        <v>11177.274522867659</v>
      </c>
      <c r="N52" s="564">
        <f t="shared" si="19"/>
        <v>13277.226588864478</v>
      </c>
      <c r="O52" s="564">
        <f t="shared" si="19"/>
        <v>15572.698407777763</v>
      </c>
    </row>
    <row r="53" spans="2:15" ht="14.85" customHeight="1">
      <c r="B53" s="252" t="s">
        <v>204</v>
      </c>
      <c r="D53" s="322">
        <f>'Comp.5'!O44</f>
        <v>2.3676575945331013E-2</v>
      </c>
      <c r="E53" s="624" t="s">
        <v>300</v>
      </c>
      <c r="F53" s="564">
        <f>-(F12-'Hist IS'!E14)*DCF!$D$53</f>
        <v>-88.124215668522027</v>
      </c>
      <c r="G53" s="564">
        <f>-(G12-F12)*$D$53</f>
        <v>-116.85337292058668</v>
      </c>
      <c r="H53" s="564">
        <f t="shared" ref="H53:O53" si="20">-(H12-G12)*$D$53</f>
        <v>-262.67266885269129</v>
      </c>
      <c r="I53" s="564">
        <f t="shared" si="20"/>
        <v>-360.31013273604736</v>
      </c>
      <c r="J53" s="564">
        <f t="shared" si="20"/>
        <v>-455.37821459781605</v>
      </c>
      <c r="K53" s="564">
        <f t="shared" si="20"/>
        <v>-513.33544191026522</v>
      </c>
      <c r="L53" s="564">
        <f t="shared" si="20"/>
        <v>-539.00221400577868</v>
      </c>
      <c r="M53" s="564">
        <f t="shared" si="20"/>
        <v>-467.13525213834129</v>
      </c>
      <c r="N53" s="564">
        <f t="shared" si="20"/>
        <v>-280.28115128300516</v>
      </c>
      <c r="O53" s="564">
        <f t="shared" si="20"/>
        <v>-154.15463320565303</v>
      </c>
    </row>
    <row r="54" spans="2:15" ht="14.85" customHeight="1">
      <c r="B54" s="264"/>
      <c r="C54" s="264"/>
      <c r="D54" s="264"/>
      <c r="E54" s="264"/>
      <c r="F54" s="626" t="s">
        <v>706</v>
      </c>
      <c r="G54" s="626"/>
      <c r="H54" s="626"/>
      <c r="I54" s="626"/>
      <c r="J54" s="264"/>
      <c r="K54" s="264"/>
      <c r="L54" s="264"/>
      <c r="M54" s="264"/>
      <c r="N54" s="264"/>
      <c r="O54" s="264"/>
    </row>
    <row r="55" spans="2:15" ht="14.85" customHeight="1">
      <c r="B55" s="182" t="s">
        <v>187</v>
      </c>
      <c r="F55" s="309">
        <f>SUM(F49:F53)</f>
        <v>-5898.7780881832887</v>
      </c>
      <c r="G55" s="309">
        <f t="shared" ref="G55:O55" si="21">SUM(G49:G53)</f>
        <v>-3756.6045862223955</v>
      </c>
      <c r="H55" s="309">
        <f t="shared" si="21"/>
        <v>1731.1287421191917</v>
      </c>
      <c r="I55" s="309">
        <f t="shared" si="21"/>
        <v>10443.371334138657</v>
      </c>
      <c r="J55" s="309">
        <f t="shared" si="21"/>
        <v>16839.536459057981</v>
      </c>
      <c r="K55" s="309">
        <f t="shared" si="21"/>
        <v>24458.385421207848</v>
      </c>
      <c r="L55" s="309">
        <f t="shared" si="21"/>
        <v>31532.657894186141</v>
      </c>
      <c r="M55" s="309">
        <f t="shared" si="21"/>
        <v>37047.846066688122</v>
      </c>
      <c r="N55" s="309">
        <f t="shared" si="21"/>
        <v>41192.465468305214</v>
      </c>
      <c r="O55" s="309">
        <f t="shared" si="21"/>
        <v>43734.867520150692</v>
      </c>
    </row>
    <row r="56" spans="2:15" ht="14.85" customHeight="1"/>
    <row r="57" spans="2:15" ht="14.85" customHeight="1">
      <c r="B57" s="252" t="s">
        <v>190</v>
      </c>
      <c r="F57" s="627">
        <f>YEARFRAC('MASTER PubCo Inputs'!$C$6,DATE(F9,12,31),3)</f>
        <v>0.60273972602739723</v>
      </c>
      <c r="G57" s="325">
        <v>1</v>
      </c>
      <c r="H57" s="325">
        <v>1</v>
      </c>
      <c r="I57" s="325">
        <v>1</v>
      </c>
      <c r="J57" s="325">
        <v>1</v>
      </c>
      <c r="K57" s="325">
        <v>1</v>
      </c>
      <c r="L57" s="325">
        <v>1</v>
      </c>
      <c r="M57" s="325">
        <v>1</v>
      </c>
      <c r="N57" s="325">
        <v>1</v>
      </c>
      <c r="O57" s="325">
        <v>1</v>
      </c>
    </row>
    <row r="58" spans="2:15" ht="14.85" customHeight="1"/>
    <row r="59" spans="2:15" ht="14.85" customHeight="1">
      <c r="B59" s="182" t="s">
        <v>191</v>
      </c>
      <c r="F59" s="309">
        <f>F55*F57</f>
        <v>-3555.4278887680093</v>
      </c>
      <c r="G59" s="309">
        <f t="shared" ref="G59:O59" si="22">G55*G57</f>
        <v>-3756.6045862223955</v>
      </c>
      <c r="H59" s="309">
        <f t="shared" si="22"/>
        <v>1731.1287421191917</v>
      </c>
      <c r="I59" s="309">
        <f t="shared" si="22"/>
        <v>10443.371334138657</v>
      </c>
      <c r="J59" s="309">
        <f t="shared" si="22"/>
        <v>16839.536459057981</v>
      </c>
      <c r="K59" s="309">
        <f t="shared" si="22"/>
        <v>24458.385421207848</v>
      </c>
      <c r="L59" s="309">
        <f t="shared" si="22"/>
        <v>31532.657894186141</v>
      </c>
      <c r="M59" s="309">
        <f t="shared" si="22"/>
        <v>37047.846066688122</v>
      </c>
      <c r="N59" s="309">
        <f t="shared" si="22"/>
        <v>41192.465468305214</v>
      </c>
      <c r="O59" s="309">
        <f t="shared" si="22"/>
        <v>43734.867520150692</v>
      </c>
    </row>
    <row r="60" spans="2:15" ht="14.85" customHeight="1"/>
    <row r="61" spans="2:15" ht="14.85" customHeight="1">
      <c r="B61" s="252" t="s">
        <v>188</v>
      </c>
      <c r="F61" s="325">
        <f>F57/2</f>
        <v>0.30136986301369861</v>
      </c>
      <c r="G61" s="325">
        <f>F61*2+0.5</f>
        <v>1.1027397260273972</v>
      </c>
      <c r="H61" s="325">
        <f>G61+1</f>
        <v>2.102739726027397</v>
      </c>
      <c r="I61" s="325">
        <f t="shared" ref="I61:O61" si="23">H61+1</f>
        <v>3.102739726027397</v>
      </c>
      <c r="J61" s="325">
        <f t="shared" si="23"/>
        <v>4.102739726027397</v>
      </c>
      <c r="K61" s="325">
        <f t="shared" si="23"/>
        <v>5.102739726027397</v>
      </c>
      <c r="L61" s="325">
        <f t="shared" si="23"/>
        <v>6.102739726027397</v>
      </c>
      <c r="M61" s="325">
        <f t="shared" si="23"/>
        <v>7.102739726027397</v>
      </c>
      <c r="N61" s="325">
        <f t="shared" si="23"/>
        <v>8.1027397260273979</v>
      </c>
      <c r="O61" s="325">
        <f t="shared" si="23"/>
        <v>9.1027397260273979</v>
      </c>
    </row>
    <row r="62" spans="2:15" ht="14.85" customHeight="1">
      <c r="B62" s="252" t="s">
        <v>189</v>
      </c>
      <c r="D62" s="402">
        <f>F69</f>
        <v>0.25</v>
      </c>
      <c r="F62" s="325">
        <f>1/(1+$D62)^F61</f>
        <v>0.93496260841608247</v>
      </c>
      <c r="G62" s="325">
        <f t="shared" ref="G62:O62" si="24">1/(1+$D62)^G61</f>
        <v>0.78186807193010477</v>
      </c>
      <c r="H62" s="325">
        <f t="shared" si="24"/>
        <v>0.62549445754408395</v>
      </c>
      <c r="I62" s="325">
        <f t="shared" si="24"/>
        <v>0.50039556603526714</v>
      </c>
      <c r="J62" s="325">
        <f t="shared" si="24"/>
        <v>0.40031645282821371</v>
      </c>
      <c r="K62" s="325">
        <f t="shared" si="24"/>
        <v>0.32025316226257095</v>
      </c>
      <c r="L62" s="325">
        <f t="shared" si="24"/>
        <v>0.25620252981005681</v>
      </c>
      <c r="M62" s="325">
        <f t="shared" si="24"/>
        <v>0.20496202384804538</v>
      </c>
      <c r="N62" s="325">
        <f t="shared" si="24"/>
        <v>0.16396961907843627</v>
      </c>
      <c r="O62" s="325">
        <f t="shared" si="24"/>
        <v>0.131175695262749</v>
      </c>
    </row>
    <row r="63" spans="2:15" ht="14.85" customHeight="1"/>
    <row r="64" spans="2:15" ht="14.85" customHeight="1">
      <c r="B64" s="628" t="s">
        <v>192</v>
      </c>
      <c r="C64" s="629"/>
      <c r="D64" s="629"/>
      <c r="E64" s="629"/>
      <c r="F64" s="630">
        <f>F59*F62</f>
        <v>-3324.1921329178231</v>
      </c>
      <c r="G64" s="630">
        <f t="shared" ref="G64:O64" si="25">G59*G62</f>
        <v>-2937.1691848334935</v>
      </c>
      <c r="H64" s="630">
        <f t="shared" si="25"/>
        <v>1082.8114334908162</v>
      </c>
      <c r="I64" s="630">
        <f t="shared" si="25"/>
        <v>5225.8167100627961</v>
      </c>
      <c r="J64" s="630">
        <f t="shared" si="25"/>
        <v>6741.1435025614692</v>
      </c>
      <c r="K64" s="630">
        <f t="shared" si="25"/>
        <v>7832.8752749785763</v>
      </c>
      <c r="L64" s="630">
        <f t="shared" si="25"/>
        <v>8078.7467241255481</v>
      </c>
      <c r="M64" s="630">
        <f t="shared" si="25"/>
        <v>7593.401509039245</v>
      </c>
      <c r="N64" s="630">
        <f t="shared" si="25"/>
        <v>6754.3128717396457</v>
      </c>
      <c r="O64" s="630">
        <f t="shared" si="25"/>
        <v>5736.9516541799858</v>
      </c>
    </row>
    <row r="65" spans="2:17" ht="14.85" customHeight="1">
      <c r="M65" s="319" t="str">
        <f>IF(M67=F68,"",CHECK)</f>
        <v/>
      </c>
    </row>
    <row r="66" spans="2:17" ht="14.85" customHeight="1">
      <c r="B66" s="631" t="s">
        <v>194</v>
      </c>
      <c r="C66" s="632"/>
      <c r="D66" s="632"/>
      <c r="E66" s="632"/>
      <c r="F66" s="633"/>
      <c r="H66" s="634">
        <v>0.01</v>
      </c>
      <c r="K66" s="635" t="s">
        <v>195</v>
      </c>
      <c r="L66" s="635"/>
      <c r="M66" s="635"/>
      <c r="N66" s="635"/>
      <c r="O66" s="635"/>
    </row>
    <row r="67" spans="2:17" ht="14.85" customHeight="1">
      <c r="B67" s="636" t="s">
        <v>196</v>
      </c>
      <c r="C67" s="637"/>
      <c r="D67" s="637"/>
      <c r="E67" s="637"/>
      <c r="F67" s="638">
        <f>O59</f>
        <v>43734.867520150692</v>
      </c>
      <c r="H67" s="634">
        <v>5.0000000000000001E-3</v>
      </c>
      <c r="J67" s="639">
        <f>F79</f>
        <v>72903.694546871688</v>
      </c>
      <c r="K67" s="640">
        <f>L67-$H$67</f>
        <v>4.0000000000000008E-2</v>
      </c>
      <c r="L67" s="641">
        <f>M67-$H$67</f>
        <v>4.5000000000000005E-2</v>
      </c>
      <c r="M67" s="642">
        <v>0.05</v>
      </c>
      <c r="N67" s="641">
        <f>M67+$H$67</f>
        <v>5.5E-2</v>
      </c>
      <c r="O67" s="643">
        <f>N67+$H$67</f>
        <v>0.06</v>
      </c>
      <c r="Q67" s="179" t="str">
        <f>IF(O15=M67,"","CHECK")</f>
        <v/>
      </c>
    </row>
    <row r="68" spans="2:17" ht="14.85" customHeight="1">
      <c r="B68" s="636" t="s">
        <v>195</v>
      </c>
      <c r="C68" s="637"/>
      <c r="D68" s="637"/>
      <c r="E68" s="637"/>
      <c r="F68" s="644">
        <f>M67</f>
        <v>0.05</v>
      </c>
      <c r="G68" s="645" t="str">
        <f>IF(F68=M67,"","CHECK")</f>
        <v/>
      </c>
      <c r="H68" s="2078" t="s">
        <v>193</v>
      </c>
      <c r="J68" s="646">
        <f>J69-$H$66</f>
        <v>0.18999999999999997</v>
      </c>
      <c r="K68" s="647">
        <f t="dataTable" ref="K68:O72" dt2D="1" dtr="1" r1="F68" r2="F69"/>
        <v>122087.57747216828</v>
      </c>
      <c r="L68" s="648">
        <v>124543.42383017766</v>
      </c>
      <c r="M68" s="648">
        <v>127174.68778518772</v>
      </c>
      <c r="N68" s="648">
        <v>130000.86018130962</v>
      </c>
      <c r="O68" s="649">
        <v>133044.4304540563</v>
      </c>
    </row>
    <row r="69" spans="2:17" ht="14.85" customHeight="1">
      <c r="B69" s="636" t="s">
        <v>199</v>
      </c>
      <c r="C69" s="637"/>
      <c r="D69" s="637"/>
      <c r="E69" s="637"/>
      <c r="F69" s="650">
        <f>'WACC CAPM'!H14</f>
        <v>0.25</v>
      </c>
      <c r="G69" s="645" t="str">
        <f>IF(F69=J70,"","CHECK")</f>
        <v>CHECK</v>
      </c>
      <c r="H69" s="2078"/>
      <c r="J69" s="651">
        <f>J70-$H$66</f>
        <v>0.19999999999999998</v>
      </c>
      <c r="K69" s="652">
        <v>110595.81560056897</v>
      </c>
      <c r="L69" s="647">
        <v>112608.43248095668</v>
      </c>
      <c r="M69" s="648">
        <v>114755.22382003692</v>
      </c>
      <c r="N69" s="649">
        <v>117050.0697342261</v>
      </c>
      <c r="O69" s="653">
        <v>119508.83321371455</v>
      </c>
    </row>
    <row r="70" spans="2:17" ht="14.85" customHeight="1">
      <c r="B70" s="636" t="s">
        <v>197</v>
      </c>
      <c r="C70" s="637"/>
      <c r="D70" s="637"/>
      <c r="E70" s="637"/>
      <c r="F70" s="654">
        <f>(1+F68)/(F69-F68)</f>
        <v>5.25</v>
      </c>
      <c r="G70" s="624" t="s">
        <v>301</v>
      </c>
      <c r="H70" s="2078"/>
      <c r="I70" s="319" t="e">
        <f>IF(J70=F69,"",CHECK)</f>
        <v>#NAME?</v>
      </c>
      <c r="J70" s="655">
        <v>0.21</v>
      </c>
      <c r="K70" s="652">
        <v>100601.28781545939</v>
      </c>
      <c r="L70" s="652">
        <v>102264.99405452749</v>
      </c>
      <c r="M70" s="255">
        <v>104032.68193353733</v>
      </c>
      <c r="N70" s="653">
        <v>105914.41419183809</v>
      </c>
      <c r="O70" s="653">
        <v>107921.59526735896</v>
      </c>
    </row>
    <row r="71" spans="2:17" ht="14.85" customHeight="1">
      <c r="B71" s="636" t="s">
        <v>198</v>
      </c>
      <c r="C71" s="637"/>
      <c r="D71" s="656"/>
      <c r="E71" s="637"/>
      <c r="F71" s="638">
        <f>F67*F70</f>
        <v>229608.05448079112</v>
      </c>
      <c r="H71" s="2078"/>
      <c r="J71" s="651">
        <f>J70+$H$66</f>
        <v>0.22</v>
      </c>
      <c r="K71" s="652">
        <v>91847.017595496436</v>
      </c>
      <c r="L71" s="657">
        <v>93232.93080806284</v>
      </c>
      <c r="M71" s="658">
        <v>94700.368327250821</v>
      </c>
      <c r="N71" s="659">
        <v>96256.741453662282</v>
      </c>
      <c r="O71" s="653">
        <v>97910.387900474496</v>
      </c>
    </row>
    <row r="72" spans="2:17" ht="14.85" customHeight="1">
      <c r="B72" s="636" t="s">
        <v>200</v>
      </c>
      <c r="C72" s="637"/>
      <c r="D72" s="637"/>
      <c r="E72" s="637"/>
      <c r="F72" s="660">
        <f>O62</f>
        <v>0.131175695262749</v>
      </c>
      <c r="H72" s="2078"/>
      <c r="J72" s="661">
        <f>J71+$H$66</f>
        <v>0.23</v>
      </c>
      <c r="K72" s="657">
        <v>84130.589137495379</v>
      </c>
      <c r="L72" s="658">
        <v>85293.093984310835</v>
      </c>
      <c r="M72" s="658">
        <v>86520.182433727168</v>
      </c>
      <c r="N72" s="658">
        <v>87817.390223110109</v>
      </c>
      <c r="O72" s="659">
        <v>89190.904353045029</v>
      </c>
    </row>
    <row r="73" spans="2:17" ht="14.85" customHeight="1">
      <c r="B73" s="662" t="s">
        <v>201</v>
      </c>
      <c r="C73" s="663"/>
      <c r="D73" s="663"/>
      <c r="E73" s="663"/>
      <c r="F73" s="664">
        <f>F71*F72</f>
        <v>30118.996184444924</v>
      </c>
    </row>
    <row r="74" spans="2:17" ht="14.85" customHeight="1">
      <c r="H74" s="665" t="s">
        <v>206</v>
      </c>
      <c r="I74" s="666"/>
      <c r="J74" s="666"/>
      <c r="K74" s="667" t="s">
        <v>112</v>
      </c>
      <c r="L74" s="668"/>
      <c r="M74" s="667" t="s">
        <v>111</v>
      </c>
      <c r="N74" s="666"/>
      <c r="O74" s="669" t="s">
        <v>328</v>
      </c>
    </row>
    <row r="75" spans="2:17" ht="14.85" customHeight="1">
      <c r="B75" s="670" t="s">
        <v>203</v>
      </c>
      <c r="C75" s="632"/>
      <c r="D75" s="632"/>
      <c r="E75" s="632"/>
      <c r="F75" s="671"/>
      <c r="H75" s="662" t="s">
        <v>205</v>
      </c>
      <c r="I75" s="663"/>
      <c r="J75" s="663"/>
      <c r="K75" s="672">
        <f>ROUND(MIN(L69:N71),-1)</f>
        <v>93230</v>
      </c>
      <c r="L75" s="663"/>
      <c r="M75" s="672">
        <f>ROUND(MAX(L69:N71),-1)</f>
        <v>117050</v>
      </c>
      <c r="N75" s="663"/>
      <c r="O75" s="664">
        <f>ROUND(AVERAGE(K75:M75),-1)</f>
        <v>105140</v>
      </c>
      <c r="Q75" s="633"/>
    </row>
    <row r="76" spans="2:17" ht="14.85" customHeight="1">
      <c r="B76" s="636" t="s">
        <v>202</v>
      </c>
      <c r="C76" s="637"/>
      <c r="D76" s="637"/>
      <c r="E76" s="637"/>
      <c r="F76" s="638">
        <f>SUM(F64:O64)</f>
        <v>42784.69836242676</v>
      </c>
      <c r="Q76" s="673">
        <f>F76/$F$79</f>
        <v>0.58686598297044279</v>
      </c>
    </row>
    <row r="77" spans="2:17" ht="14.85" customHeight="1">
      <c r="B77" s="636" t="s">
        <v>198</v>
      </c>
      <c r="C77" s="637"/>
      <c r="D77" s="637"/>
      <c r="E77" s="637"/>
      <c r="F77" s="638">
        <f>F73</f>
        <v>30118.996184444924</v>
      </c>
      <c r="Q77" s="673">
        <f>F77/$F$79</f>
        <v>0.41313401702955721</v>
      </c>
    </row>
    <row r="78" spans="2:17" ht="14.85" customHeight="1">
      <c r="B78" s="674"/>
      <c r="C78" s="637"/>
      <c r="D78" s="637"/>
      <c r="E78" s="637"/>
      <c r="F78" s="675"/>
      <c r="Q78" s="675"/>
    </row>
    <row r="79" spans="2:17" ht="14.85" customHeight="1">
      <c r="B79" s="676" t="s">
        <v>747</v>
      </c>
      <c r="C79" s="677"/>
      <c r="D79" s="677"/>
      <c r="E79" s="677"/>
      <c r="F79" s="678">
        <f>SUM(F76:F77)</f>
        <v>72903.694546871688</v>
      </c>
      <c r="Q79" s="679">
        <f>SUM(Q76:Q77)</f>
        <v>1</v>
      </c>
    </row>
    <row r="80" spans="2:17" ht="14.85" customHeight="1"/>
    <row r="81" spans="1:19" ht="14.85" customHeight="1">
      <c r="B81" s="409" t="s">
        <v>86</v>
      </c>
      <c r="J81" s="680"/>
    </row>
    <row r="82" spans="1:19" ht="14.85" customHeight="1">
      <c r="A82" s="681" t="s">
        <v>261</v>
      </c>
      <c r="B82" s="274" t="s">
        <v>964</v>
      </c>
    </row>
    <row r="83" spans="1:19" ht="14.85" customHeight="1">
      <c r="A83" s="681" t="s">
        <v>260</v>
      </c>
      <c r="B83" s="274" t="s">
        <v>965</v>
      </c>
    </row>
    <row r="84" spans="1:19" ht="14.85" customHeight="1">
      <c r="A84" s="681" t="s">
        <v>299</v>
      </c>
      <c r="B84" s="274" t="s">
        <v>966</v>
      </c>
      <c r="C84" s="275"/>
      <c r="D84" s="275"/>
      <c r="E84" s="275"/>
      <c r="F84" s="275"/>
      <c r="G84" s="275"/>
      <c r="H84" s="275"/>
      <c r="I84" s="275"/>
      <c r="J84" s="275"/>
    </row>
    <row r="85" spans="1:19" ht="14.85" customHeight="1">
      <c r="A85" s="681" t="s">
        <v>300</v>
      </c>
      <c r="B85" s="274" t="s">
        <v>967</v>
      </c>
    </row>
    <row r="86" spans="1:19" ht="14.85" customHeight="1">
      <c r="B86" s="274" t="s">
        <v>861</v>
      </c>
    </row>
    <row r="87" spans="1:19" ht="14.85" customHeight="1">
      <c r="A87" s="681" t="s">
        <v>301</v>
      </c>
      <c r="B87" s="274" t="s">
        <v>968</v>
      </c>
    </row>
    <row r="88" spans="1:19" ht="14.85" customHeight="1"/>
    <row r="89" spans="1:19" ht="14.85" customHeight="1"/>
    <row r="90" spans="1:19" ht="14.85" customHeight="1">
      <c r="B90" s="208" t="s">
        <v>2029</v>
      </c>
      <c r="D90" s="682">
        <v>5</v>
      </c>
    </row>
    <row r="91" spans="1:19" ht="14.85" customHeight="1"/>
    <row r="92" spans="1:19" ht="14.85" customHeight="1"/>
    <row r="93" spans="1:19" ht="14.85" customHeight="1">
      <c r="D93" s="683" t="s">
        <v>698</v>
      </c>
      <c r="E93" s="684"/>
      <c r="F93" s="685">
        <f>F9</f>
        <v>2018</v>
      </c>
      <c r="G93" s="685">
        <f t="shared" ref="G93:O93" si="26">G9</f>
        <v>2019</v>
      </c>
      <c r="H93" s="685">
        <f t="shared" si="26"/>
        <v>2020</v>
      </c>
      <c r="I93" s="685">
        <f t="shared" si="26"/>
        <v>2021</v>
      </c>
      <c r="J93" s="685">
        <f t="shared" si="26"/>
        <v>2022</v>
      </c>
      <c r="K93" s="685">
        <f t="shared" si="26"/>
        <v>2023</v>
      </c>
      <c r="L93" s="685">
        <f t="shared" si="26"/>
        <v>2024</v>
      </c>
      <c r="M93" s="685">
        <f t="shared" si="26"/>
        <v>2025</v>
      </c>
      <c r="N93" s="685">
        <f t="shared" si="26"/>
        <v>2026</v>
      </c>
      <c r="O93" s="685">
        <f t="shared" si="26"/>
        <v>2027</v>
      </c>
      <c r="P93" s="182"/>
      <c r="S93" s="179" t="s">
        <v>2089</v>
      </c>
    </row>
    <row r="94" spans="1:19" ht="14.85" customHeight="1">
      <c r="B94" s="208" t="s">
        <v>2030</v>
      </c>
      <c r="D94" s="686">
        <f>'Hist BS'!G22</f>
        <v>8956</v>
      </c>
      <c r="E94" s="180"/>
      <c r="F94" s="687">
        <f>IF(COUNT(F$92:$F93)&gt;$D$90,0,$D$94/$D$90)</f>
        <v>1791.2</v>
      </c>
      <c r="G94" s="687">
        <f>IF(COUNT($F$92:G93)&gt;$D$90,0,$D$94/$D$90)</f>
        <v>1791.2</v>
      </c>
      <c r="H94" s="687">
        <f>IF(COUNT($F$92:H93)&gt;$D$90,0,$D$94/$D$90)</f>
        <v>1791.2</v>
      </c>
      <c r="I94" s="687">
        <f>IF(COUNT($F$92:I93)&gt;$D$90,0,$D$94/$D$90)</f>
        <v>1791.2</v>
      </c>
      <c r="J94" s="687">
        <f>IF(COUNT($F$92:J93)&gt;$D$90,0,$D$94/$D$90)</f>
        <v>1791.2</v>
      </c>
      <c r="K94" s="688">
        <f>IF(COUNT($F$92:K93)&gt;$D$90,0,$D$94/$D$90)</f>
        <v>0</v>
      </c>
      <c r="L94" s="688">
        <f>IF(COUNT($F$92:L93)&gt;$D$90,0,$D$94/$D$90)</f>
        <v>0</v>
      </c>
      <c r="M94" s="688">
        <f>IF(COUNT($F$92:M93)&gt;$D$90,0,$D$94/$D$90)</f>
        <v>0</v>
      </c>
      <c r="N94" s="688">
        <f>IF(COUNT($F$92:N93)&gt;$D$90,0,$D$94/$D$90)</f>
        <v>0</v>
      </c>
      <c r="O94" s="688">
        <f>IF(COUNT($F$92:O93)&gt;$D$90,0,$D$94/$D$90)</f>
        <v>0</v>
      </c>
      <c r="P94" s="182"/>
      <c r="S94" s="179" t="s">
        <v>2090</v>
      </c>
    </row>
    <row r="95" spans="1:19" ht="14.85" customHeight="1">
      <c r="B95" s="208"/>
    </row>
    <row r="96" spans="1:19" ht="14.85" customHeight="1">
      <c r="B96" s="179">
        <f t="array" ref="B96:B105">TRANSPOSE(F9:O9)</f>
        <v>2018</v>
      </c>
      <c r="D96" s="689">
        <f t="array" ref="D96:D105">TRANSPOSE(F51:O51)</f>
        <v>517.6461274852345</v>
      </c>
      <c r="F96" s="688">
        <f>IF($B96&gt;F$93,0,IF(SUM($D96-SUM($E96:E96))&lt;=0,0,$D96/$D$90))</f>
        <v>103.52922549704689</v>
      </c>
      <c r="G96" s="688">
        <f>IF($B96&gt;G$93,0,IF(SUM($D96-SUM($E96:F96))&lt;=0,0,$D96/$D$90))</f>
        <v>103.52922549704689</v>
      </c>
      <c r="H96" s="688">
        <f>IF($B96&gt;H$93,0,IF(SUM($D96-SUM($E96:G96))&lt;=0,0,$D96/$D$90))</f>
        <v>103.52922549704689</v>
      </c>
      <c r="I96" s="688">
        <f>IF($B96&gt;I$93,0,IF(SUM($D96-SUM($E96:H96))&lt;=0,0,$D96/$D$90))</f>
        <v>103.52922549704689</v>
      </c>
      <c r="J96" s="688">
        <f>IF($B96&gt;J$93,0,IF(SUM($D96-SUM($E96:I96))&lt;=0,0,$D96/$D$90))</f>
        <v>103.52922549704689</v>
      </c>
      <c r="K96" s="688">
        <f>IF($B96&gt;K$93,0,IF(SUM($D96-SUM($E96:J96))&lt;=0,0,$D96/$D$90))</f>
        <v>0</v>
      </c>
      <c r="L96" s="688">
        <f>IF($B96&gt;L$93,0,IF(SUM($D96-SUM($E96:K96))&lt;=0,0,$D96/$D$90))</f>
        <v>0</v>
      </c>
      <c r="M96" s="688">
        <f>IF($B96&gt;M$93,0,IF(SUM($D96-SUM($E96:L96))&lt;=0,0,$D96/$D$90))</f>
        <v>0</v>
      </c>
      <c r="N96" s="688">
        <f>IF($B96&gt;N$93,0,IF(SUM($D96-SUM($E96:M96))&lt;=0,0,$D96/$D$90))</f>
        <v>0</v>
      </c>
      <c r="O96" s="688">
        <f>IF($B96&gt;O$93,0,IF(SUM($D96-SUM($E96:N96))&lt;=0,0,$D96/$D$90))</f>
        <v>0</v>
      </c>
    </row>
    <row r="97" spans="2:15" ht="14.85" customHeight="1">
      <c r="B97" s="179">
        <v>2019</v>
      </c>
      <c r="D97" s="689">
        <v>1204.0487866981916</v>
      </c>
      <c r="F97" s="688">
        <f>IF($B97&gt;F$93,0,IF(SUM($D97-SUM($E97:E97))&lt;=0,0,$D97/$D$90))</f>
        <v>0</v>
      </c>
      <c r="G97" s="688">
        <f>IF($B97&gt;G$93,0,IF(SUM($D97-SUM($E97:F97))&lt;=0,0,$D97/$D$90))</f>
        <v>240.80975733963834</v>
      </c>
      <c r="H97" s="688">
        <f>IF($B97&gt;H$93,0,IF(SUM($D97-SUM($E97:G97))&lt;=0,0,$D97/$D$90))</f>
        <v>240.80975733963834</v>
      </c>
      <c r="I97" s="688">
        <f>IF($B97&gt;I$93,0,IF(SUM($D97-SUM($E97:H97))&lt;=0,0,$D97/$D$90))</f>
        <v>240.80975733963834</v>
      </c>
      <c r="J97" s="688">
        <f>IF($B97&gt;J$93,0,IF(SUM($D97-SUM($E97:I97))&lt;=0,0,$D97/$D$90))</f>
        <v>240.80975733963834</v>
      </c>
      <c r="K97" s="688">
        <f>IF($B97&gt;K$93,0,IF(SUM($D97-SUM($E97:J97))&lt;=0,0,$D97/$D$90))</f>
        <v>240.80975733963834</v>
      </c>
      <c r="L97" s="688">
        <f>IF($B97&gt;L$93,0,IF(SUM($D97-SUM($E97:K97))&lt;=0,0,$D97/$D$90))</f>
        <v>0</v>
      </c>
      <c r="M97" s="688">
        <f>IF($B97&gt;M$93,0,IF(SUM($D97-SUM($E97:L97))&lt;=0,0,$D97/$D$90))</f>
        <v>0</v>
      </c>
      <c r="N97" s="688">
        <f>IF($B97&gt;N$93,0,IF(SUM($D97-SUM($E97:M97))&lt;=0,0,$D97/$D$90))</f>
        <v>0</v>
      </c>
      <c r="O97" s="688">
        <f>IF($B97&gt;O$93,0,IF(SUM($D97-SUM($E97:N97))&lt;=0,0,$D97/$D$90))</f>
        <v>0</v>
      </c>
    </row>
    <row r="98" spans="2:15" ht="14.85" customHeight="1">
      <c r="B98" s="179">
        <v>2020</v>
      </c>
      <c r="D98" s="689">
        <v>2747.0014109718854</v>
      </c>
      <c r="F98" s="688">
        <f>IF($B98&gt;F$93,0,IF(SUM($D98-SUM($E98:E98))&lt;=0,0,$D98/$D$90))</f>
        <v>0</v>
      </c>
      <c r="G98" s="688">
        <f>IF($B98&gt;G$93,0,IF(SUM($D98-SUM($E98:F98))&lt;=0,0,$D98/$D$90))</f>
        <v>0</v>
      </c>
      <c r="H98" s="688">
        <f>IF($B98&gt;H$93,0,IF(SUM($D98-SUM($E98:G98))&lt;=0,0,$D98/$D$90))</f>
        <v>549.40028219437704</v>
      </c>
      <c r="I98" s="688">
        <f>IF($B98&gt;I$93,0,IF(SUM($D98-SUM($E98:H98))&lt;=0,0,$D98/$D$90))</f>
        <v>549.40028219437704</v>
      </c>
      <c r="J98" s="688">
        <f>IF($B98&gt;J$93,0,IF(SUM($D98-SUM($E98:I98))&lt;=0,0,$D98/$D$90))</f>
        <v>549.40028219437704</v>
      </c>
      <c r="K98" s="688">
        <f>IF($B98&gt;K$93,0,IF(SUM($D98-SUM($E98:J98))&lt;=0,0,$D98/$D$90))</f>
        <v>549.40028219437704</v>
      </c>
      <c r="L98" s="688">
        <f>IF($B98&gt;L$93,0,IF(SUM($D98-SUM($E98:K98))&lt;=0,0,$D98/$D$90))</f>
        <v>549.40028219437704</v>
      </c>
      <c r="M98" s="688">
        <f>IF($B98&gt;M$93,0,IF(SUM($D98-SUM($E98:L98))&lt;=0,0,$D98/$D$90))</f>
        <v>549.40028219437704</v>
      </c>
      <c r="N98" s="688">
        <f>IF($B98&gt;N$93,0,IF(SUM($D98-SUM($E98:M98))&lt;=0,0,$D98/$D$90))</f>
        <v>0</v>
      </c>
      <c r="O98" s="688">
        <f>IF($B98&gt;O$93,0,IF(SUM($D98-SUM($E98:N98))&lt;=0,0,$D98/$D$90))</f>
        <v>0</v>
      </c>
    </row>
    <row r="99" spans="2:15" ht="14.85" customHeight="1">
      <c r="B99" s="179">
        <v>2021</v>
      </c>
      <c r="D99" s="689">
        <v>4863.4814668747067</v>
      </c>
      <c r="F99" s="688">
        <f>IF($B99&gt;F$93,0,IF(SUM($D99-SUM($E99:E99))&lt;=0,0,$D99/$D$90))</f>
        <v>0</v>
      </c>
      <c r="G99" s="688">
        <f>IF($B99&gt;G$93,0,IF(SUM($D99-SUM($E99:F99))&lt;=0,0,$D99/$D$90))</f>
        <v>0</v>
      </c>
      <c r="H99" s="688">
        <f>IF($B99&gt;H$93,0,IF(SUM($D99-SUM($E99:G99))&lt;=0,0,$D99/$D$90))</f>
        <v>0</v>
      </c>
      <c r="I99" s="688">
        <f>IF($B99&gt;I$93,0,IF(SUM($D99-SUM($E99:H99))&lt;=0,0,$D99/$D$90))</f>
        <v>972.69629337494132</v>
      </c>
      <c r="J99" s="688">
        <f>IF($B99&gt;J$93,0,IF(SUM($D99-SUM($E99:I99))&lt;=0,0,$D99/$D$90))</f>
        <v>972.69629337494132</v>
      </c>
      <c r="K99" s="688">
        <f>IF($B99&gt;K$93,0,IF(SUM($D99-SUM($E99:J99))&lt;=0,0,$D99/$D$90))</f>
        <v>972.69629337494132</v>
      </c>
      <c r="L99" s="688">
        <f>IF($B99&gt;L$93,0,IF(SUM($D99-SUM($E99:K99))&lt;=0,0,$D99/$D$90))</f>
        <v>972.69629337494132</v>
      </c>
      <c r="M99" s="688">
        <f>IF($B99&gt;M$93,0,IF(SUM($D99-SUM($E99:L99))&lt;=0,0,$D99/$D$90))</f>
        <v>972.69629337494132</v>
      </c>
      <c r="N99" s="688">
        <f>IF($B99&gt;N$93,0,IF(SUM($D99-SUM($E99:M99))&lt;=0,0,$D99/$D$90))</f>
        <v>0</v>
      </c>
      <c r="O99" s="688">
        <f>IF($B99&gt;O$93,0,IF(SUM($D99-SUM($E99:N99))&lt;=0,0,$D99/$D$90))</f>
        <v>0</v>
      </c>
    </row>
    <row r="100" spans="2:15" ht="14.85" customHeight="1">
      <c r="B100" s="179">
        <v>2022</v>
      </c>
      <c r="D100" s="689">
        <v>7538.3962736557951</v>
      </c>
      <c r="F100" s="688">
        <f>IF($B100&gt;F$93,0,IF(SUM($D100-SUM($E100:E100))&lt;=0,0,$D100/$D$90))</f>
        <v>0</v>
      </c>
      <c r="G100" s="688">
        <f>IF($B100&gt;G$93,0,IF(SUM($D100-SUM($E100:F100))&lt;=0,0,$D100/$D$90))</f>
        <v>0</v>
      </c>
      <c r="H100" s="688">
        <f>IF($B100&gt;H$93,0,IF(SUM($D100-SUM($E100:G100))&lt;=0,0,$D100/$D$90))</f>
        <v>0</v>
      </c>
      <c r="I100" s="688">
        <f>IF($B100&gt;I$93,0,IF(SUM($D100-SUM($E100:H100))&lt;=0,0,$D100/$D$90))</f>
        <v>0</v>
      </c>
      <c r="J100" s="688">
        <f>IF($B100&gt;J$93,0,IF(SUM($D100-SUM($E100:I100))&lt;=0,0,$D100/$D$90))</f>
        <v>1507.6792547311591</v>
      </c>
      <c r="K100" s="688">
        <f>IF($B100&gt;K$93,0,IF(SUM($D100-SUM($E100:J100))&lt;=0,0,$D100/$D$90))</f>
        <v>1507.6792547311591</v>
      </c>
      <c r="L100" s="688">
        <f>IF($B100&gt;L$93,0,IF(SUM($D100-SUM($E100:K100))&lt;=0,0,$D100/$D$90))</f>
        <v>1507.6792547311591</v>
      </c>
      <c r="M100" s="688">
        <f>IF($B100&gt;M$93,0,IF(SUM($D100-SUM($E100:L100))&lt;=0,0,$D100/$D$90))</f>
        <v>1507.6792547311591</v>
      </c>
      <c r="N100" s="688">
        <f>IF($B100&gt;N$93,0,IF(SUM($D100-SUM($E100:M100))&lt;=0,0,$D100/$D$90))</f>
        <v>1507.6792547311591</v>
      </c>
      <c r="O100" s="688">
        <f>IF($B100&gt;O$93,0,IF(SUM($D100-SUM($E100:N100))&lt;=0,0,$D100/$D$90))</f>
        <v>0</v>
      </c>
    </row>
    <row r="101" spans="2:15" ht="14.85" customHeight="1">
      <c r="B101" s="179">
        <v>2023</v>
      </c>
      <c r="D101" s="689">
        <v>10553.754783118113</v>
      </c>
      <c r="F101" s="688">
        <f>IF($B101&gt;F$93,0,IF(SUM($D101-SUM($E101:E101))&lt;=0,0,$D101/$D$90))</f>
        <v>0</v>
      </c>
      <c r="G101" s="688">
        <f>IF($B101&gt;G$93,0,IF(SUM($D101-SUM($E101:F101))&lt;=0,0,$D101/$D$90))</f>
        <v>0</v>
      </c>
      <c r="H101" s="688">
        <f>IF($B101&gt;H$93,0,IF(SUM($D101-SUM($E101:G101))&lt;=0,0,$D101/$D$90))</f>
        <v>0</v>
      </c>
      <c r="I101" s="688">
        <f>IF($B101&gt;I$93,0,IF(SUM($D101-SUM($E101:H101))&lt;=0,0,$D101/$D$90))</f>
        <v>0</v>
      </c>
      <c r="J101" s="688">
        <f>IF($B101&gt;J$93,0,IF(SUM($D101-SUM($E101:I101))&lt;=0,0,$D101/$D$90))</f>
        <v>0</v>
      </c>
      <c r="K101" s="688">
        <f>IF($B101&gt;K$93,0,IF(SUM($D101-SUM($E101:J101))&lt;=0,0,$D101/$D$90))</f>
        <v>2110.7509566236226</v>
      </c>
      <c r="L101" s="688">
        <f>IF($B101&gt;L$93,0,IF(SUM($D101-SUM($E101:K101))&lt;=0,0,$D101/$D$90))</f>
        <v>2110.7509566236226</v>
      </c>
      <c r="M101" s="688">
        <f>IF($B101&gt;M$93,0,IF(SUM($D101-SUM($E101:L101))&lt;=0,0,$D101/$D$90))</f>
        <v>2110.7509566236226</v>
      </c>
      <c r="N101" s="688">
        <f>IF($B101&gt;N$93,0,IF(SUM($D101-SUM($E101:M101))&lt;=0,0,$D101/$D$90))</f>
        <v>2110.7509566236226</v>
      </c>
      <c r="O101" s="688">
        <f>IF($B101&gt;O$93,0,IF(SUM($D101-SUM($E101:N101))&lt;=0,0,$D101/$D$90))</f>
        <v>2110.7509566236226</v>
      </c>
    </row>
    <row r="102" spans="2:15" ht="14.85" customHeight="1">
      <c r="B102" s="179">
        <v>2024</v>
      </c>
      <c r="D102" s="689">
        <v>13719.881218053546</v>
      </c>
      <c r="F102" s="688">
        <f>IF($B102&gt;F$93,0,IF(SUM($D102-SUM($E102:E102))&lt;=0,0,$D102/$D$90))</f>
        <v>0</v>
      </c>
      <c r="G102" s="688">
        <f>IF($B102&gt;G$93,0,IF(SUM($D102-SUM($E102:F102))&lt;=0,0,$D102/$D$90))</f>
        <v>0</v>
      </c>
      <c r="H102" s="688">
        <f>IF($B102&gt;H$93,0,IF(SUM($D102-SUM($E102:G102))&lt;=0,0,$D102/$D$90))</f>
        <v>0</v>
      </c>
      <c r="I102" s="688">
        <f>IF($B102&gt;I$93,0,IF(SUM($D102-SUM($E102:H102))&lt;=0,0,$D102/$D$90))</f>
        <v>0</v>
      </c>
      <c r="J102" s="688">
        <f>IF($B102&gt;J$93,0,IF(SUM($D102-SUM($E102:I102))&lt;=0,0,$D102/$D$90))</f>
        <v>0</v>
      </c>
      <c r="K102" s="688">
        <f>IF($B102&gt;K$93,0,IF(SUM($D102-SUM($E102:J102))&lt;=0,0,$D102/$D$90))</f>
        <v>0</v>
      </c>
      <c r="L102" s="688">
        <f>IF($B102&gt;L$93,0,IF(SUM($D102-SUM($E102:K102))&lt;=0,0,$D102/$D$90))</f>
        <v>2743.9762436107094</v>
      </c>
      <c r="M102" s="688">
        <f>IF($B102&gt;M$93,0,IF(SUM($D102-SUM($E102:L102))&lt;=0,0,$D102/$D$90))</f>
        <v>2743.9762436107094</v>
      </c>
      <c r="N102" s="688">
        <f>IF($B102&gt;N$93,0,IF(SUM($D102-SUM($E102:M102))&lt;=0,0,$D102/$D$90))</f>
        <v>2743.9762436107094</v>
      </c>
      <c r="O102" s="688">
        <f>IF($B102&gt;O$93,0,IF(SUM($D102-SUM($E102:N102))&lt;=0,0,$D102/$D$90))</f>
        <v>2743.9762436107094</v>
      </c>
    </row>
    <row r="103" spans="2:15" ht="14.85" customHeight="1">
      <c r="B103" s="179">
        <v>2025</v>
      </c>
      <c r="D103" s="689">
        <v>16463.857461664255</v>
      </c>
      <c r="F103" s="688">
        <f>IF($B103&gt;F$93,0,IF(SUM($D103-SUM($E103:E103))&lt;=0,0,$D103/$D$90))</f>
        <v>0</v>
      </c>
      <c r="G103" s="688">
        <f>IF($B103&gt;G$93,0,IF(SUM($D103-SUM($E103:F103))&lt;=0,0,$D103/$D$90))</f>
        <v>0</v>
      </c>
      <c r="H103" s="688">
        <f>IF($B103&gt;H$93,0,IF(SUM($D103-SUM($E103:G103))&lt;=0,0,$D103/$D$90))</f>
        <v>0</v>
      </c>
      <c r="I103" s="688">
        <f>IF($B103&gt;I$93,0,IF(SUM($D103-SUM($E103:H103))&lt;=0,0,$D103/$D$90))</f>
        <v>0</v>
      </c>
      <c r="J103" s="688">
        <f>IF($B103&gt;J$93,0,IF(SUM($D103-SUM($E103:I103))&lt;=0,0,$D103/$D$90))</f>
        <v>0</v>
      </c>
      <c r="K103" s="688">
        <f>IF($B103&gt;K$93,0,IF(SUM($D103-SUM($E103:J103))&lt;=0,0,$D103/$D$90))</f>
        <v>0</v>
      </c>
      <c r="L103" s="688">
        <f>IF($B103&gt;L$93,0,IF(SUM($D103-SUM($E103:K103))&lt;=0,0,$D103/$D$90))</f>
        <v>0</v>
      </c>
      <c r="M103" s="688">
        <f>IF($B103&gt;M$93,0,IF(SUM($D103-SUM($E103:L103))&lt;=0,0,$D103/$D$90))</f>
        <v>3292.7714923328508</v>
      </c>
      <c r="N103" s="688">
        <f>IF($B103&gt;N$93,0,IF(SUM($D103-SUM($E103:M103))&lt;=0,0,$D103/$D$90))</f>
        <v>3292.7714923328508</v>
      </c>
      <c r="O103" s="688">
        <f>IF($B103&gt;O$93,0,IF(SUM($D103-SUM($E103:N103))&lt;=0,0,$D103/$D$90))</f>
        <v>3292.7714923328508</v>
      </c>
    </row>
    <row r="104" spans="2:15" ht="14.85" customHeight="1">
      <c r="B104" s="179">
        <v>2026</v>
      </c>
      <c r="D104" s="689">
        <v>18110.243207830681</v>
      </c>
      <c r="F104" s="688">
        <f>IF($B104&gt;F$93,0,IF(SUM($D104-SUM($E104:E104))&lt;=0,0,$D104/$D$90))</f>
        <v>0</v>
      </c>
      <c r="G104" s="688">
        <f>IF($B104&gt;G$93,0,IF(SUM($D104-SUM($E104:F104))&lt;=0,0,$D104/$D$90))</f>
        <v>0</v>
      </c>
      <c r="H104" s="688">
        <f>IF($B104&gt;H$93,0,IF(SUM($D104-SUM($E104:G104))&lt;=0,0,$D104/$D$90))</f>
        <v>0</v>
      </c>
      <c r="I104" s="688">
        <f>IF($B104&gt;I$93,0,IF(SUM($D104-SUM($E104:H104))&lt;=0,0,$D104/$D$90))</f>
        <v>0</v>
      </c>
      <c r="J104" s="688">
        <f>IF($B104&gt;J$93,0,IF(SUM($D104-SUM($E104:I104))&lt;=0,0,$D104/$D$90))</f>
        <v>0</v>
      </c>
      <c r="K104" s="688">
        <f>IF($B104&gt;K$93,0,IF(SUM($D104-SUM($E104:J104))&lt;=0,0,$D104/$D$90))</f>
        <v>0</v>
      </c>
      <c r="L104" s="688">
        <f>IF($B104&gt;L$93,0,IF(SUM($D104-SUM($E104:K104))&lt;=0,0,$D104/$D$90))</f>
        <v>0</v>
      </c>
      <c r="M104" s="688">
        <f>IF($B104&gt;M$93,0,IF(SUM($D104-SUM($E104:L104))&lt;=0,0,$D104/$D$90))</f>
        <v>0</v>
      </c>
      <c r="N104" s="688">
        <f>IF($B104&gt;N$93,0,IF(SUM($D104-SUM($E104:M104))&lt;=0,0,$D104/$D$90))</f>
        <v>3622.0486415661362</v>
      </c>
      <c r="O104" s="688">
        <f>IF($B104&gt;O$93,0,IF(SUM($D104-SUM($E104:N104))&lt;=0,0,$D104/$D$90))</f>
        <v>3622.0486415661362</v>
      </c>
    </row>
    <row r="105" spans="2:15" ht="14.85" customHeight="1">
      <c r="B105" s="179">
        <v>2027</v>
      </c>
      <c r="D105" s="689">
        <v>19015.755368222217</v>
      </c>
      <c r="F105" s="688">
        <f>IF($B105&gt;F$93,0,IF(SUM($D105-SUM($E105:E105))&lt;=0,0,$D105/$D$90))</f>
        <v>0</v>
      </c>
      <c r="G105" s="688">
        <f>IF($B105&gt;G$93,0,IF(SUM($D105-SUM($E105:F105))&lt;=0,0,$D105/$D$90))</f>
        <v>0</v>
      </c>
      <c r="H105" s="688">
        <f>IF($B105&gt;H$93,0,IF(SUM($D105-SUM($E105:G105))&lt;=0,0,$D105/$D$90))</f>
        <v>0</v>
      </c>
      <c r="I105" s="688">
        <f>IF($B105&gt;I$93,0,IF(SUM($D105-SUM($E105:H105))&lt;=0,0,$D105/$D$90))</f>
        <v>0</v>
      </c>
      <c r="J105" s="688">
        <f>IF($B105&gt;J$93,0,IF(SUM($D105-SUM($E105:I105))&lt;=0,0,$D105/$D$90))</f>
        <v>0</v>
      </c>
      <c r="K105" s="688">
        <f>IF($B105&gt;K$93,0,IF(SUM($D105-SUM($E105:J105))&lt;=0,0,$D105/$D$90))</f>
        <v>0</v>
      </c>
      <c r="L105" s="688">
        <f>IF($B105&gt;L$93,0,IF(SUM($D105-SUM($E105:K105))&lt;=0,0,$D105/$D$90))</f>
        <v>0</v>
      </c>
      <c r="M105" s="688">
        <f>IF($B105&gt;M$93,0,IF(SUM($D105-SUM($E105:L105))&lt;=0,0,$D105/$D$90))</f>
        <v>0</v>
      </c>
      <c r="N105" s="688">
        <f>IF($B105&gt;N$93,0,IF(SUM($D105-SUM($E105:M105))&lt;=0,0,$D105/$D$90))</f>
        <v>0</v>
      </c>
      <c r="O105" s="688">
        <f>IF($B105&gt;O$93,0,IF(SUM($D105-SUM($E105:N105))&lt;=0,0,$D105/$D$90))</f>
        <v>3803.1510736444434</v>
      </c>
    </row>
    <row r="106" spans="2:15" ht="14.85" customHeight="1">
      <c r="F106" s="690"/>
      <c r="G106" s="690"/>
      <c r="H106" s="690"/>
      <c r="I106" s="690"/>
      <c r="J106" s="690"/>
      <c r="K106" s="690"/>
      <c r="L106" s="690"/>
      <c r="M106" s="690"/>
      <c r="N106" s="690"/>
      <c r="O106" s="690"/>
    </row>
    <row r="107" spans="2:15" ht="14.85" customHeight="1">
      <c r="D107" s="691" t="s">
        <v>163</v>
      </c>
      <c r="E107" s="691"/>
      <c r="F107" s="692">
        <f>SUM(F94:F106)</f>
        <v>1894.7292254970469</v>
      </c>
      <c r="G107" s="692">
        <f t="shared" ref="G107:O107" si="27">SUM(G94:G106)</f>
        <v>2135.5389828366851</v>
      </c>
      <c r="H107" s="692">
        <f t="shared" si="27"/>
        <v>2684.939265031062</v>
      </c>
      <c r="I107" s="692">
        <f t="shared" si="27"/>
        <v>3657.6355584060034</v>
      </c>
      <c r="J107" s="692">
        <f t="shared" si="27"/>
        <v>5165.3148131371627</v>
      </c>
      <c r="K107" s="692">
        <f t="shared" si="27"/>
        <v>5381.3365442637387</v>
      </c>
      <c r="L107" s="692">
        <f t="shared" si="27"/>
        <v>7884.5030305348091</v>
      </c>
      <c r="M107" s="692">
        <f t="shared" si="27"/>
        <v>11177.274522867659</v>
      </c>
      <c r="N107" s="692">
        <f t="shared" si="27"/>
        <v>13277.226588864478</v>
      </c>
      <c r="O107" s="692">
        <f t="shared" si="27"/>
        <v>15572.698407777763</v>
      </c>
    </row>
    <row r="108" spans="2:15" ht="14.85" customHeight="1"/>
    <row r="109" spans="2:15" ht="14.85" customHeight="1"/>
    <row r="110" spans="2:15" ht="14.85" customHeight="1"/>
    <row r="111" spans="2:15" ht="14.85" customHeight="1">
      <c r="B111" s="179" t="s">
        <v>823</v>
      </c>
    </row>
    <row r="112" spans="2:15" ht="14.85" customHeight="1">
      <c r="B112" s="693" t="s">
        <v>221</v>
      </c>
      <c r="C112" s="694"/>
      <c r="D112" s="694"/>
      <c r="E112" s="694"/>
      <c r="F112" s="695">
        <v>3151</v>
      </c>
      <c r="G112" s="695">
        <v>3370</v>
      </c>
      <c r="H112" s="695">
        <v>3878</v>
      </c>
      <c r="I112" s="695">
        <v>5839</v>
      </c>
      <c r="J112" s="695">
        <v>10094</v>
      </c>
      <c r="K112" s="695">
        <v>16087</v>
      </c>
      <c r="L112" s="694"/>
      <c r="M112" s="694"/>
      <c r="N112" s="694"/>
      <c r="O112" s="696"/>
    </row>
    <row r="113" spans="2:46" ht="14.85" customHeight="1">
      <c r="B113" s="697" t="s">
        <v>824</v>
      </c>
      <c r="F113" s="698">
        <v>2063</v>
      </c>
      <c r="G113" s="698">
        <v>2227</v>
      </c>
      <c r="H113" s="698">
        <v>2279</v>
      </c>
      <c r="I113" s="698">
        <v>3492</v>
      </c>
      <c r="J113" s="698">
        <v>6589</v>
      </c>
      <c r="K113" s="698">
        <v>10828</v>
      </c>
      <c r="O113" s="339"/>
    </row>
    <row r="114" spans="2:46" ht="14.85" customHeight="1">
      <c r="B114" s="697" t="s">
        <v>232</v>
      </c>
      <c r="F114" s="698">
        <v>2007</v>
      </c>
      <c r="G114" s="698">
        <v>1275</v>
      </c>
      <c r="H114" s="698">
        <v>1275</v>
      </c>
      <c r="I114" s="698">
        <v>1275</v>
      </c>
      <c r="J114" s="698">
        <v>1275</v>
      </c>
      <c r="K114" s="698">
        <v>1275</v>
      </c>
      <c r="O114" s="339"/>
    </row>
    <row r="115" spans="2:46" ht="14.85" customHeight="1">
      <c r="B115" s="697" t="s">
        <v>95</v>
      </c>
      <c r="F115" s="698">
        <v>0</v>
      </c>
      <c r="G115" s="698">
        <v>0</v>
      </c>
      <c r="H115" s="698">
        <v>0</v>
      </c>
      <c r="I115" s="698">
        <v>0</v>
      </c>
      <c r="J115" s="698"/>
      <c r="K115" s="698">
        <v>0</v>
      </c>
      <c r="O115" s="339"/>
    </row>
    <row r="116" spans="2:46" ht="14.85" customHeight="1">
      <c r="B116" s="697" t="s">
        <v>825</v>
      </c>
      <c r="F116" s="680">
        <f t="shared" ref="F116:K116" si="28">(F112-F113)-(F114-F115)</f>
        <v>-919</v>
      </c>
      <c r="G116" s="680">
        <f t="shared" si="28"/>
        <v>-132</v>
      </c>
      <c r="H116" s="680">
        <f t="shared" si="28"/>
        <v>324</v>
      </c>
      <c r="I116" s="680">
        <f t="shared" si="28"/>
        <v>1072</v>
      </c>
      <c r="J116" s="680">
        <f t="shared" si="28"/>
        <v>2230</v>
      </c>
      <c r="K116" s="680">
        <f t="shared" si="28"/>
        <v>3984</v>
      </c>
      <c r="O116" s="339"/>
    </row>
    <row r="117" spans="2:46" ht="14.85" customHeight="1">
      <c r="B117" s="699" t="s">
        <v>826</v>
      </c>
      <c r="C117" s="264"/>
      <c r="D117" s="264"/>
      <c r="E117" s="264"/>
      <c r="F117" s="264"/>
      <c r="G117" s="700">
        <f>G116-F116</f>
        <v>787</v>
      </c>
      <c r="H117" s="700">
        <f>H116-G116</f>
        <v>456</v>
      </c>
      <c r="I117" s="700">
        <f>I116-H116</f>
        <v>748</v>
      </c>
      <c r="J117" s="700">
        <f>J116-I116</f>
        <v>1158</v>
      </c>
      <c r="K117" s="700">
        <f>K116-J116</f>
        <v>1754</v>
      </c>
      <c r="L117" s="264"/>
      <c r="M117" s="264"/>
      <c r="N117" s="264"/>
      <c r="O117" s="701"/>
    </row>
    <row r="118" spans="2:46" ht="14.85" customHeight="1"/>
    <row r="119" spans="2:46" ht="14.85" customHeight="1">
      <c r="G119" s="702">
        <f>G117/G14</f>
        <v>9.0904890613810158E-2</v>
      </c>
      <c r="H119" s="702">
        <f>H117/H14</f>
        <v>2.3086737276980095E-2</v>
      </c>
      <c r="I119" s="702">
        <f>I117/I14</f>
        <v>2.1390007320644219E-2</v>
      </c>
      <c r="J119" s="702">
        <f>J117/J14</f>
        <v>2.1364178434799038E-2</v>
      </c>
      <c r="K119" s="702">
        <f>K117/K14</f>
        <v>2.3114217230839819E-2</v>
      </c>
    </row>
    <row r="120" spans="2:46" ht="14.85" customHeight="1">
      <c r="F120" s="351"/>
      <c r="G120" s="351"/>
      <c r="H120" s="351"/>
      <c r="I120" s="351"/>
      <c r="J120" s="351"/>
      <c r="K120" s="351"/>
    </row>
    <row r="121" spans="2:46" ht="14.85" customHeight="1">
      <c r="B121" s="703" t="s">
        <v>1714</v>
      </c>
      <c r="C121" s="704" t="s">
        <v>1715</v>
      </c>
      <c r="D121" s="704"/>
      <c r="F121" s="705" t="s">
        <v>782</v>
      </c>
      <c r="G121" s="706" t="s">
        <v>783</v>
      </c>
      <c r="H121" s="706" t="s">
        <v>784</v>
      </c>
      <c r="I121" s="706" t="s">
        <v>785</v>
      </c>
      <c r="J121" s="706" t="s">
        <v>786</v>
      </c>
      <c r="K121" s="706" t="s">
        <v>1716</v>
      </c>
      <c r="L121" s="706" t="s">
        <v>1717</v>
      </c>
      <c r="M121" s="706" t="s">
        <v>1718</v>
      </c>
      <c r="N121" s="706" t="s">
        <v>1719</v>
      </c>
      <c r="O121" s="706" t="s">
        <v>1719</v>
      </c>
      <c r="P121" s="706" t="s">
        <v>1720</v>
      </c>
      <c r="Q121" s="706" t="s">
        <v>1721</v>
      </c>
      <c r="R121" s="706" t="s">
        <v>1722</v>
      </c>
      <c r="S121" s="706" t="s">
        <v>1723</v>
      </c>
      <c r="T121" s="706" t="s">
        <v>1724</v>
      </c>
      <c r="U121" s="706" t="s">
        <v>1725</v>
      </c>
      <c r="V121" s="706" t="s">
        <v>1726</v>
      </c>
      <c r="W121" s="706" t="s">
        <v>1727</v>
      </c>
      <c r="X121" s="706" t="s">
        <v>1728</v>
      </c>
      <c r="Y121" s="706" t="s">
        <v>1729</v>
      </c>
      <c r="Z121" s="706" t="s">
        <v>1730</v>
      </c>
      <c r="AA121" s="706" t="s">
        <v>1731</v>
      </c>
      <c r="AB121" s="706" t="s">
        <v>1732</v>
      </c>
      <c r="AC121" s="706" t="s">
        <v>1733</v>
      </c>
      <c r="AD121" s="706" t="s">
        <v>1734</v>
      </c>
      <c r="AE121" s="706" t="s">
        <v>1735</v>
      </c>
      <c r="AF121" s="706" t="s">
        <v>1736</v>
      </c>
      <c r="AG121" s="706" t="s">
        <v>1737</v>
      </c>
      <c r="AH121" s="706" t="s">
        <v>1738</v>
      </c>
      <c r="AI121" s="706" t="s">
        <v>1739</v>
      </c>
      <c r="AJ121" s="706" t="s">
        <v>1740</v>
      </c>
      <c r="AK121" s="706" t="s">
        <v>1741</v>
      </c>
      <c r="AL121" s="706" t="s">
        <v>1742</v>
      </c>
      <c r="AM121" s="706" t="s">
        <v>1743</v>
      </c>
      <c r="AN121" s="706" t="s">
        <v>1744</v>
      </c>
      <c r="AO121" s="706" t="s">
        <v>1745</v>
      </c>
      <c r="AP121" s="706" t="s">
        <v>1746</v>
      </c>
      <c r="AQ121" s="706" t="s">
        <v>1747</v>
      </c>
      <c r="AR121" s="706" t="s">
        <v>1748</v>
      </c>
      <c r="AS121" s="706" t="s">
        <v>1749</v>
      </c>
      <c r="AT121" s="707" t="s">
        <v>1750</v>
      </c>
    </row>
    <row r="122" spans="2:46" ht="14.85" customHeight="1">
      <c r="B122" s="708" t="s">
        <v>1751</v>
      </c>
      <c r="C122" s="704" t="s">
        <v>1752</v>
      </c>
      <c r="D122" s="704"/>
      <c r="F122" s="709">
        <v>3.7499999999999999E-2</v>
      </c>
      <c r="G122" s="710">
        <v>7.2190000000000004E-2</v>
      </c>
      <c r="H122" s="710">
        <v>6.6769999999999996E-2</v>
      </c>
      <c r="I122" s="710">
        <v>6.1769999999999999E-2</v>
      </c>
      <c r="J122" s="710">
        <v>5.713E-2</v>
      </c>
      <c r="K122" s="710">
        <v>5.2850000000000001E-2</v>
      </c>
      <c r="L122" s="710">
        <v>4.888E-2</v>
      </c>
      <c r="M122" s="710">
        <v>4.5220000000000003E-2</v>
      </c>
      <c r="N122" s="710">
        <v>4.462E-2</v>
      </c>
      <c r="O122" s="710">
        <v>4.462E-2</v>
      </c>
      <c r="P122" s="710">
        <v>4.4609999999999997E-2</v>
      </c>
      <c r="Q122" s="710">
        <v>4.462E-2</v>
      </c>
      <c r="R122" s="710">
        <v>4.4609999999999997E-2</v>
      </c>
      <c r="S122" s="710">
        <v>4.462E-2</v>
      </c>
      <c r="T122" s="710">
        <v>4.4609999999999997E-2</v>
      </c>
      <c r="U122" s="710">
        <v>4.462E-2</v>
      </c>
      <c r="V122" s="710">
        <v>4.4609999999999997E-2</v>
      </c>
      <c r="W122" s="710">
        <v>4.462E-2</v>
      </c>
      <c r="X122" s="710">
        <v>4.4609999999999997E-2</v>
      </c>
      <c r="Y122" s="710">
        <v>4.462E-2</v>
      </c>
      <c r="Z122" s="710">
        <v>4.4609999999999997E-2</v>
      </c>
      <c r="AA122" s="710">
        <v>2.231E-2</v>
      </c>
      <c r="AB122" s="710"/>
      <c r="AC122" s="710"/>
      <c r="AD122" s="710"/>
      <c r="AE122" s="710"/>
      <c r="AF122" s="710"/>
      <c r="AG122" s="710"/>
      <c r="AH122" s="710"/>
      <c r="AI122" s="710"/>
      <c r="AJ122" s="710"/>
      <c r="AK122" s="710"/>
      <c r="AL122" s="711"/>
      <c r="AM122" s="711"/>
      <c r="AN122" s="711"/>
      <c r="AO122" s="711"/>
      <c r="AP122" s="711"/>
      <c r="AQ122" s="711"/>
      <c r="AR122" s="711"/>
      <c r="AS122" s="711"/>
      <c r="AT122" s="712"/>
    </row>
    <row r="123" spans="2:46" ht="14.85" customHeight="1">
      <c r="B123" s="713" t="s">
        <v>1753</v>
      </c>
      <c r="C123" s="704" t="s">
        <v>1754</v>
      </c>
      <c r="D123" s="704"/>
      <c r="F123" s="714">
        <v>1.2999999999999999E-2</v>
      </c>
      <c r="G123" s="715">
        <v>2.564E-2</v>
      </c>
      <c r="H123" s="715">
        <v>2.564E-2</v>
      </c>
      <c r="I123" s="715">
        <v>2.564E-2</v>
      </c>
      <c r="J123" s="715">
        <v>2.564E-2</v>
      </c>
      <c r="K123" s="715">
        <v>2.564E-2</v>
      </c>
      <c r="L123" s="715">
        <v>2.564E-2</v>
      </c>
      <c r="M123" s="715">
        <v>2.564E-2</v>
      </c>
      <c r="N123" s="715">
        <v>2.564E-2</v>
      </c>
      <c r="O123" s="715">
        <v>2.564E-2</v>
      </c>
      <c r="P123" s="715">
        <v>2.564E-2</v>
      </c>
      <c r="Q123" s="715">
        <v>2.564E-2</v>
      </c>
      <c r="R123" s="715">
        <v>2.564E-2</v>
      </c>
      <c r="S123" s="715">
        <v>2.564E-2</v>
      </c>
      <c r="T123" s="715">
        <v>2.564E-2</v>
      </c>
      <c r="U123" s="715">
        <v>2.564E-2</v>
      </c>
      <c r="V123" s="715">
        <v>2.564E-2</v>
      </c>
      <c r="W123" s="715">
        <v>2.564E-2</v>
      </c>
      <c r="X123" s="715">
        <v>2.564E-2</v>
      </c>
      <c r="Y123" s="715">
        <v>2.564E-2</v>
      </c>
      <c r="Z123" s="715">
        <v>2.564E-2</v>
      </c>
      <c r="AA123" s="715">
        <v>2.564E-2</v>
      </c>
      <c r="AB123" s="715">
        <v>2.564E-2</v>
      </c>
      <c r="AC123" s="715">
        <v>2.564E-2</v>
      </c>
      <c r="AD123" s="715">
        <v>2.564E-2</v>
      </c>
      <c r="AE123" s="715">
        <v>2.564E-2</v>
      </c>
      <c r="AF123" s="715">
        <v>2.564E-2</v>
      </c>
      <c r="AG123" s="715">
        <v>2.564E-2</v>
      </c>
      <c r="AH123" s="715">
        <v>2.564E-2</v>
      </c>
      <c r="AI123" s="715">
        <v>2.564E-2</v>
      </c>
      <c r="AJ123" s="715">
        <v>2.564E-2</v>
      </c>
      <c r="AK123" s="715">
        <v>2.564E-2</v>
      </c>
      <c r="AL123" s="715">
        <v>2.564E-2</v>
      </c>
      <c r="AM123" s="715">
        <v>2.564E-2</v>
      </c>
      <c r="AN123" s="715">
        <v>2.564E-2</v>
      </c>
      <c r="AO123" s="715">
        <v>2.564E-2</v>
      </c>
      <c r="AP123" s="715">
        <v>2.564E-2</v>
      </c>
      <c r="AQ123" s="715">
        <v>2.564E-2</v>
      </c>
      <c r="AR123" s="715">
        <v>2.564E-2</v>
      </c>
      <c r="AS123" s="715">
        <v>2.564E-2</v>
      </c>
      <c r="AT123" s="716">
        <v>2.564E-2</v>
      </c>
    </row>
    <row r="124" spans="2:46" ht="14.85" customHeight="1">
      <c r="B124" s="713" t="s">
        <v>1755</v>
      </c>
      <c r="C124" s="704" t="s">
        <v>1752</v>
      </c>
      <c r="D124" s="704"/>
      <c r="F124" s="714">
        <v>0.05</v>
      </c>
      <c r="G124" s="715">
        <v>9.5000000000000001E-2</v>
      </c>
      <c r="H124" s="715">
        <v>8.5500000000000007E-2</v>
      </c>
      <c r="I124" s="715">
        <v>7.6999999999999999E-2</v>
      </c>
      <c r="J124" s="715">
        <v>6.93E-2</v>
      </c>
      <c r="K124" s="715">
        <v>6.2300000000000008E-2</v>
      </c>
      <c r="L124" s="715">
        <v>5.9000000000000004E-2</v>
      </c>
      <c r="M124" s="715">
        <v>5.9000000000000004E-2</v>
      </c>
      <c r="N124" s="715">
        <v>5.91E-2</v>
      </c>
      <c r="O124" s="715">
        <v>5.91E-2</v>
      </c>
      <c r="P124" s="715">
        <v>5.9000000000000004E-2</v>
      </c>
      <c r="Q124" s="715">
        <v>5.91E-2</v>
      </c>
      <c r="R124" s="715">
        <v>5.9000000000000004E-2</v>
      </c>
      <c r="S124" s="715">
        <v>5.91E-2</v>
      </c>
      <c r="T124" s="715">
        <v>5.9000000000000004E-2</v>
      </c>
      <c r="U124" s="715">
        <v>5.91E-2</v>
      </c>
      <c r="V124" s="715">
        <v>2.9500000000000002E-2</v>
      </c>
      <c r="W124" s="715">
        <v>0</v>
      </c>
      <c r="X124" s="715">
        <v>0</v>
      </c>
      <c r="Y124" s="715">
        <v>0</v>
      </c>
      <c r="Z124" s="715">
        <v>0</v>
      </c>
      <c r="AA124" s="715">
        <v>0</v>
      </c>
      <c r="AB124" s="715"/>
      <c r="AC124" s="715"/>
      <c r="AD124" s="715"/>
      <c r="AE124" s="715"/>
      <c r="AF124" s="715"/>
      <c r="AG124" s="715"/>
      <c r="AH124" s="715"/>
      <c r="AI124" s="715"/>
      <c r="AJ124" s="715"/>
      <c r="AK124" s="715"/>
      <c r="AL124" s="704"/>
      <c r="AM124" s="704"/>
      <c r="AN124" s="704"/>
      <c r="AO124" s="704"/>
      <c r="AP124" s="704"/>
      <c r="AQ124" s="704"/>
      <c r="AR124" s="704"/>
      <c r="AS124" s="704"/>
      <c r="AT124" s="717"/>
    </row>
    <row r="125" spans="2:46" ht="14.85" customHeight="1">
      <c r="B125" s="713" t="s">
        <v>1756</v>
      </c>
      <c r="C125" s="704" t="s">
        <v>1752</v>
      </c>
      <c r="D125" s="704"/>
      <c r="F125" s="714">
        <v>0.1</v>
      </c>
      <c r="G125" s="715">
        <v>0.18</v>
      </c>
      <c r="H125" s="715">
        <v>0.14399999999999999</v>
      </c>
      <c r="I125" s="715">
        <v>0.1152</v>
      </c>
      <c r="J125" s="715">
        <v>9.2200000000000004E-2</v>
      </c>
      <c r="K125" s="715">
        <v>7.3700000000000002E-2</v>
      </c>
      <c r="L125" s="715">
        <v>6.5500000000000003E-2</v>
      </c>
      <c r="M125" s="715">
        <v>6.5500000000000003E-2</v>
      </c>
      <c r="N125" s="715">
        <v>6.5600000000000006E-2</v>
      </c>
      <c r="O125" s="715">
        <v>6.5600000000000006E-2</v>
      </c>
      <c r="P125" s="715">
        <v>6.5500000000000003E-2</v>
      </c>
      <c r="Q125" s="715">
        <v>3.2800000000000003E-2</v>
      </c>
      <c r="R125" s="715"/>
      <c r="S125" s="715"/>
      <c r="T125" s="715"/>
      <c r="U125" s="715"/>
      <c r="V125" s="715"/>
      <c r="W125" s="715"/>
      <c r="X125" s="715"/>
      <c r="Y125" s="715"/>
      <c r="Z125" s="715"/>
      <c r="AA125" s="715"/>
      <c r="AB125" s="715"/>
      <c r="AC125" s="715"/>
      <c r="AD125" s="715"/>
      <c r="AE125" s="715"/>
      <c r="AF125" s="715"/>
      <c r="AG125" s="715"/>
      <c r="AH125" s="715"/>
      <c r="AI125" s="715"/>
      <c r="AJ125" s="715"/>
      <c r="AK125" s="715"/>
      <c r="AL125" s="704"/>
      <c r="AM125" s="704"/>
      <c r="AN125" s="704"/>
      <c r="AO125" s="704"/>
      <c r="AP125" s="704"/>
      <c r="AQ125" s="704"/>
      <c r="AR125" s="704"/>
      <c r="AS125" s="704"/>
      <c r="AT125" s="717"/>
    </row>
    <row r="126" spans="2:46" ht="14.85" customHeight="1">
      <c r="B126" s="713" t="s">
        <v>1757</v>
      </c>
      <c r="C126" s="704" t="s">
        <v>1752</v>
      </c>
      <c r="D126" s="704"/>
      <c r="F126" s="714">
        <v>0.1429</v>
      </c>
      <c r="G126" s="715">
        <v>0.24489999999999998</v>
      </c>
      <c r="H126" s="715">
        <v>0.17489999999999997</v>
      </c>
      <c r="I126" s="715">
        <v>0.1249</v>
      </c>
      <c r="J126" s="715">
        <v>8.929999999999999E-2</v>
      </c>
      <c r="K126" s="715">
        <v>8.9200000000000002E-2</v>
      </c>
      <c r="L126" s="715">
        <v>8.929999999999999E-2</v>
      </c>
      <c r="M126" s="715">
        <v>4.4600000000000001E-2</v>
      </c>
      <c r="N126" s="715">
        <v>0</v>
      </c>
      <c r="O126" s="715">
        <v>0</v>
      </c>
      <c r="P126" s="715">
        <v>0</v>
      </c>
      <c r="Q126" s="715">
        <v>0</v>
      </c>
      <c r="R126" s="715">
        <v>0</v>
      </c>
      <c r="S126" s="715">
        <v>0</v>
      </c>
      <c r="T126" s="715">
        <v>0</v>
      </c>
      <c r="U126" s="715">
        <v>0</v>
      </c>
      <c r="V126" s="715">
        <v>0</v>
      </c>
      <c r="W126" s="715">
        <v>0</v>
      </c>
      <c r="X126" s="715">
        <v>0</v>
      </c>
      <c r="Y126" s="715">
        <v>0</v>
      </c>
      <c r="Z126" s="715">
        <v>0</v>
      </c>
      <c r="AA126" s="715">
        <v>0</v>
      </c>
      <c r="AB126" s="715"/>
      <c r="AC126" s="715"/>
      <c r="AD126" s="715"/>
      <c r="AE126" s="715"/>
      <c r="AF126" s="715"/>
      <c r="AG126" s="715"/>
      <c r="AH126" s="715"/>
      <c r="AI126" s="715"/>
      <c r="AJ126" s="715"/>
      <c r="AK126" s="715"/>
      <c r="AL126" s="704"/>
      <c r="AM126" s="704"/>
      <c r="AN126" s="704"/>
      <c r="AO126" s="704"/>
      <c r="AP126" s="704"/>
      <c r="AQ126" s="704"/>
      <c r="AR126" s="704"/>
      <c r="AS126" s="704"/>
      <c r="AT126" s="717"/>
    </row>
    <row r="127" spans="2:46" ht="14.85" customHeight="1">
      <c r="B127" s="713" t="s">
        <v>1758</v>
      </c>
      <c r="C127" s="704" t="s">
        <v>1752</v>
      </c>
      <c r="D127" s="704"/>
      <c r="F127" s="714">
        <v>0.2</v>
      </c>
      <c r="G127" s="715">
        <v>0.32</v>
      </c>
      <c r="H127" s="715">
        <v>0.192</v>
      </c>
      <c r="I127" s="715">
        <v>0.1152</v>
      </c>
      <c r="J127" s="715">
        <v>0.1152</v>
      </c>
      <c r="K127" s="715">
        <v>5.7599999999999998E-2</v>
      </c>
      <c r="L127" s="715">
        <v>0</v>
      </c>
      <c r="M127" s="715">
        <v>0</v>
      </c>
      <c r="N127" s="715">
        <v>0</v>
      </c>
      <c r="O127" s="715">
        <v>0</v>
      </c>
      <c r="P127" s="715">
        <v>0</v>
      </c>
      <c r="Q127" s="715">
        <v>0</v>
      </c>
      <c r="R127" s="715">
        <v>0</v>
      </c>
      <c r="S127" s="715">
        <v>0</v>
      </c>
      <c r="T127" s="715">
        <v>0</v>
      </c>
      <c r="U127" s="715">
        <v>0</v>
      </c>
      <c r="V127" s="715">
        <v>0</v>
      </c>
      <c r="W127" s="715">
        <v>0</v>
      </c>
      <c r="X127" s="715">
        <v>0</v>
      </c>
      <c r="Y127" s="715">
        <v>0</v>
      </c>
      <c r="Z127" s="715">
        <v>0</v>
      </c>
      <c r="AA127" s="715">
        <v>0</v>
      </c>
      <c r="AB127" s="715"/>
      <c r="AC127" s="715"/>
      <c r="AD127" s="715"/>
      <c r="AE127" s="715"/>
      <c r="AF127" s="715"/>
      <c r="AG127" s="715"/>
      <c r="AH127" s="715"/>
      <c r="AI127" s="715"/>
      <c r="AJ127" s="715"/>
      <c r="AK127" s="715"/>
      <c r="AL127" s="704"/>
      <c r="AM127" s="704"/>
      <c r="AN127" s="704"/>
      <c r="AO127" s="704"/>
      <c r="AP127" s="704"/>
      <c r="AQ127" s="704"/>
      <c r="AR127" s="704"/>
      <c r="AS127" s="704"/>
      <c r="AT127" s="717"/>
    </row>
    <row r="128" spans="2:46" ht="14.85" customHeight="1">
      <c r="B128" s="718" t="s">
        <v>1759</v>
      </c>
      <c r="C128" s="704" t="s">
        <v>1752</v>
      </c>
      <c r="D128" s="704"/>
      <c r="F128" s="719">
        <v>0.33329999999999999</v>
      </c>
      <c r="G128" s="720">
        <v>0.44450000000000001</v>
      </c>
      <c r="H128" s="720">
        <v>0.14810000000000001</v>
      </c>
      <c r="I128" s="720">
        <v>7.4099999999999999E-2</v>
      </c>
      <c r="J128" s="721"/>
      <c r="K128" s="720"/>
      <c r="L128" s="721"/>
      <c r="M128" s="720"/>
      <c r="N128" s="720"/>
      <c r="O128" s="720"/>
      <c r="P128" s="720"/>
      <c r="Q128" s="720"/>
      <c r="R128" s="720"/>
      <c r="S128" s="720"/>
      <c r="T128" s="720"/>
      <c r="U128" s="720"/>
      <c r="V128" s="720"/>
      <c r="W128" s="720"/>
      <c r="X128" s="720"/>
      <c r="Y128" s="720"/>
      <c r="Z128" s="720"/>
      <c r="AA128" s="720"/>
      <c r="AB128" s="720"/>
      <c r="AC128" s="720"/>
      <c r="AD128" s="720"/>
      <c r="AE128" s="720"/>
      <c r="AF128" s="720"/>
      <c r="AG128" s="720"/>
      <c r="AH128" s="720"/>
      <c r="AI128" s="720"/>
      <c r="AJ128" s="720"/>
      <c r="AK128" s="720"/>
      <c r="AL128" s="722"/>
      <c r="AM128" s="722"/>
      <c r="AN128" s="722"/>
      <c r="AO128" s="722"/>
      <c r="AP128" s="722"/>
      <c r="AQ128" s="722"/>
      <c r="AR128" s="722"/>
      <c r="AS128" s="722"/>
      <c r="AT128" s="723"/>
    </row>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H68:H72"/>
  </mergeCells>
  <conditionalFormatting sqref="O4">
    <cfRule type="cellIs" dxfId="106" priority="6" stopIfTrue="1" operator="equal">
      <formula>"input"</formula>
    </cfRule>
  </conditionalFormatting>
  <conditionalFormatting sqref="O4">
    <cfRule type="cellIs" dxfId="105" priority="5" stopIfTrue="1" operator="equal">
      <formula>"input"</formula>
    </cfRule>
  </conditionalFormatting>
  <conditionalFormatting sqref="B4:N4">
    <cfRule type="cellIs" dxfId="104" priority="9" stopIfTrue="1" operator="equal">
      <formula>"input"</formula>
    </cfRule>
  </conditionalFormatting>
  <dataValidations disablePrompts="1" count="1">
    <dataValidation type="list" allowBlank="1" showInputMessage="1" showErrorMessage="1" sqref="B93" xr:uid="{00000000-0002-0000-4400-000000000000}">
      <formula1>$S$93:$S$95</formula1>
    </dataValidation>
  </dataValidations>
  <pageMargins left="0.5" right="0.5" top="0.5" bottom="0.5" header="0.5" footer="0.5"/>
  <pageSetup scale="65" fitToWidth="0" fitToHeight="0" orientation="landscape" r:id="rId1"/>
  <rowBreaks count="1" manualBreakCount="1">
    <brk id="49" max="15" man="1"/>
  </rowBreaks>
  <legacyDrawing r:id="rId2"/>
  <legacyDrawingHF r:id="rId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1"/>
  <dimension ref="A1:BV764"/>
  <sheetViews>
    <sheetView showGridLines="0" view="pageBreakPreview" zoomScale="80" zoomScaleNormal="100" zoomScaleSheetLayoutView="80" workbookViewId="0">
      <selection activeCell="E8" sqref="E8"/>
    </sheetView>
  </sheetViews>
  <sheetFormatPr defaultColWidth="14.6640625" defaultRowHeight="12.75" outlineLevelRow="1" outlineLevelCol="1"/>
  <cols>
    <col min="1" max="2" width="3.5" style="728" customWidth="1"/>
    <col min="3" max="3" width="28.1640625" style="728" customWidth="1"/>
    <col min="4" max="4" width="15.5" style="728" customWidth="1"/>
    <col min="5" max="5" width="3.5" style="728" customWidth="1"/>
    <col min="6" max="10" width="12.83203125" style="728" customWidth="1"/>
    <col min="11" max="11" width="13" style="728" customWidth="1"/>
    <col min="12" max="12" width="13.83203125" style="728" customWidth="1"/>
    <col min="13" max="14" width="14.33203125" style="728" customWidth="1"/>
    <col min="15" max="15" width="15" style="728" customWidth="1"/>
    <col min="16" max="16" width="15.6640625" style="728" hidden="1" customWidth="1" outlineLevel="1"/>
    <col min="17" max="17" width="3.33203125" style="728" customWidth="1" collapsed="1"/>
    <col min="18" max="20" width="25.83203125" style="728" bestFit="1" customWidth="1"/>
    <col min="21" max="16384" width="14.6640625" style="728"/>
  </cols>
  <sheetData>
    <row r="1" spans="2:74" s="179" customFormat="1" ht="10.5" customHeight="1" thickBot="1"/>
    <row r="2" spans="2:74" s="179" customFormat="1" ht="16.5" customHeight="1" thickTop="1">
      <c r="B2" s="187" t="str">
        <f>'MASTER PubCo Inputs'!$C$5</f>
        <v>Decibel Therapeutics, Inc.</v>
      </c>
      <c r="C2" s="187"/>
      <c r="D2" s="187"/>
      <c r="E2" s="187"/>
      <c r="F2" s="187"/>
      <c r="G2" s="187"/>
      <c r="H2" s="187"/>
      <c r="I2" s="187"/>
      <c r="J2" s="187"/>
      <c r="K2" s="187"/>
      <c r="L2" s="187"/>
      <c r="M2" s="187"/>
      <c r="N2" s="187"/>
      <c r="O2" s="187"/>
      <c r="P2" s="233"/>
      <c r="T2" s="324"/>
    </row>
    <row r="3" spans="2:74" s="179" customFormat="1" ht="15.75" customHeight="1">
      <c r="B3" s="188" t="e">
        <f>VLOOKUP(B4,Outline!$E$8:$G$75,COLUMNS(Outline!$E$8:$G$8),FALSE)</f>
        <v>#N/A</v>
      </c>
      <c r="C3" s="188"/>
      <c r="D3" s="188"/>
      <c r="E3" s="188"/>
      <c r="F3" s="188"/>
      <c r="G3" s="188"/>
      <c r="H3" s="188"/>
      <c r="I3" s="188"/>
      <c r="J3" s="188"/>
      <c r="K3" s="188"/>
      <c r="L3" s="188"/>
      <c r="M3" s="188"/>
      <c r="N3" s="188"/>
      <c r="O3" s="188"/>
      <c r="P3" s="240"/>
    </row>
    <row r="4" spans="2:74" s="179" customFormat="1" ht="16.5" customHeight="1" thickBot="1">
      <c r="B4" s="726" t="s">
        <v>1775</v>
      </c>
      <c r="C4" s="726"/>
      <c r="D4" s="726"/>
      <c r="E4" s="726"/>
      <c r="F4" s="726"/>
      <c r="G4" s="726"/>
      <c r="H4" s="726"/>
      <c r="I4" s="726"/>
      <c r="J4" s="726"/>
      <c r="K4" s="726"/>
      <c r="L4" s="726"/>
      <c r="M4" s="726"/>
      <c r="N4" s="727"/>
      <c r="O4" s="727" t="str">
        <f>+'MASTER PubCo Inputs'!$C$21</f>
        <v>(in thousands of USD)</v>
      </c>
    </row>
    <row r="5" spans="2:74" ht="14.85" customHeight="1" thickTop="1"/>
    <row r="6" spans="2:74" s="179" customFormat="1" ht="14.85" customHeight="1">
      <c r="F6" s="729" t="s">
        <v>161</v>
      </c>
      <c r="G6" s="730"/>
      <c r="H6" s="730"/>
      <c r="I6" s="730"/>
      <c r="J6" s="730"/>
      <c r="K6" s="730"/>
      <c r="L6" s="730"/>
      <c r="M6" s="730"/>
      <c r="N6" s="731"/>
      <c r="O6" s="731"/>
      <c r="P6" s="731"/>
    </row>
    <row r="7" spans="2:74" s="179" customFormat="1" ht="14.85" customHeight="1">
      <c r="F7" s="732" t="s">
        <v>160</v>
      </c>
      <c r="G7" s="733"/>
      <c r="H7" s="733"/>
      <c r="I7" s="733"/>
      <c r="J7" s="733"/>
      <c r="K7" s="733"/>
      <c r="L7" s="733"/>
      <c r="M7" s="733"/>
      <c r="N7" s="734"/>
      <c r="O7" s="734"/>
      <c r="P7" s="734"/>
    </row>
    <row r="8" spans="2:74" ht="14.85" customHeight="1">
      <c r="B8" s="179"/>
      <c r="C8" s="179"/>
      <c r="D8" s="179"/>
      <c r="E8" s="179"/>
      <c r="F8" s="735">
        <f>DCF!F9</f>
        <v>2018</v>
      </c>
      <c r="G8" s="736">
        <f>F8+1</f>
        <v>2019</v>
      </c>
      <c r="H8" s="736">
        <f t="shared" ref="H8:P8" si="0">G8+1</f>
        <v>2020</v>
      </c>
      <c r="I8" s="736">
        <f t="shared" si="0"/>
        <v>2021</v>
      </c>
      <c r="J8" s="736">
        <f t="shared" si="0"/>
        <v>2022</v>
      </c>
      <c r="K8" s="736">
        <f t="shared" si="0"/>
        <v>2023</v>
      </c>
      <c r="L8" s="736">
        <f t="shared" si="0"/>
        <v>2024</v>
      </c>
      <c r="M8" s="736">
        <f t="shared" si="0"/>
        <v>2025</v>
      </c>
      <c r="N8" s="736">
        <f t="shared" si="0"/>
        <v>2026</v>
      </c>
      <c r="O8" s="737">
        <f t="shared" si="0"/>
        <v>2027</v>
      </c>
      <c r="P8" s="737">
        <f t="shared" si="0"/>
        <v>2028</v>
      </c>
      <c r="Q8" s="738"/>
    </row>
    <row r="9" spans="2:74" ht="14.85" customHeight="1">
      <c r="B9" s="739"/>
      <c r="C9" s="739"/>
      <c r="D9" s="740"/>
      <c r="E9" s="740"/>
      <c r="F9" s="741"/>
      <c r="G9" s="742"/>
      <c r="H9" s="742"/>
      <c r="I9" s="742"/>
      <c r="J9" s="743"/>
      <c r="K9" s="743"/>
      <c r="L9" s="743"/>
      <c r="M9" s="743"/>
      <c r="N9" s="743"/>
      <c r="O9" s="743"/>
      <c r="P9" s="743"/>
      <c r="Q9" s="740"/>
      <c r="R9" s="740"/>
      <c r="S9" s="740"/>
      <c r="T9" s="740"/>
      <c r="U9" s="740"/>
      <c r="V9" s="740"/>
      <c r="W9" s="740"/>
      <c r="X9" s="740"/>
      <c r="Y9" s="740"/>
      <c r="Z9" s="740"/>
      <c r="AA9" s="740"/>
      <c r="AB9" s="740"/>
      <c r="AC9" s="740"/>
      <c r="AD9" s="740"/>
      <c r="AE9" s="740"/>
      <c r="AF9" s="740"/>
      <c r="AG9" s="740"/>
      <c r="AH9" s="740"/>
      <c r="AI9" s="740"/>
      <c r="AJ9" s="740"/>
      <c r="AK9" s="740"/>
      <c r="AL9" s="740"/>
      <c r="AM9" s="740"/>
      <c r="AN9" s="740"/>
      <c r="AO9" s="740"/>
      <c r="AP9" s="740"/>
      <c r="AQ9" s="740"/>
      <c r="AR9" s="740"/>
      <c r="AS9" s="740"/>
      <c r="AT9" s="740"/>
      <c r="AU9" s="740"/>
      <c r="AV9" s="740"/>
      <c r="AW9" s="740"/>
      <c r="AX9" s="740"/>
      <c r="AY9" s="740"/>
      <c r="AZ9" s="740"/>
      <c r="BA9" s="740"/>
      <c r="BB9" s="740"/>
      <c r="BC9" s="740"/>
      <c r="BD9" s="740"/>
      <c r="BE9" s="740"/>
      <c r="BF9" s="740"/>
      <c r="BG9" s="740"/>
      <c r="BH9" s="740"/>
      <c r="BI9" s="740"/>
      <c r="BJ9" s="740"/>
      <c r="BK9" s="740"/>
      <c r="BL9" s="740"/>
      <c r="BM9" s="740"/>
      <c r="BN9" s="740"/>
      <c r="BO9" s="740"/>
      <c r="BP9" s="740"/>
      <c r="BQ9" s="740"/>
      <c r="BR9" s="740"/>
      <c r="BS9" s="740"/>
      <c r="BT9" s="740"/>
      <c r="BU9" s="740"/>
      <c r="BV9" s="740"/>
    </row>
    <row r="10" spans="2:74" ht="14.85" customHeight="1">
      <c r="B10" s="744" t="s">
        <v>1760</v>
      </c>
      <c r="C10" s="745"/>
      <c r="D10" s="746" t="s">
        <v>396</v>
      </c>
      <c r="E10" s="747"/>
      <c r="F10" s="748">
        <v>1</v>
      </c>
      <c r="G10" s="749">
        <f>+F10+1</f>
        <v>2</v>
      </c>
      <c r="H10" s="749">
        <f t="shared" ref="H10:P10" si="1">+G10+1</f>
        <v>3</v>
      </c>
      <c r="I10" s="749">
        <f t="shared" si="1"/>
        <v>4</v>
      </c>
      <c r="J10" s="749">
        <f t="shared" si="1"/>
        <v>5</v>
      </c>
      <c r="K10" s="749">
        <f t="shared" si="1"/>
        <v>6</v>
      </c>
      <c r="L10" s="749">
        <f t="shared" si="1"/>
        <v>7</v>
      </c>
      <c r="M10" s="749">
        <f t="shared" si="1"/>
        <v>8</v>
      </c>
      <c r="N10" s="749">
        <f t="shared" si="1"/>
        <v>9</v>
      </c>
      <c r="O10" s="750">
        <f t="shared" si="1"/>
        <v>10</v>
      </c>
      <c r="P10" s="750">
        <f t="shared" si="1"/>
        <v>11</v>
      </c>
      <c r="Q10" s="751"/>
      <c r="R10" s="740"/>
      <c r="S10" s="740"/>
      <c r="T10" s="740"/>
      <c r="U10" s="740"/>
      <c r="V10" s="740"/>
      <c r="W10" s="740"/>
      <c r="X10" s="740"/>
      <c r="Y10" s="740"/>
      <c r="Z10" s="740"/>
      <c r="AA10" s="740"/>
      <c r="AB10" s="740"/>
      <c r="AC10" s="740"/>
      <c r="AD10" s="740"/>
      <c r="AE10" s="740"/>
      <c r="AF10" s="740"/>
      <c r="AG10" s="740"/>
      <c r="AH10" s="740"/>
      <c r="AI10" s="740"/>
      <c r="AJ10" s="740"/>
      <c r="AK10" s="740"/>
      <c r="AL10" s="740"/>
      <c r="AM10" s="740"/>
      <c r="AN10" s="740"/>
      <c r="AO10" s="740"/>
      <c r="AP10" s="740"/>
      <c r="AQ10" s="740"/>
      <c r="AR10" s="740"/>
      <c r="AS10" s="740"/>
      <c r="AT10" s="740"/>
      <c r="AU10" s="740"/>
      <c r="AV10" s="740"/>
      <c r="AW10" s="740"/>
      <c r="AX10" s="740"/>
      <c r="AY10" s="740"/>
      <c r="AZ10" s="740"/>
      <c r="BA10" s="740"/>
      <c r="BB10" s="740"/>
      <c r="BC10" s="740"/>
      <c r="BD10" s="740"/>
      <c r="BE10" s="740"/>
      <c r="BF10" s="740"/>
      <c r="BG10" s="740"/>
      <c r="BH10" s="740"/>
      <c r="BI10" s="740"/>
      <c r="BJ10" s="740"/>
      <c r="BK10" s="740"/>
      <c r="BL10" s="740"/>
      <c r="BM10" s="740"/>
      <c r="BN10" s="740"/>
      <c r="BO10" s="740"/>
      <c r="BP10" s="740"/>
      <c r="BQ10" s="740"/>
      <c r="BR10" s="740"/>
      <c r="BS10" s="740"/>
      <c r="BT10" s="740"/>
      <c r="BU10" s="740"/>
      <c r="BV10" s="740"/>
    </row>
    <row r="11" spans="2:74" ht="14.85" customHeight="1">
      <c r="C11" s="752" t="s">
        <v>1759</v>
      </c>
      <c r="D11" s="753">
        <f>+D21</f>
        <v>0.75</v>
      </c>
      <c r="E11" s="739"/>
      <c r="F11" s="754">
        <f t="shared" ref="F11:P12" ca="1" si="2">OFFSET(F$50,MATCH($C11,$C$51:$C$62,),)</f>
        <v>0.33329999999999999</v>
      </c>
      <c r="G11" s="755">
        <f t="shared" ca="1" si="2"/>
        <v>0.44450000000000001</v>
      </c>
      <c r="H11" s="755">
        <f t="shared" ca="1" si="2"/>
        <v>0.14810000000000001</v>
      </c>
      <c r="I11" s="755">
        <f t="shared" ca="1" si="2"/>
        <v>7.4099999999999999E-2</v>
      </c>
      <c r="J11" s="755">
        <f t="shared" ca="1" si="2"/>
        <v>0</v>
      </c>
      <c r="K11" s="755">
        <f t="shared" ca="1" si="2"/>
        <v>0</v>
      </c>
      <c r="L11" s="755">
        <f t="shared" ca="1" si="2"/>
        <v>0</v>
      </c>
      <c r="M11" s="755">
        <f t="shared" ca="1" si="2"/>
        <v>0</v>
      </c>
      <c r="N11" s="755">
        <f t="shared" ca="1" si="2"/>
        <v>0</v>
      </c>
      <c r="O11" s="756">
        <f t="shared" ca="1" si="2"/>
        <v>0</v>
      </c>
      <c r="P11" s="757">
        <f t="shared" ca="1" si="2"/>
        <v>0</v>
      </c>
      <c r="Q11" s="758"/>
      <c r="R11" s="740"/>
      <c r="S11" s="759"/>
      <c r="T11" s="740"/>
      <c r="U11" s="740"/>
      <c r="V11" s="740"/>
      <c r="W11" s="740"/>
      <c r="X11" s="740"/>
      <c r="Y11" s="740"/>
      <c r="Z11" s="740"/>
      <c r="AA11" s="740"/>
      <c r="AB11" s="740"/>
      <c r="AC11" s="740"/>
      <c r="AD11" s="740"/>
      <c r="AE11" s="740"/>
      <c r="AF11" s="740"/>
      <c r="AG11" s="740"/>
      <c r="AH11" s="740"/>
      <c r="AI11" s="740"/>
      <c r="AJ11" s="740"/>
      <c r="AK11" s="740"/>
      <c r="AL11" s="740"/>
      <c r="AM11" s="740"/>
      <c r="AN11" s="740"/>
      <c r="AO11" s="740"/>
      <c r="AP11" s="740"/>
      <c r="AQ11" s="740"/>
      <c r="AR11" s="740"/>
      <c r="AS11" s="740"/>
      <c r="AT11" s="740"/>
      <c r="AU11" s="740"/>
      <c r="AV11" s="740"/>
      <c r="AW11" s="740"/>
      <c r="AX11" s="740"/>
      <c r="AY11" s="740"/>
      <c r="AZ11" s="740"/>
      <c r="BA11" s="740"/>
      <c r="BB11" s="740"/>
      <c r="BC11" s="740"/>
      <c r="BD11" s="740"/>
      <c r="BE11" s="740"/>
      <c r="BF11" s="740"/>
      <c r="BG11" s="740"/>
      <c r="BH11" s="740"/>
      <c r="BI11" s="740"/>
      <c r="BJ11" s="740"/>
      <c r="BK11" s="740"/>
      <c r="BL11" s="740"/>
      <c r="BM11" s="740"/>
      <c r="BN11" s="740"/>
      <c r="BO11" s="740"/>
      <c r="BP11" s="740"/>
      <c r="BQ11" s="740"/>
      <c r="BR11" s="740"/>
      <c r="BS11" s="740"/>
      <c r="BT11" s="740"/>
      <c r="BU11" s="740"/>
      <c r="BV11" s="740"/>
    </row>
    <row r="12" spans="2:74" ht="14.85" customHeight="1">
      <c r="C12" s="752" t="s">
        <v>1758</v>
      </c>
      <c r="D12" s="760">
        <f>+D22</f>
        <v>0.25</v>
      </c>
      <c r="E12" s="739"/>
      <c r="F12" s="761">
        <f t="shared" ca="1" si="2"/>
        <v>0.2</v>
      </c>
      <c r="G12" s="762">
        <f t="shared" ca="1" si="2"/>
        <v>0.32</v>
      </c>
      <c r="H12" s="762">
        <f t="shared" ca="1" si="2"/>
        <v>0.192</v>
      </c>
      <c r="I12" s="762">
        <f t="shared" ca="1" si="2"/>
        <v>0.1152</v>
      </c>
      <c r="J12" s="762">
        <f t="shared" ca="1" si="2"/>
        <v>0.1152</v>
      </c>
      <c r="K12" s="762">
        <f t="shared" ca="1" si="2"/>
        <v>5.7599999999999998E-2</v>
      </c>
      <c r="L12" s="762">
        <f t="shared" ca="1" si="2"/>
        <v>0</v>
      </c>
      <c r="M12" s="762">
        <f t="shared" ca="1" si="2"/>
        <v>0</v>
      </c>
      <c r="N12" s="762">
        <f t="shared" ca="1" si="2"/>
        <v>0</v>
      </c>
      <c r="O12" s="763">
        <f t="shared" ca="1" si="2"/>
        <v>0</v>
      </c>
      <c r="P12" s="757">
        <f t="shared" ca="1" si="2"/>
        <v>0</v>
      </c>
      <c r="Q12" s="758"/>
      <c r="R12" s="740"/>
      <c r="S12" s="740"/>
      <c r="T12" s="740"/>
      <c r="U12" s="740"/>
      <c r="V12" s="740"/>
      <c r="W12" s="740"/>
      <c r="X12" s="740"/>
      <c r="Y12" s="740"/>
      <c r="Z12" s="740"/>
      <c r="AA12" s="740"/>
      <c r="AB12" s="740"/>
      <c r="AC12" s="740"/>
      <c r="AD12" s="740"/>
      <c r="AE12" s="740"/>
      <c r="AF12" s="740"/>
      <c r="AG12" s="740"/>
      <c r="AH12" s="740"/>
      <c r="AI12" s="740"/>
      <c r="AJ12" s="740"/>
      <c r="AK12" s="740"/>
      <c r="AL12" s="740"/>
      <c r="AM12" s="740"/>
      <c r="AN12" s="740"/>
      <c r="AO12" s="740"/>
      <c r="AP12" s="740"/>
      <c r="AQ12" s="740"/>
      <c r="AR12" s="740"/>
      <c r="AS12" s="740"/>
      <c r="AT12" s="740"/>
      <c r="AU12" s="740"/>
      <c r="AV12" s="740"/>
      <c r="AW12" s="740"/>
      <c r="AX12" s="740"/>
      <c r="AY12" s="740"/>
      <c r="AZ12" s="740"/>
      <c r="BA12" s="740"/>
      <c r="BB12" s="740"/>
      <c r="BC12" s="740"/>
      <c r="BD12" s="740"/>
      <c r="BE12" s="740"/>
      <c r="BF12" s="740"/>
      <c r="BG12" s="740"/>
      <c r="BH12" s="740"/>
      <c r="BI12" s="740"/>
      <c r="BJ12" s="740"/>
      <c r="BK12" s="740"/>
      <c r="BL12" s="740"/>
      <c r="BM12" s="740"/>
      <c r="BN12" s="740"/>
      <c r="BO12" s="740"/>
      <c r="BP12" s="740"/>
      <c r="BQ12" s="740"/>
      <c r="BR12" s="740"/>
      <c r="BS12" s="740"/>
      <c r="BT12" s="740"/>
      <c r="BU12" s="740"/>
      <c r="BV12" s="740"/>
    </row>
    <row r="13" spans="2:74" ht="14.85" customHeight="1">
      <c r="B13" s="764"/>
      <c r="C13" s="765"/>
      <c r="D13" s="766"/>
      <c r="E13" s="739"/>
      <c r="F13" s="767"/>
      <c r="G13" s="767"/>
      <c r="H13" s="767"/>
      <c r="I13" s="767"/>
      <c r="J13" s="767"/>
      <c r="K13" s="767"/>
      <c r="L13" s="767"/>
      <c r="M13" s="767"/>
      <c r="N13" s="767"/>
      <c r="O13" s="767"/>
      <c r="P13" s="767"/>
      <c r="Q13" s="768"/>
      <c r="R13" s="740"/>
      <c r="S13" s="740"/>
      <c r="T13" s="740"/>
      <c r="U13" s="740"/>
      <c r="V13" s="740"/>
      <c r="W13" s="740"/>
      <c r="X13" s="740"/>
      <c r="Y13" s="740"/>
      <c r="Z13" s="740"/>
      <c r="AA13" s="740"/>
      <c r="AB13" s="740"/>
      <c r="AC13" s="740"/>
      <c r="AD13" s="740"/>
      <c r="AE13" s="740"/>
      <c r="AF13" s="740"/>
      <c r="AG13" s="740"/>
      <c r="AH13" s="740"/>
      <c r="AI13" s="740"/>
      <c r="AJ13" s="740"/>
      <c r="AK13" s="740"/>
      <c r="AL13" s="740"/>
      <c r="AM13" s="740"/>
      <c r="AN13" s="740"/>
      <c r="AO13" s="740"/>
      <c r="AP13" s="740"/>
      <c r="AQ13" s="740"/>
      <c r="AR13" s="740"/>
      <c r="AS13" s="740"/>
      <c r="AT13" s="740"/>
      <c r="AU13" s="740"/>
      <c r="AV13" s="740"/>
      <c r="AW13" s="740"/>
      <c r="AX13" s="740"/>
      <c r="AY13" s="740"/>
      <c r="AZ13" s="740"/>
      <c r="BA13" s="740"/>
      <c r="BB13" s="740"/>
      <c r="BC13" s="740"/>
      <c r="BD13" s="740"/>
      <c r="BE13" s="740"/>
      <c r="BF13" s="740"/>
      <c r="BG13" s="740"/>
      <c r="BH13" s="740"/>
      <c r="BI13" s="740"/>
      <c r="BJ13" s="740"/>
      <c r="BK13" s="740"/>
      <c r="BL13" s="740"/>
      <c r="BM13" s="740"/>
      <c r="BN13" s="740"/>
      <c r="BO13" s="740"/>
      <c r="BP13" s="740"/>
      <c r="BQ13" s="740"/>
      <c r="BR13" s="740"/>
      <c r="BS13" s="740"/>
      <c r="BT13" s="740"/>
      <c r="BU13" s="740"/>
      <c r="BV13" s="740"/>
    </row>
    <row r="14" spans="2:74" ht="14.85" customHeight="1">
      <c r="B14" s="769" t="s">
        <v>1761</v>
      </c>
      <c r="C14" s="765"/>
      <c r="D14" s="770"/>
      <c r="E14" s="739"/>
      <c r="F14" s="771">
        <f t="shared" ref="F14:P14" ca="1" si="3">SUMPRODUCT($D$11:$D$12,F11:F12)</f>
        <v>0.29997499999999999</v>
      </c>
      <c r="G14" s="772">
        <f t="shared" ca="1" si="3"/>
        <v>0.41337499999999999</v>
      </c>
      <c r="H14" s="772">
        <f t="shared" ca="1" si="3"/>
        <v>0.15907500000000002</v>
      </c>
      <c r="I14" s="772">
        <f t="shared" ca="1" si="3"/>
        <v>8.4375000000000006E-2</v>
      </c>
      <c r="J14" s="772">
        <f t="shared" ca="1" si="3"/>
        <v>2.8799999999999999E-2</v>
      </c>
      <c r="K14" s="772">
        <f t="shared" ca="1" si="3"/>
        <v>1.44E-2</v>
      </c>
      <c r="L14" s="772">
        <f t="shared" ca="1" si="3"/>
        <v>0</v>
      </c>
      <c r="M14" s="772">
        <f t="shared" ca="1" si="3"/>
        <v>0</v>
      </c>
      <c r="N14" s="772">
        <f t="shared" ca="1" si="3"/>
        <v>0</v>
      </c>
      <c r="O14" s="773">
        <f t="shared" ca="1" si="3"/>
        <v>0</v>
      </c>
      <c r="P14" s="772">
        <f t="shared" ca="1" si="3"/>
        <v>0</v>
      </c>
      <c r="Q14" s="774"/>
      <c r="R14" s="740"/>
      <c r="S14" s="740"/>
      <c r="T14" s="740"/>
      <c r="U14" s="740"/>
      <c r="V14" s="740"/>
      <c r="W14" s="740"/>
      <c r="X14" s="740"/>
      <c r="Y14" s="740"/>
      <c r="Z14" s="740"/>
      <c r="AA14" s="740"/>
      <c r="AB14" s="740"/>
      <c r="AC14" s="740"/>
      <c r="AD14" s="740"/>
      <c r="AE14" s="740"/>
      <c r="AF14" s="740"/>
      <c r="AG14" s="740"/>
      <c r="AH14" s="740"/>
      <c r="AI14" s="740"/>
      <c r="AJ14" s="740"/>
      <c r="AK14" s="740"/>
      <c r="AL14" s="740"/>
      <c r="AM14" s="740"/>
      <c r="AN14" s="740"/>
      <c r="AO14" s="740"/>
      <c r="AP14" s="740"/>
      <c r="AQ14" s="740"/>
      <c r="AR14" s="740"/>
      <c r="AS14" s="740"/>
      <c r="AT14" s="740"/>
      <c r="AU14" s="740"/>
      <c r="AV14" s="740"/>
      <c r="AW14" s="740"/>
      <c r="AX14" s="740"/>
      <c r="AY14" s="740"/>
      <c r="AZ14" s="740"/>
      <c r="BA14" s="740"/>
      <c r="BB14" s="740"/>
      <c r="BC14" s="740"/>
      <c r="BD14" s="740"/>
      <c r="BE14" s="740"/>
      <c r="BF14" s="740"/>
      <c r="BG14" s="740"/>
      <c r="BH14" s="740"/>
      <c r="BI14" s="740"/>
      <c r="BJ14" s="740"/>
      <c r="BK14" s="740"/>
      <c r="BL14" s="740"/>
      <c r="BM14" s="740"/>
      <c r="BN14" s="740"/>
      <c r="BO14" s="740"/>
      <c r="BP14" s="740"/>
      <c r="BQ14" s="740"/>
      <c r="BR14" s="740"/>
      <c r="BS14" s="740"/>
      <c r="BT14" s="740"/>
      <c r="BU14" s="740"/>
      <c r="BV14" s="740"/>
    </row>
    <row r="15" spans="2:74" ht="14.85" customHeight="1">
      <c r="B15" s="765"/>
      <c r="C15" s="765"/>
      <c r="D15" s="775"/>
      <c r="E15" s="739"/>
      <c r="F15" s="776"/>
      <c r="G15" s="776"/>
      <c r="H15" s="776"/>
      <c r="I15" s="776"/>
      <c r="J15" s="776"/>
      <c r="K15" s="776"/>
      <c r="L15" s="776"/>
      <c r="M15" s="776"/>
      <c r="N15" s="776"/>
      <c r="O15" s="776"/>
      <c r="P15" s="776"/>
      <c r="Q15" s="777"/>
      <c r="R15" s="740"/>
      <c r="S15" s="740"/>
      <c r="T15" s="740"/>
      <c r="U15" s="740"/>
      <c r="V15" s="740"/>
      <c r="W15" s="740"/>
      <c r="X15" s="740"/>
      <c r="Y15" s="740"/>
      <c r="Z15" s="740"/>
      <c r="AA15" s="740"/>
      <c r="AB15" s="740"/>
      <c r="AC15" s="740"/>
      <c r="AD15" s="740"/>
      <c r="AE15" s="740"/>
      <c r="AF15" s="740"/>
      <c r="AG15" s="740"/>
      <c r="AH15" s="740"/>
      <c r="AI15" s="740"/>
      <c r="AJ15" s="740"/>
      <c r="AK15" s="740"/>
      <c r="AL15" s="740"/>
      <c r="AM15" s="740"/>
      <c r="AN15" s="740"/>
      <c r="AO15" s="740"/>
      <c r="AP15" s="740"/>
      <c r="AQ15" s="740"/>
      <c r="AR15" s="740"/>
      <c r="AS15" s="740"/>
      <c r="AT15" s="740"/>
      <c r="AU15" s="740"/>
      <c r="AV15" s="740"/>
      <c r="AW15" s="740"/>
      <c r="AX15" s="740"/>
      <c r="AY15" s="740"/>
      <c r="AZ15" s="740"/>
      <c r="BA15" s="740"/>
      <c r="BB15" s="740"/>
      <c r="BC15" s="740"/>
      <c r="BD15" s="740"/>
      <c r="BE15" s="740"/>
      <c r="BF15" s="740"/>
      <c r="BG15" s="740"/>
      <c r="BH15" s="740"/>
      <c r="BI15" s="740"/>
      <c r="BJ15" s="740"/>
      <c r="BK15" s="740"/>
      <c r="BL15" s="740"/>
      <c r="BM15" s="740"/>
      <c r="BN15" s="740"/>
      <c r="BO15" s="740"/>
      <c r="BP15" s="740"/>
      <c r="BQ15" s="740"/>
      <c r="BR15" s="740"/>
      <c r="BS15" s="740"/>
      <c r="BT15" s="740"/>
      <c r="BU15" s="740"/>
      <c r="BV15" s="740"/>
    </row>
    <row r="16" spans="2:74" ht="14.85" customHeight="1">
      <c r="B16" s="778" t="s">
        <v>1760</v>
      </c>
      <c r="C16" s="704"/>
      <c r="D16" s="743"/>
      <c r="E16" s="740"/>
      <c r="F16" s="779">
        <f>F8</f>
        <v>2018</v>
      </c>
      <c r="G16" s="780">
        <f>+F16+1</f>
        <v>2019</v>
      </c>
      <c r="H16" s="780">
        <f t="shared" ref="H16:P17" si="4">+G16+1</f>
        <v>2020</v>
      </c>
      <c r="I16" s="780">
        <f t="shared" si="4"/>
        <v>2021</v>
      </c>
      <c r="J16" s="780">
        <f t="shared" si="4"/>
        <v>2022</v>
      </c>
      <c r="K16" s="780">
        <f t="shared" si="4"/>
        <v>2023</v>
      </c>
      <c r="L16" s="780">
        <f t="shared" si="4"/>
        <v>2024</v>
      </c>
      <c r="M16" s="780">
        <f t="shared" si="4"/>
        <v>2025</v>
      </c>
      <c r="N16" s="780">
        <f t="shared" si="4"/>
        <v>2026</v>
      </c>
      <c r="O16" s="781">
        <f t="shared" si="4"/>
        <v>2027</v>
      </c>
      <c r="P16" s="781">
        <f t="shared" si="4"/>
        <v>2028</v>
      </c>
      <c r="Q16" s="782"/>
      <c r="R16" s="740"/>
      <c r="S16" s="740"/>
      <c r="T16" s="740"/>
      <c r="U16" s="740"/>
      <c r="V16" s="740"/>
      <c r="W16" s="740"/>
      <c r="X16" s="740"/>
      <c r="Y16" s="740"/>
      <c r="Z16" s="740"/>
      <c r="AA16" s="740"/>
      <c r="AB16" s="740"/>
      <c r="AC16" s="740"/>
      <c r="AD16" s="740"/>
      <c r="AE16" s="740"/>
      <c r="AF16" s="740"/>
      <c r="AG16" s="740"/>
      <c r="AH16" s="740"/>
      <c r="AI16" s="740"/>
      <c r="AJ16" s="740"/>
      <c r="AK16" s="740"/>
      <c r="AL16" s="740"/>
      <c r="AM16" s="740"/>
      <c r="AN16" s="740"/>
      <c r="AO16" s="740"/>
      <c r="AP16" s="740"/>
      <c r="AQ16" s="740"/>
      <c r="AR16" s="740"/>
      <c r="AS16" s="740"/>
      <c r="AT16" s="740"/>
      <c r="AU16" s="740"/>
      <c r="AV16" s="740"/>
      <c r="AW16" s="740"/>
      <c r="AX16" s="740"/>
      <c r="AY16" s="740"/>
      <c r="AZ16" s="740"/>
      <c r="BA16" s="740"/>
      <c r="BB16" s="740"/>
      <c r="BC16" s="740"/>
      <c r="BD16" s="740"/>
      <c r="BE16" s="740"/>
      <c r="BF16" s="740"/>
      <c r="BG16" s="740"/>
      <c r="BH16" s="740"/>
      <c r="BI16" s="740"/>
      <c r="BJ16" s="740"/>
      <c r="BK16" s="740"/>
      <c r="BL16" s="740"/>
      <c r="BM16" s="740"/>
      <c r="BN16" s="740"/>
      <c r="BO16" s="740"/>
      <c r="BP16" s="740"/>
      <c r="BQ16" s="740"/>
      <c r="BR16" s="740"/>
      <c r="BS16" s="740"/>
      <c r="BT16" s="740"/>
      <c r="BU16" s="740"/>
      <c r="BV16" s="740"/>
    </row>
    <row r="17" spans="2:74" ht="14.85" customHeight="1">
      <c r="C17" s="728" t="s">
        <v>1762</v>
      </c>
      <c r="D17" s="783">
        <v>3</v>
      </c>
      <c r="F17" s="784">
        <f>+D17+1</f>
        <v>4</v>
      </c>
      <c r="G17" s="785">
        <f>+F17+1</f>
        <v>5</v>
      </c>
      <c r="H17" s="785">
        <f t="shared" si="4"/>
        <v>6</v>
      </c>
      <c r="I17" s="785">
        <f t="shared" si="4"/>
        <v>7</v>
      </c>
      <c r="J17" s="785">
        <f t="shared" si="4"/>
        <v>8</v>
      </c>
      <c r="K17" s="785">
        <f t="shared" si="4"/>
        <v>9</v>
      </c>
      <c r="L17" s="785">
        <f t="shared" si="4"/>
        <v>10</v>
      </c>
      <c r="M17" s="785">
        <f t="shared" si="4"/>
        <v>11</v>
      </c>
      <c r="N17" s="785">
        <f t="shared" si="4"/>
        <v>12</v>
      </c>
      <c r="O17" s="786">
        <f t="shared" si="4"/>
        <v>13</v>
      </c>
      <c r="P17" s="786">
        <f t="shared" si="4"/>
        <v>14</v>
      </c>
      <c r="Q17" s="782"/>
      <c r="R17" s="740"/>
      <c r="S17" s="740"/>
      <c r="T17" s="740"/>
      <c r="U17" s="740"/>
      <c r="V17" s="740"/>
      <c r="W17" s="740"/>
      <c r="X17" s="740"/>
      <c r="Y17" s="740"/>
      <c r="Z17" s="740"/>
      <c r="AA17" s="740"/>
      <c r="AB17" s="740"/>
      <c r="AC17" s="740"/>
      <c r="AD17" s="740"/>
      <c r="AE17" s="740"/>
      <c r="AF17" s="740"/>
      <c r="AG17" s="740"/>
      <c r="AH17" s="740"/>
      <c r="AI17" s="740"/>
      <c r="AJ17" s="740"/>
      <c r="AK17" s="740"/>
      <c r="AL17" s="740"/>
      <c r="AM17" s="740"/>
      <c r="AN17" s="740"/>
      <c r="AO17" s="740"/>
      <c r="AP17" s="740"/>
      <c r="AQ17" s="740"/>
      <c r="AR17" s="740"/>
      <c r="AS17" s="740"/>
      <c r="AT17" s="740"/>
      <c r="AU17" s="740"/>
      <c r="AV17" s="740"/>
      <c r="AW17" s="740"/>
      <c r="AX17" s="740"/>
      <c r="AY17" s="740"/>
      <c r="AZ17" s="740"/>
      <c r="BA17" s="740"/>
      <c r="BB17" s="740"/>
      <c r="BC17" s="740"/>
      <c r="BD17" s="740"/>
      <c r="BE17" s="740"/>
      <c r="BF17" s="740"/>
      <c r="BG17" s="740"/>
      <c r="BH17" s="740"/>
      <c r="BI17" s="740"/>
      <c r="BJ17" s="740"/>
      <c r="BK17" s="740"/>
      <c r="BL17" s="740"/>
      <c r="BM17" s="740"/>
      <c r="BN17" s="740"/>
      <c r="BO17" s="740"/>
      <c r="BP17" s="740"/>
      <c r="BQ17" s="740"/>
      <c r="BR17" s="740"/>
      <c r="BS17" s="740"/>
      <c r="BT17" s="740"/>
      <c r="BU17" s="740"/>
      <c r="BV17" s="740"/>
    </row>
    <row r="18" spans="2:74" ht="14.85" customHeight="1">
      <c r="C18" s="704" t="s">
        <v>1763</v>
      </c>
      <c r="D18" s="563">
        <f>'Hist BS'!G22</f>
        <v>8956</v>
      </c>
      <c r="E18" s="740"/>
      <c r="F18" s="787">
        <f ca="1">IFERROR($D18/SUMIF($F$10:$P$10,"&gt;"&amp;$D$17,$F$14:$P$14)*HLOOKUP(F17,$F$10:$P$14,ROWS($D$10:$D$14),FALSE),0)</f>
        <v>5923.2804232804237</v>
      </c>
      <c r="G18" s="788">
        <f t="shared" ref="G18:P18" ca="1" si="5">IFERROR($D18/SUMIF($F$10:$P$10,"&gt;"&amp;$D$17,$F$14:$P$14)*HLOOKUP(G17,$F$10:$P$14,ROWS($D$10:$D$14),FALSE),0)</f>
        <v>2021.8130511463844</v>
      </c>
      <c r="H18" s="788">
        <f t="shared" ca="1" si="5"/>
        <v>1010.9065255731922</v>
      </c>
      <c r="I18" s="788">
        <f t="shared" ca="1" si="5"/>
        <v>0</v>
      </c>
      <c r="J18" s="788">
        <f t="shared" ca="1" si="5"/>
        <v>0</v>
      </c>
      <c r="K18" s="788">
        <f t="shared" ca="1" si="5"/>
        <v>0</v>
      </c>
      <c r="L18" s="788">
        <f t="shared" ca="1" si="5"/>
        <v>0</v>
      </c>
      <c r="M18" s="788">
        <f t="shared" ca="1" si="5"/>
        <v>0</v>
      </c>
      <c r="N18" s="788">
        <f t="shared" ca="1" si="5"/>
        <v>0</v>
      </c>
      <c r="O18" s="789">
        <f t="shared" ca="1" si="5"/>
        <v>0</v>
      </c>
      <c r="P18" s="789">
        <f t="shared" ca="1" si="5"/>
        <v>0</v>
      </c>
      <c r="Q18" s="790"/>
      <c r="R18" s="791" t="b">
        <f ca="1">D18=SUM(F18:P18)</f>
        <v>1</v>
      </c>
      <c r="S18" s="740"/>
      <c r="T18" s="740"/>
      <c r="U18" s="740"/>
      <c r="V18" s="740"/>
      <c r="W18" s="740"/>
      <c r="X18" s="740"/>
      <c r="Y18" s="740"/>
      <c r="Z18" s="740"/>
      <c r="AA18" s="740"/>
      <c r="AB18" s="740"/>
      <c r="AC18" s="740"/>
      <c r="AD18" s="740"/>
      <c r="AE18" s="740"/>
      <c r="AF18" s="740"/>
      <c r="AG18" s="740"/>
      <c r="AH18" s="740"/>
      <c r="AI18" s="740"/>
      <c r="AJ18" s="740"/>
      <c r="AK18" s="740"/>
      <c r="AL18" s="740"/>
      <c r="AM18" s="740"/>
      <c r="AN18" s="740"/>
      <c r="AO18" s="740"/>
      <c r="AP18" s="740"/>
      <c r="AQ18" s="740"/>
      <c r="AR18" s="740"/>
      <c r="AS18" s="740"/>
      <c r="AT18" s="740"/>
      <c r="AU18" s="740"/>
      <c r="AV18" s="740"/>
      <c r="AW18" s="740"/>
      <c r="AX18" s="740"/>
      <c r="AY18" s="740"/>
      <c r="AZ18" s="740"/>
      <c r="BA18" s="740"/>
      <c r="BB18" s="740"/>
      <c r="BC18" s="740"/>
      <c r="BD18" s="740"/>
      <c r="BE18" s="740"/>
      <c r="BF18" s="740"/>
      <c r="BG18" s="740"/>
      <c r="BH18" s="740"/>
      <c r="BI18" s="740"/>
      <c r="BJ18" s="740"/>
      <c r="BK18" s="740"/>
      <c r="BL18" s="740"/>
      <c r="BM18" s="740"/>
      <c r="BN18" s="740"/>
      <c r="BO18" s="740"/>
      <c r="BP18" s="740"/>
      <c r="BQ18" s="740"/>
      <c r="BR18" s="740"/>
      <c r="BS18" s="740"/>
      <c r="BT18" s="740"/>
      <c r="BU18" s="740"/>
      <c r="BV18" s="740"/>
    </row>
    <row r="19" spans="2:74" ht="14.85" customHeight="1">
      <c r="B19" s="704"/>
      <c r="C19" s="704"/>
      <c r="D19" s="743"/>
      <c r="E19" s="740"/>
      <c r="F19" s="743"/>
      <c r="G19" s="743"/>
      <c r="H19" s="743"/>
      <c r="I19" s="743"/>
      <c r="J19" s="743"/>
      <c r="K19" s="743"/>
      <c r="L19" s="743"/>
      <c r="M19" s="743"/>
      <c r="N19" s="743"/>
      <c r="O19" s="743"/>
      <c r="P19" s="743"/>
      <c r="Q19" s="740"/>
      <c r="R19" s="740"/>
      <c r="S19" s="740"/>
      <c r="T19" s="740"/>
      <c r="U19" s="740"/>
      <c r="V19" s="740"/>
      <c r="W19" s="740"/>
      <c r="X19" s="740"/>
      <c r="Y19" s="740"/>
      <c r="Z19" s="740"/>
      <c r="AA19" s="740"/>
      <c r="AB19" s="740"/>
      <c r="AC19" s="740"/>
      <c r="AD19" s="740"/>
      <c r="AE19" s="740"/>
      <c r="AF19" s="740"/>
      <c r="AG19" s="740"/>
      <c r="AH19" s="740"/>
      <c r="AI19" s="740"/>
      <c r="AJ19" s="740"/>
      <c r="AK19" s="740"/>
      <c r="AL19" s="740"/>
      <c r="AM19" s="740"/>
      <c r="AN19" s="740"/>
      <c r="AO19" s="740"/>
      <c r="AP19" s="740"/>
      <c r="AQ19" s="740"/>
      <c r="AR19" s="740"/>
      <c r="AS19" s="740"/>
      <c r="AT19" s="740"/>
      <c r="AU19" s="740"/>
      <c r="AV19" s="740"/>
      <c r="AW19" s="740"/>
      <c r="AX19" s="740"/>
      <c r="AY19" s="740"/>
      <c r="AZ19" s="740"/>
      <c r="BA19" s="740"/>
      <c r="BB19" s="740"/>
      <c r="BC19" s="740"/>
      <c r="BD19" s="740"/>
      <c r="BE19" s="740"/>
      <c r="BF19" s="740"/>
      <c r="BG19" s="740"/>
      <c r="BH19" s="740"/>
      <c r="BI19" s="740"/>
      <c r="BJ19" s="740"/>
      <c r="BK19" s="740"/>
      <c r="BL19" s="740"/>
      <c r="BM19" s="740"/>
      <c r="BN19" s="740"/>
      <c r="BO19" s="740"/>
      <c r="BP19" s="740"/>
      <c r="BQ19" s="740"/>
      <c r="BR19" s="740"/>
      <c r="BS19" s="740"/>
      <c r="BT19" s="740"/>
      <c r="BU19" s="740"/>
      <c r="BV19" s="740"/>
    </row>
    <row r="20" spans="2:74" ht="14.85" customHeight="1">
      <c r="B20" s="792"/>
      <c r="C20" s="745"/>
      <c r="D20" s="746" t="s">
        <v>1764</v>
      </c>
      <c r="E20" s="739"/>
      <c r="F20" s="748">
        <v>1</v>
      </c>
      <c r="G20" s="749">
        <f>+F20+1</f>
        <v>2</v>
      </c>
      <c r="H20" s="749">
        <f t="shared" ref="H20:O20" si="6">+G20+1</f>
        <v>3</v>
      </c>
      <c r="I20" s="749">
        <f t="shared" si="6"/>
        <v>4</v>
      </c>
      <c r="J20" s="749">
        <f t="shared" si="6"/>
        <v>5</v>
      </c>
      <c r="K20" s="749">
        <f t="shared" si="6"/>
        <v>6</v>
      </c>
      <c r="L20" s="749">
        <f t="shared" si="6"/>
        <v>7</v>
      </c>
      <c r="M20" s="749">
        <f t="shared" si="6"/>
        <v>8</v>
      </c>
      <c r="N20" s="749">
        <f t="shared" si="6"/>
        <v>9</v>
      </c>
      <c r="O20" s="750">
        <f t="shared" si="6"/>
        <v>10</v>
      </c>
      <c r="P20" s="750">
        <f>+O20+1</f>
        <v>11</v>
      </c>
      <c r="Q20" s="751"/>
      <c r="R20" s="740"/>
      <c r="S20" s="740"/>
      <c r="T20" s="740"/>
      <c r="U20" s="740"/>
      <c r="V20" s="740"/>
      <c r="W20" s="740"/>
      <c r="X20" s="740"/>
      <c r="Y20" s="740"/>
      <c r="Z20" s="740"/>
      <c r="AA20" s="740"/>
      <c r="AB20" s="740"/>
      <c r="AC20" s="740"/>
      <c r="AD20" s="740"/>
      <c r="AE20" s="740"/>
      <c r="AF20" s="740"/>
      <c r="AG20" s="740"/>
      <c r="AH20" s="740"/>
      <c r="AI20" s="740"/>
      <c r="AJ20" s="740"/>
      <c r="AK20" s="740"/>
      <c r="AL20" s="740"/>
      <c r="AM20" s="740"/>
      <c r="AN20" s="740"/>
      <c r="AO20" s="740"/>
      <c r="AP20" s="740"/>
      <c r="AQ20" s="740"/>
      <c r="AR20" s="740"/>
      <c r="AS20" s="740"/>
      <c r="AT20" s="740"/>
      <c r="AU20" s="740"/>
      <c r="AV20" s="740"/>
      <c r="AW20" s="740"/>
      <c r="AX20" s="740"/>
      <c r="AY20" s="740"/>
      <c r="AZ20" s="740"/>
      <c r="BA20" s="740"/>
      <c r="BB20" s="740"/>
      <c r="BC20" s="740"/>
      <c r="BD20" s="740"/>
      <c r="BE20" s="740"/>
      <c r="BF20" s="740"/>
      <c r="BG20" s="740"/>
      <c r="BH20" s="740"/>
      <c r="BI20" s="740"/>
      <c r="BJ20" s="740"/>
      <c r="BK20" s="740"/>
      <c r="BL20" s="740"/>
      <c r="BM20" s="740"/>
      <c r="BN20" s="740"/>
      <c r="BO20" s="740"/>
      <c r="BP20" s="740"/>
      <c r="BQ20" s="740"/>
      <c r="BR20" s="740"/>
      <c r="BS20" s="740"/>
      <c r="BT20" s="740"/>
      <c r="BU20" s="740"/>
      <c r="BV20" s="740"/>
    </row>
    <row r="21" spans="2:74" ht="14.85" customHeight="1">
      <c r="C21" s="752" t="s">
        <v>1759</v>
      </c>
      <c r="D21" s="793">
        <v>0.75</v>
      </c>
      <c r="E21" s="739"/>
      <c r="F21" s="754">
        <f t="shared" ref="F21:P23" ca="1" si="7">OFFSET(F$50,MATCH($C21,$C$51:$C$62,),)</f>
        <v>0.33329999999999999</v>
      </c>
      <c r="G21" s="755">
        <f t="shared" ca="1" si="7"/>
        <v>0.44450000000000001</v>
      </c>
      <c r="H21" s="755">
        <f t="shared" ca="1" si="7"/>
        <v>0.14810000000000001</v>
      </c>
      <c r="I21" s="755">
        <f t="shared" ca="1" si="7"/>
        <v>7.4099999999999999E-2</v>
      </c>
      <c r="J21" s="755">
        <f t="shared" ca="1" si="7"/>
        <v>0</v>
      </c>
      <c r="K21" s="755">
        <f t="shared" ca="1" si="7"/>
        <v>0</v>
      </c>
      <c r="L21" s="755">
        <f t="shared" ca="1" si="7"/>
        <v>0</v>
      </c>
      <c r="M21" s="755">
        <f t="shared" ca="1" si="7"/>
        <v>0</v>
      </c>
      <c r="N21" s="755">
        <f t="shared" ca="1" si="7"/>
        <v>0</v>
      </c>
      <c r="O21" s="756">
        <f t="shared" ca="1" si="7"/>
        <v>0</v>
      </c>
      <c r="P21" s="757">
        <f t="shared" ca="1" si="7"/>
        <v>0</v>
      </c>
      <c r="Q21" s="758"/>
      <c r="R21" s="740"/>
      <c r="S21" s="740"/>
      <c r="T21" s="740"/>
      <c r="U21" s="740"/>
      <c r="V21" s="740"/>
      <c r="W21" s="740"/>
      <c r="X21" s="740"/>
      <c r="Y21" s="740"/>
      <c r="Z21" s="740"/>
      <c r="AA21" s="740"/>
      <c r="AB21" s="740"/>
      <c r="AC21" s="740"/>
      <c r="AD21" s="740"/>
      <c r="AE21" s="740"/>
      <c r="AF21" s="740"/>
      <c r="AG21" s="740"/>
      <c r="AH21" s="740"/>
      <c r="AI21" s="740"/>
      <c r="AJ21" s="740"/>
      <c r="AK21" s="740"/>
      <c r="AL21" s="740"/>
      <c r="AM21" s="740"/>
      <c r="AN21" s="740"/>
      <c r="AO21" s="740"/>
      <c r="AP21" s="740"/>
      <c r="AQ21" s="740"/>
      <c r="AR21" s="740"/>
      <c r="AS21" s="740"/>
      <c r="AT21" s="740"/>
      <c r="AU21" s="740"/>
      <c r="AV21" s="740"/>
      <c r="AW21" s="740"/>
      <c r="AX21" s="740"/>
      <c r="AY21" s="740"/>
      <c r="AZ21" s="740"/>
      <c r="BA21" s="740"/>
      <c r="BB21" s="740"/>
      <c r="BC21" s="740"/>
      <c r="BD21" s="740"/>
      <c r="BE21" s="740"/>
      <c r="BF21" s="740"/>
      <c r="BG21" s="740"/>
      <c r="BH21" s="740"/>
      <c r="BI21" s="740"/>
      <c r="BJ21" s="740"/>
      <c r="BK21" s="740"/>
      <c r="BL21" s="740"/>
      <c r="BM21" s="740"/>
      <c r="BN21" s="740"/>
      <c r="BO21" s="740"/>
      <c r="BP21" s="740"/>
      <c r="BQ21" s="740"/>
      <c r="BR21" s="740"/>
      <c r="BS21" s="740"/>
      <c r="BT21" s="740"/>
      <c r="BU21" s="740"/>
      <c r="BV21" s="740"/>
    </row>
    <row r="22" spans="2:74" ht="14.85" customHeight="1">
      <c r="C22" s="752" t="s">
        <v>1758</v>
      </c>
      <c r="D22" s="794">
        <v>0.25</v>
      </c>
      <c r="E22" s="739"/>
      <c r="F22" s="795">
        <f t="shared" ca="1" si="7"/>
        <v>0.2</v>
      </c>
      <c r="G22" s="796">
        <f ca="1">OFFSET(G$50,MATCH($C22,$C$51:$C$62,),)</f>
        <v>0.32</v>
      </c>
      <c r="H22" s="796">
        <f t="shared" ca="1" si="7"/>
        <v>0.192</v>
      </c>
      <c r="I22" s="796">
        <f t="shared" ca="1" si="7"/>
        <v>0.1152</v>
      </c>
      <c r="J22" s="796">
        <f t="shared" ca="1" si="7"/>
        <v>0.1152</v>
      </c>
      <c r="K22" s="796">
        <f t="shared" ca="1" si="7"/>
        <v>5.7599999999999998E-2</v>
      </c>
      <c r="L22" s="796">
        <f t="shared" ca="1" si="7"/>
        <v>0</v>
      </c>
      <c r="M22" s="796">
        <f t="shared" ca="1" si="7"/>
        <v>0</v>
      </c>
      <c r="N22" s="796">
        <f t="shared" ca="1" si="7"/>
        <v>0</v>
      </c>
      <c r="O22" s="797">
        <f t="shared" ca="1" si="7"/>
        <v>0</v>
      </c>
      <c r="P22" s="757">
        <f t="shared" ca="1" si="7"/>
        <v>0</v>
      </c>
      <c r="Q22" s="758"/>
      <c r="R22" s="740"/>
      <c r="S22" s="740"/>
      <c r="T22" s="740"/>
      <c r="U22" s="740"/>
      <c r="V22" s="740"/>
      <c r="W22" s="740"/>
      <c r="X22" s="740"/>
      <c r="Y22" s="740"/>
      <c r="Z22" s="740"/>
      <c r="AA22" s="740"/>
      <c r="AB22" s="740"/>
      <c r="AC22" s="740"/>
      <c r="AD22" s="740"/>
      <c r="AE22" s="740"/>
      <c r="AF22" s="740"/>
      <c r="AG22" s="740"/>
      <c r="AH22" s="740"/>
      <c r="AI22" s="740"/>
      <c r="AJ22" s="740"/>
      <c r="AK22" s="740"/>
      <c r="AL22" s="740"/>
      <c r="AM22" s="740"/>
      <c r="AN22" s="740"/>
      <c r="AO22" s="740"/>
      <c r="AP22" s="740"/>
      <c r="AQ22" s="740"/>
      <c r="AR22" s="740"/>
      <c r="AS22" s="740"/>
      <c r="AT22" s="740"/>
      <c r="AU22" s="740"/>
      <c r="AV22" s="740"/>
      <c r="AW22" s="740"/>
      <c r="AX22" s="740"/>
      <c r="AY22" s="740"/>
      <c r="AZ22" s="740"/>
      <c r="BA22" s="740"/>
      <c r="BB22" s="740"/>
      <c r="BC22" s="740"/>
      <c r="BD22" s="740"/>
      <c r="BE22" s="740"/>
      <c r="BF22" s="740"/>
      <c r="BG22" s="740"/>
      <c r="BH22" s="740"/>
      <c r="BI22" s="740"/>
      <c r="BJ22" s="740"/>
      <c r="BK22" s="740"/>
      <c r="BL22" s="740"/>
      <c r="BM22" s="740"/>
      <c r="BN22" s="740"/>
      <c r="BO22" s="740"/>
      <c r="BP22" s="740"/>
      <c r="BQ22" s="740"/>
      <c r="BR22" s="740"/>
      <c r="BS22" s="740"/>
      <c r="BT22" s="740"/>
      <c r="BU22" s="740"/>
      <c r="BV22" s="740"/>
    </row>
    <row r="23" spans="2:74" ht="14.85" customHeight="1">
      <c r="C23" s="752" t="s">
        <v>1757</v>
      </c>
      <c r="D23" s="798">
        <v>0</v>
      </c>
      <c r="E23" s="739"/>
      <c r="F23" s="761">
        <f t="shared" ca="1" si="7"/>
        <v>0.1429</v>
      </c>
      <c r="G23" s="762">
        <f t="shared" ca="1" si="7"/>
        <v>0.24489999999999998</v>
      </c>
      <c r="H23" s="762">
        <f t="shared" ca="1" si="7"/>
        <v>0.17489999999999997</v>
      </c>
      <c r="I23" s="762">
        <f t="shared" ca="1" si="7"/>
        <v>0.1249</v>
      </c>
      <c r="J23" s="762">
        <f t="shared" ca="1" si="7"/>
        <v>8.929999999999999E-2</v>
      </c>
      <c r="K23" s="762">
        <f t="shared" ca="1" si="7"/>
        <v>8.9200000000000002E-2</v>
      </c>
      <c r="L23" s="762">
        <f t="shared" ca="1" si="7"/>
        <v>8.929999999999999E-2</v>
      </c>
      <c r="M23" s="762">
        <f t="shared" ca="1" si="7"/>
        <v>4.4600000000000001E-2</v>
      </c>
      <c r="N23" s="762">
        <f t="shared" ca="1" si="7"/>
        <v>0</v>
      </c>
      <c r="O23" s="763">
        <f t="shared" ca="1" si="7"/>
        <v>0</v>
      </c>
      <c r="P23" s="757">
        <f t="shared" ca="1" si="7"/>
        <v>0</v>
      </c>
      <c r="Q23" s="758"/>
      <c r="R23" s="740"/>
      <c r="S23" s="740"/>
      <c r="T23" s="740"/>
      <c r="U23" s="740"/>
      <c r="V23" s="740"/>
      <c r="W23" s="740"/>
      <c r="X23" s="740"/>
      <c r="Y23" s="740"/>
      <c r="Z23" s="740"/>
      <c r="AA23" s="740"/>
      <c r="AB23" s="740"/>
      <c r="AC23" s="740"/>
      <c r="AD23" s="740"/>
      <c r="AE23" s="740"/>
      <c r="AF23" s="740"/>
      <c r="AG23" s="740"/>
      <c r="AH23" s="740"/>
      <c r="AI23" s="740"/>
      <c r="AJ23" s="740"/>
      <c r="AK23" s="740"/>
      <c r="AL23" s="740"/>
      <c r="AM23" s="740"/>
      <c r="AN23" s="740"/>
      <c r="AO23" s="740"/>
      <c r="AP23" s="740"/>
      <c r="AQ23" s="740"/>
      <c r="AR23" s="740"/>
      <c r="AS23" s="740"/>
      <c r="AT23" s="740"/>
      <c r="AU23" s="740"/>
      <c r="AV23" s="740"/>
      <c r="AW23" s="740"/>
      <c r="AX23" s="740"/>
      <c r="AY23" s="740"/>
      <c r="AZ23" s="740"/>
      <c r="BA23" s="740"/>
      <c r="BB23" s="740"/>
      <c r="BC23" s="740"/>
      <c r="BD23" s="740"/>
      <c r="BE23" s="740"/>
      <c r="BF23" s="740"/>
      <c r="BG23" s="740"/>
      <c r="BH23" s="740"/>
      <c r="BI23" s="740"/>
      <c r="BJ23" s="740"/>
      <c r="BK23" s="740"/>
      <c r="BL23" s="740"/>
      <c r="BM23" s="740"/>
      <c r="BN23" s="740"/>
      <c r="BO23" s="740"/>
      <c r="BP23" s="740"/>
      <c r="BQ23" s="740"/>
      <c r="BR23" s="740"/>
      <c r="BS23" s="740"/>
      <c r="BT23" s="740"/>
      <c r="BU23" s="740"/>
      <c r="BV23" s="740"/>
    </row>
    <row r="24" spans="2:74" ht="14.85" customHeight="1">
      <c r="B24" s="764"/>
      <c r="C24" s="765"/>
      <c r="D24" s="799"/>
      <c r="E24" s="739"/>
      <c r="F24" s="767"/>
      <c r="G24" s="767"/>
      <c r="H24" s="767"/>
      <c r="I24" s="767"/>
      <c r="J24" s="767"/>
      <c r="K24" s="767"/>
      <c r="L24" s="767"/>
      <c r="M24" s="767"/>
      <c r="N24" s="767"/>
      <c r="O24" s="767"/>
      <c r="P24" s="767"/>
      <c r="Q24" s="790"/>
      <c r="R24" s="740"/>
      <c r="S24" s="740"/>
      <c r="T24" s="740"/>
      <c r="U24" s="740"/>
      <c r="V24" s="740"/>
      <c r="W24" s="740"/>
      <c r="X24" s="740"/>
      <c r="Y24" s="740"/>
      <c r="Z24" s="740"/>
      <c r="AA24" s="740"/>
      <c r="AB24" s="740"/>
      <c r="AC24" s="740"/>
      <c r="AD24" s="740"/>
      <c r="AE24" s="740"/>
      <c r="AF24" s="740"/>
      <c r="AG24" s="740"/>
      <c r="AH24" s="740"/>
      <c r="AI24" s="740"/>
      <c r="AJ24" s="740"/>
      <c r="AK24" s="740"/>
      <c r="AL24" s="740"/>
      <c r="AM24" s="740"/>
      <c r="AN24" s="740"/>
      <c r="AO24" s="740"/>
      <c r="AP24" s="740"/>
      <c r="AQ24" s="740"/>
      <c r="AR24" s="740"/>
      <c r="AS24" s="740"/>
      <c r="AT24" s="740"/>
      <c r="AU24" s="740"/>
      <c r="AV24" s="740"/>
      <c r="AW24" s="740"/>
      <c r="AX24" s="740"/>
      <c r="AY24" s="740"/>
      <c r="AZ24" s="740"/>
      <c r="BA24" s="740"/>
      <c r="BB24" s="740"/>
      <c r="BC24" s="740"/>
      <c r="BD24" s="740"/>
      <c r="BE24" s="740"/>
      <c r="BF24" s="740"/>
      <c r="BG24" s="740"/>
      <c r="BH24" s="740"/>
      <c r="BI24" s="740"/>
      <c r="BJ24" s="740"/>
      <c r="BK24" s="740"/>
      <c r="BL24" s="740"/>
      <c r="BM24" s="740"/>
      <c r="BN24" s="740"/>
      <c r="BO24" s="740"/>
      <c r="BP24" s="740"/>
      <c r="BQ24" s="740"/>
      <c r="BR24" s="740"/>
      <c r="BS24" s="740"/>
      <c r="BT24" s="740"/>
      <c r="BU24" s="740"/>
      <c r="BV24" s="740"/>
    </row>
    <row r="25" spans="2:74" ht="14.85" customHeight="1">
      <c r="B25" s="778" t="s">
        <v>1761</v>
      </c>
      <c r="C25" s="745"/>
      <c r="D25" s="800"/>
      <c r="E25" s="739"/>
      <c r="F25" s="771">
        <f t="shared" ref="F25:P25" ca="1" si="8">SUMPRODUCT($D$21:$D$23,F21:F23)</f>
        <v>0.29997499999999999</v>
      </c>
      <c r="G25" s="772">
        <f t="shared" ca="1" si="8"/>
        <v>0.41337499999999999</v>
      </c>
      <c r="H25" s="772">
        <f t="shared" ca="1" si="8"/>
        <v>0.15907500000000002</v>
      </c>
      <c r="I25" s="772">
        <f t="shared" ca="1" si="8"/>
        <v>8.4375000000000006E-2</v>
      </c>
      <c r="J25" s="772">
        <f t="shared" ca="1" si="8"/>
        <v>2.8799999999999999E-2</v>
      </c>
      <c r="K25" s="772">
        <f t="shared" ca="1" si="8"/>
        <v>1.44E-2</v>
      </c>
      <c r="L25" s="772">
        <f t="shared" ca="1" si="8"/>
        <v>0</v>
      </c>
      <c r="M25" s="772">
        <f t="shared" ca="1" si="8"/>
        <v>0</v>
      </c>
      <c r="N25" s="772">
        <f t="shared" ca="1" si="8"/>
        <v>0</v>
      </c>
      <c r="O25" s="773">
        <f t="shared" ca="1" si="8"/>
        <v>0</v>
      </c>
      <c r="P25" s="773">
        <f t="shared" ca="1" si="8"/>
        <v>0</v>
      </c>
      <c r="Q25" s="774"/>
      <c r="R25" s="740"/>
      <c r="S25" s="740"/>
      <c r="T25" s="740"/>
      <c r="U25" s="740"/>
      <c r="V25" s="740"/>
      <c r="W25" s="740"/>
      <c r="X25" s="740"/>
      <c r="Y25" s="740"/>
      <c r="Z25" s="740"/>
      <c r="AA25" s="740"/>
      <c r="AB25" s="740"/>
      <c r="AC25" s="740"/>
      <c r="AD25" s="740"/>
      <c r="AE25" s="740"/>
      <c r="AF25" s="740"/>
      <c r="AG25" s="740"/>
      <c r="AH25" s="740"/>
      <c r="AI25" s="740"/>
      <c r="AJ25" s="740"/>
      <c r="AK25" s="740"/>
      <c r="AL25" s="740"/>
      <c r="AM25" s="740"/>
      <c r="AN25" s="740"/>
      <c r="AO25" s="740"/>
      <c r="AP25" s="740"/>
      <c r="AQ25" s="740"/>
      <c r="AR25" s="740"/>
      <c r="AS25" s="740"/>
      <c r="AT25" s="740"/>
      <c r="AU25" s="740"/>
      <c r="AV25" s="740"/>
      <c r="AW25" s="740"/>
      <c r="AX25" s="740"/>
      <c r="AY25" s="740"/>
      <c r="AZ25" s="740"/>
      <c r="BA25" s="740"/>
      <c r="BB25" s="740"/>
      <c r="BC25" s="740"/>
      <c r="BD25" s="740"/>
      <c r="BE25" s="740"/>
      <c r="BF25" s="740"/>
      <c r="BG25" s="740"/>
      <c r="BH25" s="740"/>
      <c r="BI25" s="740"/>
      <c r="BJ25" s="740"/>
      <c r="BK25" s="740"/>
      <c r="BL25" s="740"/>
      <c r="BM25" s="740"/>
      <c r="BN25" s="740"/>
      <c r="BO25" s="740"/>
      <c r="BP25" s="740"/>
      <c r="BQ25" s="740"/>
      <c r="BR25" s="740"/>
      <c r="BS25" s="740"/>
      <c r="BT25" s="740"/>
      <c r="BU25" s="740"/>
      <c r="BV25" s="740"/>
    </row>
    <row r="26" spans="2:74" ht="14.85" customHeight="1">
      <c r="B26" s="801"/>
      <c r="C26" s="704"/>
      <c r="D26" s="740"/>
      <c r="E26" s="740"/>
      <c r="F26" s="802"/>
      <c r="G26" s="802"/>
      <c r="H26" s="802"/>
      <c r="I26" s="802"/>
      <c r="J26" s="802"/>
      <c r="K26" s="802"/>
      <c r="L26" s="802"/>
      <c r="M26" s="802"/>
      <c r="N26" s="802"/>
      <c r="O26" s="802"/>
      <c r="P26" s="802"/>
      <c r="Q26" s="704"/>
      <c r="R26" s="740"/>
      <c r="S26" s="740"/>
      <c r="T26" s="740"/>
      <c r="U26" s="740"/>
      <c r="V26" s="740"/>
      <c r="W26" s="740"/>
      <c r="X26" s="740"/>
      <c r="Y26" s="740"/>
      <c r="Z26" s="740"/>
      <c r="AA26" s="740"/>
      <c r="AB26" s="740"/>
      <c r="AC26" s="740"/>
      <c r="AD26" s="740"/>
      <c r="AE26" s="740"/>
      <c r="AF26" s="740"/>
      <c r="AG26" s="740"/>
      <c r="AH26" s="740"/>
      <c r="AI26" s="740"/>
      <c r="AJ26" s="740"/>
      <c r="AK26" s="740"/>
      <c r="AL26" s="740"/>
      <c r="AM26" s="740"/>
      <c r="AN26" s="740"/>
      <c r="AO26" s="740"/>
      <c r="AP26" s="740"/>
      <c r="AQ26" s="740"/>
      <c r="AR26" s="740"/>
      <c r="AS26" s="740"/>
      <c r="AT26" s="740"/>
      <c r="AU26" s="740"/>
      <c r="AV26" s="740"/>
      <c r="AW26" s="740"/>
      <c r="AX26" s="740"/>
      <c r="AY26" s="740"/>
      <c r="AZ26" s="740"/>
      <c r="BA26" s="740"/>
      <c r="BB26" s="740"/>
      <c r="BC26" s="740"/>
      <c r="BD26" s="740"/>
      <c r="BE26" s="740"/>
      <c r="BF26" s="740"/>
      <c r="BG26" s="740"/>
      <c r="BH26" s="740"/>
      <c r="BI26" s="740"/>
      <c r="BJ26" s="740"/>
      <c r="BK26" s="740"/>
      <c r="BL26" s="740"/>
      <c r="BM26" s="740"/>
      <c r="BN26" s="740"/>
      <c r="BO26" s="740"/>
      <c r="BP26" s="740"/>
      <c r="BQ26" s="740"/>
      <c r="BR26" s="740"/>
      <c r="BS26" s="740"/>
      <c r="BT26" s="740"/>
      <c r="BU26" s="740"/>
      <c r="BV26" s="740"/>
    </row>
    <row r="27" spans="2:74" ht="14.85" customHeight="1">
      <c r="B27" s="778" t="s">
        <v>1765</v>
      </c>
      <c r="C27" s="747"/>
      <c r="D27" s="803"/>
      <c r="E27" s="740"/>
      <c r="F27" s="804">
        <f>+F16</f>
        <v>2018</v>
      </c>
      <c r="G27" s="805">
        <f>+F27+1</f>
        <v>2019</v>
      </c>
      <c r="H27" s="805">
        <f t="shared" ref="H27:O27" si="9">+G27+1</f>
        <v>2020</v>
      </c>
      <c r="I27" s="805">
        <f t="shared" si="9"/>
        <v>2021</v>
      </c>
      <c r="J27" s="805">
        <f t="shared" si="9"/>
        <v>2022</v>
      </c>
      <c r="K27" s="805">
        <f t="shared" si="9"/>
        <v>2023</v>
      </c>
      <c r="L27" s="805">
        <f t="shared" si="9"/>
        <v>2024</v>
      </c>
      <c r="M27" s="805">
        <f t="shared" si="9"/>
        <v>2025</v>
      </c>
      <c r="N27" s="805">
        <f t="shared" si="9"/>
        <v>2026</v>
      </c>
      <c r="O27" s="806">
        <f t="shared" si="9"/>
        <v>2027</v>
      </c>
      <c r="P27" s="806">
        <f>+O27+1</f>
        <v>2028</v>
      </c>
      <c r="Q27" s="751"/>
      <c r="R27" s="740"/>
      <c r="S27" s="740"/>
      <c r="T27" s="740"/>
      <c r="U27" s="740"/>
      <c r="V27" s="740"/>
      <c r="W27" s="740"/>
      <c r="X27" s="740"/>
      <c r="Y27" s="740"/>
      <c r="Z27" s="740"/>
      <c r="AA27" s="740"/>
      <c r="AB27" s="740"/>
      <c r="AC27" s="740"/>
      <c r="AD27" s="740"/>
      <c r="AE27" s="740"/>
      <c r="AF27" s="740"/>
      <c r="AG27" s="740"/>
      <c r="AH27" s="740"/>
      <c r="AI27" s="740"/>
      <c r="AJ27" s="740"/>
      <c r="AK27" s="740"/>
      <c r="AL27" s="740"/>
      <c r="AM27" s="740"/>
      <c r="AN27" s="740"/>
      <c r="AO27" s="740"/>
      <c r="AP27" s="740"/>
      <c r="AQ27" s="740"/>
      <c r="AR27" s="740"/>
      <c r="AS27" s="740"/>
      <c r="AT27" s="740"/>
      <c r="AU27" s="740"/>
      <c r="AV27" s="740"/>
      <c r="AW27" s="740"/>
      <c r="AX27" s="740"/>
      <c r="AY27" s="740"/>
      <c r="AZ27" s="740"/>
      <c r="BA27" s="740"/>
      <c r="BB27" s="740"/>
      <c r="BC27" s="740"/>
      <c r="BD27" s="740"/>
      <c r="BE27" s="740"/>
      <c r="BF27" s="740"/>
      <c r="BG27" s="740"/>
      <c r="BH27" s="740"/>
      <c r="BI27" s="740"/>
      <c r="BJ27" s="740"/>
      <c r="BK27" s="740"/>
      <c r="BL27" s="740"/>
      <c r="BM27" s="740"/>
      <c r="BN27" s="740"/>
      <c r="BO27" s="740"/>
      <c r="BP27" s="740"/>
      <c r="BQ27" s="740"/>
      <c r="BR27" s="740"/>
      <c r="BS27" s="740"/>
      <c r="BT27" s="740"/>
      <c r="BU27" s="740"/>
      <c r="BV27" s="740"/>
    </row>
    <row r="28" spans="2:74" ht="14.85" customHeight="1">
      <c r="B28" s="807"/>
      <c r="C28" s="808">
        <f>+F27</f>
        <v>2018</v>
      </c>
      <c r="D28" s="262">
        <f t="array" ref="D28:D37">TRANSPOSE(DCF!F51:O51)</f>
        <v>517.6461274852345</v>
      </c>
      <c r="E28" s="809"/>
      <c r="F28" s="810">
        <f ca="1">IF($C28&gt;F$27,0,$D28*HLOOKUP(F$27-$C28+1,$F$20:$P$25,ROWS($D$20:$D$25),FALSE))</f>
        <v>155.28089709238321</v>
      </c>
      <c r="G28" s="810">
        <f t="shared" ref="F28:P38" ca="1" si="10">IF($C28&gt;G$27,0,$D28*HLOOKUP(G$27-$C28+1,$F$20:$P$25,ROWS($D$20:$D$25),FALSE))</f>
        <v>213.98196794920881</v>
      </c>
      <c r="H28" s="810">
        <f t="shared" ca="1" si="10"/>
        <v>82.344557729713685</v>
      </c>
      <c r="I28" s="810">
        <f t="shared" ca="1" si="10"/>
        <v>43.676392006566665</v>
      </c>
      <c r="J28" s="810">
        <f t="shared" ca="1" si="10"/>
        <v>14.908208471574753</v>
      </c>
      <c r="K28" s="810">
        <f t="shared" ca="1" si="10"/>
        <v>7.4541042357873764</v>
      </c>
      <c r="L28" s="810">
        <f t="shared" ca="1" si="10"/>
        <v>0</v>
      </c>
      <c r="M28" s="810">
        <f t="shared" ca="1" si="10"/>
        <v>0</v>
      </c>
      <c r="N28" s="810">
        <f t="shared" ca="1" si="10"/>
        <v>0</v>
      </c>
      <c r="O28" s="810">
        <f t="shared" ca="1" si="10"/>
        <v>0</v>
      </c>
      <c r="P28" s="810">
        <f t="shared" ca="1" si="10"/>
        <v>0</v>
      </c>
      <c r="Q28" s="811"/>
      <c r="R28" s="803"/>
      <c r="S28" s="740"/>
      <c r="T28" s="740"/>
      <c r="U28" s="740"/>
      <c r="V28" s="740"/>
      <c r="W28" s="740"/>
      <c r="X28" s="740"/>
      <c r="Y28" s="740"/>
      <c r="Z28" s="740"/>
      <c r="AA28" s="740"/>
      <c r="AB28" s="740"/>
      <c r="AC28" s="740"/>
      <c r="AD28" s="740"/>
      <c r="AE28" s="740"/>
      <c r="AF28" s="740"/>
      <c r="AG28" s="740"/>
      <c r="AH28" s="740"/>
      <c r="AI28" s="740"/>
      <c r="AJ28" s="740"/>
      <c r="AK28" s="740"/>
      <c r="AL28" s="740"/>
      <c r="AM28" s="740"/>
      <c r="AN28" s="740"/>
      <c r="AO28" s="740"/>
      <c r="AP28" s="740"/>
      <c r="AQ28" s="740"/>
      <c r="AR28" s="740"/>
      <c r="AS28" s="740"/>
      <c r="AT28" s="740"/>
      <c r="AU28" s="740"/>
      <c r="AV28" s="740"/>
      <c r="AW28" s="740"/>
      <c r="AX28" s="740"/>
      <c r="AY28" s="740"/>
      <c r="AZ28" s="740"/>
      <c r="BA28" s="740"/>
      <c r="BB28" s="740"/>
      <c r="BC28" s="740"/>
      <c r="BD28" s="740"/>
      <c r="BE28" s="740"/>
      <c r="BF28" s="740"/>
      <c r="BG28" s="740"/>
      <c r="BH28" s="740"/>
      <c r="BI28" s="740"/>
      <c r="BJ28" s="740"/>
      <c r="BK28" s="740"/>
      <c r="BL28" s="740"/>
      <c r="BM28" s="740"/>
      <c r="BN28" s="740"/>
      <c r="BO28" s="740"/>
      <c r="BP28" s="740"/>
      <c r="BQ28" s="740"/>
      <c r="BR28" s="740"/>
      <c r="BS28" s="740"/>
      <c r="BT28" s="740"/>
      <c r="BU28" s="740"/>
      <c r="BV28" s="740"/>
    </row>
    <row r="29" spans="2:74" ht="14.85" customHeight="1">
      <c r="B29" s="807"/>
      <c r="C29" s="808">
        <f>C28+1</f>
        <v>2019</v>
      </c>
      <c r="D29" s="812">
        <v>1204.0487866981916</v>
      </c>
      <c r="E29" s="813"/>
      <c r="F29" s="810">
        <f t="shared" si="10"/>
        <v>0</v>
      </c>
      <c r="G29" s="810">
        <f t="shared" ca="1" si="10"/>
        <v>361.18453478979001</v>
      </c>
      <c r="H29" s="810">
        <f t="shared" ca="1" si="10"/>
        <v>497.72366720136495</v>
      </c>
      <c r="I29" s="810">
        <f t="shared" ca="1" si="10"/>
        <v>191.53406074401485</v>
      </c>
      <c r="J29" s="810">
        <f t="shared" ca="1" si="10"/>
        <v>101.59161637765993</v>
      </c>
      <c r="K29" s="810">
        <f t="shared" ca="1" si="10"/>
        <v>34.676605056907917</v>
      </c>
      <c r="L29" s="810">
        <f t="shared" ca="1" si="10"/>
        <v>17.338302528453958</v>
      </c>
      <c r="M29" s="810">
        <f t="shared" ca="1" si="10"/>
        <v>0</v>
      </c>
      <c r="N29" s="810">
        <f t="shared" ca="1" si="10"/>
        <v>0</v>
      </c>
      <c r="O29" s="810">
        <f t="shared" ca="1" si="10"/>
        <v>0</v>
      </c>
      <c r="P29" s="810">
        <f t="shared" ca="1" si="10"/>
        <v>0</v>
      </c>
      <c r="Q29" s="811"/>
      <c r="R29" s="740"/>
      <c r="S29" s="740"/>
      <c r="T29" s="740"/>
      <c r="U29" s="740"/>
      <c r="V29" s="740"/>
      <c r="W29" s="740"/>
      <c r="X29" s="740"/>
      <c r="Y29" s="740"/>
      <c r="Z29" s="740"/>
      <c r="AA29" s="740"/>
      <c r="AB29" s="740"/>
      <c r="AC29" s="740"/>
      <c r="AD29" s="740"/>
      <c r="AE29" s="740"/>
      <c r="AF29" s="740"/>
      <c r="AG29" s="740"/>
      <c r="AH29" s="740"/>
      <c r="AI29" s="740"/>
      <c r="AJ29" s="740"/>
      <c r="AK29" s="740"/>
      <c r="AL29" s="740"/>
      <c r="AM29" s="740"/>
      <c r="AN29" s="740"/>
      <c r="AO29" s="740"/>
      <c r="AP29" s="740"/>
      <c r="AQ29" s="740"/>
      <c r="AR29" s="740"/>
      <c r="AS29" s="740"/>
      <c r="AT29" s="740"/>
      <c r="AU29" s="740"/>
      <c r="AV29" s="740"/>
      <c r="AW29" s="740"/>
      <c r="AX29" s="740"/>
      <c r="AY29" s="740"/>
      <c r="AZ29" s="740"/>
      <c r="BA29" s="740"/>
      <c r="BB29" s="740"/>
      <c r="BC29" s="740"/>
      <c r="BD29" s="740"/>
      <c r="BE29" s="740"/>
      <c r="BF29" s="740"/>
      <c r="BG29" s="740"/>
      <c r="BH29" s="740"/>
      <c r="BI29" s="740"/>
      <c r="BJ29" s="740"/>
      <c r="BK29" s="740"/>
      <c r="BL29" s="740"/>
      <c r="BM29" s="740"/>
      <c r="BN29" s="740"/>
      <c r="BO29" s="740"/>
      <c r="BP29" s="740"/>
      <c r="BQ29" s="740"/>
      <c r="BR29" s="740"/>
      <c r="BS29" s="740"/>
      <c r="BT29" s="740"/>
      <c r="BU29" s="740"/>
      <c r="BV29" s="740"/>
    </row>
    <row r="30" spans="2:74" ht="14.85" customHeight="1">
      <c r="B30" s="807"/>
      <c r="C30" s="808">
        <f t="shared" ref="C30:C38" si="11">C29+1</f>
        <v>2020</v>
      </c>
      <c r="D30" s="812">
        <v>2747.0014109718854</v>
      </c>
      <c r="E30" s="813"/>
      <c r="F30" s="810">
        <f t="shared" si="10"/>
        <v>0</v>
      </c>
      <c r="G30" s="810">
        <f t="shared" si="10"/>
        <v>0</v>
      </c>
      <c r="H30" s="810">
        <f t="shared" ca="1" si="10"/>
        <v>824.03174825629128</v>
      </c>
      <c r="I30" s="810">
        <f t="shared" ca="1" si="10"/>
        <v>1135.5417082605031</v>
      </c>
      <c r="J30" s="810">
        <f t="shared" ca="1" si="10"/>
        <v>436.97924945035271</v>
      </c>
      <c r="K30" s="810">
        <f t="shared" ca="1" si="10"/>
        <v>231.77824405075285</v>
      </c>
      <c r="L30" s="810">
        <f t="shared" ca="1" si="10"/>
        <v>79.113640635990294</v>
      </c>
      <c r="M30" s="810">
        <f t="shared" ca="1" si="10"/>
        <v>39.556820317995147</v>
      </c>
      <c r="N30" s="810">
        <f t="shared" ca="1" si="10"/>
        <v>0</v>
      </c>
      <c r="O30" s="810">
        <f t="shared" ca="1" si="10"/>
        <v>0</v>
      </c>
      <c r="P30" s="810">
        <f t="shared" ca="1" si="10"/>
        <v>0</v>
      </c>
      <c r="Q30" s="811"/>
      <c r="R30" s="740"/>
      <c r="S30" s="740"/>
      <c r="T30" s="740"/>
      <c r="U30" s="740"/>
      <c r="V30" s="740"/>
      <c r="W30" s="740"/>
      <c r="X30" s="740"/>
      <c r="Y30" s="740"/>
      <c r="Z30" s="740"/>
      <c r="AA30" s="740"/>
      <c r="AB30" s="740"/>
      <c r="AC30" s="740"/>
      <c r="AD30" s="740"/>
      <c r="AE30" s="740"/>
      <c r="AF30" s="740"/>
      <c r="AG30" s="740"/>
      <c r="AH30" s="740"/>
      <c r="AI30" s="740"/>
      <c r="AJ30" s="740"/>
      <c r="AK30" s="740"/>
      <c r="AL30" s="740"/>
      <c r="AM30" s="740"/>
      <c r="AN30" s="740"/>
      <c r="AO30" s="740"/>
      <c r="AP30" s="740"/>
      <c r="AQ30" s="740"/>
      <c r="AR30" s="740"/>
      <c r="AS30" s="740"/>
      <c r="AT30" s="740"/>
      <c r="AU30" s="740"/>
      <c r="AV30" s="740"/>
      <c r="AW30" s="740"/>
      <c r="AX30" s="740"/>
      <c r="AY30" s="740"/>
      <c r="AZ30" s="740"/>
      <c r="BA30" s="740"/>
      <c r="BB30" s="740"/>
      <c r="BC30" s="740"/>
      <c r="BD30" s="740"/>
      <c r="BE30" s="740"/>
      <c r="BF30" s="740"/>
      <c r="BG30" s="740"/>
      <c r="BH30" s="740"/>
      <c r="BI30" s="740"/>
      <c r="BJ30" s="740"/>
      <c r="BK30" s="740"/>
      <c r="BL30" s="740"/>
      <c r="BM30" s="740"/>
      <c r="BN30" s="740"/>
      <c r="BO30" s="740"/>
      <c r="BP30" s="740"/>
      <c r="BQ30" s="740"/>
      <c r="BR30" s="740"/>
      <c r="BS30" s="740"/>
      <c r="BT30" s="740"/>
      <c r="BU30" s="740"/>
      <c r="BV30" s="740"/>
    </row>
    <row r="31" spans="2:74" ht="14.85" customHeight="1">
      <c r="B31" s="807"/>
      <c r="C31" s="808">
        <f t="shared" si="11"/>
        <v>2021</v>
      </c>
      <c r="D31" s="812">
        <v>4863.4814668747067</v>
      </c>
      <c r="E31" s="813"/>
      <c r="F31" s="810">
        <f t="shared" si="10"/>
        <v>0</v>
      </c>
      <c r="G31" s="810">
        <f t="shared" si="10"/>
        <v>0</v>
      </c>
      <c r="H31" s="810">
        <f t="shared" si="10"/>
        <v>0</v>
      </c>
      <c r="I31" s="810">
        <f t="shared" ca="1" si="10"/>
        <v>1458.9228530257401</v>
      </c>
      <c r="J31" s="810">
        <f t="shared" ca="1" si="10"/>
        <v>2010.4416513693318</v>
      </c>
      <c r="K31" s="810">
        <f t="shared" ca="1" si="10"/>
        <v>773.65831434309405</v>
      </c>
      <c r="L31" s="810">
        <f t="shared" ca="1" si="10"/>
        <v>410.35624876755338</v>
      </c>
      <c r="M31" s="810">
        <f t="shared" ca="1" si="10"/>
        <v>140.06826624599154</v>
      </c>
      <c r="N31" s="810">
        <f t="shared" ca="1" si="10"/>
        <v>70.034133122995769</v>
      </c>
      <c r="O31" s="810">
        <f t="shared" ca="1" si="10"/>
        <v>0</v>
      </c>
      <c r="P31" s="810">
        <f t="shared" ca="1" si="10"/>
        <v>0</v>
      </c>
      <c r="Q31" s="811"/>
      <c r="R31" s="740"/>
      <c r="S31" s="740"/>
      <c r="T31" s="740"/>
      <c r="U31" s="740"/>
      <c r="V31" s="740"/>
      <c r="W31" s="740"/>
      <c r="X31" s="740"/>
      <c r="Y31" s="740"/>
      <c r="Z31" s="740"/>
      <c r="AA31" s="740"/>
      <c r="AB31" s="740"/>
      <c r="AC31" s="740"/>
      <c r="AD31" s="740"/>
      <c r="AE31" s="740"/>
      <c r="AF31" s="740"/>
      <c r="AG31" s="740"/>
      <c r="AH31" s="740"/>
      <c r="AI31" s="740"/>
      <c r="AJ31" s="740"/>
      <c r="AK31" s="740"/>
      <c r="AL31" s="740"/>
      <c r="AM31" s="740"/>
      <c r="AN31" s="740"/>
      <c r="AO31" s="740"/>
      <c r="AP31" s="740"/>
      <c r="AQ31" s="740"/>
      <c r="AR31" s="740"/>
      <c r="AS31" s="740"/>
      <c r="AT31" s="740"/>
      <c r="AU31" s="740"/>
      <c r="AV31" s="740"/>
      <c r="AW31" s="740"/>
      <c r="AX31" s="740"/>
      <c r="AY31" s="740"/>
      <c r="AZ31" s="740"/>
      <c r="BA31" s="740"/>
      <c r="BB31" s="740"/>
      <c r="BC31" s="740"/>
      <c r="BD31" s="740"/>
      <c r="BE31" s="740"/>
      <c r="BF31" s="740"/>
      <c r="BG31" s="740"/>
      <c r="BH31" s="740"/>
      <c r="BI31" s="740"/>
      <c r="BJ31" s="740"/>
      <c r="BK31" s="740"/>
      <c r="BL31" s="740"/>
      <c r="BM31" s="740"/>
      <c r="BN31" s="740"/>
      <c r="BO31" s="740"/>
      <c r="BP31" s="740"/>
      <c r="BQ31" s="740"/>
      <c r="BR31" s="740"/>
      <c r="BS31" s="740"/>
      <c r="BT31" s="740"/>
      <c r="BU31" s="740"/>
      <c r="BV31" s="740"/>
    </row>
    <row r="32" spans="2:74" ht="14.85" customHeight="1">
      <c r="B32" s="807"/>
      <c r="C32" s="808">
        <f t="shared" si="11"/>
        <v>2022</v>
      </c>
      <c r="D32" s="812">
        <v>7538.3962736557951</v>
      </c>
      <c r="E32" s="813"/>
      <c r="F32" s="810">
        <f t="shared" si="10"/>
        <v>0</v>
      </c>
      <c r="G32" s="810">
        <f t="shared" si="10"/>
        <v>0</v>
      </c>
      <c r="H32" s="810">
        <f t="shared" si="10"/>
        <v>0</v>
      </c>
      <c r="I32" s="810">
        <f t="shared" si="10"/>
        <v>0</v>
      </c>
      <c r="J32" s="810">
        <f t="shared" ca="1" si="10"/>
        <v>2261.330422189897</v>
      </c>
      <c r="K32" s="810">
        <f t="shared" ca="1" si="10"/>
        <v>3116.1845596224643</v>
      </c>
      <c r="L32" s="810">
        <f t="shared" ca="1" si="10"/>
        <v>1199.1703872317958</v>
      </c>
      <c r="M32" s="810">
        <f t="shared" ca="1" si="10"/>
        <v>636.05218558970773</v>
      </c>
      <c r="N32" s="810">
        <f t="shared" ca="1" si="10"/>
        <v>217.10581268128689</v>
      </c>
      <c r="O32" s="810">
        <f t="shared" ca="1" si="10"/>
        <v>108.55290634064345</v>
      </c>
      <c r="P32" s="810">
        <f t="shared" ca="1" si="10"/>
        <v>0</v>
      </c>
      <c r="Q32" s="811"/>
      <c r="R32" s="740"/>
      <c r="S32" s="740"/>
      <c r="T32" s="740"/>
      <c r="U32" s="740"/>
      <c r="V32" s="740"/>
      <c r="W32" s="740"/>
      <c r="X32" s="740"/>
      <c r="Y32" s="740"/>
      <c r="Z32" s="740"/>
      <c r="AA32" s="740"/>
      <c r="AB32" s="740"/>
      <c r="AC32" s="740"/>
      <c r="AD32" s="740"/>
      <c r="AE32" s="740"/>
      <c r="AF32" s="740"/>
      <c r="AG32" s="740"/>
      <c r="AH32" s="740"/>
      <c r="AI32" s="740"/>
      <c r="AJ32" s="740"/>
      <c r="AK32" s="740"/>
      <c r="AL32" s="740"/>
      <c r="AM32" s="740"/>
      <c r="AN32" s="740"/>
      <c r="AO32" s="740"/>
      <c r="AP32" s="740"/>
      <c r="AQ32" s="740"/>
      <c r="AR32" s="740"/>
      <c r="AS32" s="740"/>
      <c r="AT32" s="740"/>
      <c r="AU32" s="740"/>
      <c r="AV32" s="740"/>
      <c r="AW32" s="740"/>
      <c r="AX32" s="740"/>
      <c r="AY32" s="740"/>
      <c r="AZ32" s="740"/>
      <c r="BA32" s="740"/>
      <c r="BB32" s="740"/>
      <c r="BC32" s="740"/>
      <c r="BD32" s="740"/>
      <c r="BE32" s="740"/>
      <c r="BF32" s="740"/>
      <c r="BG32" s="740"/>
      <c r="BH32" s="740"/>
      <c r="BI32" s="740"/>
      <c r="BJ32" s="740"/>
      <c r="BK32" s="740"/>
      <c r="BL32" s="740"/>
      <c r="BM32" s="740"/>
      <c r="BN32" s="740"/>
      <c r="BO32" s="740"/>
      <c r="BP32" s="740"/>
      <c r="BQ32" s="740"/>
      <c r="BR32" s="740"/>
      <c r="BS32" s="740"/>
      <c r="BT32" s="740"/>
      <c r="BU32" s="740"/>
      <c r="BV32" s="740"/>
    </row>
    <row r="33" spans="1:74" ht="14.85" customHeight="1">
      <c r="B33" s="807"/>
      <c r="C33" s="808">
        <f t="shared" si="11"/>
        <v>2023</v>
      </c>
      <c r="D33" s="812">
        <v>10553.754783118113</v>
      </c>
      <c r="E33" s="813"/>
      <c r="F33" s="810">
        <f t="shared" si="10"/>
        <v>0</v>
      </c>
      <c r="G33" s="810">
        <f t="shared" si="10"/>
        <v>0</v>
      </c>
      <c r="H33" s="810">
        <f t="shared" si="10"/>
        <v>0</v>
      </c>
      <c r="I33" s="810">
        <f t="shared" si="10"/>
        <v>0</v>
      </c>
      <c r="J33" s="810">
        <f t="shared" si="10"/>
        <v>0</v>
      </c>
      <c r="K33" s="810">
        <f t="shared" ca="1" si="10"/>
        <v>3165.8625910658557</v>
      </c>
      <c r="L33" s="810">
        <f t="shared" ca="1" si="10"/>
        <v>4362.6583834714502</v>
      </c>
      <c r="M33" s="810">
        <f t="shared" ca="1" si="10"/>
        <v>1678.8385421245141</v>
      </c>
      <c r="N33" s="810">
        <f t="shared" ca="1" si="10"/>
        <v>890.47305982559078</v>
      </c>
      <c r="O33" s="810">
        <f t="shared" ca="1" si="10"/>
        <v>303.94813775380163</v>
      </c>
      <c r="P33" s="810">
        <f t="shared" ca="1" si="10"/>
        <v>151.97406887690082</v>
      </c>
      <c r="Q33" s="811"/>
      <c r="R33" s="740"/>
      <c r="S33" s="740"/>
      <c r="T33" s="740"/>
      <c r="U33" s="740"/>
      <c r="V33" s="740"/>
      <c r="W33" s="740"/>
      <c r="X33" s="740"/>
      <c r="Y33" s="740"/>
      <c r="Z33" s="740"/>
      <c r="AA33" s="740"/>
      <c r="AB33" s="740"/>
      <c r="AC33" s="740"/>
      <c r="AD33" s="740"/>
      <c r="AE33" s="740"/>
      <c r="AF33" s="740"/>
      <c r="AG33" s="740"/>
      <c r="AH33" s="740"/>
      <c r="AI33" s="740"/>
      <c r="AJ33" s="740"/>
      <c r="AK33" s="740"/>
      <c r="AL33" s="740"/>
      <c r="AM33" s="740"/>
      <c r="AN33" s="740"/>
      <c r="AO33" s="740"/>
      <c r="AP33" s="740"/>
      <c r="AQ33" s="740"/>
      <c r="AR33" s="740"/>
      <c r="AS33" s="740"/>
      <c r="AT33" s="740"/>
      <c r="AU33" s="740"/>
      <c r="AV33" s="740"/>
      <c r="AW33" s="740"/>
      <c r="AX33" s="740"/>
      <c r="AY33" s="740"/>
      <c r="AZ33" s="740"/>
      <c r="BA33" s="740"/>
      <c r="BB33" s="740"/>
      <c r="BC33" s="740"/>
      <c r="BD33" s="740"/>
      <c r="BE33" s="740"/>
      <c r="BF33" s="740"/>
      <c r="BG33" s="740"/>
      <c r="BH33" s="740"/>
      <c r="BI33" s="740"/>
      <c r="BJ33" s="740"/>
      <c r="BK33" s="740"/>
      <c r="BL33" s="740"/>
      <c r="BM33" s="740"/>
      <c r="BN33" s="740"/>
      <c r="BO33" s="740"/>
      <c r="BP33" s="740"/>
      <c r="BQ33" s="740"/>
      <c r="BR33" s="740"/>
      <c r="BS33" s="740"/>
      <c r="BT33" s="740"/>
      <c r="BU33" s="740"/>
      <c r="BV33" s="740"/>
    </row>
    <row r="34" spans="1:74" ht="14.85" customHeight="1">
      <c r="B34" s="807"/>
      <c r="C34" s="808">
        <f t="shared" si="11"/>
        <v>2024</v>
      </c>
      <c r="D34" s="812">
        <v>13719.881218053546</v>
      </c>
      <c r="E34" s="813"/>
      <c r="F34" s="810">
        <f t="shared" si="10"/>
        <v>0</v>
      </c>
      <c r="G34" s="810">
        <f t="shared" si="10"/>
        <v>0</v>
      </c>
      <c r="H34" s="810">
        <f t="shared" si="10"/>
        <v>0</v>
      </c>
      <c r="I34" s="810">
        <f t="shared" si="10"/>
        <v>0</v>
      </c>
      <c r="J34" s="810">
        <f t="shared" si="10"/>
        <v>0</v>
      </c>
      <c r="K34" s="810">
        <f t="shared" si="10"/>
        <v>0</v>
      </c>
      <c r="L34" s="810">
        <f t="shared" ca="1" si="10"/>
        <v>4115.6213683856122</v>
      </c>
      <c r="M34" s="810">
        <f t="shared" ca="1" si="10"/>
        <v>5671.4558985128842</v>
      </c>
      <c r="N34" s="810">
        <f t="shared" ca="1" si="10"/>
        <v>2182.4901047618682</v>
      </c>
      <c r="O34" s="810">
        <f t="shared" ca="1" si="10"/>
        <v>1157.614977773268</v>
      </c>
      <c r="P34" s="810">
        <f t="shared" ca="1" si="10"/>
        <v>395.1325790799421</v>
      </c>
      <c r="Q34" s="811"/>
      <c r="R34" s="740"/>
      <c r="S34" s="740"/>
      <c r="T34" s="740"/>
      <c r="U34" s="740"/>
      <c r="V34" s="740"/>
      <c r="W34" s="740"/>
      <c r="X34" s="740"/>
      <c r="Y34" s="740"/>
      <c r="Z34" s="740"/>
      <c r="AA34" s="740"/>
      <c r="AB34" s="740"/>
      <c r="AC34" s="740"/>
      <c r="AD34" s="740"/>
      <c r="AE34" s="740"/>
      <c r="AF34" s="740"/>
      <c r="AG34" s="740"/>
      <c r="AH34" s="740"/>
      <c r="AI34" s="740"/>
      <c r="AJ34" s="740"/>
      <c r="AK34" s="740"/>
      <c r="AL34" s="740"/>
      <c r="AM34" s="740"/>
      <c r="AN34" s="740"/>
      <c r="AO34" s="740"/>
      <c r="AP34" s="740"/>
      <c r="AQ34" s="740"/>
      <c r="AR34" s="740"/>
      <c r="AS34" s="740"/>
      <c r="AT34" s="740"/>
      <c r="AU34" s="740"/>
      <c r="AV34" s="740"/>
      <c r="AW34" s="740"/>
      <c r="AX34" s="740"/>
      <c r="AY34" s="740"/>
      <c r="AZ34" s="740"/>
      <c r="BA34" s="740"/>
      <c r="BB34" s="740"/>
      <c r="BC34" s="740"/>
      <c r="BD34" s="740"/>
      <c r="BE34" s="740"/>
      <c r="BF34" s="740"/>
      <c r="BG34" s="740"/>
      <c r="BH34" s="740"/>
      <c r="BI34" s="740"/>
      <c r="BJ34" s="740"/>
      <c r="BK34" s="740"/>
      <c r="BL34" s="740"/>
      <c r="BM34" s="740"/>
      <c r="BN34" s="740"/>
      <c r="BO34" s="740"/>
      <c r="BP34" s="740"/>
      <c r="BQ34" s="740"/>
      <c r="BR34" s="740"/>
      <c r="BS34" s="740"/>
      <c r="BT34" s="740"/>
      <c r="BU34" s="740"/>
      <c r="BV34" s="740"/>
    </row>
    <row r="35" spans="1:74" ht="14.85" customHeight="1">
      <c r="B35" s="807"/>
      <c r="C35" s="808">
        <f t="shared" si="11"/>
        <v>2025</v>
      </c>
      <c r="D35" s="812">
        <v>16463.857461664255</v>
      </c>
      <c r="E35" s="813"/>
      <c r="F35" s="810">
        <f t="shared" si="10"/>
        <v>0</v>
      </c>
      <c r="G35" s="810">
        <f t="shared" si="10"/>
        <v>0</v>
      </c>
      <c r="H35" s="810">
        <f t="shared" si="10"/>
        <v>0</v>
      </c>
      <c r="I35" s="810">
        <f t="shared" si="10"/>
        <v>0</v>
      </c>
      <c r="J35" s="810">
        <f t="shared" si="10"/>
        <v>0</v>
      </c>
      <c r="K35" s="810">
        <f t="shared" si="10"/>
        <v>0</v>
      </c>
      <c r="L35" s="810">
        <f t="shared" si="10"/>
        <v>0</v>
      </c>
      <c r="M35" s="810">
        <f t="shared" ca="1" si="10"/>
        <v>4938.745642062735</v>
      </c>
      <c r="N35" s="810">
        <f t="shared" ca="1" si="10"/>
        <v>6805.7470782154614</v>
      </c>
      <c r="O35" s="810">
        <f t="shared" ca="1" si="10"/>
        <v>2618.9881257142415</v>
      </c>
      <c r="P35" s="810">
        <f t="shared" ca="1" si="10"/>
        <v>1389.1379733279216</v>
      </c>
      <c r="Q35" s="811"/>
      <c r="R35" s="740"/>
      <c r="S35" s="740"/>
      <c r="T35" s="740"/>
      <c r="U35" s="740"/>
      <c r="V35" s="740"/>
      <c r="W35" s="740"/>
      <c r="X35" s="740"/>
      <c r="Y35" s="740"/>
      <c r="Z35" s="740"/>
      <c r="AA35" s="740"/>
      <c r="AB35" s="740"/>
      <c r="AC35" s="740"/>
      <c r="AD35" s="740"/>
      <c r="AE35" s="740"/>
      <c r="AF35" s="740"/>
      <c r="AG35" s="740"/>
      <c r="AH35" s="740"/>
      <c r="AI35" s="740"/>
      <c r="AJ35" s="740"/>
      <c r="AK35" s="740"/>
      <c r="AL35" s="740"/>
      <c r="AM35" s="740"/>
      <c r="AN35" s="740"/>
      <c r="AO35" s="740"/>
      <c r="AP35" s="740"/>
      <c r="AQ35" s="740"/>
      <c r="AR35" s="740"/>
      <c r="AS35" s="740"/>
      <c r="AT35" s="740"/>
      <c r="AU35" s="740"/>
      <c r="AV35" s="740"/>
      <c r="AW35" s="740"/>
      <c r="AX35" s="740"/>
      <c r="AY35" s="740"/>
      <c r="AZ35" s="740"/>
      <c r="BA35" s="740"/>
      <c r="BB35" s="740"/>
      <c r="BC35" s="740"/>
      <c r="BD35" s="740"/>
      <c r="BE35" s="740"/>
      <c r="BF35" s="740"/>
      <c r="BG35" s="740"/>
      <c r="BH35" s="740"/>
      <c r="BI35" s="740"/>
      <c r="BJ35" s="740"/>
      <c r="BK35" s="740"/>
      <c r="BL35" s="740"/>
      <c r="BM35" s="740"/>
      <c r="BN35" s="740"/>
      <c r="BO35" s="740"/>
      <c r="BP35" s="740"/>
      <c r="BQ35" s="740"/>
      <c r="BR35" s="740"/>
      <c r="BS35" s="740"/>
      <c r="BT35" s="740"/>
      <c r="BU35" s="740"/>
      <c r="BV35" s="740"/>
    </row>
    <row r="36" spans="1:74" ht="14.85" customHeight="1">
      <c r="B36" s="807"/>
      <c r="C36" s="808">
        <f t="shared" si="11"/>
        <v>2026</v>
      </c>
      <c r="D36" s="812">
        <v>18110.243207830681</v>
      </c>
      <c r="E36" s="813"/>
      <c r="F36" s="810">
        <f t="shared" si="10"/>
        <v>0</v>
      </c>
      <c r="G36" s="810">
        <f t="shared" si="10"/>
        <v>0</v>
      </c>
      <c r="H36" s="810">
        <f t="shared" si="10"/>
        <v>0</v>
      </c>
      <c r="I36" s="810">
        <f t="shared" si="10"/>
        <v>0</v>
      </c>
      <c r="J36" s="810">
        <f t="shared" si="10"/>
        <v>0</v>
      </c>
      <c r="K36" s="810">
        <f t="shared" si="10"/>
        <v>0</v>
      </c>
      <c r="L36" s="810">
        <f t="shared" si="10"/>
        <v>0</v>
      </c>
      <c r="M36" s="810">
        <f t="shared" si="10"/>
        <v>0</v>
      </c>
      <c r="N36" s="810">
        <f t="shared" ca="1" si="10"/>
        <v>5432.6202062690081</v>
      </c>
      <c r="O36" s="810">
        <f t="shared" ca="1" si="10"/>
        <v>7486.3217860370078</v>
      </c>
      <c r="P36" s="810">
        <f t="shared" ca="1" si="10"/>
        <v>2880.886938285666</v>
      </c>
      <c r="Q36" s="811"/>
      <c r="R36" s="740"/>
      <c r="S36" s="740"/>
      <c r="T36" s="740"/>
      <c r="U36" s="740"/>
      <c r="V36" s="740"/>
      <c r="W36" s="740"/>
      <c r="X36" s="740"/>
      <c r="Y36" s="740"/>
      <c r="Z36" s="740"/>
      <c r="AA36" s="740"/>
      <c r="AB36" s="740"/>
      <c r="AC36" s="740"/>
      <c r="AD36" s="740"/>
      <c r="AE36" s="740"/>
      <c r="AF36" s="740"/>
      <c r="AG36" s="740"/>
      <c r="AH36" s="740"/>
      <c r="AI36" s="740"/>
      <c r="AJ36" s="740"/>
      <c r="AK36" s="740"/>
      <c r="AL36" s="740"/>
      <c r="AM36" s="740"/>
      <c r="AN36" s="740"/>
      <c r="AO36" s="740"/>
      <c r="AP36" s="740"/>
      <c r="AQ36" s="740"/>
      <c r="AR36" s="740"/>
      <c r="AS36" s="740"/>
      <c r="AT36" s="740"/>
      <c r="AU36" s="740"/>
      <c r="AV36" s="740"/>
      <c r="AW36" s="740"/>
      <c r="AX36" s="740"/>
      <c r="AY36" s="740"/>
      <c r="AZ36" s="740"/>
      <c r="BA36" s="740"/>
      <c r="BB36" s="740"/>
      <c r="BC36" s="740"/>
      <c r="BD36" s="740"/>
      <c r="BE36" s="740"/>
      <c r="BF36" s="740"/>
      <c r="BG36" s="740"/>
      <c r="BH36" s="740"/>
      <c r="BI36" s="740"/>
      <c r="BJ36" s="740"/>
      <c r="BK36" s="740"/>
      <c r="BL36" s="740"/>
      <c r="BM36" s="740"/>
      <c r="BN36" s="740"/>
      <c r="BO36" s="740"/>
      <c r="BP36" s="740"/>
      <c r="BQ36" s="740"/>
      <c r="BR36" s="740"/>
      <c r="BS36" s="740"/>
      <c r="BT36" s="740"/>
      <c r="BU36" s="740"/>
      <c r="BV36" s="740"/>
    </row>
    <row r="37" spans="1:74" ht="14.85" customHeight="1">
      <c r="B37" s="807"/>
      <c r="C37" s="808">
        <f t="shared" si="11"/>
        <v>2027</v>
      </c>
      <c r="D37" s="812">
        <v>19015.755368222217</v>
      </c>
      <c r="E37" s="813"/>
      <c r="F37" s="810">
        <f t="shared" si="10"/>
        <v>0</v>
      </c>
      <c r="G37" s="810">
        <f t="shared" si="10"/>
        <v>0</v>
      </c>
      <c r="H37" s="810">
        <f t="shared" si="10"/>
        <v>0</v>
      </c>
      <c r="I37" s="810">
        <f t="shared" si="10"/>
        <v>0</v>
      </c>
      <c r="J37" s="810">
        <f t="shared" si="10"/>
        <v>0</v>
      </c>
      <c r="K37" s="810">
        <f t="shared" si="10"/>
        <v>0</v>
      </c>
      <c r="L37" s="810">
        <f t="shared" si="10"/>
        <v>0</v>
      </c>
      <c r="M37" s="810">
        <f t="shared" si="10"/>
        <v>0</v>
      </c>
      <c r="N37" s="810">
        <f t="shared" si="10"/>
        <v>0</v>
      </c>
      <c r="O37" s="810">
        <f t="shared" ca="1" si="10"/>
        <v>5704.2512165824592</v>
      </c>
      <c r="P37" s="810">
        <f t="shared" ca="1" si="10"/>
        <v>7860.637875338859</v>
      </c>
      <c r="Q37" s="811"/>
      <c r="R37" s="740"/>
      <c r="S37" s="740"/>
      <c r="T37" s="740"/>
      <c r="U37" s="740"/>
      <c r="V37" s="740"/>
      <c r="W37" s="740"/>
      <c r="X37" s="740"/>
      <c r="Y37" s="740"/>
      <c r="Z37" s="740"/>
      <c r="AA37" s="740"/>
      <c r="AB37" s="740"/>
      <c r="AC37" s="740"/>
      <c r="AD37" s="740"/>
      <c r="AE37" s="740"/>
      <c r="AF37" s="740"/>
      <c r="AG37" s="740"/>
      <c r="AH37" s="740"/>
      <c r="AI37" s="740"/>
      <c r="AJ37" s="740"/>
      <c r="AK37" s="740"/>
      <c r="AL37" s="740"/>
      <c r="AM37" s="740"/>
      <c r="AN37" s="740"/>
      <c r="AO37" s="740"/>
      <c r="AP37" s="740"/>
      <c r="AQ37" s="740"/>
      <c r="AR37" s="740"/>
      <c r="AS37" s="740"/>
      <c r="AT37" s="740"/>
      <c r="AU37" s="740"/>
      <c r="AV37" s="740"/>
      <c r="AW37" s="740"/>
      <c r="AX37" s="740"/>
      <c r="AY37" s="740"/>
      <c r="AZ37" s="740"/>
      <c r="BA37" s="740"/>
      <c r="BB37" s="740"/>
      <c r="BC37" s="740"/>
      <c r="BD37" s="740"/>
      <c r="BE37" s="740"/>
      <c r="BF37" s="740"/>
      <c r="BG37" s="740"/>
      <c r="BH37" s="740"/>
      <c r="BI37" s="740"/>
      <c r="BJ37" s="740"/>
      <c r="BK37" s="740"/>
      <c r="BL37" s="740"/>
      <c r="BM37" s="740"/>
      <c r="BN37" s="740"/>
      <c r="BO37" s="740"/>
      <c r="BP37" s="740"/>
      <c r="BQ37" s="740"/>
      <c r="BR37" s="740"/>
      <c r="BS37" s="740"/>
      <c r="BT37" s="740"/>
      <c r="BU37" s="740"/>
      <c r="BV37" s="740"/>
    </row>
    <row r="38" spans="1:74" ht="14.85" customHeight="1" outlineLevel="1">
      <c r="B38" s="807"/>
      <c r="C38" s="808">
        <f t="shared" si="11"/>
        <v>2028</v>
      </c>
      <c r="D38" s="814"/>
      <c r="E38" s="813"/>
      <c r="F38" s="810">
        <f t="shared" si="10"/>
        <v>0</v>
      </c>
      <c r="G38" s="810">
        <f t="shared" si="10"/>
        <v>0</v>
      </c>
      <c r="H38" s="810">
        <f t="shared" si="10"/>
        <v>0</v>
      </c>
      <c r="I38" s="810">
        <f t="shared" si="10"/>
        <v>0</v>
      </c>
      <c r="J38" s="810">
        <f t="shared" si="10"/>
        <v>0</v>
      </c>
      <c r="K38" s="810">
        <f t="shared" si="10"/>
        <v>0</v>
      </c>
      <c r="L38" s="810">
        <f t="shared" si="10"/>
        <v>0</v>
      </c>
      <c r="M38" s="810">
        <f t="shared" si="10"/>
        <v>0</v>
      </c>
      <c r="N38" s="810">
        <f t="shared" si="10"/>
        <v>0</v>
      </c>
      <c r="O38" s="810">
        <f t="shared" si="10"/>
        <v>0</v>
      </c>
      <c r="P38" s="810">
        <f ca="1">IF($C38&gt;P$27,0,$D38*HLOOKUP(P$27-$C38+1,$F$20:$P$25,ROWS($D$20:$D$25),FALSE))</f>
        <v>0</v>
      </c>
      <c r="Q38" s="811"/>
      <c r="R38" s="740"/>
      <c r="S38" s="740"/>
      <c r="T38" s="740"/>
      <c r="U38" s="740"/>
      <c r="V38" s="740"/>
      <c r="W38" s="740"/>
      <c r="X38" s="740"/>
      <c r="Y38" s="740"/>
      <c r="Z38" s="740"/>
      <c r="AA38" s="740"/>
      <c r="AB38" s="740"/>
      <c r="AC38" s="740"/>
      <c r="AD38" s="740"/>
      <c r="AE38" s="740"/>
      <c r="AF38" s="740"/>
      <c r="AG38" s="740"/>
      <c r="AH38" s="740"/>
      <c r="AI38" s="740"/>
      <c r="AJ38" s="740"/>
      <c r="AK38" s="740"/>
      <c r="AL38" s="740"/>
      <c r="AM38" s="740"/>
      <c r="AN38" s="740"/>
      <c r="AO38" s="740"/>
      <c r="AP38" s="740"/>
      <c r="AQ38" s="740"/>
      <c r="AR38" s="740"/>
      <c r="AS38" s="740"/>
      <c r="AT38" s="740"/>
      <c r="AU38" s="740"/>
      <c r="AV38" s="740"/>
      <c r="AW38" s="740"/>
      <c r="AX38" s="740"/>
      <c r="AY38" s="740"/>
      <c r="AZ38" s="740"/>
      <c r="BA38" s="740"/>
      <c r="BB38" s="740"/>
      <c r="BC38" s="740"/>
      <c r="BD38" s="740"/>
      <c r="BE38" s="740"/>
      <c r="BF38" s="740"/>
      <c r="BG38" s="740"/>
      <c r="BH38" s="740"/>
      <c r="BI38" s="740"/>
      <c r="BJ38" s="740"/>
      <c r="BK38" s="740"/>
      <c r="BL38" s="740"/>
      <c r="BM38" s="740"/>
      <c r="BN38" s="740"/>
      <c r="BO38" s="740"/>
      <c r="BP38" s="740"/>
      <c r="BQ38" s="740"/>
      <c r="BR38" s="740"/>
      <c r="BS38" s="740"/>
      <c r="BT38" s="740"/>
      <c r="BU38" s="740"/>
      <c r="BV38" s="740"/>
    </row>
    <row r="39" spans="1:74" ht="14.85" customHeight="1">
      <c r="B39" s="815"/>
      <c r="C39" s="816"/>
      <c r="D39" s="740"/>
      <c r="E39" s="740"/>
      <c r="F39" s="810"/>
      <c r="G39" s="810"/>
      <c r="H39" s="810"/>
      <c r="I39" s="810"/>
      <c r="J39" s="810"/>
      <c r="K39" s="810"/>
      <c r="L39" s="810"/>
      <c r="M39" s="810"/>
      <c r="N39" s="810"/>
      <c r="O39" s="810"/>
      <c r="P39" s="810"/>
      <c r="Q39" s="817"/>
      <c r="R39" s="740"/>
      <c r="S39" s="740"/>
      <c r="T39" s="740"/>
      <c r="U39" s="740"/>
      <c r="V39" s="740"/>
      <c r="W39" s="740"/>
      <c r="X39" s="740"/>
      <c r="Y39" s="740"/>
      <c r="Z39" s="740"/>
      <c r="AA39" s="740"/>
      <c r="AB39" s="740"/>
      <c r="AC39" s="740"/>
      <c r="AD39" s="740"/>
      <c r="AE39" s="740"/>
      <c r="AF39" s="740"/>
      <c r="AG39" s="740"/>
      <c r="AH39" s="740"/>
      <c r="AI39" s="740"/>
      <c r="AJ39" s="740"/>
      <c r="AK39" s="740"/>
      <c r="AL39" s="740"/>
      <c r="AM39" s="740"/>
      <c r="AN39" s="740"/>
      <c r="AO39" s="740"/>
      <c r="AP39" s="740"/>
      <c r="AQ39" s="740"/>
      <c r="AR39" s="740"/>
      <c r="AS39" s="740"/>
      <c r="AT39" s="740"/>
      <c r="AU39" s="740"/>
      <c r="AV39" s="740"/>
      <c r="AW39" s="740"/>
      <c r="AX39" s="740"/>
      <c r="AY39" s="740"/>
      <c r="AZ39" s="740"/>
      <c r="BA39" s="740"/>
      <c r="BB39" s="740"/>
      <c r="BC39" s="740"/>
      <c r="BD39" s="740"/>
      <c r="BE39" s="740"/>
      <c r="BF39" s="740"/>
      <c r="BG39" s="740"/>
      <c r="BH39" s="740"/>
      <c r="BI39" s="740"/>
      <c r="BJ39" s="740"/>
      <c r="BK39" s="740"/>
      <c r="BL39" s="740"/>
      <c r="BM39" s="740"/>
      <c r="BN39" s="740"/>
      <c r="BO39" s="740"/>
      <c r="BP39" s="740"/>
      <c r="BQ39" s="740"/>
      <c r="BR39" s="740"/>
      <c r="BS39" s="740"/>
      <c r="BT39" s="740"/>
      <c r="BU39" s="740"/>
      <c r="BV39" s="740"/>
    </row>
    <row r="40" spans="1:74" ht="14.85" customHeight="1">
      <c r="B40" s="745" t="s">
        <v>1766</v>
      </c>
      <c r="C40" s="745"/>
      <c r="D40" s="740"/>
      <c r="E40" s="740"/>
      <c r="F40" s="818">
        <f ca="1">SUM(F28:F39)</f>
        <v>155.28089709238321</v>
      </c>
      <c r="G40" s="819">
        <f t="shared" ref="G40:P40" ca="1" si="12">SUM(G28:G39)</f>
        <v>575.16650273899882</v>
      </c>
      <c r="H40" s="819">
        <f t="shared" ca="1" si="12"/>
        <v>1404.0999731873699</v>
      </c>
      <c r="I40" s="819">
        <f t="shared" ca="1" si="12"/>
        <v>2829.6750140368249</v>
      </c>
      <c r="J40" s="819">
        <f t="shared" ca="1" si="12"/>
        <v>4825.2511478588167</v>
      </c>
      <c r="K40" s="819">
        <f t="shared" ca="1" si="12"/>
        <v>7329.614418374862</v>
      </c>
      <c r="L40" s="819">
        <f t="shared" ca="1" si="12"/>
        <v>10184.258331020856</v>
      </c>
      <c r="M40" s="819">
        <f t="shared" ca="1" si="12"/>
        <v>13104.717354853827</v>
      </c>
      <c r="N40" s="819">
        <f t="shared" ca="1" si="12"/>
        <v>15598.470394876211</v>
      </c>
      <c r="O40" s="820">
        <f t="shared" ca="1" si="12"/>
        <v>17379.677150201424</v>
      </c>
      <c r="P40" s="820">
        <f t="shared" ca="1" si="12"/>
        <v>12677.769434909289</v>
      </c>
      <c r="Q40" s="821"/>
      <c r="R40" s="740"/>
      <c r="S40" s="740"/>
      <c r="T40" s="740"/>
      <c r="U40" s="740"/>
      <c r="V40" s="740"/>
      <c r="W40" s="740"/>
      <c r="X40" s="740"/>
      <c r="Y40" s="740"/>
      <c r="Z40" s="740"/>
      <c r="AA40" s="740"/>
      <c r="AB40" s="740"/>
      <c r="AC40" s="740"/>
      <c r="AD40" s="740"/>
      <c r="AE40" s="740"/>
      <c r="AF40" s="740"/>
      <c r="AG40" s="740"/>
      <c r="AH40" s="740"/>
      <c r="AI40" s="740"/>
      <c r="AJ40" s="740"/>
      <c r="AK40" s="740"/>
      <c r="AL40" s="740"/>
      <c r="AM40" s="740"/>
      <c r="AN40" s="740"/>
      <c r="AO40" s="740"/>
      <c r="AP40" s="740"/>
      <c r="AQ40" s="740"/>
      <c r="AR40" s="740"/>
      <c r="AS40" s="740"/>
      <c r="AT40" s="740"/>
      <c r="AU40" s="740"/>
      <c r="AV40" s="740"/>
      <c r="AW40" s="740"/>
      <c r="AX40" s="740"/>
      <c r="AY40" s="740"/>
      <c r="AZ40" s="740"/>
      <c r="BA40" s="740"/>
      <c r="BB40" s="740"/>
      <c r="BC40" s="740"/>
      <c r="BD40" s="740"/>
      <c r="BE40" s="740"/>
      <c r="BF40" s="740"/>
      <c r="BG40" s="740"/>
      <c r="BH40" s="740"/>
      <c r="BI40" s="740"/>
      <c r="BJ40" s="740"/>
      <c r="BK40" s="740"/>
      <c r="BL40" s="740"/>
      <c r="BM40" s="740"/>
      <c r="BN40" s="740"/>
      <c r="BO40" s="740"/>
      <c r="BP40" s="740"/>
      <c r="BQ40" s="740"/>
      <c r="BR40" s="740"/>
      <c r="BS40" s="740"/>
      <c r="BT40" s="740"/>
      <c r="BU40" s="740"/>
      <c r="BV40" s="740"/>
    </row>
    <row r="41" spans="1:74" ht="14.85" customHeight="1">
      <c r="B41" s="740"/>
      <c r="C41" s="704"/>
      <c r="D41" s="740"/>
      <c r="E41" s="740"/>
      <c r="F41" s="822"/>
      <c r="G41" s="822"/>
      <c r="H41" s="822"/>
      <c r="I41" s="822"/>
      <c r="J41" s="822"/>
      <c r="K41" s="822"/>
      <c r="L41" s="822"/>
      <c r="M41" s="822"/>
      <c r="N41" s="822"/>
      <c r="O41" s="823"/>
      <c r="P41" s="823"/>
      <c r="Q41" s="704"/>
      <c r="R41" s="740"/>
      <c r="S41" s="740"/>
      <c r="T41" s="740"/>
      <c r="U41" s="740"/>
      <c r="V41" s="740"/>
      <c r="W41" s="740"/>
      <c r="X41" s="740"/>
      <c r="Y41" s="740"/>
      <c r="Z41" s="740"/>
      <c r="AA41" s="740"/>
      <c r="AB41" s="740"/>
      <c r="AC41" s="740"/>
      <c r="AD41" s="740"/>
      <c r="AE41" s="740"/>
      <c r="AF41" s="740"/>
      <c r="AG41" s="740"/>
      <c r="AH41" s="740"/>
      <c r="AI41" s="740"/>
      <c r="AJ41" s="740"/>
      <c r="AK41" s="740"/>
      <c r="AL41" s="740"/>
      <c r="AM41" s="740"/>
      <c r="AN41" s="740"/>
      <c r="AO41" s="740"/>
      <c r="AP41" s="740"/>
      <c r="AQ41" s="740"/>
      <c r="AR41" s="740"/>
      <c r="AS41" s="740"/>
      <c r="AT41" s="740"/>
      <c r="AU41" s="740"/>
      <c r="AV41" s="740"/>
      <c r="AW41" s="740"/>
      <c r="AX41" s="740"/>
      <c r="AY41" s="740"/>
      <c r="AZ41" s="740"/>
      <c r="BA41" s="740"/>
      <c r="BB41" s="740"/>
      <c r="BC41" s="740"/>
      <c r="BD41" s="740"/>
      <c r="BE41" s="740"/>
      <c r="BF41" s="740"/>
      <c r="BG41" s="740"/>
      <c r="BH41" s="740"/>
      <c r="BI41" s="740"/>
      <c r="BJ41" s="740"/>
      <c r="BK41" s="740"/>
      <c r="BL41" s="740"/>
      <c r="BM41" s="740"/>
      <c r="BN41" s="740"/>
      <c r="BO41" s="740"/>
      <c r="BP41" s="740"/>
      <c r="BQ41" s="740"/>
      <c r="BR41" s="740"/>
      <c r="BS41" s="740"/>
      <c r="BT41" s="740"/>
      <c r="BU41" s="740"/>
      <c r="BV41" s="740"/>
    </row>
    <row r="42" spans="1:74" ht="14.85" customHeight="1">
      <c r="B42" s="740"/>
      <c r="C42" s="747" t="s">
        <v>1767</v>
      </c>
      <c r="D42" s="740"/>
      <c r="E42" s="740"/>
      <c r="F42" s="824">
        <f t="shared" ref="F42:O42" ca="1" si="13">+F40+F18</f>
        <v>6078.5613203728071</v>
      </c>
      <c r="G42" s="825">
        <f t="shared" ca="1" si="13"/>
        <v>2596.9795538853832</v>
      </c>
      <c r="H42" s="825">
        <f t="shared" ca="1" si="13"/>
        <v>2415.006498760562</v>
      </c>
      <c r="I42" s="825">
        <f t="shared" ca="1" si="13"/>
        <v>2829.6750140368249</v>
      </c>
      <c r="J42" s="825">
        <f t="shared" ca="1" si="13"/>
        <v>4825.2511478588167</v>
      </c>
      <c r="K42" s="825">
        <f t="shared" ca="1" si="13"/>
        <v>7329.614418374862</v>
      </c>
      <c r="L42" s="825">
        <f t="shared" ca="1" si="13"/>
        <v>10184.258331020856</v>
      </c>
      <c r="M42" s="825">
        <f t="shared" ca="1" si="13"/>
        <v>13104.717354853827</v>
      </c>
      <c r="N42" s="825">
        <f t="shared" ca="1" si="13"/>
        <v>15598.470394876211</v>
      </c>
      <c r="O42" s="826">
        <f t="shared" ca="1" si="13"/>
        <v>17379.677150201424</v>
      </c>
      <c r="P42" s="827" t="s">
        <v>13</v>
      </c>
      <c r="Q42" s="828"/>
      <c r="R42" s="740"/>
      <c r="S42" s="740"/>
      <c r="T42" s="740"/>
      <c r="U42" s="740"/>
      <c r="V42" s="740"/>
      <c r="W42" s="740"/>
      <c r="X42" s="740"/>
      <c r="Y42" s="740"/>
      <c r="Z42" s="740"/>
      <c r="AA42" s="740"/>
      <c r="AB42" s="740"/>
      <c r="AC42" s="740"/>
      <c r="AD42" s="740"/>
      <c r="AE42" s="740"/>
      <c r="AF42" s="740"/>
      <c r="AG42" s="740"/>
      <c r="AH42" s="740"/>
      <c r="AI42" s="740"/>
      <c r="AJ42" s="740"/>
      <c r="AK42" s="740"/>
      <c r="AL42" s="740"/>
      <c r="AM42" s="740"/>
      <c r="AN42" s="740"/>
      <c r="AO42" s="740"/>
      <c r="AP42" s="740"/>
      <c r="AQ42" s="740"/>
      <c r="AR42" s="740"/>
      <c r="AS42" s="740"/>
      <c r="AT42" s="740"/>
      <c r="AU42" s="740"/>
      <c r="AV42" s="740"/>
      <c r="AW42" s="740"/>
      <c r="AX42" s="740"/>
      <c r="AY42" s="740"/>
      <c r="AZ42" s="740"/>
      <c r="BA42" s="740"/>
      <c r="BB42" s="740"/>
      <c r="BC42" s="740"/>
      <c r="BD42" s="740"/>
      <c r="BE42" s="740"/>
      <c r="BF42" s="740"/>
      <c r="BG42" s="740"/>
      <c r="BH42" s="740"/>
      <c r="BI42" s="740"/>
      <c r="BJ42" s="740"/>
      <c r="BK42" s="740"/>
      <c r="BL42" s="740"/>
      <c r="BM42" s="740"/>
      <c r="BN42" s="740"/>
      <c r="BO42" s="740"/>
      <c r="BP42" s="740"/>
      <c r="BQ42" s="740"/>
      <c r="BR42" s="740"/>
      <c r="BS42" s="740"/>
      <c r="BT42" s="740"/>
      <c r="BU42" s="740"/>
      <c r="BV42" s="740"/>
    </row>
    <row r="43" spans="1:74" ht="14.85" customHeight="1">
      <c r="B43" s="740"/>
      <c r="C43" s="740"/>
      <c r="D43" s="740"/>
      <c r="E43" s="740"/>
      <c r="F43" s="740"/>
      <c r="G43" s="740"/>
      <c r="H43" s="740"/>
      <c r="I43" s="740"/>
      <c r="J43" s="740"/>
      <c r="K43" s="740"/>
      <c r="L43" s="740"/>
      <c r="M43" s="740"/>
      <c r="N43" s="740"/>
      <c r="O43" s="740"/>
      <c r="P43" s="740"/>
      <c r="Q43" s="740"/>
      <c r="R43" s="740"/>
      <c r="S43" s="740"/>
      <c r="T43" s="740"/>
      <c r="U43" s="740"/>
      <c r="V43" s="740"/>
      <c r="W43" s="740"/>
      <c r="X43" s="740"/>
      <c r="Y43" s="740"/>
      <c r="Z43" s="740"/>
      <c r="AA43" s="740"/>
      <c r="AB43" s="740"/>
      <c r="AC43" s="740"/>
      <c r="AD43" s="740"/>
      <c r="AE43" s="740"/>
      <c r="AF43" s="740"/>
      <c r="AG43" s="740"/>
      <c r="AH43" s="740"/>
      <c r="AI43" s="740"/>
      <c r="AJ43" s="740"/>
      <c r="AK43" s="740"/>
      <c r="AL43" s="740"/>
      <c r="AM43" s="740"/>
      <c r="AN43" s="740"/>
      <c r="AO43" s="740"/>
      <c r="AP43" s="740"/>
      <c r="AQ43" s="740"/>
      <c r="AR43" s="740"/>
      <c r="AS43" s="740"/>
      <c r="AT43" s="740"/>
      <c r="AU43" s="740"/>
      <c r="AV43" s="740"/>
      <c r="AW43" s="740"/>
      <c r="AX43" s="740"/>
      <c r="AY43" s="740"/>
      <c r="AZ43" s="740"/>
      <c r="BA43" s="740"/>
      <c r="BB43" s="740"/>
      <c r="BC43" s="740"/>
      <c r="BD43" s="740"/>
      <c r="BE43" s="740"/>
      <c r="BF43" s="740"/>
      <c r="BG43" s="740"/>
      <c r="BH43" s="740"/>
      <c r="BI43" s="740"/>
      <c r="BJ43" s="740"/>
      <c r="BK43" s="740"/>
      <c r="BL43" s="740"/>
      <c r="BM43" s="740"/>
      <c r="BN43" s="740"/>
      <c r="BO43" s="740"/>
      <c r="BP43" s="740"/>
      <c r="BQ43" s="740"/>
      <c r="BR43" s="740"/>
      <c r="BS43" s="740"/>
      <c r="BT43" s="740"/>
      <c r="BU43" s="740"/>
      <c r="BV43" s="740"/>
    </row>
    <row r="44" spans="1:74" ht="14.85" customHeight="1">
      <c r="B44" s="272" t="s">
        <v>86</v>
      </c>
      <c r="D44" s="747"/>
      <c r="E44" s="704"/>
      <c r="F44" s="704"/>
      <c r="G44" s="704"/>
      <c r="H44" s="704"/>
      <c r="I44" s="704"/>
      <c r="J44" s="704"/>
      <c r="K44" s="704"/>
      <c r="L44" s="704"/>
      <c r="M44" s="704"/>
      <c r="N44" s="704"/>
      <c r="O44" s="704"/>
      <c r="P44" s="704"/>
      <c r="Q44" s="704"/>
      <c r="R44" s="704"/>
      <c r="S44" s="704"/>
      <c r="T44" s="704"/>
      <c r="U44" s="704"/>
      <c r="V44" s="704"/>
      <c r="W44" s="704"/>
      <c r="X44" s="704"/>
      <c r="Y44" s="704"/>
      <c r="Z44" s="704"/>
      <c r="AA44" s="704"/>
      <c r="AB44" s="704"/>
      <c r="AC44" s="704"/>
      <c r="AD44" s="704"/>
      <c r="AE44" s="704"/>
      <c r="AF44" s="704"/>
      <c r="AG44" s="704"/>
      <c r="AH44" s="704"/>
      <c r="AI44" s="704"/>
      <c r="AJ44" s="704"/>
      <c r="AK44" s="704"/>
      <c r="AL44" s="704"/>
      <c r="AM44" s="704"/>
      <c r="AN44" s="704"/>
      <c r="AO44" s="704"/>
      <c r="AP44" s="704"/>
      <c r="AQ44" s="704"/>
      <c r="AR44" s="704"/>
      <c r="AS44" s="704"/>
      <c r="AT44" s="704"/>
      <c r="AU44" s="704"/>
      <c r="AV44" s="704"/>
      <c r="AW44" s="704"/>
      <c r="AX44" s="704"/>
      <c r="AY44" s="704"/>
      <c r="AZ44" s="704"/>
      <c r="BA44" s="704"/>
      <c r="BB44" s="704"/>
      <c r="BC44" s="704"/>
      <c r="BD44" s="704"/>
      <c r="BE44" s="704"/>
      <c r="BF44" s="704"/>
      <c r="BG44" s="704"/>
      <c r="BH44" s="704"/>
      <c r="BI44" s="704"/>
      <c r="BJ44" s="704"/>
      <c r="BK44" s="704"/>
      <c r="BL44" s="704"/>
      <c r="BM44" s="704"/>
      <c r="BN44" s="704"/>
      <c r="BO44" s="704"/>
      <c r="BP44" s="704"/>
      <c r="BQ44" s="704"/>
      <c r="BR44" s="704"/>
      <c r="BS44" s="704"/>
      <c r="BT44" s="704"/>
      <c r="BU44" s="704"/>
      <c r="BV44" s="704"/>
    </row>
    <row r="45" spans="1:74" ht="14.85" customHeight="1">
      <c r="A45" s="829" t="s">
        <v>261</v>
      </c>
      <c r="B45" s="830" t="str">
        <f>"Based on the balance sheet provided by Management as of the Valuation Date."</f>
        <v>Based on the balance sheet provided by Management as of the Valuation Date.</v>
      </c>
      <c r="E45" s="831"/>
      <c r="F45" s="831"/>
      <c r="G45" s="831"/>
      <c r="H45" s="831"/>
      <c r="I45" s="831"/>
      <c r="J45" s="831"/>
      <c r="K45" s="704"/>
      <c r="L45" s="704"/>
      <c r="M45" s="704"/>
      <c r="N45" s="704"/>
      <c r="O45" s="704"/>
      <c r="P45" s="704"/>
      <c r="Q45" s="704"/>
      <c r="R45" s="704"/>
      <c r="S45" s="704"/>
      <c r="T45" s="704"/>
      <c r="U45" s="704"/>
      <c r="V45" s="704"/>
      <c r="W45" s="704"/>
      <c r="X45" s="704"/>
      <c r="Y45" s="704"/>
      <c r="Z45" s="704"/>
      <c r="AA45" s="704"/>
      <c r="AB45" s="704"/>
      <c r="AC45" s="704"/>
      <c r="AD45" s="704"/>
      <c r="AE45" s="704"/>
      <c r="AF45" s="704"/>
      <c r="AG45" s="704"/>
      <c r="AH45" s="704"/>
      <c r="AI45" s="704"/>
      <c r="AJ45" s="704"/>
      <c r="AK45" s="704"/>
      <c r="AL45" s="704"/>
      <c r="AM45" s="704"/>
      <c r="AN45" s="704"/>
      <c r="AO45" s="704"/>
      <c r="AP45" s="704"/>
      <c r="AQ45" s="704"/>
      <c r="AR45" s="704"/>
      <c r="AS45" s="704"/>
      <c r="AT45" s="704"/>
      <c r="AU45" s="704"/>
      <c r="AV45" s="704"/>
      <c r="AW45" s="704"/>
      <c r="AX45" s="704"/>
      <c r="AY45" s="704"/>
      <c r="AZ45" s="704"/>
      <c r="BA45" s="704"/>
      <c r="BB45" s="704"/>
      <c r="BC45" s="704"/>
      <c r="BD45" s="704"/>
      <c r="BE45" s="704"/>
      <c r="BF45" s="704"/>
      <c r="BG45" s="704"/>
      <c r="BH45" s="704"/>
      <c r="BI45" s="704"/>
      <c r="BJ45" s="704"/>
      <c r="BK45" s="704"/>
      <c r="BL45" s="704"/>
      <c r="BM45" s="704"/>
      <c r="BN45" s="704"/>
      <c r="BO45" s="704"/>
      <c r="BP45" s="704"/>
      <c r="BQ45" s="704"/>
      <c r="BR45" s="704"/>
      <c r="BS45" s="704"/>
      <c r="BT45" s="704"/>
      <c r="BU45" s="704"/>
      <c r="BV45" s="704"/>
    </row>
    <row r="46" spans="1:74" ht="14.85" customHeight="1">
      <c r="A46" s="829" t="s">
        <v>260</v>
      </c>
      <c r="B46" s="2079" t="s">
        <v>1768</v>
      </c>
      <c r="C46" s="2079"/>
      <c r="D46" s="2079"/>
      <c r="E46" s="2079"/>
      <c r="F46" s="2079"/>
      <c r="G46" s="2079"/>
      <c r="H46" s="2079"/>
      <c r="I46" s="2079"/>
      <c r="J46" s="2079"/>
      <c r="K46" s="2079"/>
      <c r="L46" s="2079"/>
      <c r="M46" s="2079"/>
      <c r="N46" s="2079"/>
      <c r="O46" s="2079"/>
      <c r="P46" s="832"/>
      <c r="Q46" s="832"/>
      <c r="R46" s="704"/>
      <c r="S46" s="704"/>
      <c r="T46" s="704"/>
      <c r="U46" s="704"/>
      <c r="V46" s="704"/>
      <c r="W46" s="704"/>
      <c r="X46" s="704"/>
      <c r="Y46" s="704"/>
      <c r="Z46" s="704"/>
      <c r="AA46" s="704"/>
      <c r="AB46" s="704"/>
      <c r="AC46" s="704"/>
      <c r="AD46" s="704"/>
      <c r="AE46" s="704"/>
      <c r="AF46" s="704"/>
      <c r="AG46" s="704"/>
      <c r="AH46" s="704"/>
      <c r="AI46" s="704"/>
      <c r="AJ46" s="704"/>
      <c r="AK46" s="704"/>
      <c r="AL46" s="704"/>
      <c r="AM46" s="704"/>
      <c r="AN46" s="704"/>
      <c r="AO46" s="704"/>
      <c r="AP46" s="704"/>
      <c r="AQ46" s="704"/>
      <c r="AR46" s="704"/>
      <c r="AS46" s="704"/>
      <c r="AT46" s="704"/>
      <c r="AU46" s="704"/>
      <c r="AV46" s="704"/>
      <c r="AW46" s="704"/>
      <c r="AX46" s="704"/>
      <c r="AY46" s="704"/>
      <c r="AZ46" s="704"/>
      <c r="BA46" s="704"/>
      <c r="BB46" s="704"/>
      <c r="BC46" s="704"/>
      <c r="BD46" s="704"/>
      <c r="BE46" s="704"/>
      <c r="BF46" s="704"/>
      <c r="BG46" s="704"/>
      <c r="BH46" s="704"/>
      <c r="BI46" s="704"/>
      <c r="BJ46" s="704"/>
      <c r="BK46" s="704"/>
      <c r="BL46" s="704"/>
      <c r="BM46" s="704"/>
      <c r="BN46" s="704"/>
      <c r="BO46" s="704"/>
      <c r="BP46" s="704"/>
      <c r="BQ46" s="704"/>
      <c r="BR46" s="704"/>
      <c r="BS46" s="704"/>
      <c r="BT46" s="704"/>
      <c r="BU46" s="704"/>
      <c r="BV46" s="704"/>
    </row>
    <row r="47" spans="1:74" ht="14.85" customHeight="1">
      <c r="B47" s="833"/>
      <c r="D47" s="832"/>
      <c r="E47" s="832"/>
      <c r="F47" s="832"/>
      <c r="G47" s="832"/>
      <c r="H47" s="832"/>
      <c r="I47" s="832"/>
      <c r="J47" s="832"/>
      <c r="K47" s="832"/>
      <c r="L47" s="832"/>
      <c r="M47" s="832"/>
      <c r="N47" s="832"/>
      <c r="O47" s="832"/>
      <c r="P47" s="832"/>
      <c r="Q47" s="832"/>
      <c r="R47" s="704"/>
      <c r="S47" s="704"/>
      <c r="T47" s="704"/>
      <c r="U47" s="704"/>
      <c r="V47" s="704"/>
      <c r="W47" s="704"/>
      <c r="X47" s="704"/>
      <c r="Y47" s="704"/>
      <c r="Z47" s="704"/>
      <c r="AA47" s="704"/>
      <c r="AB47" s="704"/>
      <c r="AC47" s="704"/>
      <c r="AD47" s="704"/>
      <c r="AE47" s="704"/>
      <c r="AF47" s="704"/>
      <c r="AG47" s="704"/>
      <c r="AH47" s="704"/>
      <c r="AI47" s="704"/>
      <c r="AJ47" s="704"/>
      <c r="AK47" s="704"/>
      <c r="AL47" s="704"/>
      <c r="AM47" s="704"/>
      <c r="AN47" s="704"/>
      <c r="AO47" s="704"/>
      <c r="AP47" s="704"/>
      <c r="AQ47" s="704"/>
      <c r="AR47" s="704"/>
      <c r="AS47" s="704"/>
      <c r="AT47" s="704"/>
      <c r="AU47" s="704"/>
      <c r="AV47" s="704"/>
      <c r="AW47" s="704"/>
      <c r="AX47" s="704"/>
      <c r="AY47" s="704"/>
      <c r="AZ47" s="704"/>
      <c r="BA47" s="704"/>
      <c r="BB47" s="704"/>
      <c r="BC47" s="704"/>
      <c r="BD47" s="704"/>
      <c r="BE47" s="704"/>
      <c r="BF47" s="704"/>
      <c r="BG47" s="704"/>
      <c r="BH47" s="704"/>
      <c r="BI47" s="704"/>
      <c r="BJ47" s="704"/>
      <c r="BK47" s="704"/>
      <c r="BL47" s="704"/>
      <c r="BM47" s="704"/>
      <c r="BN47" s="704"/>
      <c r="BO47" s="704"/>
      <c r="BP47" s="704"/>
      <c r="BQ47" s="704"/>
      <c r="BR47" s="704"/>
      <c r="BS47" s="704"/>
      <c r="BT47" s="704"/>
      <c r="BU47" s="704"/>
      <c r="BV47" s="704"/>
    </row>
    <row r="48" spans="1:74" ht="14.85" customHeight="1">
      <c r="C48" s="740"/>
      <c r="D48" s="740"/>
      <c r="E48" s="740"/>
      <c r="F48" s="834"/>
      <c r="G48" s="740"/>
      <c r="H48" s="740"/>
      <c r="I48" s="740"/>
      <c r="J48" s="740"/>
      <c r="K48" s="740"/>
      <c r="L48" s="740"/>
      <c r="M48" s="740"/>
      <c r="N48" s="740"/>
      <c r="O48" s="740"/>
      <c r="P48" s="740"/>
      <c r="Q48" s="740"/>
      <c r="R48" s="740"/>
      <c r="S48" s="740"/>
      <c r="T48" s="740"/>
      <c r="U48" s="740"/>
      <c r="V48" s="740"/>
      <c r="W48" s="740"/>
      <c r="X48" s="740"/>
      <c r="Y48" s="740"/>
      <c r="Z48" s="740"/>
      <c r="AA48" s="740"/>
      <c r="AB48" s="740"/>
      <c r="AC48" s="740"/>
      <c r="AD48" s="740"/>
      <c r="AE48" s="740"/>
      <c r="AF48" s="740"/>
      <c r="AG48" s="740"/>
      <c r="AH48" s="740"/>
      <c r="AI48" s="740"/>
      <c r="AJ48" s="740"/>
      <c r="AK48" s="740"/>
      <c r="AL48" s="740"/>
      <c r="AM48" s="740"/>
      <c r="AN48" s="740"/>
      <c r="AO48" s="740"/>
      <c r="AP48" s="740"/>
      <c r="AQ48" s="740"/>
      <c r="AR48" s="740"/>
      <c r="AS48" s="740"/>
      <c r="AT48" s="740"/>
      <c r="AU48" s="740"/>
      <c r="AV48" s="740"/>
      <c r="AW48" s="740"/>
      <c r="AX48" s="740"/>
      <c r="AY48" s="740"/>
      <c r="AZ48" s="740"/>
      <c r="BA48" s="740"/>
      <c r="BB48" s="740"/>
      <c r="BC48" s="740"/>
      <c r="BD48" s="740"/>
      <c r="BE48" s="740"/>
      <c r="BF48" s="740"/>
      <c r="BG48" s="740"/>
      <c r="BH48" s="740"/>
      <c r="BI48" s="740"/>
      <c r="BJ48" s="740"/>
      <c r="BK48" s="740"/>
      <c r="BL48" s="740"/>
      <c r="BM48" s="740"/>
      <c r="BN48" s="740"/>
      <c r="BO48" s="740"/>
      <c r="BP48" s="740"/>
      <c r="BQ48" s="740"/>
      <c r="BR48" s="740"/>
      <c r="BS48" s="740"/>
      <c r="BT48" s="740"/>
      <c r="BU48" s="740"/>
      <c r="BV48" s="740"/>
    </row>
    <row r="49" spans="2:72" ht="14.85" customHeight="1">
      <c r="B49" s="835" t="s">
        <v>1769</v>
      </c>
      <c r="C49" s="740"/>
      <c r="D49" s="740"/>
      <c r="E49" s="740"/>
      <c r="F49" s="740"/>
      <c r="G49" s="740"/>
      <c r="H49" s="740"/>
      <c r="I49" s="740"/>
      <c r="J49" s="740"/>
      <c r="K49" s="740"/>
      <c r="L49" s="740"/>
      <c r="M49" s="740"/>
      <c r="N49" s="740"/>
      <c r="O49" s="740"/>
      <c r="P49" s="740"/>
      <c r="Q49" s="740"/>
      <c r="R49" s="740"/>
      <c r="S49" s="740"/>
      <c r="T49" s="740"/>
      <c r="U49" s="740"/>
      <c r="V49" s="740"/>
      <c r="W49" s="740"/>
      <c r="X49" s="740"/>
      <c r="Y49" s="740"/>
      <c r="Z49" s="740"/>
      <c r="AA49" s="740"/>
      <c r="AB49" s="740"/>
      <c r="AC49" s="740"/>
      <c r="AD49" s="740"/>
      <c r="AE49" s="740"/>
      <c r="AF49" s="740"/>
      <c r="AG49" s="740"/>
      <c r="AH49" s="740"/>
      <c r="AI49" s="740"/>
      <c r="AJ49" s="740"/>
      <c r="AK49" s="740"/>
      <c r="AL49" s="740"/>
      <c r="AM49" s="740"/>
      <c r="AN49" s="740"/>
      <c r="AO49" s="740"/>
      <c r="AP49" s="740"/>
      <c r="AQ49" s="740"/>
      <c r="AR49" s="740"/>
      <c r="AS49" s="740"/>
      <c r="AT49" s="740"/>
      <c r="AU49" s="740"/>
      <c r="AV49" s="740"/>
      <c r="AW49" s="740"/>
      <c r="AX49" s="740"/>
      <c r="AY49" s="740"/>
      <c r="AZ49" s="740"/>
      <c r="BA49" s="740"/>
      <c r="BB49" s="740"/>
      <c r="BC49" s="740"/>
      <c r="BD49" s="740"/>
      <c r="BE49" s="740"/>
      <c r="BF49" s="740"/>
      <c r="BG49" s="740"/>
      <c r="BH49" s="740"/>
      <c r="BI49" s="740"/>
      <c r="BJ49" s="740"/>
      <c r="BK49" s="740"/>
      <c r="BL49" s="740"/>
      <c r="BM49" s="740"/>
      <c r="BN49" s="740"/>
      <c r="BO49" s="740"/>
      <c r="BP49" s="740"/>
      <c r="BQ49" s="740"/>
      <c r="BR49" s="740"/>
      <c r="BS49" s="740"/>
      <c r="BT49" s="740"/>
    </row>
    <row r="50" spans="2:72" ht="14.85" customHeight="1">
      <c r="B50" s="740"/>
      <c r="C50" s="740"/>
      <c r="D50" s="740"/>
      <c r="E50" s="740"/>
      <c r="F50" s="834"/>
      <c r="G50" s="834"/>
      <c r="H50" s="834"/>
      <c r="I50" s="834"/>
      <c r="J50" s="834"/>
      <c r="K50" s="834"/>
      <c r="L50" s="83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740"/>
      <c r="BI50" s="740"/>
      <c r="BJ50" s="740"/>
      <c r="BK50" s="740"/>
      <c r="BL50" s="740"/>
      <c r="BM50" s="740"/>
      <c r="BN50" s="740"/>
      <c r="BO50" s="740"/>
      <c r="BP50" s="740"/>
      <c r="BQ50" s="740"/>
      <c r="BR50" s="740"/>
      <c r="BS50" s="740"/>
      <c r="BT50" s="740"/>
    </row>
    <row r="51" spans="2:72" ht="14.85" customHeight="1">
      <c r="B51" s="740"/>
      <c r="C51" s="740"/>
      <c r="D51" s="740"/>
      <c r="E51" s="740"/>
      <c r="F51" s="740"/>
      <c r="G51" s="740"/>
      <c r="H51" s="740"/>
      <c r="I51" s="740"/>
      <c r="J51" s="740"/>
      <c r="K51" s="740"/>
      <c r="L51" s="740"/>
      <c r="M51" s="740"/>
      <c r="N51" s="740"/>
      <c r="O51" s="740"/>
      <c r="P51" s="740"/>
      <c r="Q51" s="740"/>
      <c r="R51" s="740"/>
      <c r="S51" s="740"/>
      <c r="T51" s="740"/>
      <c r="U51" s="740"/>
      <c r="V51" s="740"/>
      <c r="W51" s="740"/>
      <c r="X51" s="740"/>
      <c r="Y51" s="740"/>
      <c r="Z51" s="740"/>
      <c r="AA51" s="740"/>
      <c r="AB51" s="740"/>
      <c r="AC51" s="740"/>
      <c r="AD51" s="740"/>
      <c r="AE51" s="740"/>
      <c r="AF51" s="740"/>
      <c r="AG51" s="740"/>
      <c r="AH51" s="740"/>
      <c r="AI51" s="740"/>
      <c r="AJ51" s="740"/>
      <c r="AK51" s="740"/>
      <c r="AL51" s="740"/>
      <c r="AM51" s="740"/>
      <c r="AN51" s="740"/>
      <c r="AO51" s="740"/>
      <c r="AP51" s="740"/>
      <c r="AQ51" s="740"/>
      <c r="AR51" s="740"/>
      <c r="AS51" s="740"/>
      <c r="AT51" s="740"/>
      <c r="AU51" s="740"/>
      <c r="AV51" s="740"/>
      <c r="AW51" s="740"/>
      <c r="AX51" s="740"/>
      <c r="AY51" s="740"/>
      <c r="AZ51" s="740"/>
      <c r="BA51" s="740"/>
      <c r="BB51" s="740"/>
      <c r="BC51" s="740"/>
      <c r="BD51" s="740"/>
      <c r="BE51" s="740"/>
      <c r="BF51" s="740"/>
      <c r="BG51" s="740"/>
      <c r="BH51" s="740"/>
      <c r="BI51" s="740"/>
      <c r="BJ51" s="740"/>
      <c r="BK51" s="740"/>
      <c r="BL51" s="740"/>
      <c r="BM51" s="740"/>
      <c r="BN51" s="740"/>
      <c r="BO51" s="740"/>
      <c r="BP51" s="740"/>
      <c r="BQ51" s="740"/>
      <c r="BR51" s="740"/>
      <c r="BS51" s="740"/>
      <c r="BT51" s="740"/>
    </row>
    <row r="52" spans="2:72" ht="14.85" customHeight="1">
      <c r="C52" s="836" t="s">
        <v>1714</v>
      </c>
      <c r="D52" s="704" t="s">
        <v>1715</v>
      </c>
      <c r="E52" s="704"/>
      <c r="F52" s="705" t="s">
        <v>782</v>
      </c>
      <c r="G52" s="706" t="s">
        <v>783</v>
      </c>
      <c r="H52" s="706" t="s">
        <v>784</v>
      </c>
      <c r="I52" s="706" t="s">
        <v>785</v>
      </c>
      <c r="J52" s="706" t="s">
        <v>786</v>
      </c>
      <c r="K52" s="706" t="s">
        <v>1716</v>
      </c>
      <c r="L52" s="706" t="s">
        <v>1717</v>
      </c>
      <c r="M52" s="706" t="s">
        <v>1718</v>
      </c>
      <c r="N52" s="706" t="s">
        <v>1719</v>
      </c>
      <c r="O52" s="706" t="s">
        <v>1719</v>
      </c>
      <c r="P52" s="706" t="s">
        <v>1720</v>
      </c>
      <c r="Q52" s="706" t="s">
        <v>1721</v>
      </c>
      <c r="R52" s="706" t="s">
        <v>1722</v>
      </c>
      <c r="S52" s="706" t="s">
        <v>1723</v>
      </c>
      <c r="T52" s="706" t="s">
        <v>1724</v>
      </c>
      <c r="U52" s="706" t="s">
        <v>1725</v>
      </c>
      <c r="V52" s="706" t="s">
        <v>1726</v>
      </c>
      <c r="W52" s="706" t="s">
        <v>1727</v>
      </c>
      <c r="X52" s="706" t="s">
        <v>1728</v>
      </c>
      <c r="Y52" s="706" t="s">
        <v>1729</v>
      </c>
      <c r="Z52" s="706" t="s">
        <v>1730</v>
      </c>
      <c r="AA52" s="706" t="s">
        <v>1731</v>
      </c>
      <c r="AB52" s="706" t="s">
        <v>1732</v>
      </c>
      <c r="AC52" s="706" t="s">
        <v>1733</v>
      </c>
      <c r="AD52" s="706" t="s">
        <v>1734</v>
      </c>
      <c r="AE52" s="706" t="s">
        <v>1735</v>
      </c>
      <c r="AF52" s="706" t="s">
        <v>1736</v>
      </c>
      <c r="AG52" s="706" t="s">
        <v>1737</v>
      </c>
      <c r="AH52" s="706" t="s">
        <v>1738</v>
      </c>
      <c r="AI52" s="706" t="s">
        <v>1739</v>
      </c>
      <c r="AJ52" s="706" t="s">
        <v>1740</v>
      </c>
      <c r="AK52" s="706" t="s">
        <v>1741</v>
      </c>
      <c r="AL52" s="706" t="s">
        <v>1742</v>
      </c>
      <c r="AM52" s="706" t="s">
        <v>1743</v>
      </c>
      <c r="AN52" s="706" t="s">
        <v>1744</v>
      </c>
      <c r="AO52" s="706" t="s">
        <v>1745</v>
      </c>
      <c r="AP52" s="706" t="s">
        <v>1746</v>
      </c>
      <c r="AQ52" s="706" t="s">
        <v>1747</v>
      </c>
      <c r="AR52" s="706" t="s">
        <v>1748</v>
      </c>
      <c r="AS52" s="706" t="s">
        <v>1749</v>
      </c>
      <c r="AT52" s="707" t="s">
        <v>1750</v>
      </c>
      <c r="AU52" s="704"/>
      <c r="AV52" s="704"/>
      <c r="AW52" s="704"/>
      <c r="AX52" s="704"/>
      <c r="AY52" s="704"/>
      <c r="AZ52" s="704"/>
      <c r="BA52" s="704"/>
      <c r="BB52" s="704"/>
      <c r="BC52" s="704"/>
      <c r="BD52" s="704"/>
      <c r="BE52" s="704"/>
      <c r="BF52" s="704"/>
      <c r="BG52" s="704"/>
      <c r="BH52" s="704"/>
      <c r="BI52" s="704"/>
      <c r="BJ52" s="704"/>
      <c r="BK52" s="704"/>
      <c r="BL52" s="704"/>
      <c r="BM52" s="704"/>
      <c r="BN52" s="704"/>
      <c r="BO52" s="704"/>
      <c r="BP52" s="704"/>
      <c r="BQ52" s="704"/>
      <c r="BR52" s="704"/>
      <c r="BS52" s="704"/>
    </row>
    <row r="53" spans="2:72" ht="14.85" customHeight="1">
      <c r="C53" s="708" t="s">
        <v>1751</v>
      </c>
      <c r="D53" s="704" t="s">
        <v>1752</v>
      </c>
      <c r="E53" s="704"/>
      <c r="F53" s="709">
        <v>3.7499999999999999E-2</v>
      </c>
      <c r="G53" s="710">
        <v>7.2190000000000004E-2</v>
      </c>
      <c r="H53" s="710">
        <v>6.6769999999999996E-2</v>
      </c>
      <c r="I53" s="710">
        <v>6.1769999999999999E-2</v>
      </c>
      <c r="J53" s="710">
        <v>5.713E-2</v>
      </c>
      <c r="K53" s="710">
        <v>5.2850000000000001E-2</v>
      </c>
      <c r="L53" s="710">
        <v>4.888E-2</v>
      </c>
      <c r="M53" s="710">
        <v>4.5220000000000003E-2</v>
      </c>
      <c r="N53" s="710">
        <v>4.462E-2</v>
      </c>
      <c r="O53" s="710">
        <v>4.462E-2</v>
      </c>
      <c r="P53" s="710">
        <v>4.4609999999999997E-2</v>
      </c>
      <c r="Q53" s="710">
        <v>4.462E-2</v>
      </c>
      <c r="R53" s="710">
        <v>4.4609999999999997E-2</v>
      </c>
      <c r="S53" s="710">
        <v>4.462E-2</v>
      </c>
      <c r="T53" s="710">
        <v>4.4609999999999997E-2</v>
      </c>
      <c r="U53" s="710">
        <v>4.462E-2</v>
      </c>
      <c r="V53" s="710">
        <v>4.4609999999999997E-2</v>
      </c>
      <c r="W53" s="710">
        <v>4.462E-2</v>
      </c>
      <c r="X53" s="710">
        <v>4.4609999999999997E-2</v>
      </c>
      <c r="Y53" s="710">
        <v>4.462E-2</v>
      </c>
      <c r="Z53" s="710">
        <v>4.4609999999999997E-2</v>
      </c>
      <c r="AA53" s="710">
        <v>2.231E-2</v>
      </c>
      <c r="AB53" s="710"/>
      <c r="AC53" s="710"/>
      <c r="AD53" s="710"/>
      <c r="AE53" s="710"/>
      <c r="AF53" s="710"/>
      <c r="AG53" s="710"/>
      <c r="AH53" s="710"/>
      <c r="AI53" s="710"/>
      <c r="AJ53" s="710"/>
      <c r="AK53" s="710"/>
      <c r="AL53" s="711"/>
      <c r="AM53" s="711"/>
      <c r="AN53" s="711"/>
      <c r="AO53" s="711"/>
      <c r="AP53" s="711"/>
      <c r="AQ53" s="711"/>
      <c r="AR53" s="711"/>
      <c r="AS53" s="711"/>
      <c r="AT53" s="712"/>
      <c r="AU53" s="704"/>
      <c r="AV53" s="704"/>
      <c r="AW53" s="704"/>
      <c r="AX53" s="704"/>
      <c r="AY53" s="704"/>
      <c r="AZ53" s="704"/>
      <c r="BA53" s="704"/>
      <c r="BB53" s="704"/>
      <c r="BC53" s="704"/>
      <c r="BD53" s="704"/>
      <c r="BE53" s="704"/>
      <c r="BF53" s="704"/>
      <c r="BG53" s="704"/>
      <c r="BH53" s="704"/>
      <c r="BI53" s="704"/>
      <c r="BJ53" s="704"/>
      <c r="BK53" s="704"/>
      <c r="BL53" s="704"/>
      <c r="BM53" s="704"/>
      <c r="BN53" s="704"/>
      <c r="BO53" s="704"/>
      <c r="BP53" s="704"/>
      <c r="BQ53" s="704"/>
      <c r="BR53" s="704"/>
      <c r="BS53" s="704"/>
    </row>
    <row r="54" spans="2:72" ht="14.85" customHeight="1">
      <c r="C54" s="713" t="s">
        <v>1753</v>
      </c>
      <c r="D54" s="704" t="s">
        <v>1754</v>
      </c>
      <c r="E54" s="704"/>
      <c r="F54" s="714">
        <v>1.2999999999999999E-2</v>
      </c>
      <c r="G54" s="715">
        <v>2.564E-2</v>
      </c>
      <c r="H54" s="715">
        <v>2.564E-2</v>
      </c>
      <c r="I54" s="715">
        <v>2.564E-2</v>
      </c>
      <c r="J54" s="715">
        <v>2.564E-2</v>
      </c>
      <c r="K54" s="715">
        <v>2.564E-2</v>
      </c>
      <c r="L54" s="715">
        <v>2.564E-2</v>
      </c>
      <c r="M54" s="715">
        <v>2.564E-2</v>
      </c>
      <c r="N54" s="715">
        <v>2.564E-2</v>
      </c>
      <c r="O54" s="715">
        <v>2.564E-2</v>
      </c>
      <c r="P54" s="715">
        <v>2.564E-2</v>
      </c>
      <c r="Q54" s="715">
        <v>2.564E-2</v>
      </c>
      <c r="R54" s="715">
        <v>2.564E-2</v>
      </c>
      <c r="S54" s="715">
        <v>2.564E-2</v>
      </c>
      <c r="T54" s="715">
        <v>2.564E-2</v>
      </c>
      <c r="U54" s="715">
        <v>2.564E-2</v>
      </c>
      <c r="V54" s="715">
        <v>2.564E-2</v>
      </c>
      <c r="W54" s="715">
        <v>2.564E-2</v>
      </c>
      <c r="X54" s="715">
        <v>2.564E-2</v>
      </c>
      <c r="Y54" s="715">
        <v>2.564E-2</v>
      </c>
      <c r="Z54" s="715">
        <v>2.564E-2</v>
      </c>
      <c r="AA54" s="715">
        <v>2.564E-2</v>
      </c>
      <c r="AB54" s="715">
        <v>2.564E-2</v>
      </c>
      <c r="AC54" s="715">
        <v>2.564E-2</v>
      </c>
      <c r="AD54" s="715">
        <v>2.564E-2</v>
      </c>
      <c r="AE54" s="715">
        <v>2.564E-2</v>
      </c>
      <c r="AF54" s="715">
        <v>2.564E-2</v>
      </c>
      <c r="AG54" s="715">
        <v>2.564E-2</v>
      </c>
      <c r="AH54" s="715">
        <v>2.564E-2</v>
      </c>
      <c r="AI54" s="715">
        <v>2.564E-2</v>
      </c>
      <c r="AJ54" s="715">
        <v>2.564E-2</v>
      </c>
      <c r="AK54" s="715">
        <v>2.564E-2</v>
      </c>
      <c r="AL54" s="715">
        <v>2.564E-2</v>
      </c>
      <c r="AM54" s="715">
        <v>2.564E-2</v>
      </c>
      <c r="AN54" s="715">
        <v>2.564E-2</v>
      </c>
      <c r="AO54" s="715">
        <v>2.564E-2</v>
      </c>
      <c r="AP54" s="715">
        <v>2.564E-2</v>
      </c>
      <c r="AQ54" s="715">
        <v>2.564E-2</v>
      </c>
      <c r="AR54" s="715">
        <v>2.564E-2</v>
      </c>
      <c r="AS54" s="715">
        <v>2.564E-2</v>
      </c>
      <c r="AT54" s="716">
        <v>2.564E-2</v>
      </c>
      <c r="AU54" s="704"/>
      <c r="AV54" s="704"/>
      <c r="AW54" s="704"/>
      <c r="AX54" s="704"/>
      <c r="AY54" s="704"/>
      <c r="AZ54" s="704"/>
      <c r="BA54" s="704"/>
      <c r="BB54" s="704"/>
      <c r="BC54" s="704"/>
      <c r="BD54" s="704"/>
      <c r="BE54" s="704"/>
      <c r="BF54" s="704"/>
      <c r="BG54" s="704"/>
      <c r="BH54" s="704"/>
      <c r="BI54" s="704"/>
      <c r="BJ54" s="704"/>
      <c r="BK54" s="704"/>
      <c r="BL54" s="704"/>
      <c r="BM54" s="704"/>
      <c r="BN54" s="704"/>
      <c r="BO54" s="704"/>
      <c r="BP54" s="704"/>
      <c r="BQ54" s="704"/>
      <c r="BR54" s="704"/>
      <c r="BS54" s="704"/>
    </row>
    <row r="55" spans="2:72" ht="14.85" customHeight="1">
      <c r="C55" s="713" t="s">
        <v>1755</v>
      </c>
      <c r="D55" s="704" t="s">
        <v>1752</v>
      </c>
      <c r="E55" s="704"/>
      <c r="F55" s="714">
        <v>0.05</v>
      </c>
      <c r="G55" s="715">
        <v>9.5000000000000001E-2</v>
      </c>
      <c r="H55" s="715">
        <v>8.5500000000000007E-2</v>
      </c>
      <c r="I55" s="715">
        <v>7.6999999999999999E-2</v>
      </c>
      <c r="J55" s="715">
        <v>6.93E-2</v>
      </c>
      <c r="K55" s="715">
        <v>6.2300000000000008E-2</v>
      </c>
      <c r="L55" s="715">
        <v>5.9000000000000004E-2</v>
      </c>
      <c r="M55" s="715">
        <v>5.9000000000000004E-2</v>
      </c>
      <c r="N55" s="715">
        <v>5.91E-2</v>
      </c>
      <c r="O55" s="715">
        <v>5.91E-2</v>
      </c>
      <c r="P55" s="715">
        <v>5.9000000000000004E-2</v>
      </c>
      <c r="Q55" s="715">
        <v>5.91E-2</v>
      </c>
      <c r="R55" s="715">
        <v>5.9000000000000004E-2</v>
      </c>
      <c r="S55" s="715">
        <v>5.91E-2</v>
      </c>
      <c r="T55" s="715">
        <v>5.9000000000000004E-2</v>
      </c>
      <c r="U55" s="715">
        <v>5.91E-2</v>
      </c>
      <c r="V55" s="715">
        <v>2.9500000000000002E-2</v>
      </c>
      <c r="W55" s="715">
        <v>0</v>
      </c>
      <c r="X55" s="715">
        <v>0</v>
      </c>
      <c r="Y55" s="715">
        <v>0</v>
      </c>
      <c r="Z55" s="715">
        <v>0</v>
      </c>
      <c r="AA55" s="715">
        <v>0</v>
      </c>
      <c r="AB55" s="715"/>
      <c r="AC55" s="715"/>
      <c r="AD55" s="715"/>
      <c r="AE55" s="715"/>
      <c r="AF55" s="715"/>
      <c r="AG55" s="715"/>
      <c r="AH55" s="715"/>
      <c r="AI55" s="715"/>
      <c r="AJ55" s="715"/>
      <c r="AK55" s="715"/>
      <c r="AL55" s="704"/>
      <c r="AM55" s="704"/>
      <c r="AN55" s="704"/>
      <c r="AO55" s="704"/>
      <c r="AP55" s="704"/>
      <c r="AQ55" s="704"/>
      <c r="AR55" s="704"/>
      <c r="AS55" s="704"/>
      <c r="AT55" s="717"/>
      <c r="AU55" s="704"/>
      <c r="AV55" s="704"/>
      <c r="AW55" s="704"/>
      <c r="AX55" s="704"/>
      <c r="AY55" s="704"/>
      <c r="AZ55" s="704"/>
      <c r="BA55" s="704"/>
      <c r="BB55" s="704"/>
      <c r="BC55" s="704"/>
      <c r="BD55" s="704"/>
      <c r="BE55" s="704"/>
      <c r="BF55" s="704"/>
      <c r="BG55" s="704"/>
      <c r="BH55" s="704"/>
      <c r="BI55" s="704"/>
      <c r="BJ55" s="704"/>
      <c r="BK55" s="704"/>
      <c r="BL55" s="704"/>
      <c r="BM55" s="704"/>
      <c r="BN55" s="704"/>
      <c r="BO55" s="704"/>
      <c r="BP55" s="704"/>
      <c r="BQ55" s="704"/>
      <c r="BR55" s="704"/>
      <c r="BS55" s="704"/>
    </row>
    <row r="56" spans="2:72" ht="14.85" customHeight="1">
      <c r="C56" s="713" t="s">
        <v>1756</v>
      </c>
      <c r="D56" s="704" t="s">
        <v>1752</v>
      </c>
      <c r="E56" s="704"/>
      <c r="F56" s="714">
        <v>0.1</v>
      </c>
      <c r="G56" s="715">
        <v>0.18</v>
      </c>
      <c r="H56" s="715">
        <v>0.14399999999999999</v>
      </c>
      <c r="I56" s="715">
        <v>0.1152</v>
      </c>
      <c r="J56" s="715">
        <v>9.2200000000000004E-2</v>
      </c>
      <c r="K56" s="715">
        <v>7.3700000000000002E-2</v>
      </c>
      <c r="L56" s="715">
        <v>6.5500000000000003E-2</v>
      </c>
      <c r="M56" s="715">
        <v>6.5500000000000003E-2</v>
      </c>
      <c r="N56" s="715">
        <v>6.5600000000000006E-2</v>
      </c>
      <c r="O56" s="715">
        <v>6.5600000000000006E-2</v>
      </c>
      <c r="P56" s="715">
        <v>6.5500000000000003E-2</v>
      </c>
      <c r="Q56" s="715">
        <v>3.2800000000000003E-2</v>
      </c>
      <c r="R56" s="715"/>
      <c r="S56" s="715"/>
      <c r="T56" s="715"/>
      <c r="U56" s="715"/>
      <c r="V56" s="715"/>
      <c r="W56" s="715"/>
      <c r="X56" s="715"/>
      <c r="Y56" s="715"/>
      <c r="Z56" s="715"/>
      <c r="AA56" s="715"/>
      <c r="AB56" s="715"/>
      <c r="AC56" s="715"/>
      <c r="AD56" s="715"/>
      <c r="AE56" s="715"/>
      <c r="AF56" s="715"/>
      <c r="AG56" s="715"/>
      <c r="AH56" s="715"/>
      <c r="AI56" s="715"/>
      <c r="AJ56" s="715"/>
      <c r="AK56" s="715"/>
      <c r="AL56" s="704"/>
      <c r="AM56" s="704"/>
      <c r="AN56" s="704"/>
      <c r="AO56" s="704"/>
      <c r="AP56" s="704"/>
      <c r="AQ56" s="704"/>
      <c r="AR56" s="704"/>
      <c r="AS56" s="704"/>
      <c r="AT56" s="717"/>
      <c r="AU56" s="704"/>
      <c r="AV56" s="704"/>
      <c r="AW56" s="704"/>
      <c r="AX56" s="704"/>
      <c r="AY56" s="704"/>
      <c r="AZ56" s="704"/>
      <c r="BA56" s="704"/>
      <c r="BB56" s="704"/>
      <c r="BC56" s="704"/>
      <c r="BD56" s="704"/>
      <c r="BE56" s="704"/>
      <c r="BF56" s="704"/>
      <c r="BG56" s="704"/>
      <c r="BH56" s="704"/>
      <c r="BI56" s="704"/>
      <c r="BJ56" s="704"/>
      <c r="BK56" s="704"/>
      <c r="BL56" s="704"/>
      <c r="BM56" s="704"/>
      <c r="BN56" s="704"/>
      <c r="BO56" s="704"/>
      <c r="BP56" s="704"/>
      <c r="BQ56" s="704"/>
      <c r="BR56" s="704"/>
      <c r="BS56" s="704"/>
    </row>
    <row r="57" spans="2:72" ht="14.85" customHeight="1">
      <c r="C57" s="713" t="s">
        <v>1757</v>
      </c>
      <c r="D57" s="704" t="s">
        <v>1752</v>
      </c>
      <c r="E57" s="704"/>
      <c r="F57" s="714">
        <v>0.1429</v>
      </c>
      <c r="G57" s="715">
        <v>0.24489999999999998</v>
      </c>
      <c r="H57" s="715">
        <v>0.17489999999999997</v>
      </c>
      <c r="I57" s="715">
        <v>0.1249</v>
      </c>
      <c r="J57" s="715">
        <v>8.929999999999999E-2</v>
      </c>
      <c r="K57" s="715">
        <v>8.9200000000000002E-2</v>
      </c>
      <c r="L57" s="715">
        <v>8.929999999999999E-2</v>
      </c>
      <c r="M57" s="715">
        <v>4.4600000000000001E-2</v>
      </c>
      <c r="N57" s="715">
        <v>0</v>
      </c>
      <c r="O57" s="715">
        <v>0</v>
      </c>
      <c r="P57" s="715">
        <v>0</v>
      </c>
      <c r="Q57" s="715">
        <v>0</v>
      </c>
      <c r="R57" s="715">
        <v>0</v>
      </c>
      <c r="S57" s="715">
        <v>0</v>
      </c>
      <c r="T57" s="715">
        <v>0</v>
      </c>
      <c r="U57" s="715">
        <v>0</v>
      </c>
      <c r="V57" s="715">
        <v>0</v>
      </c>
      <c r="W57" s="715">
        <v>0</v>
      </c>
      <c r="X57" s="715">
        <v>0</v>
      </c>
      <c r="Y57" s="715">
        <v>0</v>
      </c>
      <c r="Z57" s="715">
        <v>0</v>
      </c>
      <c r="AA57" s="715">
        <v>0</v>
      </c>
      <c r="AB57" s="715"/>
      <c r="AC57" s="715"/>
      <c r="AD57" s="715"/>
      <c r="AE57" s="715"/>
      <c r="AF57" s="715"/>
      <c r="AG57" s="715"/>
      <c r="AH57" s="715"/>
      <c r="AI57" s="715"/>
      <c r="AJ57" s="715"/>
      <c r="AK57" s="715"/>
      <c r="AL57" s="704"/>
      <c r="AM57" s="704"/>
      <c r="AN57" s="704"/>
      <c r="AO57" s="704"/>
      <c r="AP57" s="704"/>
      <c r="AQ57" s="704"/>
      <c r="AR57" s="704"/>
      <c r="AS57" s="704"/>
      <c r="AT57" s="717"/>
      <c r="AU57" s="704"/>
      <c r="AV57" s="704"/>
      <c r="AW57" s="704"/>
      <c r="AX57" s="704"/>
      <c r="AY57" s="704"/>
      <c r="AZ57" s="704"/>
      <c r="BA57" s="704"/>
      <c r="BB57" s="704"/>
      <c r="BC57" s="704"/>
      <c r="BD57" s="704"/>
      <c r="BE57" s="704"/>
      <c r="BF57" s="704"/>
      <c r="BG57" s="704"/>
      <c r="BH57" s="704"/>
      <c r="BI57" s="704"/>
      <c r="BJ57" s="704"/>
      <c r="BK57" s="704"/>
      <c r="BL57" s="704"/>
      <c r="BM57" s="704"/>
      <c r="BN57" s="704"/>
      <c r="BO57" s="704"/>
      <c r="BP57" s="704"/>
      <c r="BQ57" s="704"/>
      <c r="BR57" s="704"/>
      <c r="BS57" s="704"/>
    </row>
    <row r="58" spans="2:72" ht="14.85" customHeight="1">
      <c r="C58" s="713" t="s">
        <v>1758</v>
      </c>
      <c r="D58" s="704" t="s">
        <v>1752</v>
      </c>
      <c r="E58" s="704"/>
      <c r="F58" s="714">
        <v>0.2</v>
      </c>
      <c r="G58" s="715">
        <v>0.32</v>
      </c>
      <c r="H58" s="715">
        <v>0.192</v>
      </c>
      <c r="I58" s="715">
        <v>0.1152</v>
      </c>
      <c r="J58" s="715">
        <v>0.1152</v>
      </c>
      <c r="K58" s="715">
        <v>5.7599999999999998E-2</v>
      </c>
      <c r="L58" s="715">
        <v>0</v>
      </c>
      <c r="M58" s="715">
        <v>0</v>
      </c>
      <c r="N58" s="715">
        <v>0</v>
      </c>
      <c r="O58" s="715">
        <v>0</v>
      </c>
      <c r="P58" s="715">
        <v>0</v>
      </c>
      <c r="Q58" s="715">
        <v>0</v>
      </c>
      <c r="R58" s="715">
        <v>0</v>
      </c>
      <c r="S58" s="715">
        <v>0</v>
      </c>
      <c r="T58" s="715">
        <v>0</v>
      </c>
      <c r="U58" s="715">
        <v>0</v>
      </c>
      <c r="V58" s="715">
        <v>0</v>
      </c>
      <c r="W58" s="715">
        <v>0</v>
      </c>
      <c r="X58" s="715">
        <v>0</v>
      </c>
      <c r="Y58" s="715">
        <v>0</v>
      </c>
      <c r="Z58" s="715">
        <v>0</v>
      </c>
      <c r="AA58" s="715">
        <v>0</v>
      </c>
      <c r="AB58" s="715"/>
      <c r="AC58" s="715"/>
      <c r="AD58" s="715"/>
      <c r="AE58" s="715"/>
      <c r="AF58" s="715"/>
      <c r="AG58" s="715"/>
      <c r="AH58" s="715"/>
      <c r="AI58" s="715"/>
      <c r="AJ58" s="715"/>
      <c r="AK58" s="715"/>
      <c r="AL58" s="704"/>
      <c r="AM58" s="704"/>
      <c r="AN58" s="704"/>
      <c r="AO58" s="704"/>
      <c r="AP58" s="704"/>
      <c r="AQ58" s="704"/>
      <c r="AR58" s="704"/>
      <c r="AS58" s="704"/>
      <c r="AT58" s="717"/>
      <c r="AU58" s="704"/>
      <c r="AV58" s="704"/>
      <c r="AW58" s="704"/>
      <c r="AX58" s="704"/>
      <c r="AY58" s="704"/>
      <c r="AZ58" s="704"/>
      <c r="BA58" s="704"/>
      <c r="BB58" s="704"/>
      <c r="BC58" s="704"/>
      <c r="BD58" s="704"/>
      <c r="BE58" s="704"/>
      <c r="BF58" s="704"/>
      <c r="BG58" s="704"/>
      <c r="BH58" s="704"/>
      <c r="BI58" s="704"/>
      <c r="BJ58" s="704"/>
      <c r="BK58" s="704"/>
      <c r="BL58" s="704"/>
      <c r="BM58" s="704"/>
      <c r="BN58" s="704"/>
      <c r="BO58" s="704"/>
      <c r="BP58" s="704"/>
      <c r="BQ58" s="704"/>
      <c r="BR58" s="704"/>
      <c r="BS58" s="704"/>
    </row>
    <row r="59" spans="2:72" ht="14.85" customHeight="1">
      <c r="C59" s="718" t="s">
        <v>1759</v>
      </c>
      <c r="D59" s="704" t="s">
        <v>1752</v>
      </c>
      <c r="E59" s="704"/>
      <c r="F59" s="719">
        <v>0.33329999999999999</v>
      </c>
      <c r="G59" s="720">
        <v>0.44450000000000001</v>
      </c>
      <c r="H59" s="720">
        <v>0.14810000000000001</v>
      </c>
      <c r="I59" s="720">
        <v>7.4099999999999999E-2</v>
      </c>
      <c r="J59" s="721"/>
      <c r="K59" s="720"/>
      <c r="L59" s="721"/>
      <c r="M59" s="720"/>
      <c r="N59" s="720"/>
      <c r="O59" s="720"/>
      <c r="P59" s="720"/>
      <c r="Q59" s="720"/>
      <c r="R59" s="720"/>
      <c r="S59" s="720"/>
      <c r="T59" s="720"/>
      <c r="U59" s="720"/>
      <c r="V59" s="720"/>
      <c r="W59" s="720"/>
      <c r="X59" s="720"/>
      <c r="Y59" s="720"/>
      <c r="Z59" s="720"/>
      <c r="AA59" s="720"/>
      <c r="AB59" s="720"/>
      <c r="AC59" s="720"/>
      <c r="AD59" s="720"/>
      <c r="AE59" s="720"/>
      <c r="AF59" s="720"/>
      <c r="AG59" s="720"/>
      <c r="AH59" s="720"/>
      <c r="AI59" s="720"/>
      <c r="AJ59" s="720"/>
      <c r="AK59" s="720"/>
      <c r="AL59" s="722"/>
      <c r="AM59" s="722"/>
      <c r="AN59" s="722"/>
      <c r="AO59" s="722"/>
      <c r="AP59" s="722"/>
      <c r="AQ59" s="722"/>
      <c r="AR59" s="722"/>
      <c r="AS59" s="722"/>
      <c r="AT59" s="723"/>
      <c r="AU59" s="704"/>
      <c r="AV59" s="704"/>
      <c r="AW59" s="704"/>
      <c r="AX59" s="704"/>
      <c r="AY59" s="704"/>
      <c r="AZ59" s="704"/>
      <c r="BA59" s="704"/>
      <c r="BB59" s="704"/>
      <c r="BC59" s="704"/>
      <c r="BD59" s="704"/>
      <c r="BE59" s="704"/>
      <c r="BF59" s="704"/>
      <c r="BG59" s="704"/>
      <c r="BH59" s="704"/>
      <c r="BI59" s="704"/>
      <c r="BJ59" s="704"/>
      <c r="BK59" s="704"/>
      <c r="BL59" s="704"/>
      <c r="BM59" s="704"/>
      <c r="BN59" s="704"/>
      <c r="BO59" s="704"/>
      <c r="BP59" s="704"/>
      <c r="BQ59" s="704"/>
      <c r="BR59" s="704"/>
      <c r="BS59" s="704"/>
    </row>
    <row r="60" spans="2:72" ht="14.85" customHeight="1">
      <c r="C60" s="708" t="s">
        <v>1770</v>
      </c>
      <c r="D60" s="704"/>
      <c r="E60" s="704"/>
      <c r="F60" s="714">
        <f>1/5</f>
        <v>0.2</v>
      </c>
      <c r="G60" s="715">
        <f>1/5</f>
        <v>0.2</v>
      </c>
      <c r="H60" s="715">
        <f>1/5</f>
        <v>0.2</v>
      </c>
      <c r="I60" s="715">
        <f>1/5</f>
        <v>0.2</v>
      </c>
      <c r="J60" s="715">
        <f>1/5</f>
        <v>0.2</v>
      </c>
      <c r="K60" s="715">
        <v>0</v>
      </c>
      <c r="L60" s="715">
        <v>0</v>
      </c>
      <c r="M60" s="715">
        <v>0</v>
      </c>
      <c r="N60" s="715">
        <v>0</v>
      </c>
      <c r="O60" s="715">
        <v>0</v>
      </c>
      <c r="P60" s="715">
        <v>0</v>
      </c>
      <c r="Q60" s="715">
        <v>0</v>
      </c>
      <c r="R60" s="715">
        <v>0</v>
      </c>
      <c r="S60" s="715">
        <v>0</v>
      </c>
      <c r="T60" s="715">
        <v>0</v>
      </c>
      <c r="U60" s="715">
        <v>0</v>
      </c>
      <c r="V60" s="715">
        <v>0</v>
      </c>
      <c r="W60" s="715">
        <v>0</v>
      </c>
      <c r="X60" s="715">
        <v>0</v>
      </c>
      <c r="Y60" s="715">
        <v>0</v>
      </c>
      <c r="Z60" s="715">
        <v>0</v>
      </c>
      <c r="AA60" s="715">
        <v>0</v>
      </c>
      <c r="AB60" s="715"/>
      <c r="AC60" s="704"/>
      <c r="AD60" s="704"/>
      <c r="AE60" s="704"/>
      <c r="AF60" s="704"/>
      <c r="AG60" s="704"/>
      <c r="AH60" s="704"/>
      <c r="AI60" s="704"/>
      <c r="AJ60" s="704"/>
      <c r="AK60" s="704"/>
      <c r="AL60" s="704"/>
      <c r="AM60" s="704"/>
      <c r="AN60" s="704"/>
      <c r="AO60" s="704"/>
      <c r="AP60" s="704"/>
      <c r="AQ60" s="704"/>
      <c r="AR60" s="704"/>
      <c r="AS60" s="704"/>
      <c r="AT60" s="717"/>
      <c r="AU60" s="704"/>
      <c r="AV60" s="704"/>
      <c r="AW60" s="704"/>
      <c r="AX60" s="704"/>
      <c r="AY60" s="704"/>
      <c r="AZ60" s="704"/>
      <c r="BA60" s="704"/>
      <c r="BB60" s="704"/>
      <c r="BC60" s="704"/>
      <c r="BD60" s="704"/>
      <c r="BE60" s="704"/>
      <c r="BF60" s="704"/>
      <c r="BG60" s="704"/>
      <c r="BH60" s="704"/>
      <c r="BI60" s="704"/>
      <c r="BJ60" s="704"/>
      <c r="BK60" s="704"/>
      <c r="BL60" s="704"/>
      <c r="BM60" s="704"/>
      <c r="BN60" s="704"/>
      <c r="BO60" s="704"/>
      <c r="BP60" s="704"/>
      <c r="BQ60" s="704"/>
      <c r="BR60" s="704"/>
      <c r="BS60" s="704"/>
    </row>
    <row r="61" spans="2:72" ht="14.85" customHeight="1">
      <c r="C61" s="713" t="s">
        <v>1771</v>
      </c>
      <c r="D61" s="704"/>
      <c r="E61" s="704"/>
      <c r="F61" s="714">
        <f>1/7</f>
        <v>0.14285714285714285</v>
      </c>
      <c r="G61" s="715">
        <f t="shared" ref="G61:L61" si="14">1/7</f>
        <v>0.14285714285714285</v>
      </c>
      <c r="H61" s="715">
        <f t="shared" si="14"/>
        <v>0.14285714285714285</v>
      </c>
      <c r="I61" s="715">
        <f t="shared" si="14"/>
        <v>0.14285714285714285</v>
      </c>
      <c r="J61" s="715">
        <f t="shared" si="14"/>
        <v>0.14285714285714285</v>
      </c>
      <c r="K61" s="715">
        <f t="shared" si="14"/>
        <v>0.14285714285714285</v>
      </c>
      <c r="L61" s="715">
        <f t="shared" si="14"/>
        <v>0.14285714285714285</v>
      </c>
      <c r="M61" s="715">
        <v>0</v>
      </c>
      <c r="N61" s="715">
        <v>0</v>
      </c>
      <c r="O61" s="715">
        <v>0</v>
      </c>
      <c r="P61" s="715">
        <v>0</v>
      </c>
      <c r="Q61" s="715">
        <v>0</v>
      </c>
      <c r="R61" s="715">
        <v>0</v>
      </c>
      <c r="S61" s="715">
        <v>0</v>
      </c>
      <c r="T61" s="715">
        <v>0</v>
      </c>
      <c r="U61" s="715">
        <v>0</v>
      </c>
      <c r="V61" s="715">
        <v>0</v>
      </c>
      <c r="W61" s="715">
        <v>0</v>
      </c>
      <c r="X61" s="715">
        <v>0</v>
      </c>
      <c r="Y61" s="715">
        <v>0</v>
      </c>
      <c r="Z61" s="715">
        <v>0</v>
      </c>
      <c r="AA61" s="715">
        <v>0</v>
      </c>
      <c r="AB61" s="715"/>
      <c r="AC61" s="704"/>
      <c r="AD61" s="704"/>
      <c r="AE61" s="704"/>
      <c r="AF61" s="704"/>
      <c r="AG61" s="704"/>
      <c r="AH61" s="704"/>
      <c r="AI61" s="704"/>
      <c r="AJ61" s="704"/>
      <c r="AK61" s="704"/>
      <c r="AL61" s="704"/>
      <c r="AM61" s="704"/>
      <c r="AN61" s="704"/>
      <c r="AO61" s="704"/>
      <c r="AP61" s="704"/>
      <c r="AQ61" s="704"/>
      <c r="AR61" s="704"/>
      <c r="AS61" s="704"/>
      <c r="AT61" s="717"/>
      <c r="AU61" s="704"/>
      <c r="AV61" s="704"/>
      <c r="AW61" s="704"/>
      <c r="AX61" s="704"/>
      <c r="AY61" s="704"/>
      <c r="AZ61" s="704"/>
      <c r="BA61" s="704"/>
      <c r="BB61" s="704"/>
      <c r="BC61" s="704"/>
      <c r="BD61" s="704"/>
      <c r="BE61" s="704"/>
      <c r="BF61" s="704"/>
      <c r="BG61" s="704"/>
      <c r="BH61" s="704"/>
      <c r="BI61" s="704"/>
      <c r="BJ61" s="704"/>
      <c r="BK61" s="704"/>
      <c r="BL61" s="704"/>
      <c r="BM61" s="704"/>
      <c r="BN61" s="704"/>
      <c r="BO61" s="704"/>
      <c r="BP61" s="704"/>
      <c r="BQ61" s="704"/>
      <c r="BR61" s="704"/>
      <c r="BS61" s="704"/>
    </row>
    <row r="62" spans="2:72" ht="14.85" customHeight="1">
      <c r="C62" s="713" t="s">
        <v>1772</v>
      </c>
      <c r="D62" s="704"/>
      <c r="E62" s="704"/>
      <c r="F62" s="714">
        <f>1/10</f>
        <v>0.1</v>
      </c>
      <c r="G62" s="715">
        <f t="shared" ref="G62:P62" si="15">1/10</f>
        <v>0.1</v>
      </c>
      <c r="H62" s="715">
        <f t="shared" si="15"/>
        <v>0.1</v>
      </c>
      <c r="I62" s="715">
        <f t="shared" si="15"/>
        <v>0.1</v>
      </c>
      <c r="J62" s="715">
        <f t="shared" si="15"/>
        <v>0.1</v>
      </c>
      <c r="K62" s="715">
        <f t="shared" si="15"/>
        <v>0.1</v>
      </c>
      <c r="L62" s="715">
        <f t="shared" si="15"/>
        <v>0.1</v>
      </c>
      <c r="M62" s="715">
        <f t="shared" si="15"/>
        <v>0.1</v>
      </c>
      <c r="N62" s="715">
        <f t="shared" si="15"/>
        <v>0.1</v>
      </c>
      <c r="O62" s="715">
        <f t="shared" si="15"/>
        <v>0.1</v>
      </c>
      <c r="P62" s="715">
        <f t="shared" si="15"/>
        <v>0.1</v>
      </c>
      <c r="Q62" s="715">
        <v>0</v>
      </c>
      <c r="R62" s="715">
        <v>0</v>
      </c>
      <c r="S62" s="715">
        <v>0</v>
      </c>
      <c r="T62" s="715">
        <v>0</v>
      </c>
      <c r="U62" s="715">
        <v>0</v>
      </c>
      <c r="V62" s="715">
        <v>0</v>
      </c>
      <c r="W62" s="715">
        <v>0</v>
      </c>
      <c r="X62" s="715">
        <v>0</v>
      </c>
      <c r="Y62" s="715">
        <v>0</v>
      </c>
      <c r="Z62" s="715">
        <v>0</v>
      </c>
      <c r="AA62" s="715">
        <v>0</v>
      </c>
      <c r="AB62" s="715"/>
      <c r="AC62" s="704"/>
      <c r="AD62" s="704"/>
      <c r="AE62" s="704"/>
      <c r="AF62" s="704"/>
      <c r="AG62" s="704"/>
      <c r="AH62" s="704"/>
      <c r="AI62" s="704"/>
      <c r="AJ62" s="704"/>
      <c r="AK62" s="704"/>
      <c r="AL62" s="704"/>
      <c r="AM62" s="704"/>
      <c r="AN62" s="704"/>
      <c r="AO62" s="704"/>
      <c r="AP62" s="704"/>
      <c r="AQ62" s="704"/>
      <c r="AR62" s="704"/>
      <c r="AS62" s="704"/>
      <c r="AT62" s="717"/>
      <c r="AU62" s="704"/>
      <c r="AV62" s="704"/>
      <c r="AW62" s="704"/>
      <c r="AX62" s="704"/>
      <c r="AY62" s="704"/>
      <c r="AZ62" s="704"/>
      <c r="BA62" s="704"/>
      <c r="BB62" s="704"/>
      <c r="BC62" s="704"/>
      <c r="BD62" s="704"/>
      <c r="BE62" s="704"/>
      <c r="BF62" s="704"/>
      <c r="BG62" s="704"/>
      <c r="BH62" s="704"/>
      <c r="BI62" s="704"/>
      <c r="BJ62" s="704"/>
      <c r="BK62" s="704"/>
      <c r="BL62" s="704"/>
      <c r="BM62" s="704"/>
      <c r="BN62" s="704"/>
      <c r="BO62" s="704"/>
      <c r="BP62" s="704"/>
      <c r="BQ62" s="704"/>
      <c r="BR62" s="704"/>
      <c r="BS62" s="704"/>
    </row>
    <row r="63" spans="2:72" ht="14.85" customHeight="1">
      <c r="C63" s="713" t="s">
        <v>1773</v>
      </c>
      <c r="D63" s="704"/>
      <c r="E63" s="704"/>
      <c r="F63" s="714">
        <f>1/15</f>
        <v>6.6666666666666666E-2</v>
      </c>
      <c r="G63" s="715">
        <f t="shared" ref="G63:U63" si="16">1/15</f>
        <v>6.6666666666666666E-2</v>
      </c>
      <c r="H63" s="715">
        <f t="shared" si="16"/>
        <v>6.6666666666666666E-2</v>
      </c>
      <c r="I63" s="715">
        <f t="shared" si="16"/>
        <v>6.6666666666666666E-2</v>
      </c>
      <c r="J63" s="715">
        <f t="shared" si="16"/>
        <v>6.6666666666666666E-2</v>
      </c>
      <c r="K63" s="715">
        <f t="shared" si="16"/>
        <v>6.6666666666666666E-2</v>
      </c>
      <c r="L63" s="715">
        <f t="shared" si="16"/>
        <v>6.6666666666666666E-2</v>
      </c>
      <c r="M63" s="715">
        <f t="shared" si="16"/>
        <v>6.6666666666666666E-2</v>
      </c>
      <c r="N63" s="715">
        <f t="shared" si="16"/>
        <v>6.6666666666666666E-2</v>
      </c>
      <c r="O63" s="715">
        <f t="shared" si="16"/>
        <v>6.6666666666666666E-2</v>
      </c>
      <c r="P63" s="715">
        <f t="shared" si="16"/>
        <v>6.6666666666666666E-2</v>
      </c>
      <c r="Q63" s="715">
        <f t="shared" si="16"/>
        <v>6.6666666666666666E-2</v>
      </c>
      <c r="R63" s="715">
        <f t="shared" si="16"/>
        <v>6.6666666666666666E-2</v>
      </c>
      <c r="S63" s="715">
        <f t="shared" si="16"/>
        <v>6.6666666666666666E-2</v>
      </c>
      <c r="T63" s="715">
        <f t="shared" si="16"/>
        <v>6.6666666666666666E-2</v>
      </c>
      <c r="U63" s="715">
        <f t="shared" si="16"/>
        <v>6.6666666666666666E-2</v>
      </c>
      <c r="V63" s="715">
        <v>0</v>
      </c>
      <c r="W63" s="715">
        <v>0</v>
      </c>
      <c r="X63" s="715">
        <v>0</v>
      </c>
      <c r="Y63" s="715">
        <v>0</v>
      </c>
      <c r="Z63" s="715">
        <v>0</v>
      </c>
      <c r="AA63" s="715">
        <v>0</v>
      </c>
      <c r="AB63" s="715"/>
      <c r="AC63" s="704"/>
      <c r="AD63" s="704"/>
      <c r="AE63" s="704"/>
      <c r="AF63" s="704"/>
      <c r="AG63" s="704"/>
      <c r="AH63" s="704"/>
      <c r="AI63" s="704"/>
      <c r="AJ63" s="704"/>
      <c r="AK63" s="704"/>
      <c r="AL63" s="704"/>
      <c r="AM63" s="704"/>
      <c r="AN63" s="704"/>
      <c r="AO63" s="704"/>
      <c r="AP63" s="704"/>
      <c r="AQ63" s="704"/>
      <c r="AR63" s="704"/>
      <c r="AS63" s="704"/>
      <c r="AT63" s="717"/>
      <c r="AU63" s="704"/>
      <c r="AV63" s="704"/>
      <c r="AW63" s="704"/>
      <c r="AX63" s="704"/>
      <c r="AY63" s="704"/>
      <c r="AZ63" s="704"/>
      <c r="BA63" s="704"/>
      <c r="BB63" s="704"/>
      <c r="BC63" s="704"/>
      <c r="BD63" s="704"/>
      <c r="BE63" s="704"/>
      <c r="BF63" s="704"/>
      <c r="BG63" s="704"/>
      <c r="BH63" s="704"/>
      <c r="BI63" s="704"/>
      <c r="BJ63" s="704"/>
      <c r="BK63" s="704"/>
      <c r="BL63" s="704"/>
      <c r="BM63" s="704"/>
      <c r="BN63" s="704"/>
      <c r="BO63" s="704"/>
      <c r="BP63" s="704"/>
      <c r="BQ63" s="704"/>
      <c r="BR63" s="704"/>
      <c r="BS63" s="704"/>
    </row>
    <row r="64" spans="2:72" ht="14.85" customHeight="1">
      <c r="C64" s="718" t="s">
        <v>1774</v>
      </c>
      <c r="D64" s="704"/>
      <c r="E64" s="704"/>
      <c r="F64" s="719">
        <f>1/20</f>
        <v>0.05</v>
      </c>
      <c r="G64" s="720">
        <f t="shared" ref="G64:Z64" si="17">1/20</f>
        <v>0.05</v>
      </c>
      <c r="H64" s="720">
        <f t="shared" si="17"/>
        <v>0.05</v>
      </c>
      <c r="I64" s="720">
        <f t="shared" si="17"/>
        <v>0.05</v>
      </c>
      <c r="J64" s="720">
        <f t="shared" si="17"/>
        <v>0.05</v>
      </c>
      <c r="K64" s="720">
        <f t="shared" si="17"/>
        <v>0.05</v>
      </c>
      <c r="L64" s="720">
        <f t="shared" si="17"/>
        <v>0.05</v>
      </c>
      <c r="M64" s="720">
        <f t="shared" si="17"/>
        <v>0.05</v>
      </c>
      <c r="N64" s="720">
        <f t="shared" si="17"/>
        <v>0.05</v>
      </c>
      <c r="O64" s="720">
        <f t="shared" si="17"/>
        <v>0.05</v>
      </c>
      <c r="P64" s="720">
        <f t="shared" si="17"/>
        <v>0.05</v>
      </c>
      <c r="Q64" s="720">
        <f t="shared" si="17"/>
        <v>0.05</v>
      </c>
      <c r="R64" s="720">
        <f t="shared" si="17"/>
        <v>0.05</v>
      </c>
      <c r="S64" s="720">
        <f t="shared" si="17"/>
        <v>0.05</v>
      </c>
      <c r="T64" s="720">
        <f t="shared" si="17"/>
        <v>0.05</v>
      </c>
      <c r="U64" s="720">
        <f t="shared" si="17"/>
        <v>0.05</v>
      </c>
      <c r="V64" s="720">
        <f t="shared" si="17"/>
        <v>0.05</v>
      </c>
      <c r="W64" s="720">
        <f t="shared" si="17"/>
        <v>0.05</v>
      </c>
      <c r="X64" s="720">
        <f t="shared" si="17"/>
        <v>0.05</v>
      </c>
      <c r="Y64" s="720">
        <f t="shared" si="17"/>
        <v>0.05</v>
      </c>
      <c r="Z64" s="720">
        <f t="shared" si="17"/>
        <v>0.05</v>
      </c>
      <c r="AA64" s="720">
        <v>0</v>
      </c>
      <c r="AB64" s="720"/>
      <c r="AC64" s="722"/>
      <c r="AD64" s="722"/>
      <c r="AE64" s="722"/>
      <c r="AF64" s="722"/>
      <c r="AG64" s="722"/>
      <c r="AH64" s="722"/>
      <c r="AI64" s="722"/>
      <c r="AJ64" s="722"/>
      <c r="AK64" s="722"/>
      <c r="AL64" s="722"/>
      <c r="AM64" s="722"/>
      <c r="AN64" s="722"/>
      <c r="AO64" s="722"/>
      <c r="AP64" s="722"/>
      <c r="AQ64" s="722"/>
      <c r="AR64" s="722"/>
      <c r="AS64" s="722"/>
      <c r="AT64" s="723"/>
      <c r="AU64" s="704"/>
      <c r="AV64" s="704"/>
      <c r="AW64" s="704"/>
      <c r="AX64" s="704"/>
      <c r="AY64" s="704"/>
      <c r="AZ64" s="704"/>
      <c r="BA64" s="704"/>
      <c r="BB64" s="704"/>
      <c r="BC64" s="704"/>
      <c r="BD64" s="704"/>
      <c r="BE64" s="704"/>
      <c r="BF64" s="704"/>
      <c r="BG64" s="704"/>
      <c r="BH64" s="704"/>
      <c r="BI64" s="704"/>
      <c r="BJ64" s="704"/>
      <c r="BK64" s="704"/>
      <c r="BL64" s="704"/>
      <c r="BM64" s="704"/>
      <c r="BN64" s="704"/>
      <c r="BO64" s="704"/>
      <c r="BP64" s="704"/>
      <c r="BQ64" s="704"/>
      <c r="BR64" s="704"/>
      <c r="BS64" s="704"/>
    </row>
    <row r="65" ht="14.85" customHeight="1"/>
    <row r="66" s="837" customFormat="1" ht="14.85" customHeight="1"/>
    <row r="67" s="837" customFormat="1" ht="14.85" customHeight="1"/>
    <row r="68" s="837" customFormat="1" ht="14.85" customHeight="1"/>
    <row r="69" s="837" customFormat="1" ht="14.85" customHeight="1"/>
    <row r="70" s="837" customFormat="1" ht="14.85" customHeight="1"/>
    <row r="71" s="837" customFormat="1" ht="14.85" customHeight="1"/>
    <row r="72" s="837" customFormat="1" ht="14.85" customHeight="1"/>
    <row r="73" s="837" customFormat="1" ht="14.85" customHeight="1"/>
    <row r="74" s="837" customFormat="1" ht="14.85" customHeight="1"/>
    <row r="75" s="837" customFormat="1" ht="14.85" customHeight="1"/>
    <row r="76" s="837" customFormat="1" ht="14.85" customHeight="1"/>
    <row r="77" s="837" customFormat="1" ht="14.85" customHeight="1"/>
    <row r="78" s="837" customFormat="1" ht="14.85" customHeight="1"/>
    <row r="79" s="837" customFormat="1" ht="14.85" customHeight="1"/>
    <row r="80" s="837" customFormat="1" ht="14.85" customHeight="1"/>
    <row r="81" s="837" customFormat="1" ht="14.85" customHeight="1"/>
    <row r="82" s="837" customFormat="1" ht="14.85" customHeight="1"/>
    <row r="83" s="837" customFormat="1" ht="14.85" customHeight="1"/>
    <row r="84" s="837" customFormat="1" ht="14.85" customHeight="1"/>
    <row r="85" s="837" customFormat="1" ht="14.85" customHeight="1"/>
    <row r="86" s="837" customFormat="1" ht="14.85" customHeight="1"/>
    <row r="87" s="837" customFormat="1" ht="14.85" customHeight="1"/>
    <row r="88" s="837" customFormat="1" ht="14.85" customHeight="1"/>
    <row r="89" s="837" customFormat="1" ht="14.85" customHeight="1"/>
    <row r="90" s="837" customFormat="1" ht="14.85" customHeight="1"/>
    <row r="91" s="837" customFormat="1" ht="14.85" customHeight="1"/>
    <row r="92" s="837" customFormat="1" ht="14.85" customHeight="1"/>
    <row r="93" s="837" customFormat="1" ht="14.85" customHeight="1"/>
    <row r="94" s="837" customFormat="1" ht="14.85" customHeight="1"/>
    <row r="95" s="837" customFormat="1" ht="14.85" customHeight="1"/>
    <row r="96" s="837" customFormat="1" ht="14.85" customHeight="1"/>
    <row r="97" s="837" customFormat="1" ht="14.85" customHeight="1"/>
    <row r="98" s="837" customFormat="1" ht="14.85" customHeight="1"/>
    <row r="99" s="837" customFormat="1" ht="14.85" customHeight="1"/>
    <row r="100" s="837" customFormat="1" ht="14.85" customHeight="1"/>
    <row r="101" s="837" customFormat="1" ht="14.85" customHeight="1"/>
    <row r="102" s="837" customFormat="1" ht="14.85" customHeight="1"/>
    <row r="103" s="837" customFormat="1" ht="14.85" customHeight="1"/>
    <row r="104" s="837" customFormat="1" ht="14.85" customHeight="1"/>
    <row r="105" s="837" customFormat="1" ht="14.85" customHeight="1"/>
    <row r="106" s="837" customFormat="1" ht="14.85" customHeight="1"/>
    <row r="107" s="837" customFormat="1" ht="14.85" customHeight="1"/>
    <row r="108" s="837" customFormat="1" ht="14.85" customHeight="1"/>
    <row r="109" s="837" customFormat="1" ht="14.85" customHeight="1"/>
    <row r="110" s="837" customFormat="1" ht="14.85" customHeight="1"/>
    <row r="111" s="837" customFormat="1" ht="14.85" customHeight="1"/>
    <row r="112" s="837" customFormat="1" ht="14.85" customHeight="1"/>
    <row r="113" s="837" customFormat="1" ht="14.85" customHeight="1"/>
    <row r="114" s="837" customFormat="1" ht="14.85" customHeight="1"/>
    <row r="115" s="837" customFormat="1" ht="14.85" customHeight="1"/>
    <row r="116" s="837" customFormat="1" ht="14.85" customHeight="1"/>
    <row r="117" s="837" customFormat="1" ht="14.85" customHeight="1"/>
    <row r="118" s="837" customFormat="1" ht="14.85" customHeight="1"/>
    <row r="119" s="837" customFormat="1" ht="14.85" customHeight="1"/>
    <row r="120" s="837" customFormat="1" ht="14.85" customHeight="1"/>
    <row r="121" s="837" customFormat="1" ht="14.85" customHeight="1"/>
    <row r="122" s="837" customFormat="1" ht="14.85" customHeight="1"/>
    <row r="123" s="837" customFormat="1" ht="14.85" customHeight="1"/>
    <row r="124" s="837" customFormat="1" ht="14.85" customHeight="1"/>
    <row r="125" s="837" customFormat="1" ht="14.85" customHeight="1"/>
    <row r="126" s="837" customFormat="1" ht="14.85" customHeight="1"/>
    <row r="127" s="837" customFormat="1" ht="14.85" customHeight="1"/>
    <row r="128" s="837" customFormat="1" ht="14.85" customHeight="1"/>
    <row r="129" s="837" customFormat="1" ht="14.85" customHeight="1"/>
    <row r="130" s="837" customFormat="1" ht="14.85" customHeight="1"/>
    <row r="131" s="837" customFormat="1" ht="14.85" customHeight="1"/>
    <row r="132" s="837" customFormat="1" ht="14.85" customHeight="1"/>
    <row r="133" s="837" customFormat="1" ht="14.85" customHeight="1"/>
    <row r="134" s="837" customFormat="1" ht="14.85" customHeight="1"/>
    <row r="135" s="837" customFormat="1" ht="14.85" customHeight="1"/>
    <row r="136" s="837" customFormat="1" ht="14.85" customHeight="1"/>
    <row r="137" s="837" customFormat="1" ht="14.85" customHeight="1"/>
    <row r="138" s="837" customFormat="1" ht="14.85" customHeight="1"/>
    <row r="139" s="837" customFormat="1" ht="14.85" customHeight="1"/>
    <row r="140" s="837" customFormat="1" ht="14.85" customHeight="1"/>
    <row r="141" s="837" customFormat="1" ht="14.85" customHeight="1"/>
    <row r="142" s="837" customFormat="1" ht="14.85" customHeight="1"/>
    <row r="143" s="837" customFormat="1" ht="14.85" customHeight="1"/>
    <row r="144" s="837" customFormat="1" ht="14.85" customHeight="1"/>
    <row r="145" s="837" customFormat="1" ht="14.85" customHeight="1"/>
    <row r="146" s="837" customFormat="1" ht="14.85" customHeight="1"/>
    <row r="147" s="837" customFormat="1" ht="14.85" customHeight="1"/>
    <row r="148" s="837" customFormat="1" ht="14.85" customHeight="1"/>
    <row r="149" s="837" customFormat="1" ht="14.85" customHeight="1"/>
    <row r="150" s="837" customFormat="1" ht="14.85" customHeight="1"/>
    <row r="151" s="837" customFormat="1" ht="14.85" customHeight="1"/>
    <row r="152" s="837" customFormat="1" ht="14.85" customHeight="1"/>
    <row r="153" s="837" customFormat="1" ht="14.85" customHeight="1"/>
    <row r="154" s="837" customFormat="1" ht="14.85" customHeight="1"/>
    <row r="155" s="837" customFormat="1" ht="14.85" customHeight="1"/>
    <row r="156" s="837" customFormat="1" ht="14.85" customHeight="1"/>
    <row r="157" s="837" customFormat="1" ht="14.85" customHeight="1"/>
    <row r="158" s="837" customFormat="1" ht="14.85" customHeight="1"/>
    <row r="159" s="837" customFormat="1" ht="14.85" customHeight="1"/>
    <row r="160" s="837" customFormat="1" ht="14.85" customHeight="1"/>
    <row r="161" s="837" customFormat="1" ht="14.85" customHeight="1"/>
    <row r="162" s="837" customFormat="1" ht="14.85" customHeight="1"/>
    <row r="163" s="837" customFormat="1" ht="14.85" customHeight="1"/>
    <row r="164" s="837" customFormat="1" ht="14.85" customHeight="1"/>
    <row r="165" s="837" customFormat="1" ht="14.85" customHeight="1"/>
    <row r="166" s="837" customFormat="1" ht="14.85" customHeight="1"/>
    <row r="167" s="837" customFormat="1"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46:O46"/>
  </mergeCells>
  <conditionalFormatting sqref="E4:M4">
    <cfRule type="cellIs" dxfId="103" priority="10" stopIfTrue="1" operator="equal">
      <formula>"input"</formula>
    </cfRule>
  </conditionalFormatting>
  <conditionalFormatting sqref="N4">
    <cfRule type="cellIs" dxfId="102" priority="7" stopIfTrue="1" operator="equal">
      <formula>"input"</formula>
    </cfRule>
  </conditionalFormatting>
  <conditionalFormatting sqref="N4">
    <cfRule type="cellIs" dxfId="101" priority="6" stopIfTrue="1" operator="equal">
      <formula>"input"</formula>
    </cfRule>
  </conditionalFormatting>
  <conditionalFormatting sqref="C4:D4">
    <cfRule type="cellIs" dxfId="100" priority="5" stopIfTrue="1" operator="equal">
      <formula>"input"</formula>
    </cfRule>
  </conditionalFormatting>
  <conditionalFormatting sqref="B4">
    <cfRule type="cellIs" dxfId="99" priority="3" stopIfTrue="1" operator="equal">
      <formula>"input"</formula>
    </cfRule>
  </conditionalFormatting>
  <conditionalFormatting sqref="O4">
    <cfRule type="cellIs" dxfId="98" priority="2" stopIfTrue="1" operator="equal">
      <formula>"input"</formula>
    </cfRule>
  </conditionalFormatting>
  <conditionalFormatting sqref="O4">
    <cfRule type="cellIs" dxfId="97" priority="1" stopIfTrue="1" operator="equal">
      <formula>"input"</formula>
    </cfRule>
  </conditionalFormatting>
  <dataValidations count="1">
    <dataValidation type="list" allowBlank="1" showInputMessage="1" showErrorMessage="1" sqref="C11:C12 C21:C23" xr:uid="{00000000-0002-0000-4500-000000000000}">
      <formula1>$C$51:$C$62</formula1>
    </dataValidation>
  </dataValidations>
  <pageMargins left="0.5" right="0.5" top="0.5" bottom="0.5" header="0.5" footer="0.5"/>
  <pageSetup paperSize="9" scale="85" orientation="landscape" r:id="rId1"/>
  <legacyDrawingHF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21">
    <pageSetUpPr fitToPage="1"/>
  </sheetPr>
  <dimension ref="A1:AB764"/>
  <sheetViews>
    <sheetView showGridLines="0" view="pageBreakPreview" zoomScale="80" zoomScaleNormal="100" zoomScaleSheetLayoutView="80" workbookViewId="0"/>
  </sheetViews>
  <sheetFormatPr defaultRowHeight="12.75"/>
  <cols>
    <col min="1" max="1" width="4.5" style="179" customWidth="1"/>
    <col min="2" max="2" width="46" style="179" customWidth="1"/>
    <col min="3" max="3" width="2.83203125" style="179" customWidth="1"/>
    <col min="4" max="4" width="25.83203125" style="179" customWidth="1"/>
    <col min="5" max="5" width="2.83203125" style="179" customWidth="1"/>
    <col min="6" max="6" width="25.83203125" style="179" customWidth="1"/>
    <col min="7" max="7" width="2.83203125" style="179" customWidth="1"/>
    <col min="8" max="8" width="25.83203125" style="179" customWidth="1"/>
    <col min="9" max="9" width="2.83203125" style="179" customWidth="1"/>
    <col min="10" max="10" width="15.83203125" style="179" customWidth="1"/>
    <col min="11" max="11" width="4.5" style="179" customWidth="1"/>
    <col min="12" max="12" width="17.83203125" style="179" bestFit="1" customWidth="1"/>
    <col min="13" max="13" width="46" style="179" customWidth="1"/>
    <col min="14" max="14" width="9.33203125" style="179"/>
    <col min="15" max="15" width="12" style="179" customWidth="1"/>
    <col min="16" max="16" width="9.33203125" style="179"/>
    <col min="17" max="17" width="13.83203125" style="179" customWidth="1"/>
    <col min="18" max="20" width="9.33203125" style="179"/>
    <col min="21" max="21" width="17.83203125" style="179" bestFit="1" customWidth="1"/>
    <col min="22" max="22" width="46" style="179" customWidth="1"/>
    <col min="23" max="23" width="9.33203125" style="179"/>
    <col min="24" max="24" width="12" style="179" customWidth="1"/>
    <col min="25" max="25" width="9.33203125" style="179"/>
    <col min="26" max="26" width="13.83203125" style="179" customWidth="1"/>
    <col min="27" max="16384" width="9.33203125" style="179"/>
  </cols>
  <sheetData>
    <row r="1" spans="2:13" ht="10.7" customHeight="1" thickBot="1"/>
    <row r="2" spans="2:13" ht="16.5" customHeight="1" thickTop="1">
      <c r="B2" s="187" t="str">
        <f>'MASTER PubCo Inputs'!$C$5</f>
        <v>Decibel Therapeutics, Inc.</v>
      </c>
      <c r="C2" s="187"/>
      <c r="D2" s="187"/>
      <c r="E2" s="187"/>
      <c r="F2" s="187"/>
      <c r="G2" s="187"/>
      <c r="H2" s="187"/>
      <c r="I2" s="187"/>
      <c r="J2" s="187"/>
    </row>
    <row r="3" spans="2:13" ht="15.75" customHeight="1">
      <c r="B3" s="188" t="e">
        <f>VLOOKUP(B4,Outline!$E$8:$G$75,COLUMNS(Outline!$E$8:$G$8),FALSE)</f>
        <v>#N/A</v>
      </c>
      <c r="C3" s="188"/>
      <c r="D3" s="188"/>
      <c r="E3" s="188"/>
      <c r="F3" s="188"/>
      <c r="G3" s="188"/>
      <c r="H3" s="188"/>
      <c r="I3" s="188"/>
      <c r="J3" s="188"/>
    </row>
    <row r="4" spans="2:13" ht="16.5" customHeight="1" thickBot="1">
      <c r="B4" s="726" t="s">
        <v>323</v>
      </c>
      <c r="C4" s="726"/>
      <c r="D4" s="726"/>
      <c r="E4" s="726"/>
      <c r="F4" s="726"/>
      <c r="G4" s="726"/>
      <c r="H4" s="726"/>
      <c r="I4" s="727"/>
      <c r="J4" s="727"/>
    </row>
    <row r="5" spans="2:13" ht="14.85" customHeight="1" thickTop="1"/>
    <row r="6" spans="2:13" ht="14.85" customHeight="1"/>
    <row r="7" spans="2:13" s="200" customFormat="1" ht="14.85" customHeight="1">
      <c r="B7" s="867" t="s">
        <v>281</v>
      </c>
      <c r="C7" s="179"/>
      <c r="D7" s="868" t="s">
        <v>277</v>
      </c>
      <c r="E7" s="869"/>
      <c r="F7" s="869" t="s">
        <v>278</v>
      </c>
      <c r="G7" s="869"/>
      <c r="H7" s="870" t="s">
        <v>279</v>
      </c>
      <c r="I7" s="179"/>
      <c r="J7" s="871" t="s">
        <v>70</v>
      </c>
      <c r="L7" s="872" t="s">
        <v>87</v>
      </c>
      <c r="M7" s="873">
        <f>'MASTER PubCo Inputs'!$C$6</f>
        <v>43245</v>
      </c>
    </row>
    <row r="8" spans="2:13" ht="14.85" customHeight="1">
      <c r="F8" s="549"/>
    </row>
    <row r="9" spans="2:13" ht="14.85" customHeight="1">
      <c r="B9" s="202" t="s">
        <v>95</v>
      </c>
      <c r="D9" s="310">
        <f>H21</f>
        <v>3.7762000000000004E-2</v>
      </c>
      <c r="E9" s="360"/>
      <c r="F9" s="310">
        <f>1-F10</f>
        <v>1.909116527825172E-2</v>
      </c>
      <c r="G9" s="360"/>
      <c r="H9" s="310">
        <f>F9*D9</f>
        <v>7.2092058323734156E-4</v>
      </c>
      <c r="J9" s="254"/>
    </row>
    <row r="10" spans="2:13" ht="14.85" customHeight="1">
      <c r="B10" s="202" t="s">
        <v>276</v>
      </c>
      <c r="D10" s="310">
        <f>H34</f>
        <v>0.25788176772387794</v>
      </c>
      <c r="E10" s="360"/>
      <c r="F10" s="874">
        <f>'Beta Calc'!V44</f>
        <v>0.98090883472174828</v>
      </c>
      <c r="G10" s="360"/>
      <c r="H10" s="310">
        <f>F10*D10</f>
        <v>0.25295850427401367</v>
      </c>
      <c r="J10" s="254" t="s">
        <v>261</v>
      </c>
    </row>
    <row r="11" spans="2:13" ht="14.85" customHeight="1">
      <c r="B11" s="264"/>
      <c r="C11" s="264"/>
      <c r="D11" s="875"/>
      <c r="E11" s="875"/>
      <c r="F11" s="875"/>
      <c r="G11" s="875"/>
      <c r="H11" s="875"/>
    </row>
    <row r="12" spans="2:13" ht="14.85" customHeight="1">
      <c r="B12" s="628" t="s">
        <v>295</v>
      </c>
      <c r="C12" s="628"/>
      <c r="D12" s="876"/>
      <c r="E12" s="876"/>
      <c r="F12" s="876"/>
      <c r="G12" s="876"/>
      <c r="H12" s="877">
        <f>SUM(H9:H10)</f>
        <v>0.25367942485725103</v>
      </c>
    </row>
    <row r="13" spans="2:13" ht="14.85" customHeight="1"/>
    <row r="14" spans="2:13" ht="14.85" customHeight="1">
      <c r="B14" s="267" t="s">
        <v>296</v>
      </c>
      <c r="C14" s="268"/>
      <c r="D14" s="268"/>
      <c r="E14" s="268"/>
      <c r="F14" s="268"/>
      <c r="G14" s="268"/>
      <c r="H14" s="878">
        <f>ROUND(H12,2)</f>
        <v>0.25</v>
      </c>
      <c r="J14" s="180"/>
    </row>
    <row r="15" spans="2:13" ht="14.85" customHeight="1"/>
    <row r="16" spans="2:13" s="549" customFormat="1" ht="14.85" customHeight="1">
      <c r="B16" s="879" t="s">
        <v>280</v>
      </c>
      <c r="C16" s="880"/>
      <c r="D16" s="880"/>
      <c r="E16" s="880"/>
      <c r="F16" s="880"/>
      <c r="G16" s="880"/>
      <c r="H16" s="881"/>
    </row>
    <row r="17" spans="2:13" ht="14.85" customHeight="1"/>
    <row r="18" spans="2:13" ht="14.85" customHeight="1">
      <c r="B18" s="179" t="s">
        <v>1585</v>
      </c>
      <c r="H18" s="447">
        <f>M18</f>
        <v>4.7800000000000002E-2</v>
      </c>
      <c r="J18" s="882" t="s">
        <v>260</v>
      </c>
      <c r="L18" s="179" t="s">
        <v>297</v>
      </c>
      <c r="M18" s="360">
        <f>'Capital IQ Sheet-GPC'!C71</f>
        <v>4.7800000000000002E-2</v>
      </c>
    </row>
    <row r="19" spans="2:13" ht="14.85" customHeight="1">
      <c r="B19" s="179" t="s">
        <v>282</v>
      </c>
      <c r="H19" s="883">
        <f>'MASTER PubCo Inputs'!C9</f>
        <v>0.21</v>
      </c>
      <c r="J19" s="180" t="e">
        <f>DCF!$B$3</f>
        <v>#N/A</v>
      </c>
    </row>
    <row r="20" spans="2:13" ht="14.85" customHeight="1">
      <c r="B20" s="264"/>
      <c r="C20" s="264"/>
      <c r="D20" s="264"/>
      <c r="E20" s="264"/>
      <c r="F20" s="264"/>
      <c r="G20" s="264"/>
      <c r="H20" s="875"/>
    </row>
    <row r="21" spans="2:13" ht="14.85" customHeight="1">
      <c r="B21" s="628" t="s">
        <v>283</v>
      </c>
      <c r="C21" s="629"/>
      <c r="D21" s="629"/>
      <c r="E21" s="629"/>
      <c r="F21" s="629"/>
      <c r="G21" s="629"/>
      <c r="H21" s="877">
        <f>H18*(1-H19)</f>
        <v>3.7762000000000004E-2</v>
      </c>
    </row>
    <row r="22" spans="2:13" ht="14.85" customHeight="1"/>
    <row r="23" spans="2:13" ht="14.85" customHeight="1">
      <c r="B23" s="879" t="s">
        <v>284</v>
      </c>
      <c r="C23" s="880"/>
      <c r="D23" s="880"/>
      <c r="E23" s="880"/>
      <c r="F23" s="880"/>
      <c r="G23" s="880"/>
      <c r="H23" s="881"/>
    </row>
    <row r="24" spans="2:13" ht="14.85" customHeight="1"/>
    <row r="25" spans="2:13" ht="14.85" customHeight="1">
      <c r="B25" s="179" t="s">
        <v>285</v>
      </c>
      <c r="D25" s="549"/>
      <c r="E25" s="549"/>
      <c r="F25" s="549"/>
      <c r="H25" s="884">
        <f>'Beta Calc'!I44</f>
        <v>1.2079464821169879</v>
      </c>
      <c r="J25" s="180" t="e">
        <f>'Beta Calc'!$B$3</f>
        <v>#N/A</v>
      </c>
      <c r="L25" s="179" t="s">
        <v>298</v>
      </c>
    </row>
    <row r="26" spans="2:13" ht="14.85" customHeight="1">
      <c r="B26" s="179" t="s">
        <v>286</v>
      </c>
      <c r="F26" s="606" t="s">
        <v>288</v>
      </c>
      <c r="H26" s="885">
        <f>H25*(1+(1-H19)*(F9)/F10)</f>
        <v>1.2265193331767876</v>
      </c>
      <c r="J26" s="882" t="s">
        <v>299</v>
      </c>
    </row>
    <row r="27" spans="2:13" ht="14.85" customHeight="1">
      <c r="B27" s="179" t="s">
        <v>287</v>
      </c>
      <c r="F27" s="606" t="s">
        <v>289</v>
      </c>
      <c r="H27" s="886">
        <f>H67</f>
        <v>6.0400000000000002E-2</v>
      </c>
      <c r="J27" s="882" t="s">
        <v>300</v>
      </c>
    </row>
    <row r="28" spans="2:13" ht="14.85" customHeight="1">
      <c r="F28" s="606"/>
      <c r="H28" s="887"/>
      <c r="J28" s="549"/>
    </row>
    <row r="29" spans="2:13" ht="14.85" customHeight="1">
      <c r="B29" s="179" t="s">
        <v>291</v>
      </c>
      <c r="F29" s="606" t="s">
        <v>290</v>
      </c>
      <c r="H29" s="257">
        <f>H26*H27</f>
        <v>7.4081767723877978E-2</v>
      </c>
    </row>
    <row r="30" spans="2:13" ht="14.85" customHeight="1">
      <c r="B30" s="179" t="s">
        <v>72</v>
      </c>
      <c r="H30" s="888">
        <f>'Risk-Free Rates_Hybrid'!$E$18</f>
        <v>3.0099999999999998E-2</v>
      </c>
      <c r="J30" s="180" t="str">
        <f>'Risk-Free Rates_Hybrid'!$B$3</f>
        <v>Workpaper #11</v>
      </c>
    </row>
    <row r="31" spans="2:13" ht="14.85" customHeight="1">
      <c r="B31" s="179" t="s">
        <v>292</v>
      </c>
      <c r="H31" s="886">
        <f>H61</f>
        <v>5.3699999999999998E-2</v>
      </c>
      <c r="J31" s="882" t="s">
        <v>301</v>
      </c>
    </row>
    <row r="32" spans="2:13" ht="14.85" customHeight="1">
      <c r="B32" s="179" t="s">
        <v>293</v>
      </c>
      <c r="H32" s="886">
        <v>0.1</v>
      </c>
      <c r="J32" s="882" t="s">
        <v>324</v>
      </c>
    </row>
    <row r="33" spans="1:28" ht="14.85" customHeight="1">
      <c r="B33" s="264"/>
      <c r="C33" s="264"/>
      <c r="D33" s="264"/>
      <c r="E33" s="264"/>
      <c r="F33" s="264"/>
      <c r="G33" s="264"/>
      <c r="H33" s="264"/>
    </row>
    <row r="34" spans="1:28" ht="14.85" customHeight="1">
      <c r="B34" s="628" t="s">
        <v>294</v>
      </c>
      <c r="C34" s="629"/>
      <c r="D34" s="629"/>
      <c r="E34" s="629"/>
      <c r="F34" s="629"/>
      <c r="G34" s="629"/>
      <c r="H34" s="877">
        <f>SUM(H29:H32)</f>
        <v>0.25788176772387794</v>
      </c>
    </row>
    <row r="35" spans="1:28" ht="14.85" customHeight="1"/>
    <row r="36" spans="1:28" ht="14.85" customHeight="1">
      <c r="B36" s="272" t="s">
        <v>86</v>
      </c>
    </row>
    <row r="37" spans="1:28" ht="14.85" customHeight="1">
      <c r="A37" s="681" t="s">
        <v>261</v>
      </c>
      <c r="B37" s="889" t="s">
        <v>969</v>
      </c>
    </row>
    <row r="38" spans="1:28" ht="14.85" customHeight="1">
      <c r="A38" s="681" t="s">
        <v>260</v>
      </c>
      <c r="B38" s="889" t="s">
        <v>970</v>
      </c>
    </row>
    <row r="39" spans="1:28" ht="14.85" customHeight="1">
      <c r="A39" s="681" t="s">
        <v>299</v>
      </c>
      <c r="B39" s="889" t="s">
        <v>971</v>
      </c>
    </row>
    <row r="40" spans="1:28" ht="14.85" customHeight="1">
      <c r="A40" s="681" t="s">
        <v>300</v>
      </c>
      <c r="B40" s="890" t="s">
        <v>2261</v>
      </c>
    </row>
    <row r="41" spans="1:28" ht="14.85" customHeight="1">
      <c r="A41" s="681" t="s">
        <v>301</v>
      </c>
      <c r="B41" s="890" t="s">
        <v>2262</v>
      </c>
    </row>
    <row r="42" spans="1:28" ht="14.85" customHeight="1">
      <c r="A42" s="681" t="s">
        <v>324</v>
      </c>
      <c r="B42" s="890" t="s">
        <v>972</v>
      </c>
    </row>
    <row r="43" spans="1:28" ht="14.85" customHeight="1">
      <c r="A43" s="681" t="s">
        <v>325</v>
      </c>
      <c r="B43" s="889" t="s">
        <v>1584</v>
      </c>
    </row>
    <row r="44" spans="1:28" ht="14.85" customHeight="1">
      <c r="A44" s="681"/>
      <c r="B44" s="891"/>
    </row>
    <row r="45" spans="1:28" ht="14.85" customHeight="1">
      <c r="A45" s="273"/>
    </row>
    <row r="46" spans="1:28" ht="14.85" customHeight="1">
      <c r="A46" s="892" t="s">
        <v>2260</v>
      </c>
      <c r="B46" s="893"/>
      <c r="C46" s="894"/>
      <c r="D46" s="895" t="s">
        <v>1644</v>
      </c>
      <c r="E46" s="894"/>
      <c r="F46" s="895" t="s">
        <v>1645</v>
      </c>
      <c r="G46" s="894"/>
      <c r="H46" s="896" t="s">
        <v>828</v>
      </c>
      <c r="L46" s="892" t="s">
        <v>1646</v>
      </c>
      <c r="M46" s="893"/>
      <c r="N46" s="894"/>
      <c r="O46" s="895" t="s">
        <v>1644</v>
      </c>
      <c r="P46" s="894"/>
      <c r="Q46" s="895" t="s">
        <v>1645</v>
      </c>
      <c r="R46" s="894"/>
      <c r="S46" s="896" t="s">
        <v>828</v>
      </c>
      <c r="U46" s="892" t="s">
        <v>863</v>
      </c>
      <c r="V46" s="893"/>
      <c r="W46" s="894"/>
      <c r="X46" s="895" t="s">
        <v>1644</v>
      </c>
      <c r="Y46" s="894"/>
      <c r="Z46" s="895" t="s">
        <v>1645</v>
      </c>
      <c r="AA46" s="894"/>
      <c r="AB46" s="896" t="s">
        <v>828</v>
      </c>
    </row>
    <row r="47" spans="1:28" ht="14.85" customHeight="1">
      <c r="A47" s="897" t="s">
        <v>829</v>
      </c>
      <c r="B47" s="898"/>
      <c r="D47" s="899">
        <v>2763.7190000000001</v>
      </c>
      <c r="F47" s="899">
        <v>11978.971</v>
      </c>
      <c r="H47" s="900">
        <v>9.5999999999999992E-3</v>
      </c>
      <c r="L47" s="897" t="s">
        <v>829</v>
      </c>
      <c r="M47" s="898"/>
      <c r="O47" s="899">
        <v>2392.6889999999999</v>
      </c>
      <c r="Q47" s="899">
        <v>10711.194</v>
      </c>
      <c r="S47" s="900">
        <v>1.0200000000000001E-2</v>
      </c>
      <c r="U47" s="897" t="s">
        <v>829</v>
      </c>
      <c r="V47" s="898"/>
      <c r="X47" s="899">
        <v>2090.5659999999998</v>
      </c>
      <c r="Z47" s="899">
        <v>9611.1869999999999</v>
      </c>
      <c r="AB47" s="900">
        <v>0.01</v>
      </c>
    </row>
    <row r="48" spans="1:28" ht="14.85" customHeight="1">
      <c r="A48" s="897" t="s">
        <v>830</v>
      </c>
      <c r="B48" s="898"/>
      <c r="D48" s="899">
        <v>657.70500000000004</v>
      </c>
      <c r="F48" s="899">
        <v>2759.9389999999999</v>
      </c>
      <c r="H48" s="900">
        <v>1.6400000000000001E-2</v>
      </c>
      <c r="L48" s="897" t="s">
        <v>830</v>
      </c>
      <c r="M48" s="898"/>
      <c r="O48" s="899">
        <v>569.279</v>
      </c>
      <c r="Q48" s="899">
        <v>2390.8989999999999</v>
      </c>
      <c r="S48" s="900">
        <v>1.7500000000000002E-2</v>
      </c>
      <c r="U48" s="897" t="s">
        <v>830</v>
      </c>
      <c r="V48" s="898"/>
      <c r="X48" s="899">
        <v>448.50200000000001</v>
      </c>
      <c r="Z48" s="899">
        <v>2083.6019999999999</v>
      </c>
      <c r="AB48" s="900">
        <v>1.7000000000000001E-2</v>
      </c>
    </row>
    <row r="49" spans="1:28" ht="14.85" customHeight="1">
      <c r="A49" s="897" t="s">
        <v>831</v>
      </c>
      <c r="B49" s="898"/>
      <c r="D49" s="899">
        <v>2.5310000000000001</v>
      </c>
      <c r="F49" s="899">
        <v>656.84500000000003</v>
      </c>
      <c r="H49" s="900">
        <v>3.4799999999999998E-2</v>
      </c>
      <c r="L49" s="897" t="s">
        <v>831</v>
      </c>
      <c r="M49" s="898"/>
      <c r="O49" s="899">
        <v>2.516</v>
      </c>
      <c r="Q49" s="899">
        <v>567.84299999999996</v>
      </c>
      <c r="S49" s="900">
        <v>3.6700000000000003E-2</v>
      </c>
      <c r="U49" s="897" t="s">
        <v>831</v>
      </c>
      <c r="V49" s="898"/>
      <c r="X49" s="899">
        <v>1.9630000000000001</v>
      </c>
      <c r="Z49" s="899">
        <v>448.07900000000001</v>
      </c>
      <c r="AB49" s="900">
        <v>3.5799999999999998E-2</v>
      </c>
    </row>
    <row r="50" spans="1:28" ht="14.85" customHeight="1">
      <c r="A50" s="897"/>
      <c r="B50" s="898"/>
      <c r="D50" s="898"/>
      <c r="F50" s="898"/>
      <c r="H50" s="901"/>
      <c r="L50" s="897"/>
      <c r="M50" s="898"/>
      <c r="O50" s="898"/>
      <c r="Q50" s="898"/>
      <c r="S50" s="901"/>
      <c r="U50" s="897"/>
      <c r="V50" s="898"/>
      <c r="X50" s="898"/>
      <c r="Z50" s="898"/>
      <c r="AB50" s="901"/>
    </row>
    <row r="51" spans="1:28" ht="14.85" customHeight="1">
      <c r="A51" s="897" t="s">
        <v>832</v>
      </c>
      <c r="B51" s="898"/>
      <c r="D51" s="898"/>
      <c r="F51" s="898"/>
      <c r="H51" s="901"/>
      <c r="L51" s="897" t="s">
        <v>832</v>
      </c>
      <c r="M51" s="898"/>
      <c r="O51" s="898"/>
      <c r="Q51" s="898"/>
      <c r="S51" s="901"/>
      <c r="U51" s="897" t="s">
        <v>832</v>
      </c>
      <c r="V51" s="898"/>
      <c r="X51" s="898"/>
      <c r="Z51" s="898"/>
      <c r="AB51" s="901"/>
    </row>
    <row r="52" spans="1:28" ht="14.85" customHeight="1">
      <c r="A52" s="897" t="s">
        <v>827</v>
      </c>
      <c r="B52" s="898"/>
      <c r="D52" s="899">
        <v>25142.833999999999</v>
      </c>
      <c r="F52" s="899">
        <v>790050.07299999997</v>
      </c>
      <c r="H52" s="900">
        <v>0</v>
      </c>
      <c r="L52" s="897" t="s">
        <v>827</v>
      </c>
      <c r="M52" s="898"/>
      <c r="O52" s="899">
        <v>24361.659</v>
      </c>
      <c r="Q52" s="899">
        <v>609163.49800000002</v>
      </c>
      <c r="S52" s="900">
        <v>-3.5000000000000001E-3</v>
      </c>
      <c r="U52" s="897" t="s">
        <v>827</v>
      </c>
      <c r="V52" s="898"/>
      <c r="X52" s="899">
        <v>22035.312999999998</v>
      </c>
      <c r="Z52" s="899">
        <v>629010.25399999996</v>
      </c>
      <c r="AB52" s="900">
        <v>-3.5999999999999999E-3</v>
      </c>
    </row>
    <row r="53" spans="1:28" ht="14.85" customHeight="1">
      <c r="A53" s="897">
        <v>2</v>
      </c>
      <c r="B53" s="898"/>
      <c r="D53" s="899">
        <v>12067.589</v>
      </c>
      <c r="F53" s="899">
        <v>25096.258000000002</v>
      </c>
      <c r="H53" s="900">
        <v>5.5999999999999999E-3</v>
      </c>
      <c r="L53" s="897">
        <v>2</v>
      </c>
      <c r="M53" s="898"/>
      <c r="O53" s="899">
        <v>10784.101000000001</v>
      </c>
      <c r="Q53" s="899">
        <v>24233.746999999999</v>
      </c>
      <c r="S53" s="900">
        <v>6.1000000000000004E-3</v>
      </c>
      <c r="U53" s="897">
        <v>2</v>
      </c>
      <c r="V53" s="898"/>
      <c r="X53" s="899">
        <v>9618.0529999999999</v>
      </c>
      <c r="Z53" s="899">
        <v>21809.433000000001</v>
      </c>
      <c r="AB53" s="900">
        <v>5.7000000000000002E-3</v>
      </c>
    </row>
    <row r="54" spans="1:28" ht="14.85" customHeight="1">
      <c r="A54" s="897">
        <v>3</v>
      </c>
      <c r="B54" s="898"/>
      <c r="D54" s="899">
        <v>6557.5190000000002</v>
      </c>
      <c r="F54" s="179">
        <v>11978.971</v>
      </c>
      <c r="H54" s="900">
        <v>8.6999999999999994E-3</v>
      </c>
      <c r="L54" s="897">
        <v>3</v>
      </c>
      <c r="M54" s="898"/>
      <c r="O54" s="899">
        <v>5683.991</v>
      </c>
      <c r="Q54" s="179">
        <v>10711.194</v>
      </c>
      <c r="S54" s="900">
        <v>8.8999999999999999E-3</v>
      </c>
      <c r="U54" s="897">
        <v>3</v>
      </c>
      <c r="V54" s="898"/>
      <c r="X54" s="899">
        <v>5205.8410000000003</v>
      </c>
      <c r="Z54" s="179">
        <v>9611.1869999999999</v>
      </c>
      <c r="AB54" s="900">
        <v>8.6E-3</v>
      </c>
    </row>
    <row r="55" spans="1:28" ht="14.85" customHeight="1">
      <c r="A55" s="897">
        <v>4</v>
      </c>
      <c r="B55" s="898"/>
      <c r="D55" s="899">
        <v>4097.96</v>
      </c>
      <c r="F55" s="179">
        <v>6545.5479999999998</v>
      </c>
      <c r="H55" s="900">
        <v>8.9999999999999993E-3</v>
      </c>
      <c r="L55" s="897">
        <v>4</v>
      </c>
      <c r="M55" s="898"/>
      <c r="O55" s="899">
        <v>3520.5659999999998</v>
      </c>
      <c r="Q55" s="179">
        <v>5676.7160000000003</v>
      </c>
      <c r="S55" s="900">
        <v>9.7999999999999997E-3</v>
      </c>
      <c r="U55" s="897">
        <v>4</v>
      </c>
      <c r="V55" s="898"/>
      <c r="X55" s="899">
        <v>3195.8180000000002</v>
      </c>
      <c r="Z55" s="179">
        <v>5199.9520000000002</v>
      </c>
      <c r="AB55" s="900">
        <v>9.9000000000000008E-3</v>
      </c>
    </row>
    <row r="56" spans="1:28" ht="14.85" customHeight="1">
      <c r="A56" s="897">
        <v>5</v>
      </c>
      <c r="B56" s="898"/>
      <c r="D56" s="899">
        <v>2763.7190000000001</v>
      </c>
      <c r="F56" s="899">
        <v>4091.971</v>
      </c>
      <c r="H56" s="900">
        <v>1.38E-2</v>
      </c>
      <c r="L56" s="897">
        <v>5</v>
      </c>
      <c r="M56" s="898"/>
      <c r="O56" s="899">
        <v>2392.6889999999999</v>
      </c>
      <c r="Q56" s="899">
        <v>3512.913</v>
      </c>
      <c r="S56" s="900">
        <v>1.5100000000000001E-2</v>
      </c>
      <c r="U56" s="897">
        <v>5</v>
      </c>
      <c r="V56" s="898"/>
      <c r="X56" s="899">
        <v>2090.5659999999998</v>
      </c>
      <c r="Z56" s="899">
        <v>3187.48</v>
      </c>
      <c r="AB56" s="900">
        <v>1.49E-2</v>
      </c>
    </row>
    <row r="57" spans="1:28" ht="14.85" customHeight="1">
      <c r="A57" s="897">
        <v>6</v>
      </c>
      <c r="B57" s="898"/>
      <c r="D57" s="899">
        <v>1815.68</v>
      </c>
      <c r="F57" s="899">
        <v>2759.9389999999999</v>
      </c>
      <c r="H57" s="900">
        <v>1.6E-2</v>
      </c>
      <c r="L57" s="897">
        <v>6</v>
      </c>
      <c r="M57" s="898"/>
      <c r="O57" s="899">
        <v>1571.193</v>
      </c>
      <c r="Q57" s="899">
        <v>2390.8989999999999</v>
      </c>
      <c r="S57" s="900">
        <v>1.66E-2</v>
      </c>
      <c r="U57" s="897">
        <v>6</v>
      </c>
      <c r="V57" s="898"/>
      <c r="X57" s="899">
        <v>1400.931</v>
      </c>
      <c r="Z57" s="899">
        <v>2083.6419999999998</v>
      </c>
      <c r="AB57" s="900">
        <v>1.6299999999999999E-2</v>
      </c>
    </row>
    <row r="58" spans="1:28" ht="14.85" customHeight="1">
      <c r="A58" s="897">
        <v>7</v>
      </c>
      <c r="B58" s="898"/>
      <c r="D58" s="899">
        <v>1175.3689999999999</v>
      </c>
      <c r="F58" s="899">
        <v>1814.568</v>
      </c>
      <c r="H58" s="900">
        <v>1.5800000000000002E-2</v>
      </c>
      <c r="L58" s="897">
        <v>7</v>
      </c>
      <c r="M58" s="898"/>
      <c r="O58" s="899">
        <v>1033.3409999999999</v>
      </c>
      <c r="Q58" s="899">
        <v>1569.9839999999999</v>
      </c>
      <c r="S58" s="900">
        <v>1.72E-2</v>
      </c>
      <c r="U58" s="897">
        <v>7</v>
      </c>
      <c r="V58" s="898"/>
      <c r="X58" s="899">
        <v>845.50900000000001</v>
      </c>
      <c r="Z58" s="899">
        <v>1400.2080000000001</v>
      </c>
      <c r="AB58" s="900">
        <v>1.6199999999999999E-2</v>
      </c>
    </row>
    <row r="59" spans="1:28" ht="14.85" customHeight="1">
      <c r="A59" s="897">
        <v>8</v>
      </c>
      <c r="B59" s="898"/>
      <c r="D59" s="899">
        <v>657.70500000000004</v>
      </c>
      <c r="F59" s="899">
        <v>1170.0630000000001</v>
      </c>
      <c r="H59" s="900">
        <v>1.8800000000000001E-2</v>
      </c>
      <c r="L59" s="897">
        <v>8</v>
      </c>
      <c r="M59" s="898"/>
      <c r="O59" s="899">
        <v>569.279</v>
      </c>
      <c r="Q59" s="899">
        <v>1030.4259999999999</v>
      </c>
      <c r="S59" s="900">
        <v>2.0799999999999999E-2</v>
      </c>
      <c r="U59" s="897">
        <v>8</v>
      </c>
      <c r="V59" s="898"/>
      <c r="X59" s="899">
        <v>448.50200000000001</v>
      </c>
      <c r="Z59" s="899">
        <v>844.47500000000002</v>
      </c>
      <c r="AB59" s="900">
        <v>2.0400000000000001E-2</v>
      </c>
    </row>
    <row r="60" spans="1:28" ht="14.85" customHeight="1">
      <c r="A60" s="897">
        <v>9</v>
      </c>
      <c r="B60" s="898"/>
      <c r="D60" s="899">
        <v>299.39999999999998</v>
      </c>
      <c r="F60" s="899">
        <v>656.84500000000003</v>
      </c>
      <c r="H60" s="900">
        <v>2.5000000000000001E-2</v>
      </c>
      <c r="L60" s="897">
        <v>9</v>
      </c>
      <c r="M60" s="898"/>
      <c r="O60" s="899">
        <v>263.71499999999997</v>
      </c>
      <c r="Q60" s="899">
        <v>567.84299999999996</v>
      </c>
      <c r="S60" s="900">
        <v>2.6800000000000001E-2</v>
      </c>
      <c r="U60" s="897">
        <v>9</v>
      </c>
      <c r="V60" s="898"/>
      <c r="X60" s="899">
        <v>209.88</v>
      </c>
      <c r="Z60" s="899">
        <v>448.07900000000001</v>
      </c>
      <c r="AB60" s="900">
        <v>2.5399999999999999E-2</v>
      </c>
    </row>
    <row r="61" spans="1:28" ht="14.85" customHeight="1">
      <c r="A61" s="897" t="s">
        <v>833</v>
      </c>
      <c r="B61" s="898"/>
      <c r="D61" s="899">
        <v>2.5310000000000001</v>
      </c>
      <c r="F61" s="899">
        <v>299.29000000000002</v>
      </c>
      <c r="H61" s="900">
        <v>5.3699999999999998E-2</v>
      </c>
      <c r="L61" s="897" t="s">
        <v>833</v>
      </c>
      <c r="M61" s="898"/>
      <c r="O61" s="899">
        <v>2.516</v>
      </c>
      <c r="Q61" s="899">
        <v>262.89100000000002</v>
      </c>
      <c r="S61" s="900">
        <v>5.5899999999999998E-2</v>
      </c>
      <c r="U61" s="897" t="s">
        <v>833</v>
      </c>
      <c r="V61" s="898"/>
      <c r="X61" s="899">
        <v>1.9630000000000001</v>
      </c>
      <c r="Z61" s="899">
        <v>209.40600000000001</v>
      </c>
      <c r="AB61" s="900">
        <v>5.6000000000000001E-2</v>
      </c>
    </row>
    <row r="62" spans="1:28" ht="14.85" customHeight="1">
      <c r="A62" s="897"/>
      <c r="B62" s="898"/>
      <c r="D62" s="899"/>
      <c r="F62" s="899"/>
      <c r="H62" s="900"/>
      <c r="L62" s="897"/>
      <c r="M62" s="898"/>
      <c r="O62" s="899"/>
      <c r="Q62" s="899"/>
      <c r="S62" s="900"/>
      <c r="U62" s="897"/>
      <c r="V62" s="898"/>
      <c r="X62" s="899"/>
      <c r="Z62" s="899"/>
      <c r="AB62" s="900"/>
    </row>
    <row r="63" spans="1:28" ht="14.85" customHeight="1">
      <c r="A63" s="897" t="s">
        <v>834</v>
      </c>
      <c r="B63" s="898"/>
      <c r="D63" s="899"/>
      <c r="F63" s="899"/>
      <c r="H63" s="900"/>
      <c r="L63" s="897" t="s">
        <v>834</v>
      </c>
      <c r="M63" s="898"/>
      <c r="O63" s="899"/>
      <c r="Q63" s="899"/>
      <c r="S63" s="900"/>
      <c r="U63" s="897" t="s">
        <v>834</v>
      </c>
      <c r="V63" s="898"/>
      <c r="X63" s="899"/>
      <c r="Z63" s="899"/>
      <c r="AB63" s="900"/>
    </row>
    <row r="64" spans="1:28" ht="14.85" customHeight="1">
      <c r="A64" s="897" t="s">
        <v>835</v>
      </c>
      <c r="B64" s="898"/>
      <c r="D64" s="899">
        <v>166.505</v>
      </c>
      <c r="F64" s="899">
        <v>299.29000000000002</v>
      </c>
      <c r="H64" s="900">
        <v>3.8600000000000002E-2</v>
      </c>
      <c r="L64" s="897" t="s">
        <v>835</v>
      </c>
      <c r="M64" s="898"/>
      <c r="O64" s="899">
        <v>127.29600000000001</v>
      </c>
      <c r="Q64" s="899">
        <v>262.89100000000002</v>
      </c>
      <c r="S64" s="900">
        <v>4.0899999999999999E-2</v>
      </c>
      <c r="U64" s="897" t="s">
        <v>835</v>
      </c>
      <c r="V64" s="898"/>
      <c r="X64" s="899">
        <v>108.962</v>
      </c>
      <c r="Z64" s="899">
        <v>209.40600000000001</v>
      </c>
      <c r="AB64" s="900">
        <v>4.0399999999999998E-2</v>
      </c>
    </row>
    <row r="65" spans="1:28" ht="14.85" customHeight="1">
      <c r="A65" s="902" t="s">
        <v>836</v>
      </c>
      <c r="B65" s="903"/>
      <c r="C65" s="264"/>
      <c r="D65" s="904">
        <v>2.5310000000000001</v>
      </c>
      <c r="E65" s="264"/>
      <c r="F65" s="904">
        <v>166.34899999999999</v>
      </c>
      <c r="G65" s="264"/>
      <c r="H65" s="905">
        <v>8.4099999999999994E-2</v>
      </c>
      <c r="L65" s="902" t="s">
        <v>836</v>
      </c>
      <c r="M65" s="903"/>
      <c r="N65" s="264"/>
      <c r="O65" s="904">
        <v>2.516</v>
      </c>
      <c r="P65" s="264"/>
      <c r="Q65" s="904">
        <v>127.279</v>
      </c>
      <c r="R65" s="264"/>
      <c r="S65" s="905">
        <v>8.6400000000000005E-2</v>
      </c>
      <c r="U65" s="902" t="s">
        <v>836</v>
      </c>
      <c r="V65" s="903"/>
      <c r="W65" s="264"/>
      <c r="X65" s="904">
        <v>1.9630000000000001</v>
      </c>
      <c r="Y65" s="264"/>
      <c r="Z65" s="904">
        <v>108.598</v>
      </c>
      <c r="AA65" s="264"/>
      <c r="AB65" s="905">
        <v>8.7599999999999997E-2</v>
      </c>
    </row>
    <row r="66" spans="1:28" ht="14.85" customHeight="1">
      <c r="A66" s="906"/>
      <c r="B66" s="694"/>
      <c r="C66" s="694"/>
      <c r="D66" s="694"/>
      <c r="E66" s="694"/>
      <c r="F66" s="694"/>
      <c r="G66" s="694"/>
      <c r="H66" s="696"/>
      <c r="L66" s="906"/>
      <c r="M66" s="694"/>
      <c r="N66" s="694"/>
      <c r="O66" s="694"/>
      <c r="P66" s="694"/>
      <c r="Q66" s="694"/>
      <c r="R66" s="694"/>
      <c r="S66" s="696"/>
      <c r="U66" s="906"/>
      <c r="V66" s="694"/>
      <c r="W66" s="694"/>
      <c r="X66" s="694"/>
      <c r="Y66" s="694"/>
      <c r="Z66" s="694"/>
      <c r="AA66" s="694"/>
      <c r="AB66" s="696"/>
    </row>
    <row r="67" spans="1:28" ht="14.85" customHeight="1">
      <c r="A67" s="378"/>
      <c r="B67" s="907" t="s">
        <v>837</v>
      </c>
      <c r="C67" s="264"/>
      <c r="D67" s="264"/>
      <c r="E67" s="264"/>
      <c r="F67" s="264"/>
      <c r="G67" s="264"/>
      <c r="H67" s="908">
        <v>6.0400000000000002E-2</v>
      </c>
      <c r="L67" s="378"/>
      <c r="M67" s="907" t="s">
        <v>837</v>
      </c>
      <c r="N67" s="264"/>
      <c r="O67" s="264"/>
      <c r="P67" s="264"/>
      <c r="Q67" s="264"/>
      <c r="R67" s="264"/>
      <c r="S67" s="908">
        <v>5.9700000000000003E-2</v>
      </c>
      <c r="U67" s="378"/>
      <c r="V67" s="907" t="s">
        <v>837</v>
      </c>
      <c r="W67" s="264"/>
      <c r="X67" s="264"/>
      <c r="Y67" s="264"/>
      <c r="Z67" s="264"/>
      <c r="AA67" s="264"/>
      <c r="AB67" s="908">
        <v>6.0299999999999999E-2</v>
      </c>
    </row>
    <row r="68" spans="1:28" ht="14.85" customHeight="1"/>
    <row r="69" spans="1:28" ht="14.85" customHeight="1"/>
    <row r="70" spans="1:28" ht="14.85" customHeight="1"/>
    <row r="71" spans="1:28" ht="14.85" customHeight="1"/>
    <row r="72" spans="1:28" ht="14.85" customHeight="1"/>
    <row r="73" spans="1:28" ht="14.85" customHeight="1"/>
    <row r="74" spans="1:28" ht="14.85" customHeight="1"/>
    <row r="75" spans="1:28" ht="14.85" customHeight="1"/>
    <row r="76" spans="1:28" ht="14.85" customHeight="1"/>
    <row r="77" spans="1:28" ht="14.85" customHeight="1"/>
    <row r="78" spans="1:28" ht="14.85" customHeight="1"/>
    <row r="79" spans="1:28" ht="14.85" customHeight="1"/>
    <row r="80" spans="1:28" ht="14.85" customHeight="1">
      <c r="B80" s="360"/>
    </row>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I4">
    <cfRule type="cellIs" dxfId="96" priority="4" stopIfTrue="1" operator="equal">
      <formula>"input"</formula>
    </cfRule>
  </conditionalFormatting>
  <conditionalFormatting sqref="I4">
    <cfRule type="cellIs" dxfId="95" priority="3" stopIfTrue="1" operator="equal">
      <formula>"input"</formula>
    </cfRule>
  </conditionalFormatting>
  <conditionalFormatting sqref="B4:H4">
    <cfRule type="cellIs" dxfId="94" priority="5" stopIfTrue="1" operator="equal">
      <formula>"input"</formula>
    </cfRule>
  </conditionalFormatting>
  <conditionalFormatting sqref="J4">
    <cfRule type="cellIs" dxfId="93" priority="2" stopIfTrue="1" operator="equal">
      <formula>"input"</formula>
    </cfRule>
  </conditionalFormatting>
  <conditionalFormatting sqref="J4">
    <cfRule type="cellIs" dxfId="92" priority="1" stopIfTrue="1" operator="equal">
      <formula>"input"</formula>
    </cfRule>
  </conditionalFormatting>
  <pageMargins left="0.5" right="0.5" top="0.5" bottom="0.5" header="0.5" footer="0.5"/>
  <pageSetup scale="89" orientation="landscape" r:id="rId1"/>
  <legacyDrawing r:id="rId2"/>
  <legacyDrawingHF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2"/>
  <dimension ref="A1:L764"/>
  <sheetViews>
    <sheetView showGridLines="0" view="pageBreakPreview" zoomScale="80" zoomScaleNormal="100" zoomScaleSheetLayoutView="80" workbookViewId="0"/>
  </sheetViews>
  <sheetFormatPr defaultRowHeight="12.75"/>
  <cols>
    <col min="1" max="1" width="4.5" style="179" customWidth="1"/>
    <col min="2" max="2" width="48.6640625" style="179" customWidth="1"/>
    <col min="3" max="7" width="25.83203125" style="179" customWidth="1"/>
    <col min="8" max="8" width="4.5" style="179" customWidth="1"/>
    <col min="9" max="9" width="9.33203125" style="179"/>
    <col min="10" max="10" width="23.33203125" style="179" customWidth="1"/>
    <col min="11" max="11" width="19.1640625" style="179" customWidth="1"/>
    <col min="12" max="12" width="11.33203125" style="179" bestFit="1" customWidth="1"/>
    <col min="13" max="16384" width="9.33203125" style="179"/>
  </cols>
  <sheetData>
    <row r="1" spans="2:12" ht="13.5" thickBot="1"/>
    <row r="2" spans="2:12" ht="15" thickTop="1">
      <c r="B2" s="187" t="str">
        <f>'MASTER PubCo Inputs'!$C$5</f>
        <v>Decibel Therapeutics, Inc.</v>
      </c>
      <c r="C2" s="187"/>
      <c r="D2" s="187"/>
      <c r="E2" s="187"/>
      <c r="F2" s="187"/>
      <c r="G2" s="187"/>
    </row>
    <row r="3" spans="2:12" ht="14.25">
      <c r="B3" s="188" t="e">
        <f>VLOOKUP(B4,Outline!$E$8:$G$75,COLUMNS(Outline!$E$8:$G$8),FALSE)</f>
        <v>#N/A</v>
      </c>
      <c r="C3" s="188"/>
      <c r="D3" s="188"/>
      <c r="E3" s="188"/>
      <c r="F3" s="188"/>
      <c r="G3" s="188"/>
    </row>
    <row r="4" spans="2:12" ht="15" thickBot="1">
      <c r="B4" s="726" t="s">
        <v>640</v>
      </c>
      <c r="C4" s="726"/>
      <c r="D4" s="726"/>
      <c r="E4" s="726"/>
      <c r="F4" s="726"/>
      <c r="G4" s="727" t="str">
        <f>+'MASTER PubCo Inputs'!$C$21</f>
        <v>(in thousands of USD)</v>
      </c>
    </row>
    <row r="5" spans="2:12" ht="14.85" customHeight="1" thickTop="1">
      <c r="B5" s="361"/>
      <c r="C5" s="361"/>
      <c r="D5" s="361"/>
      <c r="E5" s="361"/>
      <c r="F5" s="361"/>
      <c r="G5" s="362"/>
    </row>
    <row r="6" spans="2:12" ht="14.85" customHeight="1">
      <c r="B6" s="326" t="s">
        <v>2071</v>
      </c>
      <c r="C6" s="326"/>
      <c r="D6" s="326"/>
      <c r="E6" s="326"/>
      <c r="F6" s="326"/>
      <c r="G6" s="326"/>
    </row>
    <row r="7" spans="2:12" ht="14.85" customHeight="1">
      <c r="B7" s="324"/>
      <c r="C7" s="324"/>
      <c r="D7" s="324"/>
      <c r="E7" s="324"/>
      <c r="F7" s="324"/>
      <c r="G7" s="324"/>
    </row>
    <row r="8" spans="2:12" ht="14.85" customHeight="1">
      <c r="C8" s="363" t="s">
        <v>704</v>
      </c>
    </row>
    <row r="9" spans="2:12" ht="14.85" customHeight="1">
      <c r="B9" s="364" t="s">
        <v>3193</v>
      </c>
      <c r="C9" s="365" t="s">
        <v>579</v>
      </c>
      <c r="D9" s="366" t="s">
        <v>580</v>
      </c>
      <c r="E9" s="366" t="s">
        <v>859</v>
      </c>
      <c r="F9" s="366" t="s">
        <v>581</v>
      </c>
      <c r="G9" s="367" t="s">
        <v>582</v>
      </c>
      <c r="J9" s="368" t="s">
        <v>583</v>
      </c>
      <c r="K9" s="369" t="s">
        <v>584</v>
      </c>
      <c r="L9" s="370"/>
    </row>
    <row r="10" spans="2:12" ht="14.85" customHeight="1">
      <c r="J10" s="180"/>
      <c r="K10" s="180"/>
    </row>
    <row r="11" spans="2:12" ht="14.85" customHeight="1">
      <c r="B11" s="179" t="s">
        <v>585</v>
      </c>
      <c r="C11" s="371">
        <v>0.8</v>
      </c>
      <c r="D11" s="371">
        <v>0.1</v>
      </c>
      <c r="E11" s="371">
        <v>0</v>
      </c>
      <c r="F11" s="303">
        <f>1-E11</f>
        <v>1</v>
      </c>
      <c r="G11" s="372">
        <v>42277</v>
      </c>
      <c r="H11" s="254"/>
      <c r="I11" s="254"/>
      <c r="J11" s="328">
        <f>+E11+F11</f>
        <v>1</v>
      </c>
      <c r="K11" s="373" t="str">
        <f>B11</f>
        <v>Phase Ia</v>
      </c>
      <c r="L11" s="374">
        <f>SUMIF($C$44:$C$57,B11,$F$44:$F$57)</f>
        <v>0.27999999999999997</v>
      </c>
    </row>
    <row r="12" spans="2:12" ht="14.85" customHeight="1">
      <c r="B12" s="179" t="s">
        <v>586</v>
      </c>
      <c r="C12" s="371">
        <v>0.7</v>
      </c>
      <c r="D12" s="371">
        <v>0.4</v>
      </c>
      <c r="E12" s="371">
        <v>0.1</v>
      </c>
      <c r="F12" s="303">
        <f>1-E12</f>
        <v>0.9</v>
      </c>
      <c r="G12" s="372">
        <f>+G11+366</f>
        <v>42643</v>
      </c>
      <c r="J12" s="328">
        <f>+E12+F12</f>
        <v>1</v>
      </c>
      <c r="K12" s="338" t="str">
        <f>B12</f>
        <v>Phase Ib</v>
      </c>
      <c r="L12" s="375">
        <f>SUMIF($C$44:$C$57,B12,$F$44:$F$57)</f>
        <v>0.41760000000000003</v>
      </c>
    </row>
    <row r="13" spans="2:12" ht="14.85" customHeight="1">
      <c r="B13" s="179" t="s">
        <v>587</v>
      </c>
      <c r="C13" s="371">
        <v>0.41799999999999998</v>
      </c>
      <c r="D13" s="376">
        <v>1</v>
      </c>
      <c r="E13" s="371">
        <v>0.1</v>
      </c>
      <c r="F13" s="303">
        <f>1-E13</f>
        <v>0.9</v>
      </c>
      <c r="G13" s="372">
        <v>43465</v>
      </c>
      <c r="H13" s="254"/>
      <c r="I13" s="254"/>
      <c r="J13" s="328">
        <f>+E13+F13</f>
        <v>1</v>
      </c>
      <c r="K13" s="338" t="str">
        <f>B13</f>
        <v>Phase II</v>
      </c>
      <c r="L13" s="377">
        <f>SUMIF($C$45:$C$57,B13,$F$45:$F$57)</f>
        <v>0.30239999999999995</v>
      </c>
    </row>
    <row r="14" spans="2:12" ht="14.85" customHeight="1">
      <c r="B14" s="182"/>
      <c r="C14" s="182"/>
      <c r="D14" s="181"/>
      <c r="E14" s="182"/>
      <c r="F14" s="181"/>
      <c r="G14" s="182"/>
      <c r="J14" s="182"/>
      <c r="K14" s="378"/>
      <c r="L14" s="379">
        <f>SUM(L11:L13)</f>
        <v>1</v>
      </c>
    </row>
    <row r="15" spans="2:12" ht="14.85" customHeight="1">
      <c r="B15" s="380" t="str">
        <f>"Probability of Different Exit Scenarios in "&amp;B$11</f>
        <v>Probability of Different Exit Scenarios in Phase Ia</v>
      </c>
      <c r="C15" s="381"/>
      <c r="D15" s="381"/>
      <c r="E15" s="381"/>
      <c r="F15" s="381"/>
      <c r="G15" s="381"/>
    </row>
    <row r="16" spans="2:12" ht="14.85" customHeight="1">
      <c r="B16" s="382" t="s">
        <v>588</v>
      </c>
      <c r="C16" s="365" t="s">
        <v>589</v>
      </c>
      <c r="D16" s="366" t="s">
        <v>590</v>
      </c>
      <c r="E16" s="366" t="s">
        <v>591</v>
      </c>
      <c r="F16" s="366" t="s">
        <v>592</v>
      </c>
      <c r="G16" s="367" t="s">
        <v>593</v>
      </c>
      <c r="H16" s="254"/>
      <c r="I16" s="254"/>
    </row>
    <row r="17" spans="2:11" ht="14.85" customHeight="1">
      <c r="J17" s="180"/>
      <c r="K17" s="180"/>
    </row>
    <row r="18" spans="2:11" ht="14.85" customHeight="1">
      <c r="B18" s="202" t="s">
        <v>594</v>
      </c>
      <c r="C18" s="257">
        <f>+C11</f>
        <v>0.8</v>
      </c>
      <c r="D18" s="360">
        <f>C11</f>
        <v>0.8</v>
      </c>
      <c r="E18" s="257">
        <f>$D$11</f>
        <v>0.1</v>
      </c>
      <c r="F18" s="257">
        <f>D18*E18</f>
        <v>8.0000000000000016E-2</v>
      </c>
      <c r="G18" s="383"/>
    </row>
    <row r="19" spans="2:11" ht="14.85" customHeight="1">
      <c r="B19" s="202" t="s">
        <v>595</v>
      </c>
      <c r="C19" s="257">
        <f>1-C18</f>
        <v>0.19999999999999996</v>
      </c>
      <c r="D19" s="360">
        <f>C19</f>
        <v>0.19999999999999996</v>
      </c>
      <c r="E19" s="384" t="s">
        <v>13</v>
      </c>
      <c r="F19" s="257">
        <f>D19</f>
        <v>0.19999999999999996</v>
      </c>
      <c r="G19" s="383"/>
    </row>
    <row r="20" spans="2:11" ht="14.85" customHeight="1">
      <c r="B20" s="385" t="s">
        <v>163</v>
      </c>
      <c r="C20" s="386">
        <f>SUM(C18:C19)</f>
        <v>1</v>
      </c>
      <c r="D20" s="386">
        <f>SUM(D18:D19)</f>
        <v>1</v>
      </c>
      <c r="E20" s="385"/>
      <c r="F20" s="386">
        <f>SUM(F18:F19)</f>
        <v>0.27999999999999997</v>
      </c>
      <c r="G20" s="386">
        <f>+D20-F20</f>
        <v>0.72</v>
      </c>
      <c r="H20" s="254"/>
    </row>
    <row r="21" spans="2:11" ht="14.85" customHeight="1">
      <c r="B21" s="182"/>
      <c r="C21" s="182"/>
      <c r="D21" s="181"/>
      <c r="E21" s="182"/>
      <c r="F21" s="181"/>
      <c r="G21" s="182"/>
    </row>
    <row r="22" spans="2:11" ht="14.85" customHeight="1">
      <c r="B22" s="380" t="str">
        <f>"Probability of Different Exit Scenarios in "&amp;B$12</f>
        <v>Probability of Different Exit Scenarios in Phase Ib</v>
      </c>
      <c r="C22" s="381"/>
      <c r="D22" s="381"/>
      <c r="E22" s="381"/>
      <c r="F22" s="381"/>
      <c r="G22" s="381"/>
    </row>
    <row r="23" spans="2:11" ht="14.85" customHeight="1">
      <c r="B23" s="382" t="s">
        <v>588</v>
      </c>
      <c r="C23" s="365" t="s">
        <v>589</v>
      </c>
      <c r="D23" s="366" t="s">
        <v>590</v>
      </c>
      <c r="E23" s="366" t="s">
        <v>591</v>
      </c>
      <c r="F23" s="366" t="s">
        <v>592</v>
      </c>
      <c r="G23" s="367" t="s">
        <v>593</v>
      </c>
      <c r="H23" s="254"/>
      <c r="I23" s="254"/>
    </row>
    <row r="24" spans="2:11" ht="14.85" customHeight="1">
      <c r="J24" s="180"/>
      <c r="K24" s="180"/>
    </row>
    <row r="25" spans="2:11" ht="14.85" customHeight="1">
      <c r="B25" s="202" t="s">
        <v>594</v>
      </c>
      <c r="C25" s="257">
        <f>C12</f>
        <v>0.7</v>
      </c>
      <c r="D25" s="257">
        <f>$G$20*C25</f>
        <v>0.504</v>
      </c>
      <c r="E25" s="257">
        <f>$D$12</f>
        <v>0.4</v>
      </c>
      <c r="F25" s="257">
        <f>D25*E25</f>
        <v>0.2016</v>
      </c>
      <c r="G25" s="383"/>
    </row>
    <row r="26" spans="2:11" ht="14.85" customHeight="1">
      <c r="B26" s="202" t="s">
        <v>595</v>
      </c>
      <c r="C26" s="257">
        <f>1-C25</f>
        <v>0.30000000000000004</v>
      </c>
      <c r="D26" s="257">
        <f>$G$20*C26</f>
        <v>0.21600000000000003</v>
      </c>
      <c r="E26" s="384" t="s">
        <v>13</v>
      </c>
      <c r="F26" s="257">
        <f>D26</f>
        <v>0.21600000000000003</v>
      </c>
      <c r="G26" s="383"/>
    </row>
    <row r="27" spans="2:11" ht="14.85" customHeight="1">
      <c r="B27" s="385" t="s">
        <v>163</v>
      </c>
      <c r="C27" s="386">
        <f>SUM(C25:C26)</f>
        <v>1</v>
      </c>
      <c r="D27" s="386">
        <f>SUM(D25:D26)</f>
        <v>0.72</v>
      </c>
      <c r="E27" s="385"/>
      <c r="F27" s="386">
        <f>SUM(F25:F26)</f>
        <v>0.41760000000000003</v>
      </c>
      <c r="G27" s="386">
        <f>D27-F27</f>
        <v>0.30239999999999995</v>
      </c>
      <c r="H27" s="254"/>
    </row>
    <row r="28" spans="2:11" ht="14.85" customHeight="1">
      <c r="B28" s="182"/>
      <c r="C28" s="182"/>
      <c r="D28" s="181"/>
      <c r="E28" s="182"/>
      <c r="F28" s="181"/>
      <c r="G28" s="182"/>
    </row>
    <row r="29" spans="2:11" ht="14.85" customHeight="1">
      <c r="B29" s="380" t="str">
        <f>"Probability of Different Exit Scenarios in "&amp;B$13</f>
        <v>Probability of Different Exit Scenarios in Phase II</v>
      </c>
      <c r="C29" s="387"/>
      <c r="D29" s="387"/>
      <c r="E29" s="387"/>
      <c r="F29" s="387"/>
      <c r="G29" s="387"/>
    </row>
    <row r="30" spans="2:11" ht="14.85" customHeight="1">
      <c r="B30" s="382" t="s">
        <v>588</v>
      </c>
      <c r="C30" s="365" t="s">
        <v>589</v>
      </c>
      <c r="D30" s="366" t="s">
        <v>590</v>
      </c>
      <c r="E30" s="366" t="s">
        <v>591</v>
      </c>
      <c r="F30" s="366" t="s">
        <v>592</v>
      </c>
      <c r="G30" s="367" t="s">
        <v>593</v>
      </c>
    </row>
    <row r="31" spans="2:11" ht="14.85" customHeight="1">
      <c r="J31" s="180"/>
      <c r="K31" s="180"/>
    </row>
    <row r="32" spans="2:11" ht="14.85" customHeight="1">
      <c r="B32" s="202" t="s">
        <v>594</v>
      </c>
      <c r="C32" s="257">
        <f>C13</f>
        <v>0.41799999999999998</v>
      </c>
      <c r="D32" s="257">
        <f>+C32*$G$27</f>
        <v>0.12640319999999997</v>
      </c>
      <c r="E32" s="257">
        <f>D13</f>
        <v>1</v>
      </c>
      <c r="F32" s="257">
        <f>D32*E32</f>
        <v>0.12640319999999997</v>
      </c>
      <c r="G32" s="383"/>
    </row>
    <row r="33" spans="2:12" ht="14.85" customHeight="1">
      <c r="B33" s="202" t="s">
        <v>595</v>
      </c>
      <c r="C33" s="257">
        <f>1-C32</f>
        <v>0.58200000000000007</v>
      </c>
      <c r="D33" s="257">
        <f>+C33*$G$27</f>
        <v>0.17599679999999998</v>
      </c>
      <c r="E33" s="388" t="s">
        <v>13</v>
      </c>
      <c r="F33" s="257">
        <f>D33</f>
        <v>0.17599679999999998</v>
      </c>
      <c r="G33" s="383"/>
    </row>
    <row r="34" spans="2:12" ht="14.85" customHeight="1">
      <c r="B34" s="385" t="s">
        <v>163</v>
      </c>
      <c r="C34" s="386">
        <f>SUM(C32:C33)</f>
        <v>1</v>
      </c>
      <c r="D34" s="386">
        <f>SUM(D32:D33)</f>
        <v>0.30239999999999995</v>
      </c>
      <c r="E34" s="385"/>
      <c r="F34" s="386">
        <f>SUM(F32:F33)</f>
        <v>0.30239999999999995</v>
      </c>
      <c r="G34" s="386">
        <f>+D34-F34</f>
        <v>0</v>
      </c>
    </row>
    <row r="35" spans="2:12" ht="14.85" customHeight="1">
      <c r="B35" s="182"/>
      <c r="C35" s="389"/>
      <c r="D35" s="389"/>
      <c r="E35" s="182"/>
      <c r="F35" s="389"/>
      <c r="G35" s="389"/>
    </row>
    <row r="36" spans="2:12" ht="14.85" customHeight="1">
      <c r="B36" s="380" t="s">
        <v>596</v>
      </c>
      <c r="C36" s="381"/>
      <c r="D36" s="381"/>
      <c r="E36" s="381"/>
      <c r="F36" s="381"/>
      <c r="G36" s="381"/>
    </row>
    <row r="37" spans="2:12" ht="14.85" customHeight="1">
      <c r="B37" s="382" t="s">
        <v>597</v>
      </c>
      <c r="C37" s="390"/>
      <c r="D37" s="390" t="s">
        <v>598</v>
      </c>
      <c r="E37" s="390"/>
      <c r="F37" s="390" t="s">
        <v>599</v>
      </c>
      <c r="G37" s="391"/>
    </row>
    <row r="38" spans="2:12" ht="14.85" customHeight="1">
      <c r="J38" s="180"/>
      <c r="K38" s="180"/>
    </row>
    <row r="39" spans="2:12" ht="14.85" customHeight="1">
      <c r="B39" s="392" t="s">
        <v>111</v>
      </c>
      <c r="C39" s="393" t="s">
        <v>112</v>
      </c>
      <c r="D39" s="392" t="s">
        <v>111</v>
      </c>
      <c r="E39" s="393" t="s">
        <v>112</v>
      </c>
      <c r="F39" s="394" t="str">
        <f>+D39</f>
        <v>High</v>
      </c>
      <c r="G39" s="393" t="str">
        <f>+E39</f>
        <v>Low</v>
      </c>
    </row>
    <row r="40" spans="2:12" ht="14.85" customHeight="1">
      <c r="B40" s="395">
        <v>0.3</v>
      </c>
      <c r="C40" s="396">
        <f>1-B40</f>
        <v>0.7</v>
      </c>
      <c r="D40" s="395">
        <v>0.3</v>
      </c>
      <c r="E40" s="396">
        <f>1-D40</f>
        <v>0.7</v>
      </c>
      <c r="F40" s="395">
        <v>0.3</v>
      </c>
      <c r="G40" s="397">
        <f>1-F40</f>
        <v>0.7</v>
      </c>
    </row>
    <row r="41" spans="2:12" ht="14.85" customHeight="1">
      <c r="B41" s="398"/>
      <c r="D41" s="180"/>
      <c r="F41" s="180"/>
    </row>
    <row r="42" spans="2:12" ht="14.85" customHeight="1">
      <c r="B42" s="380" t="s">
        <v>600</v>
      </c>
      <c r="C42" s="381"/>
      <c r="D42" s="381"/>
      <c r="E42" s="381"/>
      <c r="F42" s="381"/>
      <c r="G42" s="381"/>
    </row>
    <row r="43" spans="2:12" ht="14.85" customHeight="1">
      <c r="B43" s="382" t="s">
        <v>601</v>
      </c>
      <c r="C43" s="390" t="s">
        <v>602</v>
      </c>
      <c r="D43" s="390" t="s">
        <v>603</v>
      </c>
      <c r="E43" s="390" t="s">
        <v>604</v>
      </c>
      <c r="F43" s="390" t="s">
        <v>605</v>
      </c>
      <c r="G43" s="399" t="s">
        <v>415</v>
      </c>
      <c r="J43" s="286" t="s">
        <v>1591</v>
      </c>
      <c r="K43" s="369" t="s">
        <v>1587</v>
      </c>
      <c r="L43" s="370"/>
    </row>
    <row r="44" spans="2:12" ht="14.85" customHeight="1">
      <c r="B44" s="338"/>
      <c r="G44" s="339"/>
      <c r="J44" s="180"/>
      <c r="K44" s="180"/>
    </row>
    <row r="45" spans="2:12" ht="14.85" customHeight="1">
      <c r="B45" s="400" t="s">
        <v>606</v>
      </c>
      <c r="C45" s="180" t="str">
        <f>+B12</f>
        <v>Phase Ib</v>
      </c>
      <c r="D45" s="401">
        <v>42916</v>
      </c>
      <c r="E45" s="402" t="s">
        <v>111</v>
      </c>
      <c r="F45" s="328">
        <f>+E12*F25*B40</f>
        <v>6.0480000000000004E-3</v>
      </c>
      <c r="G45" s="403">
        <v>175000</v>
      </c>
      <c r="J45" s="179" t="str">
        <f>IFERROR(LEFT(B45,SEARCH("-",B45)-2),B45)</f>
        <v>IPO</v>
      </c>
      <c r="K45" s="373" t="s">
        <v>1206</v>
      </c>
      <c r="L45" s="374">
        <f>SUMIF($J$44:$J$57,K45,$F$44:$F$57)</f>
        <v>3.2800319999999994E-2</v>
      </c>
    </row>
    <row r="46" spans="2:12" ht="14.85" customHeight="1">
      <c r="B46" s="400" t="str">
        <f>+B45</f>
        <v>IPO - Early</v>
      </c>
      <c r="C46" s="180" t="str">
        <f>+C45</f>
        <v>Phase Ib</v>
      </c>
      <c r="D46" s="401">
        <f>+D45</f>
        <v>42916</v>
      </c>
      <c r="E46" s="402" t="s">
        <v>112</v>
      </c>
      <c r="F46" s="328">
        <f>+E12*F25*C40</f>
        <v>1.4112E-2</v>
      </c>
      <c r="G46" s="403">
        <v>100000</v>
      </c>
      <c r="J46" s="179" t="str">
        <f t="shared" ref="J46:J57" si="0">IFERROR(LEFT(B46,SEARCH("-",B46)-2),B46)</f>
        <v>IPO</v>
      </c>
      <c r="K46" s="338" t="s">
        <v>873</v>
      </c>
      <c r="L46" s="375">
        <f>SUMIF($J$44:$J$57,K46,$F$44:$F$57)</f>
        <v>0.37520287999999996</v>
      </c>
    </row>
    <row r="47" spans="2:12" ht="14.85" customHeight="1">
      <c r="B47" s="400" t="s">
        <v>607</v>
      </c>
      <c r="C47" s="180" t="str">
        <f>+B13</f>
        <v>Phase II</v>
      </c>
      <c r="D47" s="401">
        <f>+G13</f>
        <v>43465</v>
      </c>
      <c r="E47" s="402" t="str">
        <f>+E45</f>
        <v>High</v>
      </c>
      <c r="F47" s="328">
        <f>+F32*B40*E13</f>
        <v>3.7920959999999991E-3</v>
      </c>
      <c r="G47" s="403">
        <v>200000</v>
      </c>
      <c r="J47" s="179" t="str">
        <f t="shared" si="0"/>
        <v>IPO</v>
      </c>
      <c r="K47" s="338" t="s">
        <v>608</v>
      </c>
      <c r="L47" s="377">
        <f>SUMIF($J$44:$J$57,K47,$F$44:$F$57)</f>
        <v>0.59199679999999999</v>
      </c>
    </row>
    <row r="48" spans="2:12" ht="14.85" customHeight="1">
      <c r="B48" s="400" t="str">
        <f>+B47</f>
        <v>IPO - Late</v>
      </c>
      <c r="C48" s="180" t="str">
        <f>+C47</f>
        <v>Phase II</v>
      </c>
      <c r="D48" s="401">
        <f>+D47</f>
        <v>43465</v>
      </c>
      <c r="E48" s="402" t="str">
        <f t="shared" ref="E48:E54" si="1">+E46</f>
        <v>Low</v>
      </c>
      <c r="F48" s="328">
        <f>+F32*C40*E13</f>
        <v>8.8482239999999983E-3</v>
      </c>
      <c r="G48" s="403">
        <v>150000</v>
      </c>
      <c r="J48" s="179" t="str">
        <f t="shared" si="0"/>
        <v>IPO</v>
      </c>
      <c r="K48" s="378"/>
      <c r="L48" s="379">
        <f>SUM(L45:L47)</f>
        <v>1</v>
      </c>
    </row>
    <row r="49" spans="1:10" ht="14.85" customHeight="1">
      <c r="B49" s="400" t="s">
        <v>1588</v>
      </c>
      <c r="C49" s="180" t="str">
        <f>+B11</f>
        <v>Phase Ia</v>
      </c>
      <c r="D49" s="401">
        <v>42369</v>
      </c>
      <c r="E49" s="402" t="str">
        <f t="shared" si="1"/>
        <v>High</v>
      </c>
      <c r="F49" s="328">
        <f>+F18*F11*D40</f>
        <v>2.4000000000000004E-2</v>
      </c>
      <c r="G49" s="403">
        <v>200000</v>
      </c>
      <c r="J49" s="179" t="str">
        <f t="shared" si="0"/>
        <v>M&amp;A</v>
      </c>
    </row>
    <row r="50" spans="1:10" ht="14.85" customHeight="1">
      <c r="B50" s="400" t="str">
        <f>+B49</f>
        <v>M&amp;A - Early</v>
      </c>
      <c r="C50" s="180" t="str">
        <f>+C49</f>
        <v>Phase Ia</v>
      </c>
      <c r="D50" s="401">
        <f>+D49</f>
        <v>42369</v>
      </c>
      <c r="E50" s="402" t="str">
        <f t="shared" si="1"/>
        <v>Low</v>
      </c>
      <c r="F50" s="328">
        <f>+F18*F11*E40</f>
        <v>5.6000000000000008E-2</v>
      </c>
      <c r="G50" s="403">
        <v>100000</v>
      </c>
      <c r="J50" s="179" t="str">
        <f t="shared" si="0"/>
        <v>M&amp;A</v>
      </c>
    </row>
    <row r="51" spans="1:10" ht="14.85" customHeight="1">
      <c r="B51" s="400" t="s">
        <v>1589</v>
      </c>
      <c r="C51" s="180" t="str">
        <f>C45</f>
        <v>Phase Ib</v>
      </c>
      <c r="D51" s="401">
        <f>+G12</f>
        <v>42643</v>
      </c>
      <c r="E51" s="402" t="str">
        <f t="shared" si="1"/>
        <v>High</v>
      </c>
      <c r="F51" s="328">
        <f>F25*F12*D40</f>
        <v>5.4432000000000001E-2</v>
      </c>
      <c r="G51" s="403">
        <v>300000</v>
      </c>
      <c r="J51" s="179" t="str">
        <f t="shared" si="0"/>
        <v>M&amp;A</v>
      </c>
    </row>
    <row r="52" spans="1:10" ht="14.85" customHeight="1">
      <c r="B52" s="400" t="str">
        <f>+B51</f>
        <v>M&amp;A - Mid</v>
      </c>
      <c r="C52" s="180" t="str">
        <f>+C51</f>
        <v>Phase Ib</v>
      </c>
      <c r="D52" s="401">
        <f>+D51</f>
        <v>42643</v>
      </c>
      <c r="E52" s="402" t="str">
        <f t="shared" si="1"/>
        <v>Low</v>
      </c>
      <c r="F52" s="328">
        <f>F25*F12*E40</f>
        <v>0.12700800000000001</v>
      </c>
      <c r="G52" s="403">
        <v>150000</v>
      </c>
      <c r="J52" s="179" t="str">
        <f t="shared" si="0"/>
        <v>M&amp;A</v>
      </c>
    </row>
    <row r="53" spans="1:10" ht="14.85" customHeight="1">
      <c r="B53" s="400" t="s">
        <v>1590</v>
      </c>
      <c r="C53" s="180" t="str">
        <f>C47</f>
        <v>Phase II</v>
      </c>
      <c r="D53" s="401">
        <f>+G13</f>
        <v>43465</v>
      </c>
      <c r="E53" s="402" t="str">
        <f t="shared" si="1"/>
        <v>High</v>
      </c>
      <c r="F53" s="328">
        <f>F32*F13*F40</f>
        <v>3.4128863999999988E-2</v>
      </c>
      <c r="G53" s="403">
        <v>900000</v>
      </c>
      <c r="J53" s="179" t="str">
        <f t="shared" si="0"/>
        <v>M&amp;A</v>
      </c>
    </row>
    <row r="54" spans="1:10" ht="14.85" customHeight="1">
      <c r="B54" s="400" t="str">
        <f>+B53</f>
        <v>M&amp;A - Late</v>
      </c>
      <c r="C54" s="180" t="str">
        <f>C53</f>
        <v>Phase II</v>
      </c>
      <c r="D54" s="401">
        <f>+D53</f>
        <v>43465</v>
      </c>
      <c r="E54" s="402" t="str">
        <f t="shared" si="1"/>
        <v>Low</v>
      </c>
      <c r="F54" s="328">
        <f>F32*F13*G40</f>
        <v>7.9634015999999974E-2</v>
      </c>
      <c r="G54" s="403">
        <v>450000</v>
      </c>
      <c r="J54" s="179" t="str">
        <f t="shared" si="0"/>
        <v>M&amp;A</v>
      </c>
    </row>
    <row r="55" spans="1:10" ht="14.85" customHeight="1">
      <c r="B55" s="400" t="s">
        <v>608</v>
      </c>
      <c r="C55" s="180" t="str">
        <f>C49</f>
        <v>Phase Ia</v>
      </c>
      <c r="D55" s="401">
        <f>+G11</f>
        <v>42277</v>
      </c>
      <c r="E55" s="402" t="s">
        <v>609</v>
      </c>
      <c r="F55" s="328">
        <f>+F19</f>
        <v>0.19999999999999996</v>
      </c>
      <c r="G55" s="403">
        <v>35599.991249999999</v>
      </c>
      <c r="J55" s="179" t="str">
        <f t="shared" si="0"/>
        <v>Dissolution</v>
      </c>
    </row>
    <row r="56" spans="1:10" ht="14.85" customHeight="1">
      <c r="B56" s="400" t="s">
        <v>608</v>
      </c>
      <c r="C56" s="180" t="str">
        <f>C52</f>
        <v>Phase Ib</v>
      </c>
      <c r="D56" s="401">
        <f>+G12</f>
        <v>42643</v>
      </c>
      <c r="E56" s="402" t="s">
        <v>609</v>
      </c>
      <c r="F56" s="328">
        <f>+F26</f>
        <v>0.21600000000000003</v>
      </c>
      <c r="G56" s="403">
        <v>35599.991249999999</v>
      </c>
      <c r="J56" s="179" t="str">
        <f t="shared" si="0"/>
        <v>Dissolution</v>
      </c>
    </row>
    <row r="57" spans="1:10" ht="14.85" customHeight="1">
      <c r="B57" s="404" t="str">
        <f>+B56</f>
        <v>Dissolution</v>
      </c>
      <c r="C57" s="246" t="str">
        <f>C54</f>
        <v>Phase II</v>
      </c>
      <c r="D57" s="401">
        <f>+G13</f>
        <v>43465</v>
      </c>
      <c r="E57" s="405" t="s">
        <v>609</v>
      </c>
      <c r="F57" s="396">
        <f>+F33</f>
        <v>0.17599679999999998</v>
      </c>
      <c r="G57" s="406">
        <v>45599.991249999999</v>
      </c>
      <c r="J57" s="179" t="str">
        <f t="shared" si="0"/>
        <v>Dissolution</v>
      </c>
    </row>
    <row r="58" spans="1:10" ht="14.85" customHeight="1">
      <c r="B58" s="407" t="s">
        <v>163</v>
      </c>
      <c r="C58" s="386"/>
      <c r="D58" s="386"/>
      <c r="E58" s="386"/>
      <c r="F58" s="394">
        <f>SUM(F45:F57)</f>
        <v>0.99999999999999989</v>
      </c>
      <c r="G58" s="408"/>
    </row>
    <row r="59" spans="1:10" ht="14.85" customHeight="1">
      <c r="B59" s="398"/>
      <c r="C59" s="389"/>
      <c r="D59" s="389"/>
      <c r="E59" s="389"/>
      <c r="F59" s="389"/>
      <c r="G59" s="389"/>
    </row>
    <row r="60" spans="1:10" ht="14.85" customHeight="1">
      <c r="B60" s="409" t="s">
        <v>86</v>
      </c>
      <c r="D60" s="180"/>
      <c r="F60" s="180"/>
    </row>
    <row r="61" spans="1:10" ht="14.85" customHeight="1">
      <c r="A61" s="273" t="s">
        <v>261</v>
      </c>
      <c r="B61" s="274" t="e">
        <f>"The probabilities of technical success are based on published success rates and guidance from Management. Refer to "&amp;PoTS!B3&amp;" for futher details."</f>
        <v>#N/A</v>
      </c>
      <c r="D61" s="180"/>
      <c r="F61" s="180"/>
    </row>
    <row r="62" spans="1:10" ht="14.85" customHeight="1"/>
    <row r="63" spans="1:10" ht="14.85" customHeight="1"/>
    <row r="64" spans="1:10" ht="14.85" customHeight="1">
      <c r="B64" s="324" t="s">
        <v>1713</v>
      </c>
    </row>
    <row r="65" spans="2:7" ht="14.85" customHeight="1"/>
    <row r="66" spans="2:7" ht="14.85" customHeight="1">
      <c r="B66" s="410" t="s">
        <v>1673</v>
      </c>
      <c r="G66" s="182" t="s">
        <v>1681</v>
      </c>
    </row>
    <row r="67" spans="2:7" ht="14.85" customHeight="1">
      <c r="B67" s="411"/>
      <c r="C67" s="412" t="s">
        <v>1666</v>
      </c>
      <c r="D67" s="413" t="s">
        <v>1667</v>
      </c>
      <c r="E67" s="413" t="s">
        <v>1668</v>
      </c>
      <c r="F67" s="413" t="s">
        <v>580</v>
      </c>
      <c r="G67" s="414" t="s">
        <v>1669</v>
      </c>
    </row>
    <row r="68" spans="2:7" ht="14.85" customHeight="1">
      <c r="B68" s="411"/>
      <c r="C68" s="411"/>
      <c r="D68" s="411"/>
      <c r="E68" s="411"/>
      <c r="F68" s="411"/>
      <c r="G68" s="411"/>
    </row>
    <row r="69" spans="2:7" ht="14.85" customHeight="1">
      <c r="B69" s="415" t="s">
        <v>1593</v>
      </c>
      <c r="C69" s="416">
        <v>0.7</v>
      </c>
      <c r="D69" s="411"/>
      <c r="E69" s="411"/>
      <c r="F69" s="411"/>
      <c r="G69" s="411"/>
    </row>
    <row r="70" spans="2:7" ht="14.85" customHeight="1">
      <c r="B70" s="417" t="s">
        <v>1670</v>
      </c>
      <c r="C70" s="416"/>
      <c r="D70" s="418">
        <f>C69*C69</f>
        <v>0.48999999999999994</v>
      </c>
      <c r="E70" s="419" t="s">
        <v>13</v>
      </c>
      <c r="F70" s="416">
        <v>0</v>
      </c>
      <c r="G70" s="418">
        <f>+SUM(D70:E70)*IFERROR((1-F70),1)</f>
        <v>0.48999999999999994</v>
      </c>
    </row>
    <row r="71" spans="2:7" ht="14.85" customHeight="1">
      <c r="B71" s="417" t="s">
        <v>1671</v>
      </c>
      <c r="C71" s="416"/>
      <c r="D71" s="418">
        <f>(C69*(1-C69))*2</f>
        <v>0.42000000000000004</v>
      </c>
      <c r="E71" s="420" t="str">
        <f>+E70</f>
        <v>n/a</v>
      </c>
      <c r="F71" s="418">
        <f>+F70</f>
        <v>0</v>
      </c>
      <c r="G71" s="418">
        <f>+SUM(D71:E71)*(1-F71)</f>
        <v>0.42000000000000004</v>
      </c>
    </row>
    <row r="72" spans="2:7" ht="14.85" customHeight="1">
      <c r="B72" s="417" t="s">
        <v>1672</v>
      </c>
      <c r="C72" s="416"/>
      <c r="D72" s="418">
        <f>(1-C69)*(1-C69)</f>
        <v>9.0000000000000024E-2</v>
      </c>
      <c r="E72" s="420" t="str">
        <f>+E71</f>
        <v>n/a</v>
      </c>
      <c r="F72" s="420" t="str">
        <f>E72</f>
        <v>n/a</v>
      </c>
      <c r="G72" s="416">
        <v>0</v>
      </c>
    </row>
    <row r="73" spans="2:7" ht="14.85" customHeight="1">
      <c r="B73" s="415"/>
      <c r="C73" s="416"/>
      <c r="D73" s="411"/>
      <c r="E73" s="411"/>
      <c r="F73" s="411"/>
      <c r="G73" s="411"/>
    </row>
    <row r="74" spans="2:7" ht="14.85" customHeight="1">
      <c r="B74" s="415" t="s">
        <v>610</v>
      </c>
      <c r="C74" s="416">
        <v>0.65</v>
      </c>
      <c r="D74" s="411"/>
      <c r="E74" s="411"/>
      <c r="F74" s="411"/>
      <c r="G74" s="411"/>
    </row>
    <row r="75" spans="2:7" ht="14.85" customHeight="1">
      <c r="B75" s="417" t="str">
        <f>+B70</f>
        <v>Both Candidates Successful</v>
      </c>
      <c r="C75" s="421"/>
      <c r="D75" s="418">
        <f>G70*C74^2</f>
        <v>0.20702499999999999</v>
      </c>
      <c r="E75" s="422" t="str">
        <f>E70</f>
        <v>n/a</v>
      </c>
      <c r="F75" s="416">
        <v>0.5</v>
      </c>
      <c r="G75" s="418">
        <f>+SUM(D75:E75)*IFERROR((1-F75),1)</f>
        <v>0.10351249999999999</v>
      </c>
    </row>
    <row r="76" spans="2:7" ht="14.85" customHeight="1">
      <c r="B76" s="417" t="str">
        <f>+B71</f>
        <v>Only 1 Candidate is Successful</v>
      </c>
      <c r="C76" s="423"/>
      <c r="D76" s="418">
        <f>+G70*C74*(1-C74)*2</f>
        <v>0.22294999999999995</v>
      </c>
      <c r="E76" s="418">
        <f>+G71*C74</f>
        <v>0.27300000000000002</v>
      </c>
      <c r="F76" s="418">
        <f>+F75</f>
        <v>0.5</v>
      </c>
      <c r="G76" s="418">
        <f>+SUM(D76:E76)*(1-F76)</f>
        <v>0.247975</v>
      </c>
    </row>
    <row r="77" spans="2:7" ht="14.85" customHeight="1">
      <c r="B77" s="417" t="str">
        <f>+B72</f>
        <v>Both Candidates Fail</v>
      </c>
      <c r="C77" s="423"/>
      <c r="D77" s="418">
        <f>G70*(1-C74)^2</f>
        <v>6.0024999999999981E-2</v>
      </c>
      <c r="E77" s="418">
        <f>+G71*(1-C74)</f>
        <v>0.14699999999999999</v>
      </c>
      <c r="F77" s="420" t="str">
        <f>F72</f>
        <v>n/a</v>
      </c>
      <c r="G77" s="416">
        <v>0</v>
      </c>
    </row>
    <row r="78" spans="2:7" ht="14.85" customHeight="1">
      <c r="B78" s="424"/>
      <c r="C78" s="423"/>
      <c r="D78" s="411"/>
      <c r="E78" s="411"/>
      <c r="F78" s="411"/>
      <c r="G78" s="411"/>
    </row>
    <row r="79" spans="2:7" ht="14.85" customHeight="1">
      <c r="B79" s="415" t="s">
        <v>587</v>
      </c>
      <c r="C79" s="416">
        <v>0.6</v>
      </c>
      <c r="D79" s="411"/>
      <c r="E79" s="411"/>
      <c r="F79" s="411"/>
      <c r="G79" s="411"/>
    </row>
    <row r="80" spans="2:7" ht="14.85" customHeight="1">
      <c r="B80" s="417" t="str">
        <f>+B75</f>
        <v>Both Candidates Successful</v>
      </c>
      <c r="C80" s="425"/>
      <c r="D80" s="418">
        <f>G75*C79^2</f>
        <v>3.7264499999999999E-2</v>
      </c>
      <c r="E80" s="420" t="str">
        <f>+E75</f>
        <v>n/a</v>
      </c>
      <c r="F80" s="416">
        <v>1</v>
      </c>
      <c r="G80" s="418">
        <f>+SUM(D80:E80)*IFERROR((1-F80),1)</f>
        <v>0</v>
      </c>
    </row>
    <row r="81" spans="2:8" ht="14.85" customHeight="1">
      <c r="B81" s="417" t="str">
        <f>+B76</f>
        <v>Only 1 Candidate is Successful</v>
      </c>
      <c r="C81" s="425"/>
      <c r="D81" s="418">
        <f>+G75*C79*(1-C79)*2</f>
        <v>4.9686000000000001E-2</v>
      </c>
      <c r="E81" s="418">
        <f>+G76*C79</f>
        <v>0.148785</v>
      </c>
      <c r="F81" s="418">
        <f>+F80</f>
        <v>1</v>
      </c>
      <c r="G81" s="418">
        <f>+SUM(D81:E81)*(1-F81)</f>
        <v>0</v>
      </c>
    </row>
    <row r="82" spans="2:8" ht="14.85" customHeight="1">
      <c r="B82" s="417" t="str">
        <f>+B77</f>
        <v>Both Candidates Fail</v>
      </c>
      <c r="C82" s="425"/>
      <c r="D82" s="418">
        <f>G75*(1-C79)^2</f>
        <v>1.6562000000000004E-2</v>
      </c>
      <c r="E82" s="418">
        <f>+G76*(1-C79)</f>
        <v>9.919E-2</v>
      </c>
      <c r="F82" s="420" t="str">
        <f>F77</f>
        <v>n/a</v>
      </c>
      <c r="G82" s="426">
        <v>0</v>
      </c>
    </row>
    <row r="83" spans="2:8" ht="14.85" customHeight="1"/>
    <row r="84" spans="2:8" ht="14.85" customHeight="1"/>
    <row r="85" spans="2:8" ht="14.85" customHeight="1"/>
    <row r="86" spans="2:8" ht="14.85" customHeight="1"/>
    <row r="87" spans="2:8" ht="14.85" customHeight="1">
      <c r="B87" s="410" t="s">
        <v>1680</v>
      </c>
      <c r="G87" s="182" t="s">
        <v>1682</v>
      </c>
    </row>
    <row r="88" spans="2:8" ht="14.85" customHeight="1">
      <c r="B88" s="411"/>
      <c r="C88" s="427" t="s">
        <v>3194</v>
      </c>
      <c r="D88" s="428" t="s">
        <v>3195</v>
      </c>
      <c r="E88" s="428" t="s">
        <v>1667</v>
      </c>
      <c r="F88" s="428" t="s">
        <v>1668</v>
      </c>
      <c r="G88" s="428" t="s">
        <v>580</v>
      </c>
      <c r="H88" s="429" t="s">
        <v>1669</v>
      </c>
    </row>
    <row r="89" spans="2:8" ht="14.85" customHeight="1">
      <c r="B89" s="411"/>
      <c r="C89" s="411"/>
      <c r="D89" s="411"/>
      <c r="E89" s="411"/>
      <c r="F89" s="411"/>
      <c r="G89" s="411"/>
      <c r="H89" s="411"/>
    </row>
    <row r="90" spans="2:8" ht="14.85" customHeight="1">
      <c r="B90" s="430" t="s">
        <v>1674</v>
      </c>
      <c r="C90" s="431">
        <v>0.65</v>
      </c>
      <c r="D90" s="431">
        <v>0.7</v>
      </c>
      <c r="E90" s="411"/>
      <c r="F90" s="411"/>
      <c r="G90" s="411"/>
      <c r="H90" s="411"/>
    </row>
    <row r="91" spans="2:8" ht="14.85" customHeight="1">
      <c r="B91" s="432" t="s">
        <v>1675</v>
      </c>
      <c r="C91" s="423"/>
      <c r="D91" s="411"/>
      <c r="E91" s="433">
        <f>C90*D90*C83</f>
        <v>0</v>
      </c>
      <c r="F91" s="434" t="s">
        <v>13</v>
      </c>
      <c r="G91" s="435">
        <v>0</v>
      </c>
      <c r="H91" s="436">
        <f>+SUM(E91:F91)*IFERROR((1-G91),1)</f>
        <v>0</v>
      </c>
    </row>
    <row r="92" spans="2:8" ht="14.85" customHeight="1">
      <c r="B92" s="432" t="s">
        <v>1676</v>
      </c>
      <c r="C92" s="423"/>
      <c r="D92" s="411"/>
      <c r="E92" s="433">
        <f>C90*(1-D90)*C83</f>
        <v>0</v>
      </c>
      <c r="F92" s="437" t="str">
        <f>$F$16</f>
        <v>Wtd. Avg. Probability</v>
      </c>
      <c r="G92" s="438">
        <f>+$G$17</f>
        <v>0</v>
      </c>
      <c r="H92" s="438">
        <f>+SUM(E92:F92)*(1-G92)</f>
        <v>0</v>
      </c>
    </row>
    <row r="93" spans="2:8" ht="14.85" customHeight="1">
      <c r="B93" s="432" t="s">
        <v>1677</v>
      </c>
      <c r="C93" s="423"/>
      <c r="D93" s="411"/>
      <c r="E93" s="433">
        <f>D90*(1-C90)*C83</f>
        <v>0</v>
      </c>
      <c r="F93" s="437" t="str">
        <f>$F$16</f>
        <v>Wtd. Avg. Probability</v>
      </c>
      <c r="G93" s="438">
        <f>+$G$17</f>
        <v>0</v>
      </c>
      <c r="H93" s="438">
        <f>+SUM(E93:F93)*(1-G93)</f>
        <v>0</v>
      </c>
    </row>
    <row r="94" spans="2:8" ht="14.85" customHeight="1">
      <c r="B94" s="432" t="s">
        <v>1672</v>
      </c>
      <c r="C94" s="423"/>
      <c r="D94" s="411"/>
      <c r="E94" s="433">
        <f>(1-C90)*(1-D90)*C83</f>
        <v>0</v>
      </c>
      <c r="F94" s="437" t="str">
        <f>$F$16</f>
        <v>Wtd. Avg. Probability</v>
      </c>
      <c r="G94" s="438">
        <f>+$G$17</f>
        <v>0</v>
      </c>
      <c r="H94" s="438">
        <v>0</v>
      </c>
    </row>
    <row r="95" spans="2:8" ht="14.85" customHeight="1">
      <c r="B95" s="439"/>
      <c r="C95" s="423"/>
      <c r="D95" s="411"/>
      <c r="E95" s="411"/>
      <c r="F95" s="411"/>
      <c r="G95" s="411"/>
      <c r="H95" s="411"/>
    </row>
    <row r="96" spans="2:8" ht="14.85" customHeight="1">
      <c r="B96" s="430" t="s">
        <v>1678</v>
      </c>
      <c r="C96" s="431">
        <v>0.6</v>
      </c>
      <c r="D96" s="440">
        <f>+C90</f>
        <v>0.65</v>
      </c>
      <c r="E96" s="411"/>
      <c r="F96" s="411"/>
      <c r="G96" s="411"/>
      <c r="H96" s="411"/>
    </row>
    <row r="97" spans="2:8" ht="14.85" customHeight="1">
      <c r="B97" s="432" t="str">
        <f>B91</f>
        <v>Both Candidates are Successful</v>
      </c>
      <c r="C97" s="423"/>
      <c r="D97" s="411"/>
      <c r="E97" s="433">
        <f>H91*C96*D96</f>
        <v>0</v>
      </c>
      <c r="F97" s="437" t="str">
        <f>+F91</f>
        <v>n/a</v>
      </c>
      <c r="G97" s="431">
        <v>0</v>
      </c>
      <c r="H97" s="441">
        <f>+SUM(E97:F97)*IFERROR((1-G97),1)</f>
        <v>0</v>
      </c>
    </row>
    <row r="98" spans="2:8" ht="14.85" customHeight="1">
      <c r="B98" s="432" t="str">
        <f>B92</f>
        <v>Only Lead Candidate is Successful</v>
      </c>
      <c r="C98" s="423"/>
      <c r="D98" s="411"/>
      <c r="E98" s="433">
        <f>H91*C96*(1-D96)</f>
        <v>0</v>
      </c>
      <c r="F98" s="437">
        <f>H92*C96</f>
        <v>0</v>
      </c>
      <c r="G98" s="433">
        <f>G97</f>
        <v>0</v>
      </c>
      <c r="H98" s="433">
        <f>+SUM(E98:F98)*IFERROR((1-G98),1)</f>
        <v>0</v>
      </c>
    </row>
    <row r="99" spans="2:8" ht="14.85" customHeight="1">
      <c r="B99" s="432" t="str">
        <f>B93</f>
        <v>Only Second Indication is Successful</v>
      </c>
      <c r="C99" s="423"/>
      <c r="D99" s="411"/>
      <c r="E99" s="433">
        <f>H91*D96*(1-C96)</f>
        <v>0</v>
      </c>
      <c r="F99" s="433">
        <f>H93*D96</f>
        <v>0</v>
      </c>
      <c r="G99" s="433">
        <f>+G97</f>
        <v>0</v>
      </c>
      <c r="H99" s="433">
        <f>+SUM(E99:F99)*(1-G99)</f>
        <v>0</v>
      </c>
    </row>
    <row r="100" spans="2:8" ht="14.85" customHeight="1">
      <c r="B100" s="432" t="str">
        <f>B94</f>
        <v>Both Candidates Fail</v>
      </c>
      <c r="C100" s="423"/>
      <c r="D100" s="411"/>
      <c r="E100" s="433">
        <f>H91*(1-C96)*(1-D96)</f>
        <v>0</v>
      </c>
      <c r="F100" s="433">
        <f>+H92*(1-C96)+H93*(1-D96)</f>
        <v>0</v>
      </c>
      <c r="G100" s="437">
        <f>G94</f>
        <v>0</v>
      </c>
      <c r="H100" s="437">
        <v>0</v>
      </c>
    </row>
    <row r="101" spans="2:8" ht="14.85" customHeight="1">
      <c r="B101" s="439"/>
      <c r="C101" s="423"/>
      <c r="D101" s="411"/>
      <c r="E101" s="411"/>
      <c r="F101" s="411"/>
      <c r="G101" s="411"/>
      <c r="H101" s="411"/>
    </row>
    <row r="102" spans="2:8" ht="14.85" customHeight="1">
      <c r="B102" s="430" t="s">
        <v>1679</v>
      </c>
      <c r="C102" s="431">
        <v>0.35</v>
      </c>
      <c r="D102" s="440">
        <f>+C96</f>
        <v>0.6</v>
      </c>
      <c r="E102" s="411"/>
      <c r="F102" s="411"/>
      <c r="G102" s="411"/>
      <c r="H102" s="411"/>
    </row>
    <row r="103" spans="2:8" ht="14.85" customHeight="1">
      <c r="B103" s="432" t="str">
        <f>B91</f>
        <v>Both Candidates are Successful</v>
      </c>
      <c r="C103" s="423"/>
      <c r="D103" s="411"/>
      <c r="E103" s="433">
        <f>H97*C102*D102</f>
        <v>0</v>
      </c>
      <c r="F103" s="437" t="str">
        <f>+F91</f>
        <v>n/a</v>
      </c>
      <c r="G103" s="431">
        <v>1</v>
      </c>
      <c r="H103" s="433">
        <f>+SUM(E103:F103)*IFERROR((G103),1)</f>
        <v>0</v>
      </c>
    </row>
    <row r="104" spans="2:8" ht="14.85" customHeight="1">
      <c r="B104" s="432" t="str">
        <f>B92</f>
        <v>Only Lead Candidate is Successful</v>
      </c>
      <c r="C104" s="423"/>
      <c r="D104" s="411"/>
      <c r="E104" s="433">
        <f>H97*C102*(1-D102)</f>
        <v>0</v>
      </c>
      <c r="F104" s="433">
        <f>+H98*C102</f>
        <v>0</v>
      </c>
      <c r="G104" s="441">
        <f>G103</f>
        <v>1</v>
      </c>
      <c r="H104" s="433">
        <f>+SUM(E104:F104)*IFERROR((G104),1)</f>
        <v>0</v>
      </c>
    </row>
    <row r="105" spans="2:8" ht="14.85" customHeight="1">
      <c r="B105" s="432" t="str">
        <f>B93</f>
        <v>Only Second Indication is Successful</v>
      </c>
      <c r="C105" s="423"/>
      <c r="D105" s="411"/>
      <c r="E105" s="433">
        <f>H97*D102*(1-C102)</f>
        <v>0</v>
      </c>
      <c r="F105" s="433">
        <f>+H99*D102</f>
        <v>0</v>
      </c>
      <c r="G105" s="433">
        <f>+G103</f>
        <v>1</v>
      </c>
      <c r="H105" s="433">
        <f>+SUM(E105:F105)*IFERROR((G105),1)</f>
        <v>0</v>
      </c>
    </row>
    <row r="106" spans="2:8" ht="14.85" customHeight="1">
      <c r="B106" s="432" t="str">
        <f>B94</f>
        <v>Both Candidates Fail</v>
      </c>
      <c r="C106" s="423"/>
      <c r="E106" s="433">
        <f>H97*(1-C102)*(1-D102)</f>
        <v>0</v>
      </c>
      <c r="F106" s="433">
        <f>+H98*(1-C102)+H99*(1-D102)</f>
        <v>0</v>
      </c>
      <c r="G106" s="437">
        <f>G94</f>
        <v>0</v>
      </c>
      <c r="H106" s="433">
        <f>+SUM(E106:F106)*IFERROR((G106),1)</f>
        <v>0</v>
      </c>
    </row>
    <row r="107" spans="2:8" ht="14.85" customHeight="1"/>
    <row r="108" spans="2:8" ht="14.85" customHeight="1"/>
    <row r="109" spans="2:8" ht="14.85" customHeight="1"/>
    <row r="110" spans="2:8" ht="14.85" customHeight="1"/>
    <row r="111" spans="2:8" ht="14.85" customHeight="1">
      <c r="B111" s="410" t="s">
        <v>1712</v>
      </c>
      <c r="G111" s="182" t="s">
        <v>1711</v>
      </c>
    </row>
    <row r="112" spans="2:8" ht="14.85" customHeight="1">
      <c r="B112" s="442" t="s">
        <v>1710</v>
      </c>
      <c r="C112" s="443" t="s">
        <v>1683</v>
      </c>
      <c r="D112" s="443" t="s">
        <v>580</v>
      </c>
      <c r="E112" s="443" t="s">
        <v>859</v>
      </c>
      <c r="F112" s="443" t="s">
        <v>581</v>
      </c>
      <c r="G112" s="444" t="s">
        <v>582</v>
      </c>
    </row>
    <row r="113" spans="2:8" ht="14.85" customHeight="1"/>
    <row r="114" spans="2:8" ht="14.85" customHeight="1">
      <c r="B114" s="179" t="s">
        <v>1593</v>
      </c>
      <c r="C114" s="376">
        <v>0.95</v>
      </c>
      <c r="D114" s="445" t="s">
        <v>13</v>
      </c>
      <c r="E114" s="445" t="s">
        <v>13</v>
      </c>
      <c r="F114" s="445" t="s">
        <v>13</v>
      </c>
      <c r="G114" s="446">
        <v>43281</v>
      </c>
    </row>
    <row r="115" spans="2:8" ht="14.85" customHeight="1">
      <c r="B115" s="179" t="s">
        <v>610</v>
      </c>
      <c r="C115" s="376">
        <v>0.65</v>
      </c>
      <c r="D115" s="447">
        <v>1</v>
      </c>
      <c r="E115" s="447">
        <v>0.1</v>
      </c>
      <c r="F115" s="303">
        <f>1-E115</f>
        <v>0.9</v>
      </c>
      <c r="G115" s="446">
        <v>43830</v>
      </c>
      <c r="H115" s="448"/>
    </row>
    <row r="116" spans="2:8" ht="14.85" customHeight="1">
      <c r="B116" s="182"/>
      <c r="C116" s="182"/>
      <c r="D116" s="182"/>
      <c r="E116" s="182"/>
      <c r="F116" s="181"/>
      <c r="G116" s="182"/>
      <c r="H116" s="181"/>
    </row>
    <row r="117" spans="2:8" ht="14.85" customHeight="1">
      <c r="B117" s="442" t="s">
        <v>1710</v>
      </c>
      <c r="C117" s="443" t="s">
        <v>1684</v>
      </c>
      <c r="D117" s="443" t="s">
        <v>1685</v>
      </c>
      <c r="E117" s="449"/>
      <c r="G117" s="182"/>
      <c r="H117" s="181"/>
    </row>
    <row r="118" spans="2:8" ht="14.85" customHeight="1">
      <c r="B118" s="450"/>
      <c r="C118" s="451"/>
      <c r="D118" s="451"/>
      <c r="E118" s="181"/>
      <c r="G118" s="182"/>
      <c r="H118" s="181"/>
    </row>
    <row r="119" spans="2:8" ht="14.85" customHeight="1">
      <c r="B119" s="452" t="s">
        <v>1686</v>
      </c>
      <c r="C119" s="453" t="s">
        <v>884</v>
      </c>
      <c r="D119" s="453" t="s">
        <v>1687</v>
      </c>
      <c r="F119" s="181"/>
      <c r="G119" s="182"/>
      <c r="H119" s="181"/>
    </row>
    <row r="120" spans="2:8" ht="14.85" customHeight="1">
      <c r="B120" s="179" t="s">
        <v>884</v>
      </c>
      <c r="C120" s="376">
        <v>0.7</v>
      </c>
      <c r="D120" s="257">
        <f>C120-10%</f>
        <v>0.6</v>
      </c>
      <c r="F120" s="181"/>
      <c r="G120" s="182"/>
      <c r="H120" s="181"/>
    </row>
    <row r="121" spans="2:8" ht="14.85" customHeight="1">
      <c r="B121" s="179" t="s">
        <v>1593</v>
      </c>
      <c r="C121" s="376">
        <v>0.65</v>
      </c>
      <c r="D121" s="257">
        <f>+C121</f>
        <v>0.65</v>
      </c>
      <c r="F121" s="181"/>
      <c r="G121" s="182"/>
      <c r="H121" s="181"/>
    </row>
    <row r="122" spans="2:8" ht="14.85" customHeight="1">
      <c r="B122" s="179" t="s">
        <v>585</v>
      </c>
      <c r="C122" s="257">
        <f>SQRT(C115)</f>
        <v>0.80622577482985502</v>
      </c>
      <c r="D122" s="445" t="s">
        <v>13</v>
      </c>
      <c r="F122" s="181"/>
      <c r="G122" s="182"/>
      <c r="H122" s="181"/>
    </row>
    <row r="123" spans="2:8" ht="14.85" customHeight="1">
      <c r="B123" s="182"/>
      <c r="C123" s="182"/>
      <c r="D123" s="182"/>
      <c r="E123" s="182"/>
      <c r="F123" s="181"/>
      <c r="G123" s="182"/>
      <c r="H123" s="181"/>
    </row>
    <row r="124" spans="2:8" ht="14.85" customHeight="1">
      <c r="B124" s="380" t="str">
        <f>"Probability of Different Exit Scenarios in "&amp;B114</f>
        <v>Probability of Different Exit Scenarios in IND</v>
      </c>
      <c r="C124" s="381"/>
      <c r="D124" s="381"/>
      <c r="E124" s="381"/>
      <c r="F124" s="381"/>
      <c r="G124" s="381"/>
      <c r="H124" s="454"/>
    </row>
    <row r="125" spans="2:8" ht="14.85" customHeight="1">
      <c r="B125" s="442" t="s">
        <v>588</v>
      </c>
      <c r="C125" s="443" t="s">
        <v>589</v>
      </c>
      <c r="D125" s="443" t="s">
        <v>590</v>
      </c>
      <c r="E125" s="443" t="s">
        <v>591</v>
      </c>
      <c r="F125" s="443" t="s">
        <v>592</v>
      </c>
      <c r="G125" s="444" t="s">
        <v>593</v>
      </c>
    </row>
    <row r="126" spans="2:8" ht="14.85" customHeight="1"/>
    <row r="127" spans="2:8" ht="14.85" customHeight="1">
      <c r="B127" s="202" t="s">
        <v>594</v>
      </c>
      <c r="C127" s="257">
        <f>C114</f>
        <v>0.95</v>
      </c>
      <c r="D127" s="257">
        <f>C127</f>
        <v>0.95</v>
      </c>
      <c r="E127" s="384" t="s">
        <v>13</v>
      </c>
      <c r="F127" s="384" t="s">
        <v>13</v>
      </c>
      <c r="G127" s="455"/>
    </row>
    <row r="128" spans="2:8" ht="14.85" customHeight="1">
      <c r="B128" s="202" t="s">
        <v>595</v>
      </c>
      <c r="C128" s="257">
        <f>1-C127</f>
        <v>5.0000000000000044E-2</v>
      </c>
      <c r="D128" s="257">
        <f>C128</f>
        <v>5.0000000000000044E-2</v>
      </c>
      <c r="E128" s="384" t="s">
        <v>13</v>
      </c>
      <c r="F128" s="384" t="str">
        <f>F127</f>
        <v>n/a</v>
      </c>
      <c r="G128" s="455"/>
    </row>
    <row r="129" spans="2:11" ht="14.85" customHeight="1">
      <c r="B129" s="456" t="s">
        <v>163</v>
      </c>
      <c r="C129" s="457">
        <f>SUM(C127:C128)</f>
        <v>1</v>
      </c>
      <c r="D129" s="457">
        <f>SUM(D127:D128)</f>
        <v>1</v>
      </c>
      <c r="E129" s="456"/>
      <c r="F129" s="457">
        <f>SUM(F127:F128)</f>
        <v>0</v>
      </c>
      <c r="G129" s="457">
        <f>+D129-F129</f>
        <v>1</v>
      </c>
    </row>
    <row r="130" spans="2:11" ht="14.85" customHeight="1">
      <c r="B130" s="182"/>
      <c r="C130" s="182"/>
      <c r="D130" s="181"/>
      <c r="E130" s="182"/>
      <c r="F130" s="181"/>
      <c r="G130" s="182"/>
    </row>
    <row r="131" spans="2:11" ht="14.85" customHeight="1">
      <c r="B131" s="380" t="str">
        <f>"Probability of Different Exit Scenarios in "&amp;B115</f>
        <v>Probability of Different Exit Scenarios in Phase I</v>
      </c>
      <c r="C131" s="381"/>
      <c r="D131" s="381"/>
      <c r="E131" s="381"/>
      <c r="F131" s="381"/>
      <c r="G131" s="381"/>
      <c r="H131" s="454"/>
    </row>
    <row r="132" spans="2:11" ht="14.85" customHeight="1">
      <c r="B132" s="442" t="s">
        <v>588</v>
      </c>
      <c r="C132" s="443" t="s">
        <v>589</v>
      </c>
      <c r="D132" s="443" t="s">
        <v>590</v>
      </c>
      <c r="E132" s="443" t="s">
        <v>591</v>
      </c>
      <c r="F132" s="443" t="s">
        <v>592</v>
      </c>
      <c r="G132" s="444" t="s">
        <v>593</v>
      </c>
    </row>
    <row r="133" spans="2:11" ht="14.85" customHeight="1"/>
    <row r="134" spans="2:11" ht="14.85" customHeight="1">
      <c r="B134" s="202" t="s">
        <v>594</v>
      </c>
      <c r="C134" s="257">
        <f>+C115</f>
        <v>0.65</v>
      </c>
      <c r="D134" s="257">
        <f>$G$25*C134</f>
        <v>0</v>
      </c>
      <c r="E134" s="257">
        <f>$D$11</f>
        <v>0.1</v>
      </c>
      <c r="F134" s="257">
        <f>D134*E134</f>
        <v>0</v>
      </c>
      <c r="G134" s="455"/>
    </row>
    <row r="135" spans="2:11" ht="14.85" customHeight="1">
      <c r="B135" s="202" t="s">
        <v>595</v>
      </c>
      <c r="C135" s="257">
        <f>1-C134</f>
        <v>0.35</v>
      </c>
      <c r="D135" s="257">
        <f>$G$25*C135</f>
        <v>0</v>
      </c>
      <c r="E135" s="384" t="s">
        <v>13</v>
      </c>
      <c r="F135" s="384">
        <f>D135</f>
        <v>0</v>
      </c>
      <c r="G135" s="455"/>
    </row>
    <row r="136" spans="2:11" ht="14.85" customHeight="1">
      <c r="B136" s="456" t="s">
        <v>163</v>
      </c>
      <c r="C136" s="457">
        <f>SUM(C134:C135)</f>
        <v>1</v>
      </c>
      <c r="D136" s="457">
        <f>SUM(D134:D135)</f>
        <v>0</v>
      </c>
      <c r="E136" s="456"/>
      <c r="F136" s="457">
        <f>SUM(F134:F135)</f>
        <v>0</v>
      </c>
      <c r="G136" s="457">
        <f>+D136-F136</f>
        <v>0</v>
      </c>
    </row>
    <row r="137" spans="2:11" ht="14.85" customHeight="1">
      <c r="B137" s="182"/>
      <c r="C137" s="182"/>
      <c r="D137" s="181"/>
      <c r="E137" s="182"/>
      <c r="F137" s="181"/>
      <c r="G137" s="182"/>
    </row>
    <row r="138" spans="2:11" ht="14.85" customHeight="1">
      <c r="B138" s="458" t="s">
        <v>596</v>
      </c>
      <c r="C138" s="459"/>
      <c r="D138" s="454"/>
      <c r="E138" s="458" t="s">
        <v>596</v>
      </c>
      <c r="F138" s="460"/>
      <c r="G138" s="459"/>
      <c r="H138" s="454"/>
    </row>
    <row r="139" spans="2:11" ht="14.85" customHeight="1">
      <c r="B139" s="461" t="s">
        <v>1688</v>
      </c>
      <c r="C139" s="462"/>
      <c r="E139" s="461" t="s">
        <v>1689</v>
      </c>
      <c r="F139" s="463"/>
      <c r="G139" s="462"/>
    </row>
    <row r="140" spans="2:11" ht="14.85" customHeight="1">
      <c r="B140" s="338"/>
      <c r="C140" s="339"/>
      <c r="E140" s="464"/>
      <c r="F140" s="465"/>
      <c r="G140" s="466"/>
    </row>
    <row r="141" spans="2:11" ht="14.85" customHeight="1">
      <c r="B141" s="467" t="s">
        <v>111</v>
      </c>
      <c r="C141" s="468" t="s">
        <v>112</v>
      </c>
      <c r="E141" s="469" t="s">
        <v>111</v>
      </c>
      <c r="F141" s="470" t="s">
        <v>1690</v>
      </c>
      <c r="G141" s="471" t="s">
        <v>112</v>
      </c>
    </row>
    <row r="142" spans="2:11" ht="14.85" customHeight="1">
      <c r="B142" s="472">
        <v>0.5</v>
      </c>
      <c r="C142" s="473">
        <f>1-B142</f>
        <v>0.5</v>
      </c>
      <c r="E142" s="474">
        <f>MROUND(E143,5%)</f>
        <v>0.1</v>
      </c>
      <c r="F142" s="474">
        <f>MROUND(F143,5%)</f>
        <v>0.4</v>
      </c>
      <c r="G142" s="475">
        <f>1-SUM(E142:F142)</f>
        <v>0.5</v>
      </c>
      <c r="H142" s="286" t="s">
        <v>1691</v>
      </c>
    </row>
    <row r="143" spans="2:11" ht="14.85" customHeight="1">
      <c r="B143" s="476"/>
      <c r="C143" s="328"/>
      <c r="E143" s="477">
        <f>E144/$K$144</f>
        <v>0.10365597841073727</v>
      </c>
      <c r="F143" s="477">
        <f>F144/$K$144</f>
        <v>0.40525070625221038</v>
      </c>
      <c r="G143" s="478">
        <f>G144/$K$144</f>
        <v>0.49109331533705242</v>
      </c>
      <c r="H143" s="202" t="s">
        <v>1692</v>
      </c>
    </row>
    <row r="144" spans="2:11" ht="14.85" customHeight="1">
      <c r="B144" s="476"/>
      <c r="C144" s="328"/>
      <c r="E144" s="479">
        <f>C155</f>
        <v>8.8342491611646909E-2</v>
      </c>
      <c r="F144" s="480">
        <f>E155</f>
        <v>0.34538149816925007</v>
      </c>
      <c r="G144" s="481">
        <f>G155</f>
        <v>0.41854225637414294</v>
      </c>
      <c r="H144" s="202" t="s">
        <v>1693</v>
      </c>
      <c r="K144" s="257">
        <f>SUM(E144:G144)</f>
        <v>0.85226624615503987</v>
      </c>
    </row>
    <row r="145" spans="2:8" ht="14.85" customHeight="1">
      <c r="C145" s="328"/>
      <c r="E145" s="482">
        <v>3</v>
      </c>
      <c r="F145" s="483">
        <v>2</v>
      </c>
      <c r="G145" s="484">
        <v>1</v>
      </c>
      <c r="H145" s="179" t="s">
        <v>1694</v>
      </c>
    </row>
    <row r="146" spans="2:8" ht="14.85" customHeight="1">
      <c r="C146" s="328"/>
    </row>
    <row r="147" spans="2:8" ht="14.85" customHeight="1">
      <c r="B147" s="476"/>
      <c r="C147" s="328"/>
      <c r="E147" s="485"/>
      <c r="F147" s="485"/>
      <c r="G147" s="485"/>
      <c r="H147" s="286"/>
    </row>
    <row r="148" spans="2:8" ht="14.85" customHeight="1">
      <c r="B148" s="486" t="s">
        <v>1695</v>
      </c>
      <c r="C148" s="487"/>
      <c r="D148" s="488"/>
      <c r="E148" s="489"/>
      <c r="F148" s="490"/>
      <c r="G148" s="491"/>
    </row>
    <row r="149" spans="2:8" ht="14.85" customHeight="1">
      <c r="B149" s="492" t="s">
        <v>1696</v>
      </c>
      <c r="C149" s="493">
        <f>PRODUCT(C114:C115)</f>
        <v>0.61749999999999994</v>
      </c>
      <c r="D149" s="179" t="s">
        <v>1697</v>
      </c>
      <c r="E149" s="257"/>
      <c r="G149" s="494"/>
    </row>
    <row r="150" spans="2:8" ht="14.85" customHeight="1">
      <c r="B150" s="492" t="s">
        <v>1684</v>
      </c>
      <c r="C150" s="495">
        <f>C121*C122*C120</f>
        <v>0.366832727547584</v>
      </c>
      <c r="D150" s="179" t="s">
        <v>1698</v>
      </c>
      <c r="E150" s="257"/>
      <c r="G150" s="494"/>
    </row>
    <row r="151" spans="2:8" ht="14.85" customHeight="1">
      <c r="B151" s="496" t="s">
        <v>1685</v>
      </c>
      <c r="C151" s="497">
        <f>D121*D120</f>
        <v>0.39</v>
      </c>
      <c r="D151" s="264" t="s">
        <v>1699</v>
      </c>
      <c r="E151" s="498"/>
      <c r="F151" s="264"/>
      <c r="G151" s="499"/>
    </row>
    <row r="152" spans="2:8" ht="14.85" customHeight="1"/>
    <row r="153" spans="2:8" ht="14.85" customHeight="1">
      <c r="B153" s="500" t="s">
        <v>1700</v>
      </c>
    </row>
    <row r="154" spans="2:8" ht="14.85" customHeight="1">
      <c r="B154" s="464"/>
      <c r="C154" s="501" t="s">
        <v>111</v>
      </c>
      <c r="D154" s="502"/>
      <c r="E154" s="503" t="s">
        <v>1690</v>
      </c>
      <c r="F154" s="504"/>
      <c r="G154" s="503" t="s">
        <v>112</v>
      </c>
    </row>
    <row r="155" spans="2:8" ht="14.85" customHeight="1">
      <c r="B155" s="505" t="s">
        <v>590</v>
      </c>
      <c r="C155" s="487">
        <f>C149*C150*C151</f>
        <v>8.8342491611646909E-2</v>
      </c>
      <c r="D155" s="488"/>
      <c r="E155" s="491">
        <f>+E158+E164+E170</f>
        <v>0.34538149816925007</v>
      </c>
      <c r="F155" s="488"/>
      <c r="G155" s="491">
        <f>+G158+G164+G170</f>
        <v>0.41854225637414294</v>
      </c>
    </row>
    <row r="156" spans="2:8" ht="14.85" customHeight="1">
      <c r="E156" s="208"/>
      <c r="F156" s="182"/>
      <c r="G156" s="208"/>
    </row>
    <row r="157" spans="2:8" ht="14.85" customHeight="1">
      <c r="D157" s="464"/>
      <c r="E157" s="506" t="s">
        <v>1701</v>
      </c>
      <c r="F157" s="456"/>
      <c r="G157" s="507" t="s">
        <v>1701</v>
      </c>
    </row>
    <row r="158" spans="2:8" ht="14.85" customHeight="1">
      <c r="B158" s="286"/>
      <c r="D158" s="508" t="s">
        <v>536</v>
      </c>
      <c r="E158" s="509">
        <f>+PRODUCT(E159:E161)</f>
        <v>0.13817671764898617</v>
      </c>
      <c r="F158" s="272"/>
      <c r="G158" s="510">
        <f>+PRODUCT(G159:G161)</f>
        <v>0.23849828235101375</v>
      </c>
    </row>
    <row r="159" spans="2:8" ht="14.85" customHeight="1">
      <c r="D159" s="511" t="s">
        <v>1702</v>
      </c>
      <c r="E159" s="257">
        <f>+C149</f>
        <v>0.61749999999999994</v>
      </c>
      <c r="F159" s="512" t="s">
        <v>1702</v>
      </c>
      <c r="G159" s="494">
        <f>+C149</f>
        <v>0.61749999999999994</v>
      </c>
    </row>
    <row r="160" spans="2:8" ht="14.85" customHeight="1">
      <c r="D160" s="511" t="s">
        <v>1703</v>
      </c>
      <c r="E160" s="257">
        <f>+C150</f>
        <v>0.366832727547584</v>
      </c>
      <c r="F160" s="512" t="s">
        <v>1704</v>
      </c>
      <c r="G160" s="494">
        <f>1-C150</f>
        <v>0.633167272452416</v>
      </c>
    </row>
    <row r="161" spans="2:8" ht="14.85" customHeight="1">
      <c r="D161" s="338" t="s">
        <v>1705</v>
      </c>
      <c r="E161" s="257">
        <f>1-C151</f>
        <v>0.61</v>
      </c>
      <c r="F161" s="179" t="s">
        <v>1705</v>
      </c>
      <c r="G161" s="494">
        <f>1-C151</f>
        <v>0.61</v>
      </c>
    </row>
    <row r="162" spans="2:8" ht="14.85" customHeight="1">
      <c r="D162" s="338"/>
      <c r="E162" s="257"/>
      <c r="G162" s="494"/>
    </row>
    <row r="163" spans="2:8" ht="14.85" customHeight="1">
      <c r="D163" s="338"/>
      <c r="E163" s="208" t="s">
        <v>1706</v>
      </c>
      <c r="F163" s="182"/>
      <c r="G163" s="513" t="s">
        <v>1706</v>
      </c>
    </row>
    <row r="164" spans="2:8" ht="14.85" customHeight="1">
      <c r="D164" s="508" t="s">
        <v>536</v>
      </c>
      <c r="E164" s="509">
        <f>+PRODUCT(E165:E167)</f>
        <v>0.15248250838835306</v>
      </c>
      <c r="F164" s="410"/>
      <c r="G164" s="510">
        <f>+PRODUCT(G165:G167)</f>
        <v>8.5591246155040046E-2</v>
      </c>
    </row>
    <row r="165" spans="2:8" ht="14.85" customHeight="1">
      <c r="D165" s="511" t="s">
        <v>1702</v>
      </c>
      <c r="E165" s="257">
        <f>+C149</f>
        <v>0.61749999999999994</v>
      </c>
      <c r="F165" s="512" t="s">
        <v>1707</v>
      </c>
      <c r="G165" s="494">
        <f>1-C149</f>
        <v>0.38250000000000006</v>
      </c>
    </row>
    <row r="166" spans="2:8" ht="14.85" customHeight="1">
      <c r="D166" s="511" t="s">
        <v>1704</v>
      </c>
      <c r="E166" s="257">
        <f>1-C150</f>
        <v>0.633167272452416</v>
      </c>
      <c r="F166" s="512" t="s">
        <v>1703</v>
      </c>
      <c r="G166" s="494">
        <f>C150</f>
        <v>0.366832727547584</v>
      </c>
    </row>
    <row r="167" spans="2:8" ht="14.85" customHeight="1">
      <c r="D167" s="338" t="s">
        <v>1708</v>
      </c>
      <c r="E167" s="257">
        <f>+C151</f>
        <v>0.39</v>
      </c>
      <c r="F167" s="179" t="s">
        <v>1705</v>
      </c>
      <c r="G167" s="494">
        <f>1-C151</f>
        <v>0.61</v>
      </c>
    </row>
    <row r="168" spans="2:8" ht="14.85" customHeight="1">
      <c r="D168" s="338"/>
      <c r="E168" s="257"/>
      <c r="G168" s="494"/>
    </row>
    <row r="169" spans="2:8" ht="14.85" customHeight="1">
      <c r="B169" s="182"/>
      <c r="C169" s="182"/>
      <c r="D169" s="514"/>
      <c r="E169" s="208" t="s">
        <v>1709</v>
      </c>
      <c r="F169" s="182"/>
      <c r="G169" s="513" t="s">
        <v>1709</v>
      </c>
      <c r="H169" s="182"/>
    </row>
    <row r="170" spans="2:8" ht="14.85" customHeight="1">
      <c r="D170" s="508" t="s">
        <v>536</v>
      </c>
      <c r="E170" s="509">
        <f>+PRODUCT(E171:E173)</f>
        <v>5.4722272131910853E-2</v>
      </c>
      <c r="F170" s="410"/>
      <c r="G170" s="510">
        <f>+PRODUCT(G171:G173)</f>
        <v>9.445272786808917E-2</v>
      </c>
    </row>
    <row r="171" spans="2:8" ht="14.85" customHeight="1">
      <c r="D171" s="511" t="s">
        <v>1707</v>
      </c>
      <c r="E171" s="257">
        <f>1-C149</f>
        <v>0.38250000000000006</v>
      </c>
      <c r="F171" s="512" t="s">
        <v>1707</v>
      </c>
      <c r="G171" s="494">
        <f>1-C149</f>
        <v>0.38250000000000006</v>
      </c>
    </row>
    <row r="172" spans="2:8" ht="14.85" customHeight="1">
      <c r="D172" s="511" t="s">
        <v>1703</v>
      </c>
      <c r="E172" s="257">
        <f>+C150</f>
        <v>0.366832727547584</v>
      </c>
      <c r="F172" s="512" t="s">
        <v>1704</v>
      </c>
      <c r="G172" s="494">
        <f>1-C150</f>
        <v>0.633167272452416</v>
      </c>
    </row>
    <row r="173" spans="2:8" ht="14.85" customHeight="1">
      <c r="D173" s="356" t="s">
        <v>1708</v>
      </c>
      <c r="E173" s="498">
        <f>+C151</f>
        <v>0.39</v>
      </c>
      <c r="F173" s="264" t="s">
        <v>1708</v>
      </c>
      <c r="G173" s="499">
        <f>C151</f>
        <v>0.39</v>
      </c>
    </row>
    <row r="174" spans="2:8" ht="14.85" customHeight="1"/>
    <row r="175" spans="2:8" ht="14.85" customHeight="1"/>
    <row r="176" spans="2:8"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F5">
    <cfRule type="cellIs" dxfId="91" priority="9" stopIfTrue="1" operator="equal">
      <formula>"input"</formula>
    </cfRule>
  </conditionalFormatting>
  <conditionalFormatting sqref="G4:G5">
    <cfRule type="cellIs" dxfId="90" priority="1" stopIfTrue="1" operator="equal">
      <formula>"input"</formula>
    </cfRule>
  </conditionalFormatting>
  <conditionalFormatting sqref="G4:G5">
    <cfRule type="cellIs" dxfId="89" priority="2" stopIfTrue="1" operator="equal">
      <formula>"input"</formula>
    </cfRule>
  </conditionalFormatting>
  <pageMargins left="0.5" right="0.5" top="0.5" bottom="0.5" header="0.5" footer="0.5"/>
  <pageSetup scale="83" orientation="landscape" r:id="rId1"/>
  <rowBreaks count="1" manualBreakCount="1">
    <brk id="40" max="7" man="1"/>
  </rowBreaks>
  <legacyDrawingHF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3"/>
  <dimension ref="A1:J764"/>
  <sheetViews>
    <sheetView showGridLines="0" view="pageBreakPreview" zoomScale="80" zoomScaleNormal="100" zoomScaleSheetLayoutView="80" workbookViewId="0"/>
  </sheetViews>
  <sheetFormatPr defaultRowHeight="12.75"/>
  <cols>
    <col min="1" max="1" width="4.5" style="179" customWidth="1"/>
    <col min="2" max="6" width="28.1640625" style="179" customWidth="1"/>
    <col min="7" max="7" width="4.5" style="179" customWidth="1"/>
    <col min="8" max="8" width="27.5" style="179" hidden="1" customWidth="1"/>
    <col min="9" max="9" width="1.6640625" style="179" hidden="1" customWidth="1"/>
    <col min="10" max="10" width="0.1640625" style="179" hidden="1" customWidth="1"/>
    <col min="11" max="16384" width="9.33203125" style="179"/>
  </cols>
  <sheetData>
    <row r="1" spans="2:6" ht="13.5" thickBot="1"/>
    <row r="2" spans="2:6" ht="15" thickTop="1">
      <c r="B2" s="187" t="str">
        <f>'MASTER PubCo Inputs'!$C$5</f>
        <v>Decibel Therapeutics, Inc.</v>
      </c>
      <c r="C2" s="187"/>
      <c r="D2" s="187"/>
      <c r="E2" s="187"/>
      <c r="F2" s="187"/>
    </row>
    <row r="3" spans="2:6" ht="14.25">
      <c r="B3" s="188" t="e">
        <f>VLOOKUP(B4,Outline!$E$8:$G$75,COLUMNS(Outline!$E$8:$G$8),FALSE)</f>
        <v>#N/A</v>
      </c>
      <c r="C3" s="188"/>
      <c r="D3" s="188"/>
      <c r="E3" s="188"/>
      <c r="F3" s="188"/>
    </row>
    <row r="4" spans="2:6" ht="15" thickBot="1">
      <c r="B4" s="726" t="s">
        <v>641</v>
      </c>
      <c r="C4" s="726"/>
      <c r="D4" s="726"/>
      <c r="E4" s="726"/>
      <c r="F4" s="726"/>
    </row>
    <row r="5" spans="2:6" ht="14.85" customHeight="1" thickTop="1"/>
    <row r="6" spans="2:6" s="411" customFormat="1" ht="14.85" customHeight="1">
      <c r="B6" s="515" t="s">
        <v>3196</v>
      </c>
      <c r="F6" s="516"/>
    </row>
    <row r="7" spans="2:6" s="411" customFormat="1" ht="14.85" customHeight="1">
      <c r="B7" s="517" t="s">
        <v>610</v>
      </c>
      <c r="C7" s="518" t="s">
        <v>587</v>
      </c>
      <c r="D7" s="518" t="s">
        <v>611</v>
      </c>
      <c r="E7" s="518" t="s">
        <v>612</v>
      </c>
      <c r="F7" s="519" t="s">
        <v>613</v>
      </c>
    </row>
    <row r="8" spans="2:6" s="411" customFormat="1" ht="14.85" customHeight="1">
      <c r="B8" s="520">
        <v>0.67</v>
      </c>
      <c r="C8" s="520">
        <v>0.41</v>
      </c>
      <c r="D8" s="520">
        <v>0.65</v>
      </c>
      <c r="E8" s="520">
        <v>0.83</v>
      </c>
      <c r="F8" s="521">
        <f>PRODUCT(B8:E8)</f>
        <v>0.14820065000000002</v>
      </c>
    </row>
    <row r="9" spans="2:6" s="411" customFormat="1" ht="14.85" customHeight="1">
      <c r="B9" s="522"/>
      <c r="C9" s="522"/>
      <c r="D9" s="523"/>
      <c r="E9" s="522"/>
      <c r="F9" s="523"/>
    </row>
    <row r="10" spans="2:6" s="411" customFormat="1" ht="14.85" customHeight="1">
      <c r="B10" s="524" t="s">
        <v>3197</v>
      </c>
      <c r="C10" s="525"/>
      <c r="F10" s="516"/>
    </row>
    <row r="11" spans="2:6" s="411" customFormat="1" ht="14.85" customHeight="1">
      <c r="B11" s="517" t="s">
        <v>614</v>
      </c>
      <c r="C11" s="518"/>
      <c r="D11" s="519"/>
      <c r="F11" s="516"/>
    </row>
    <row r="12" spans="2:6" s="411" customFormat="1" ht="14.85" customHeight="1">
      <c r="B12" s="526" t="s">
        <v>615</v>
      </c>
      <c r="C12" s="527" t="s">
        <v>616</v>
      </c>
      <c r="D12" s="527" t="s">
        <v>883</v>
      </c>
      <c r="F12" s="516"/>
    </row>
    <row r="13" spans="2:6" s="411" customFormat="1" ht="14.85" customHeight="1">
      <c r="B13" s="520">
        <v>0.19</v>
      </c>
      <c r="C13" s="520">
        <v>0.09</v>
      </c>
      <c r="D13" s="520">
        <v>0.14499999999999999</v>
      </c>
      <c r="F13" s="516"/>
    </row>
    <row r="14" spans="2:6" s="411" customFormat="1" ht="14.85" customHeight="1">
      <c r="B14" s="520"/>
      <c r="C14" s="520"/>
      <c r="D14" s="520"/>
      <c r="F14" s="516"/>
    </row>
    <row r="15" spans="2:6" s="411" customFormat="1" ht="14.85" customHeight="1">
      <c r="B15" s="524" t="s">
        <v>3198</v>
      </c>
      <c r="C15" s="520"/>
      <c r="D15" s="520"/>
      <c r="F15" s="516"/>
    </row>
    <row r="16" spans="2:6" s="411" customFormat="1" ht="14.85" customHeight="1">
      <c r="B16" s="528" t="s">
        <v>884</v>
      </c>
      <c r="C16" s="519" t="s">
        <v>885</v>
      </c>
      <c r="D16" s="520"/>
      <c r="F16" s="516"/>
    </row>
    <row r="17" spans="2:8" s="411" customFormat="1" ht="14.85" customHeight="1">
      <c r="B17" s="520">
        <v>0.7</v>
      </c>
      <c r="C17" s="520">
        <v>0.65</v>
      </c>
      <c r="D17" s="520"/>
      <c r="F17" s="516"/>
    </row>
    <row r="18" spans="2:8" s="411" customFormat="1" ht="14.85" customHeight="1">
      <c r="B18" s="520"/>
      <c r="C18" s="520"/>
      <c r="D18" s="520"/>
      <c r="F18" s="516"/>
    </row>
    <row r="19" spans="2:8" s="411" customFormat="1" ht="14.85" customHeight="1">
      <c r="B19" s="529" t="s">
        <v>886</v>
      </c>
      <c r="C19" s="520"/>
      <c r="D19" s="520"/>
      <c r="F19" s="516"/>
    </row>
    <row r="20" spans="2:8" s="411" customFormat="1" ht="14.85" customHeight="1">
      <c r="C20" s="520"/>
      <c r="D20" s="520"/>
      <c r="F20" s="516"/>
    </row>
    <row r="21" spans="2:8" s="411" customFormat="1" ht="14.85" customHeight="1">
      <c r="B21" s="515" t="s">
        <v>3199</v>
      </c>
      <c r="F21" s="516"/>
    </row>
    <row r="22" spans="2:8" s="411" customFormat="1" ht="14.85" customHeight="1">
      <c r="B22" s="528" t="s">
        <v>587</v>
      </c>
      <c r="C22" s="519" t="s">
        <v>611</v>
      </c>
      <c r="F22" s="516"/>
    </row>
    <row r="23" spans="2:8" s="411" customFormat="1" ht="14.85" customHeight="1">
      <c r="B23" s="520">
        <v>0.28999999999999998</v>
      </c>
      <c r="C23" s="520">
        <v>0.34</v>
      </c>
      <c r="F23" s="516"/>
    </row>
    <row r="24" spans="2:8" s="411" customFormat="1" ht="14.85" customHeight="1">
      <c r="B24" s="520"/>
      <c r="C24" s="520"/>
      <c r="D24" s="520"/>
      <c r="E24" s="520"/>
      <c r="F24" s="521"/>
    </row>
    <row r="25" spans="2:8" s="411" customFormat="1" ht="14.85" customHeight="1">
      <c r="B25" s="515" t="s">
        <v>3200</v>
      </c>
      <c r="C25" s="440"/>
      <c r="D25" s="440"/>
      <c r="E25" s="440"/>
      <c r="F25" s="521"/>
    </row>
    <row r="26" spans="2:8" s="411" customFormat="1" ht="14.85" customHeight="1">
      <c r="B26" s="517" t="s">
        <v>610</v>
      </c>
      <c r="C26" s="518" t="s">
        <v>587</v>
      </c>
      <c r="D26" s="530" t="s">
        <v>611</v>
      </c>
      <c r="E26" s="518" t="s">
        <v>612</v>
      </c>
      <c r="F26" s="516"/>
      <c r="G26" s="516"/>
      <c r="H26" s="516"/>
    </row>
    <row r="27" spans="2:8" s="411" customFormat="1" ht="14.85" customHeight="1">
      <c r="B27" s="520">
        <v>0.64400000000000002</v>
      </c>
      <c r="C27" s="520">
        <v>0.41799999999999998</v>
      </c>
      <c r="D27" s="520">
        <v>0.65400000000000003</v>
      </c>
      <c r="E27" s="520">
        <v>0.89700000000000002</v>
      </c>
      <c r="F27" s="516"/>
      <c r="G27" s="516"/>
      <c r="H27" s="516"/>
    </row>
    <row r="28" spans="2:8" s="411" customFormat="1" ht="14.85" customHeight="1">
      <c r="B28" s="440"/>
      <c r="C28" s="440"/>
      <c r="D28" s="516"/>
      <c r="E28" s="516"/>
      <c r="F28" s="516"/>
      <c r="G28" s="516"/>
      <c r="H28" s="516"/>
    </row>
    <row r="29" spans="2:8" s="411" customFormat="1" ht="14.85" customHeight="1">
      <c r="B29" s="515" t="s">
        <v>3201</v>
      </c>
      <c r="C29" s="440"/>
      <c r="D29" s="440"/>
      <c r="E29" s="440"/>
      <c r="F29" s="521"/>
    </row>
    <row r="30" spans="2:8" s="411" customFormat="1" ht="14.85" customHeight="1">
      <c r="B30" s="531" t="s">
        <v>610</v>
      </c>
      <c r="C30" s="532" t="s">
        <v>587</v>
      </c>
      <c r="D30" s="532" t="s">
        <v>611</v>
      </c>
      <c r="E30" s="533" t="s">
        <v>617</v>
      </c>
      <c r="F30" s="516"/>
    </row>
    <row r="31" spans="2:8" s="411" customFormat="1" ht="14.85" customHeight="1">
      <c r="B31" s="476">
        <v>0.78</v>
      </c>
      <c r="C31" s="534">
        <v>0.58974358974358976</v>
      </c>
      <c r="D31" s="476">
        <v>0.43478260869565216</v>
      </c>
      <c r="E31" s="328">
        <f>PRODUCT(B31:D31)</f>
        <v>0.2</v>
      </c>
      <c r="F31" s="516"/>
    </row>
    <row r="32" spans="2:8" s="411" customFormat="1" ht="14.85" customHeight="1">
      <c r="B32" s="520"/>
      <c r="C32" s="520"/>
      <c r="D32" s="520"/>
      <c r="E32" s="520"/>
      <c r="F32" s="521"/>
    </row>
    <row r="33" spans="2:6" s="411" customFormat="1" ht="14.85" customHeight="1">
      <c r="B33" s="515" t="s">
        <v>3202</v>
      </c>
      <c r="C33" s="440"/>
      <c r="D33" s="440"/>
      <c r="E33" s="440"/>
      <c r="F33" s="521"/>
    </row>
    <row r="34" spans="2:6" s="411" customFormat="1" ht="14.85" customHeight="1">
      <c r="B34" s="517" t="s">
        <v>610</v>
      </c>
      <c r="C34" s="518" t="s">
        <v>587</v>
      </c>
      <c r="D34" s="530" t="s">
        <v>611</v>
      </c>
      <c r="E34" s="518" t="s">
        <v>612</v>
      </c>
      <c r="F34" s="535" t="s">
        <v>617</v>
      </c>
    </row>
    <row r="35" spans="2:6" s="411" customFormat="1" ht="14.85" customHeight="1">
      <c r="B35" s="520">
        <v>0.628</v>
      </c>
      <c r="C35" s="520">
        <v>0.246</v>
      </c>
      <c r="D35" s="520">
        <v>0.40100000000000002</v>
      </c>
      <c r="E35" s="520">
        <v>0.82399999999999995</v>
      </c>
      <c r="F35" s="521">
        <f>PRODUCT(B35:E35)</f>
        <v>5.1046542911999997E-2</v>
      </c>
    </row>
    <row r="36" spans="2:6" s="411" customFormat="1" ht="14.85" customHeight="1">
      <c r="B36" s="520"/>
      <c r="C36" s="520"/>
      <c r="D36" s="520"/>
      <c r="E36" s="520"/>
      <c r="F36" s="521"/>
    </row>
    <row r="37" spans="2:6" s="411" customFormat="1" ht="14.85" customHeight="1">
      <c r="B37" s="515" t="s">
        <v>3203</v>
      </c>
      <c r="C37" s="440"/>
      <c r="D37" s="440"/>
      <c r="E37" s="440"/>
      <c r="F37" s="521"/>
    </row>
    <row r="38" spans="2:6" s="411" customFormat="1" ht="14.85" customHeight="1">
      <c r="B38" s="517" t="s">
        <v>610</v>
      </c>
      <c r="C38" s="518" t="s">
        <v>587</v>
      </c>
      <c r="D38" s="530" t="s">
        <v>611</v>
      </c>
      <c r="E38" s="535" t="s">
        <v>887</v>
      </c>
      <c r="F38" s="516"/>
    </row>
    <row r="39" spans="2:6" s="411" customFormat="1" ht="14.85" customHeight="1">
      <c r="B39" s="520">
        <v>0.88</v>
      </c>
      <c r="C39" s="520">
        <v>0.73</v>
      </c>
      <c r="D39" s="520">
        <v>0.66</v>
      </c>
      <c r="E39" s="521">
        <f>PRODUCT(B39:D39)</f>
        <v>0.42398400000000003</v>
      </c>
      <c r="F39" s="516"/>
    </row>
    <row r="40" spans="2:6" s="411" customFormat="1" ht="14.85" customHeight="1">
      <c r="B40" s="520"/>
      <c r="C40" s="520"/>
      <c r="D40" s="520"/>
      <c r="E40" s="520"/>
      <c r="F40" s="521"/>
    </row>
    <row r="41" spans="2:6" s="411" customFormat="1" ht="14.85" customHeight="1">
      <c r="B41" s="515" t="s">
        <v>3204</v>
      </c>
      <c r="C41" s="440"/>
      <c r="D41" s="440"/>
      <c r="E41" s="440"/>
      <c r="F41" s="521"/>
    </row>
    <row r="42" spans="2:6" s="411" customFormat="1" ht="14.85" customHeight="1">
      <c r="B42" s="517" t="s">
        <v>610</v>
      </c>
      <c r="C42" s="518" t="s">
        <v>587</v>
      </c>
      <c r="D42" s="530" t="s">
        <v>611</v>
      </c>
      <c r="E42" s="518" t="s">
        <v>612</v>
      </c>
      <c r="F42" s="535" t="s">
        <v>617</v>
      </c>
    </row>
    <row r="43" spans="2:6" s="411" customFormat="1" ht="14.85" customHeight="1">
      <c r="B43" s="520">
        <v>0.75</v>
      </c>
      <c r="C43" s="520">
        <v>0.41599999999999998</v>
      </c>
      <c r="D43" s="520">
        <v>0.46700000000000003</v>
      </c>
      <c r="E43" s="520">
        <v>0.91700000000000004</v>
      </c>
      <c r="F43" s="521">
        <f>PRODUCT(B43:E43)</f>
        <v>0.13361056800000001</v>
      </c>
    </row>
    <row r="44" spans="2:6" s="411" customFormat="1" ht="14.85" customHeight="1">
      <c r="B44" s="520"/>
      <c r="C44" s="520"/>
      <c r="D44" s="520"/>
      <c r="E44" s="520"/>
      <c r="F44" s="521"/>
    </row>
    <row r="45" spans="2:6" s="411" customFormat="1" ht="14.85" customHeight="1">
      <c r="B45" s="515" t="s">
        <v>3205</v>
      </c>
      <c r="C45" s="440"/>
      <c r="D45" s="440"/>
      <c r="E45" s="440"/>
      <c r="F45" s="521"/>
    </row>
    <row r="46" spans="2:6" s="411" customFormat="1" ht="14.85" customHeight="1">
      <c r="B46" s="517" t="s">
        <v>610</v>
      </c>
      <c r="C46" s="518" t="s">
        <v>587</v>
      </c>
      <c r="D46" s="530" t="s">
        <v>611</v>
      </c>
      <c r="E46" s="518" t="s">
        <v>612</v>
      </c>
      <c r="F46" s="535" t="s">
        <v>617</v>
      </c>
    </row>
    <row r="47" spans="2:6" s="411" customFormat="1" ht="14.85" customHeight="1">
      <c r="B47" s="520">
        <v>0.76800000000000002</v>
      </c>
      <c r="C47" s="520">
        <v>0.59399999999999997</v>
      </c>
      <c r="D47" s="520">
        <v>0.57099999999999995</v>
      </c>
      <c r="E47" s="520">
        <v>0.26100000000000001</v>
      </c>
      <c r="F47" s="521">
        <f>PRODUCT(B47:E47)</f>
        <v>6.7986749951999992E-2</v>
      </c>
    </row>
    <row r="48" spans="2:6" s="411" customFormat="1" ht="14.85" customHeight="1">
      <c r="B48" s="520"/>
      <c r="C48" s="520"/>
      <c r="D48" s="520"/>
      <c r="E48" s="520"/>
      <c r="F48" s="521"/>
    </row>
    <row r="49" spans="2:6" s="411" customFormat="1" ht="14.85" customHeight="1">
      <c r="B49" s="515" t="s">
        <v>3206</v>
      </c>
      <c r="C49" s="440"/>
      <c r="D49" s="440"/>
      <c r="E49" s="440"/>
      <c r="F49" s="521"/>
    </row>
    <row r="50" spans="2:6" s="411" customFormat="1" ht="14.85" customHeight="1">
      <c r="B50" s="517" t="s">
        <v>610</v>
      </c>
      <c r="C50" s="518" t="s">
        <v>587</v>
      </c>
      <c r="D50" s="530" t="s">
        <v>611</v>
      </c>
      <c r="E50" s="518" t="s">
        <v>612</v>
      </c>
      <c r="F50" s="535" t="s">
        <v>617</v>
      </c>
    </row>
    <row r="51" spans="2:6" s="411" customFormat="1" ht="14.85" customHeight="1">
      <c r="B51" s="520">
        <v>0.63900000000000001</v>
      </c>
      <c r="C51" s="520">
        <v>0.28299999999999997</v>
      </c>
      <c r="D51" s="520">
        <v>0.45200000000000001</v>
      </c>
      <c r="E51" s="520">
        <v>0.81699999999999995</v>
      </c>
      <c r="F51" s="521">
        <f>PRODUCT(B51:E51)</f>
        <v>6.6780210707999998E-2</v>
      </c>
    </row>
    <row r="52" spans="2:6" s="411" customFormat="1" ht="14.85" customHeight="1">
      <c r="B52" s="520"/>
      <c r="C52" s="520"/>
      <c r="D52" s="520"/>
      <c r="E52" s="520"/>
      <c r="F52" s="521"/>
    </row>
    <row r="53" spans="2:6" s="411" customFormat="1" ht="14.85" customHeight="1">
      <c r="B53" s="515" t="s">
        <v>3207</v>
      </c>
      <c r="C53" s="440"/>
      <c r="D53" s="440"/>
      <c r="E53" s="440"/>
      <c r="F53" s="521"/>
    </row>
    <row r="54" spans="2:6" s="411" customFormat="1" ht="14.85" customHeight="1">
      <c r="B54" s="517" t="s">
        <v>610</v>
      </c>
      <c r="C54" s="518" t="s">
        <v>587</v>
      </c>
      <c r="D54" s="530" t="s">
        <v>611</v>
      </c>
      <c r="E54" s="518" t="s">
        <v>612</v>
      </c>
      <c r="F54" s="535" t="s">
        <v>617</v>
      </c>
    </row>
    <row r="55" spans="2:6" s="411" customFormat="1" ht="14.85" customHeight="1">
      <c r="B55" s="520">
        <v>0.68899999999999995</v>
      </c>
      <c r="C55" s="520">
        <v>0.42299999999999999</v>
      </c>
      <c r="D55" s="520">
        <v>0.54700000000000004</v>
      </c>
      <c r="E55" s="520">
        <v>0.82799999999999996</v>
      </c>
      <c r="F55" s="521">
        <f>PRODUCT(B55:E55)</f>
        <v>0.132001009452</v>
      </c>
    </row>
    <row r="56" spans="2:6" s="411" customFormat="1" ht="14.85" customHeight="1">
      <c r="B56" s="520"/>
      <c r="C56" s="520"/>
      <c r="D56" s="520"/>
      <c r="E56" s="520"/>
      <c r="F56" s="521"/>
    </row>
    <row r="57" spans="2:6" s="411" customFormat="1" ht="14.85" customHeight="1">
      <c r="B57" s="515" t="s">
        <v>3208</v>
      </c>
      <c r="C57" s="440"/>
      <c r="D57" s="440"/>
      <c r="E57" s="440"/>
      <c r="F57" s="521"/>
    </row>
    <row r="58" spans="2:6" s="411" customFormat="1" ht="14.85" customHeight="1">
      <c r="B58" s="517" t="s">
        <v>610</v>
      </c>
      <c r="C58" s="518" t="s">
        <v>587</v>
      </c>
      <c r="D58" s="530" t="s">
        <v>611</v>
      </c>
      <c r="E58" s="518" t="s">
        <v>612</v>
      </c>
      <c r="F58" s="535" t="s">
        <v>617</v>
      </c>
    </row>
    <row r="59" spans="2:6" s="411" customFormat="1" ht="14.85" customHeight="1">
      <c r="B59" s="520">
        <v>0.63</v>
      </c>
      <c r="C59" s="520">
        <v>0.38</v>
      </c>
      <c r="D59" s="520">
        <v>0.61</v>
      </c>
      <c r="E59" s="520">
        <v>0.91</v>
      </c>
      <c r="F59" s="521">
        <f>PRODUCT(B59:E59)</f>
        <v>0.13289094000000001</v>
      </c>
    </row>
    <row r="60" spans="2:6" s="411" customFormat="1" ht="14.85" customHeight="1">
      <c r="B60" s="520"/>
      <c r="C60" s="520"/>
      <c r="D60" s="520"/>
      <c r="E60" s="520"/>
      <c r="F60" s="521"/>
    </row>
    <row r="61" spans="2:6" s="411" customFormat="1" ht="14.85" customHeight="1">
      <c r="B61" s="515" t="s">
        <v>3209</v>
      </c>
      <c r="C61" s="440"/>
      <c r="D61" s="440"/>
      <c r="E61" s="440"/>
      <c r="F61" s="521"/>
    </row>
    <row r="62" spans="2:6" s="411" customFormat="1" ht="14.85" customHeight="1">
      <c r="B62" s="517" t="s">
        <v>610</v>
      </c>
      <c r="C62" s="518" t="s">
        <v>587</v>
      </c>
      <c r="D62" s="530" t="s">
        <v>611</v>
      </c>
      <c r="E62" s="518" t="s">
        <v>612</v>
      </c>
      <c r="F62" s="535" t="s">
        <v>617</v>
      </c>
    </row>
    <row r="63" spans="2:6" s="411" customFormat="1" ht="14.85" customHeight="1">
      <c r="B63" s="520">
        <v>0.84</v>
      </c>
      <c r="C63" s="520">
        <v>0.53</v>
      </c>
      <c r="D63" s="520">
        <v>0.74</v>
      </c>
      <c r="E63" s="520">
        <v>0.96</v>
      </c>
      <c r="F63" s="521">
        <f>PRODUCT(B63:E63)</f>
        <v>0.31627007999999995</v>
      </c>
    </row>
    <row r="64" spans="2:6" s="411" customFormat="1" ht="14.85" customHeight="1">
      <c r="B64" s="520"/>
      <c r="C64" s="520"/>
      <c r="D64" s="520"/>
      <c r="E64" s="520"/>
      <c r="F64" s="521"/>
    </row>
    <row r="65" spans="2:6" s="411" customFormat="1" ht="14.85" customHeight="1">
      <c r="B65" s="410" t="s">
        <v>3210</v>
      </c>
      <c r="C65" s="410"/>
      <c r="D65" s="410"/>
      <c r="E65" s="410"/>
      <c r="F65" s="410"/>
    </row>
    <row r="66" spans="2:6" s="411" customFormat="1" ht="14.85" customHeight="1">
      <c r="B66" s="536" t="s">
        <v>610</v>
      </c>
      <c r="C66" s="532" t="s">
        <v>587</v>
      </c>
      <c r="D66" s="537" t="s">
        <v>611</v>
      </c>
      <c r="E66" s="532" t="s">
        <v>612</v>
      </c>
      <c r="F66" s="533" t="s">
        <v>617</v>
      </c>
    </row>
    <row r="67" spans="2:6" s="411" customFormat="1" ht="14.85" customHeight="1">
      <c r="B67" s="476">
        <v>0.72599999999999998</v>
      </c>
      <c r="C67" s="476">
        <v>0.40300000000000002</v>
      </c>
      <c r="D67" s="476">
        <v>0.66700000000000004</v>
      </c>
      <c r="E67" s="476">
        <v>0.90600000000000003</v>
      </c>
      <c r="F67" s="328">
        <f>PRODUCT(B67:E67)</f>
        <v>0.17680547055600002</v>
      </c>
    </row>
    <row r="68" spans="2:6" s="411" customFormat="1" ht="14.85" customHeight="1">
      <c r="B68" s="520"/>
      <c r="C68" s="520"/>
      <c r="D68" s="520"/>
      <c r="E68" s="520"/>
      <c r="F68" s="521"/>
    </row>
    <row r="69" spans="2:6" s="411" customFormat="1" ht="14.85" customHeight="1">
      <c r="B69" s="529" t="s">
        <v>888</v>
      </c>
      <c r="C69" s="520"/>
      <c r="D69" s="520"/>
      <c r="E69" s="520"/>
      <c r="F69" s="521"/>
    </row>
    <row r="70" spans="2:6" s="411" customFormat="1" ht="14.85" customHeight="1">
      <c r="B70" s="520"/>
      <c r="C70" s="520"/>
      <c r="D70" s="520"/>
      <c r="E70" s="520"/>
      <c r="F70" s="521"/>
    </row>
    <row r="71" spans="2:6" s="411" customFormat="1" ht="14.85" customHeight="1">
      <c r="B71" s="515" t="s">
        <v>3211</v>
      </c>
      <c r="C71" s="440"/>
      <c r="D71" s="440"/>
      <c r="E71" s="440"/>
      <c r="F71" s="521"/>
    </row>
    <row r="72" spans="2:6" s="411" customFormat="1" ht="14.85" customHeight="1">
      <c r="B72" s="528" t="s">
        <v>587</v>
      </c>
      <c r="C72" s="530" t="s">
        <v>611</v>
      </c>
      <c r="D72" s="518" t="s">
        <v>612</v>
      </c>
      <c r="E72" s="535" t="s">
        <v>889</v>
      </c>
      <c r="F72" s="516"/>
    </row>
    <row r="73" spans="2:6" s="411" customFormat="1" ht="14.85" customHeight="1">
      <c r="B73" s="520">
        <v>0.75</v>
      </c>
      <c r="C73" s="520">
        <v>0.5</v>
      </c>
      <c r="D73" s="520">
        <v>0.36</v>
      </c>
      <c r="E73" s="521">
        <f>PRODUCT(B73:D73)</f>
        <v>0.13500000000000001</v>
      </c>
      <c r="F73" s="516"/>
    </row>
    <row r="74" spans="2:6" s="411" customFormat="1" ht="14.85" customHeight="1">
      <c r="B74" s="520"/>
      <c r="C74" s="520"/>
      <c r="D74" s="520"/>
      <c r="E74" s="520"/>
      <c r="F74" s="521"/>
    </row>
    <row r="75" spans="2:6" s="411" customFormat="1" ht="14.85" customHeight="1">
      <c r="B75" s="515" t="s">
        <v>3212</v>
      </c>
      <c r="C75" s="440"/>
      <c r="D75" s="440"/>
      <c r="E75" s="440"/>
      <c r="F75" s="521"/>
    </row>
    <row r="76" spans="2:6" s="411" customFormat="1" ht="14.85" customHeight="1">
      <c r="B76" s="528" t="s">
        <v>587</v>
      </c>
      <c r="C76" s="530" t="s">
        <v>611</v>
      </c>
      <c r="D76" s="518" t="s">
        <v>612</v>
      </c>
      <c r="E76" s="535" t="s">
        <v>889</v>
      </c>
      <c r="F76" s="516"/>
    </row>
    <row r="77" spans="2:6" s="411" customFormat="1" ht="14.85" customHeight="1">
      <c r="B77" s="520">
        <v>0.83</v>
      </c>
      <c r="C77" s="520">
        <v>0.56000000000000005</v>
      </c>
      <c r="D77" s="520">
        <v>0.44</v>
      </c>
      <c r="E77" s="521">
        <f>PRODUCT(B77:D77)</f>
        <v>0.20451200000000003</v>
      </c>
      <c r="F77" s="516"/>
    </row>
    <row r="78" spans="2:6" s="411" customFormat="1" ht="14.85" customHeight="1">
      <c r="B78" s="520"/>
      <c r="C78" s="520"/>
      <c r="D78" s="520"/>
      <c r="E78" s="521"/>
      <c r="F78" s="516"/>
    </row>
    <row r="79" spans="2:6" s="411" customFormat="1" ht="14.85" customHeight="1">
      <c r="B79" s="515" t="s">
        <v>3213</v>
      </c>
      <c r="C79" s="440"/>
      <c r="D79" s="440"/>
      <c r="E79" s="440"/>
      <c r="F79" s="521"/>
    </row>
    <row r="80" spans="2:6" s="411" customFormat="1" ht="14.85" customHeight="1">
      <c r="B80" s="517" t="s">
        <v>610</v>
      </c>
      <c r="C80" s="518" t="s">
        <v>587</v>
      </c>
      <c r="D80" s="530" t="s">
        <v>611</v>
      </c>
      <c r="E80" s="535" t="s">
        <v>887</v>
      </c>
      <c r="F80" s="516"/>
    </row>
    <row r="81" spans="2:7" s="411" customFormat="1" ht="14.85" customHeight="1">
      <c r="B81" s="520">
        <v>0.86</v>
      </c>
      <c r="C81" s="520">
        <v>0.62</v>
      </c>
      <c r="D81" s="520">
        <v>0.94</v>
      </c>
      <c r="E81" s="521">
        <f>PRODUCT(B81:D81)</f>
        <v>0.50120799999999999</v>
      </c>
      <c r="F81" s="516"/>
    </row>
    <row r="82" spans="2:7" s="411" customFormat="1" ht="14.85" customHeight="1">
      <c r="B82" s="520"/>
      <c r="C82" s="520"/>
      <c r="D82" s="520"/>
      <c r="E82" s="520"/>
      <c r="F82" s="521"/>
    </row>
    <row r="83" spans="2:7" s="411" customFormat="1" ht="14.85" customHeight="1">
      <c r="B83" s="529" t="s">
        <v>890</v>
      </c>
      <c r="C83" s="520"/>
      <c r="D83" s="520"/>
      <c r="E83" s="520"/>
      <c r="F83" s="521"/>
    </row>
    <row r="84" spans="2:7" s="411" customFormat="1" ht="14.85" customHeight="1">
      <c r="B84" s="520"/>
      <c r="C84" s="520"/>
      <c r="D84" s="520"/>
      <c r="E84" s="520"/>
      <c r="F84" s="521"/>
    </row>
    <row r="85" spans="2:7" s="411" customFormat="1" ht="14.85" customHeight="1">
      <c r="B85" s="515" t="s">
        <v>3214</v>
      </c>
      <c r="F85" s="516"/>
    </row>
    <row r="86" spans="2:7" s="411" customFormat="1" ht="14.85" customHeight="1">
      <c r="B86" s="528" t="s">
        <v>587</v>
      </c>
      <c r="C86" s="519" t="s">
        <v>611</v>
      </c>
      <c r="E86" s="520"/>
      <c r="F86" s="520"/>
      <c r="G86" s="520"/>
    </row>
    <row r="87" spans="2:7" s="411" customFormat="1" ht="14.85" customHeight="1">
      <c r="B87" s="520">
        <v>0.41</v>
      </c>
      <c r="C87" s="520">
        <v>0.55000000000000004</v>
      </c>
      <c r="E87" s="520"/>
      <c r="F87" s="520"/>
      <c r="G87" s="520"/>
    </row>
    <row r="88" spans="2:7" s="411" customFormat="1" ht="14.85" customHeight="1">
      <c r="B88" s="520"/>
      <c r="C88" s="520"/>
      <c r="D88" s="520"/>
      <c r="F88" s="516"/>
    </row>
    <row r="89" spans="2:7" s="411" customFormat="1" ht="14.85" customHeight="1">
      <c r="B89" s="515" t="s">
        <v>3215</v>
      </c>
      <c r="C89" s="515"/>
      <c r="D89" s="515"/>
      <c r="E89" s="515"/>
      <c r="F89" s="538"/>
    </row>
    <row r="90" spans="2:7" s="411" customFormat="1" ht="14.85" customHeight="1">
      <c r="B90" s="517" t="s">
        <v>610</v>
      </c>
      <c r="C90" s="518" t="s">
        <v>587</v>
      </c>
      <c r="D90" s="530" t="s">
        <v>611</v>
      </c>
      <c r="E90" s="518" t="s">
        <v>612</v>
      </c>
      <c r="F90" s="535" t="s">
        <v>617</v>
      </c>
    </row>
    <row r="91" spans="2:7" s="411" customFormat="1" ht="14.85" customHeight="1">
      <c r="B91" s="520">
        <v>0.70799999999999996</v>
      </c>
      <c r="C91" s="520">
        <v>0.51200000000000001</v>
      </c>
      <c r="D91" s="520">
        <v>0.79900000000000004</v>
      </c>
      <c r="E91" s="520">
        <v>0.96899999999999997</v>
      </c>
      <c r="F91" s="521">
        <f>PRODUCT(B91:E91)</f>
        <v>0.28065564057600001</v>
      </c>
    </row>
    <row r="92" spans="2:7" s="411" customFormat="1" ht="14.85" customHeight="1">
      <c r="B92" s="520"/>
      <c r="C92" s="520"/>
      <c r="D92" s="520"/>
      <c r="E92" s="520"/>
      <c r="F92" s="521"/>
    </row>
    <row r="93" spans="2:7" s="411" customFormat="1" ht="14.85" customHeight="1">
      <c r="B93" s="515" t="s">
        <v>3216</v>
      </c>
      <c r="C93" s="440"/>
      <c r="D93" s="440"/>
      <c r="E93" s="440"/>
      <c r="F93" s="521"/>
    </row>
    <row r="94" spans="2:7" s="411" customFormat="1" ht="14.85" customHeight="1">
      <c r="B94" s="517" t="s">
        <v>610</v>
      </c>
      <c r="C94" s="518" t="s">
        <v>587</v>
      </c>
      <c r="D94" s="530" t="s">
        <v>611</v>
      </c>
      <c r="E94" s="518" t="s">
        <v>612</v>
      </c>
      <c r="F94" s="535" t="s">
        <v>617</v>
      </c>
    </row>
    <row r="95" spans="2:7" s="411" customFormat="1" ht="14.85" customHeight="1">
      <c r="B95" s="520">
        <v>0.69499999999999995</v>
      </c>
      <c r="C95" s="520">
        <v>0.42699999999999999</v>
      </c>
      <c r="D95" s="520">
        <v>0.72699999999999998</v>
      </c>
      <c r="E95" s="520">
        <v>0.88700000000000001</v>
      </c>
      <c r="F95" s="521">
        <f>PRODUCT(B95:E95)</f>
        <v>0.19136861348499995</v>
      </c>
    </row>
    <row r="96" spans="2:7" s="411" customFormat="1" ht="14.85" customHeight="1">
      <c r="B96" s="520"/>
      <c r="C96" s="520"/>
      <c r="D96" s="520"/>
      <c r="E96" s="520"/>
      <c r="F96" s="521"/>
    </row>
    <row r="97" spans="1:10" s="411" customFormat="1" ht="14.85" customHeight="1">
      <c r="B97" s="515" t="s">
        <v>3217</v>
      </c>
      <c r="C97" s="440"/>
      <c r="D97" s="440"/>
      <c r="E97" s="440"/>
      <c r="F97" s="521"/>
    </row>
    <row r="98" spans="1:10" s="411" customFormat="1" ht="14.85" customHeight="1">
      <c r="B98" s="517" t="s">
        <v>610</v>
      </c>
      <c r="C98" s="518" t="s">
        <v>587</v>
      </c>
      <c r="D98" s="530" t="s">
        <v>611</v>
      </c>
      <c r="E98" s="518" t="s">
        <v>612</v>
      </c>
      <c r="F98" s="535" t="s">
        <v>617</v>
      </c>
    </row>
    <row r="99" spans="1:10" s="411" customFormat="1" ht="14.85" customHeight="1">
      <c r="B99" s="520">
        <v>0.65800000000000003</v>
      </c>
      <c r="C99" s="520">
        <v>0.45900000000000002</v>
      </c>
      <c r="D99" s="520">
        <v>0.65300000000000002</v>
      </c>
      <c r="E99" s="520">
        <v>0.84899999999999998</v>
      </c>
      <c r="F99" s="521">
        <f>PRODUCT(B99:E99)</f>
        <v>0.16744009073400001</v>
      </c>
    </row>
    <row r="100" spans="1:10" s="411" customFormat="1" ht="14.85" customHeight="1">
      <c r="B100" s="520"/>
      <c r="C100" s="520"/>
      <c r="D100" s="520"/>
      <c r="E100" s="520"/>
      <c r="F100" s="521"/>
    </row>
    <row r="101" spans="1:10" s="411" customFormat="1" ht="14.85" customHeight="1">
      <c r="B101" s="515" t="s">
        <v>3218</v>
      </c>
      <c r="C101" s="440"/>
      <c r="D101" s="440"/>
      <c r="E101" s="440"/>
      <c r="F101" s="521"/>
    </row>
    <row r="102" spans="1:10" s="411" customFormat="1" ht="14.85" customHeight="1">
      <c r="B102" s="517" t="s">
        <v>610</v>
      </c>
      <c r="C102" s="518" t="s">
        <v>587</v>
      </c>
      <c r="D102" s="530" t="s">
        <v>611</v>
      </c>
      <c r="E102" s="518" t="s">
        <v>612</v>
      </c>
      <c r="F102" s="535" t="s">
        <v>617</v>
      </c>
    </row>
    <row r="103" spans="1:10" s="411" customFormat="1" ht="14.85" customHeight="1">
      <c r="B103" s="520">
        <v>0.66900000000000004</v>
      </c>
      <c r="C103" s="520">
        <v>0.45900000000000002</v>
      </c>
      <c r="D103" s="520">
        <v>0.69699999999999995</v>
      </c>
      <c r="E103" s="520">
        <v>0.9</v>
      </c>
      <c r="F103" s="521">
        <f>PRODUCT(B103:E103)</f>
        <v>0.19262563830000001</v>
      </c>
    </row>
    <row r="104" spans="1:10" s="411" customFormat="1" ht="14.85" customHeight="1">
      <c r="B104" s="520"/>
      <c r="C104" s="520"/>
      <c r="D104" s="520"/>
      <c r="E104" s="520"/>
      <c r="F104" s="521"/>
    </row>
    <row r="105" spans="1:10" s="411" customFormat="1" ht="14.85" customHeight="1">
      <c r="B105" s="515" t="s">
        <v>1592</v>
      </c>
      <c r="C105" s="440"/>
      <c r="D105" s="440"/>
      <c r="E105" s="440"/>
      <c r="F105" s="521"/>
    </row>
    <row r="106" spans="1:10" s="411" customFormat="1" ht="14.85" customHeight="1">
      <c r="B106" s="517" t="s">
        <v>1593</v>
      </c>
      <c r="C106" s="518" t="s">
        <v>610</v>
      </c>
      <c r="D106" s="530" t="s">
        <v>587</v>
      </c>
      <c r="E106" s="539" t="s">
        <v>611</v>
      </c>
      <c r="F106" s="521"/>
    </row>
    <row r="107" spans="1:10" s="411" customFormat="1" ht="14.85" customHeight="1">
      <c r="B107" s="540">
        <v>0.95</v>
      </c>
      <c r="C107" s="540">
        <v>0.75</v>
      </c>
      <c r="D107" s="540">
        <v>0.6</v>
      </c>
      <c r="E107" s="540">
        <v>0.5</v>
      </c>
      <c r="F107" s="541" t="s">
        <v>1594</v>
      </c>
    </row>
    <row r="108" spans="1:10" s="411" customFormat="1" ht="14.85" customHeight="1">
      <c r="B108" s="520"/>
      <c r="C108" s="520"/>
      <c r="D108" s="520"/>
      <c r="E108" s="520"/>
      <c r="F108" s="521"/>
    </row>
    <row r="109" spans="1:10" s="411" customFormat="1" ht="14.85" customHeight="1">
      <c r="B109" s="542" t="s">
        <v>86</v>
      </c>
      <c r="F109" s="516"/>
    </row>
    <row r="110" spans="1:10" s="411" customFormat="1" ht="14.85" customHeight="1">
      <c r="A110" s="543" t="s">
        <v>261</v>
      </c>
      <c r="B110" s="2080" t="s">
        <v>891</v>
      </c>
      <c r="C110" s="2080"/>
      <c r="D110" s="2080"/>
      <c r="E110" s="2080"/>
      <c r="F110" s="2080"/>
      <c r="G110" s="2080"/>
      <c r="H110" s="2080"/>
      <c r="I110" s="2080"/>
      <c r="J110" s="2080"/>
    </row>
    <row r="111" spans="1:10" s="411" customFormat="1" ht="14.85" customHeight="1">
      <c r="A111" s="543" t="s">
        <v>260</v>
      </c>
      <c r="B111" s="2080" t="s">
        <v>882</v>
      </c>
      <c r="C111" s="2080"/>
      <c r="D111" s="2080"/>
      <c r="E111" s="2080"/>
      <c r="F111" s="2080"/>
      <c r="G111" s="2080"/>
      <c r="H111" s="2080"/>
      <c r="I111" s="2080"/>
      <c r="J111" s="2080"/>
    </row>
    <row r="112" spans="1:10" s="411" customFormat="1" ht="14.85" customHeight="1">
      <c r="A112" s="544" t="s">
        <v>299</v>
      </c>
      <c r="B112" s="2080" t="s">
        <v>892</v>
      </c>
      <c r="C112" s="2080"/>
      <c r="D112" s="2080"/>
      <c r="E112" s="2080"/>
      <c r="F112" s="2080"/>
      <c r="G112" s="2080"/>
      <c r="H112" s="2080"/>
      <c r="I112" s="2080"/>
      <c r="J112" s="2080"/>
    </row>
    <row r="113" spans="1:10" s="411" customFormat="1" ht="14.85" customHeight="1">
      <c r="A113" s="543" t="s">
        <v>300</v>
      </c>
      <c r="B113" s="2080" t="s">
        <v>893</v>
      </c>
      <c r="C113" s="2080"/>
      <c r="D113" s="2080"/>
      <c r="E113" s="2080"/>
      <c r="F113" s="2080"/>
      <c r="G113" s="2080"/>
      <c r="H113" s="2080"/>
      <c r="I113" s="2080"/>
      <c r="J113" s="2080"/>
    </row>
    <row r="114" spans="1:10" s="411" customFormat="1" ht="14.85" customHeight="1">
      <c r="A114" s="543" t="s">
        <v>301</v>
      </c>
      <c r="B114" s="2080" t="s">
        <v>894</v>
      </c>
      <c r="C114" s="2080"/>
      <c r="D114" s="2080"/>
      <c r="E114" s="2080"/>
      <c r="F114" s="2080"/>
      <c r="G114" s="2080"/>
      <c r="H114" s="2080"/>
      <c r="I114" s="2080"/>
      <c r="J114" s="2080"/>
    </row>
    <row r="115" spans="1:10" s="411" customFormat="1" ht="14.85" customHeight="1">
      <c r="A115" s="543" t="s">
        <v>324</v>
      </c>
      <c r="B115" s="2080" t="s">
        <v>895</v>
      </c>
      <c r="C115" s="2080"/>
      <c r="D115" s="2080"/>
      <c r="E115" s="2080"/>
      <c r="F115" s="2080"/>
      <c r="G115" s="2080"/>
      <c r="H115" s="2080"/>
      <c r="I115" s="2080"/>
      <c r="J115" s="2080"/>
    </row>
    <row r="116" spans="1:10" s="411" customFormat="1" ht="14.85" customHeight="1">
      <c r="A116" s="543" t="s">
        <v>325</v>
      </c>
      <c r="B116" s="2080" t="s">
        <v>896</v>
      </c>
      <c r="C116" s="2080"/>
      <c r="D116" s="2080"/>
      <c r="E116" s="2080"/>
      <c r="F116" s="2080"/>
      <c r="G116" s="2080"/>
      <c r="H116" s="2080"/>
      <c r="I116" s="2080"/>
      <c r="J116" s="2080"/>
    </row>
    <row r="117" spans="1:10" s="411" customFormat="1" ht="14.85" customHeight="1">
      <c r="A117" s="543" t="s">
        <v>326</v>
      </c>
      <c r="B117" s="2080" t="s">
        <v>897</v>
      </c>
      <c r="C117" s="2080"/>
      <c r="D117" s="2080"/>
      <c r="E117" s="2080"/>
      <c r="F117" s="2080"/>
      <c r="G117" s="2080"/>
      <c r="H117" s="2080"/>
      <c r="I117" s="2080"/>
      <c r="J117" s="2080"/>
    </row>
    <row r="118" spans="1:10" s="411" customFormat="1" ht="14.85" customHeight="1">
      <c r="A118" s="543" t="s">
        <v>327</v>
      </c>
      <c r="B118" s="2080" t="s">
        <v>898</v>
      </c>
      <c r="C118" s="2080"/>
      <c r="D118" s="2080"/>
      <c r="E118" s="2080"/>
      <c r="F118" s="2080"/>
      <c r="G118" s="2080"/>
      <c r="H118" s="2080"/>
      <c r="I118" s="2080"/>
      <c r="J118" s="2080"/>
    </row>
    <row r="119" spans="1:10" s="411" customFormat="1" ht="14.85" customHeight="1">
      <c r="A119" s="543" t="s">
        <v>899</v>
      </c>
      <c r="B119" s="2081" t="s">
        <v>900</v>
      </c>
      <c r="C119" s="2080"/>
      <c r="D119" s="2080"/>
      <c r="E119" s="2080"/>
      <c r="F119" s="2080"/>
      <c r="G119" s="2080"/>
      <c r="H119" s="2080"/>
      <c r="I119" s="2080"/>
      <c r="J119" s="2080"/>
    </row>
    <row r="120" spans="1:10" ht="14.85" customHeight="1"/>
    <row r="121" spans="1:10" ht="14.85" customHeight="1"/>
    <row r="122" spans="1:10" ht="14.85" customHeight="1"/>
    <row r="123" spans="1:10" ht="14.85" customHeight="1"/>
    <row r="124" spans="1:10" ht="14.85" customHeight="1"/>
    <row r="125" spans="1:10" ht="14.85" customHeight="1"/>
    <row r="126" spans="1:10" ht="14.85" customHeight="1"/>
    <row r="127" spans="1:10" ht="14.85" customHeight="1"/>
    <row r="128" spans="1:10"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0">
    <mergeCell ref="B116:J116"/>
    <mergeCell ref="B117:J117"/>
    <mergeCell ref="B118:J118"/>
    <mergeCell ref="B119:J119"/>
    <mergeCell ref="B110:J110"/>
    <mergeCell ref="B111:J111"/>
    <mergeCell ref="B112:J112"/>
    <mergeCell ref="B113:J113"/>
    <mergeCell ref="B114:J114"/>
    <mergeCell ref="B115:J115"/>
  </mergeCells>
  <conditionalFormatting sqref="B4:F4">
    <cfRule type="cellIs" dxfId="88" priority="1" stopIfTrue="1" operator="equal">
      <formula>"input"</formula>
    </cfRule>
  </conditionalFormatting>
  <pageMargins left="0.5" right="0.5" top="0.5" bottom="0.5" header="0.5" footer="0.5"/>
  <pageSetup fitToWidth="0" fitToHeight="0" orientation="landscape" r:id="rId1"/>
  <rowBreaks count="3" manualBreakCount="3">
    <brk id="40" max="6" man="1"/>
    <brk id="68" max="6" man="1"/>
    <brk id="96" max="6" man="1"/>
  </rowBreak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40">
    <pageSetUpPr fitToPage="1"/>
  </sheetPr>
  <dimension ref="B1:J764"/>
  <sheetViews>
    <sheetView showGridLines="0" view="pageBreakPreview" zoomScale="80" zoomScaleNormal="100" zoomScaleSheetLayoutView="80" workbookViewId="0"/>
  </sheetViews>
  <sheetFormatPr defaultRowHeight="12.75"/>
  <cols>
    <col min="1" max="1" width="2.83203125" style="179" customWidth="1"/>
    <col min="2" max="2" width="15" style="179" customWidth="1"/>
    <col min="3" max="5" width="12.5" style="179" customWidth="1"/>
    <col min="6" max="6" width="5" style="179" customWidth="1"/>
    <col min="7" max="10" width="12.5" style="179" customWidth="1"/>
    <col min="11" max="11" width="2.83203125" style="179" customWidth="1"/>
    <col min="12" max="16384" width="9.33203125" style="179"/>
  </cols>
  <sheetData>
    <row r="1" spans="2:10" ht="10.7" customHeight="1" thickBot="1"/>
    <row r="2" spans="2:10" ht="16.5" customHeight="1" thickTop="1">
      <c r="B2" s="187" t="str">
        <f>'MASTER PubCo Inputs'!$C$5</f>
        <v>Decibel Therapeutics, Inc.</v>
      </c>
      <c r="C2" s="187"/>
      <c r="D2" s="187"/>
      <c r="E2" s="187"/>
      <c r="F2" s="187"/>
      <c r="G2" s="187"/>
      <c r="H2" s="187"/>
      <c r="I2" s="187"/>
      <c r="J2" s="187"/>
    </row>
    <row r="3" spans="2:10" ht="15.75" customHeight="1">
      <c r="B3" s="188" t="e">
        <f>VLOOKUP(B4,Outline!$E$8:$G$75,COLUMNS(Outline!$E$8:$G$8),FALSE)</f>
        <v>#N/A</v>
      </c>
      <c r="C3" s="188"/>
      <c r="D3" s="188"/>
      <c r="E3" s="188"/>
      <c r="F3" s="188"/>
      <c r="G3" s="188"/>
      <c r="H3" s="188"/>
      <c r="I3" s="188"/>
      <c r="J3" s="188"/>
    </row>
    <row r="4" spans="2:10" ht="16.5" customHeight="1" thickBot="1">
      <c r="B4" s="726" t="s">
        <v>68</v>
      </c>
      <c r="C4" s="726"/>
      <c r="D4" s="726"/>
      <c r="E4" s="726"/>
      <c r="F4" s="726"/>
      <c r="G4" s="726"/>
      <c r="H4" s="726"/>
      <c r="I4" s="726"/>
      <c r="J4" s="727"/>
    </row>
    <row r="5" spans="2:10" ht="14.85" customHeight="1" thickTop="1"/>
    <row r="6" spans="2:10" ht="14.85" customHeight="1"/>
    <row r="7" spans="2:10" ht="14.85" customHeight="1">
      <c r="B7" s="1603" t="s">
        <v>482</v>
      </c>
      <c r="C7" s="1604"/>
      <c r="D7" s="1604"/>
      <c r="E7" s="1604"/>
      <c r="F7" s="1604"/>
      <c r="G7" s="1604"/>
      <c r="H7" s="1604"/>
      <c r="I7" s="1604"/>
      <c r="J7" s="1605"/>
    </row>
    <row r="8" spans="2:10" ht="14.85" customHeight="1">
      <c r="B8" s="281" t="s">
        <v>49</v>
      </c>
      <c r="C8" s="1606"/>
      <c r="D8" s="628"/>
      <c r="E8" s="1606" t="s">
        <v>50</v>
      </c>
      <c r="F8" s="628"/>
      <c r="G8" s="628" t="s">
        <v>49</v>
      </c>
      <c r="H8" s="1606"/>
      <c r="I8" s="628"/>
      <c r="J8" s="1607" t="s">
        <v>50</v>
      </c>
    </row>
    <row r="9" spans="2:10" ht="14.85" customHeight="1">
      <c r="B9" s="1608" t="s">
        <v>51</v>
      </c>
      <c r="G9" s="182" t="s">
        <v>52</v>
      </c>
      <c r="J9" s="339"/>
    </row>
    <row r="10" spans="2:10" ht="14.85" customHeight="1">
      <c r="B10" s="911" t="s">
        <v>53</v>
      </c>
      <c r="C10" s="1609"/>
      <c r="D10" s="1609"/>
      <c r="E10" s="1610">
        <v>0.25800000000000001</v>
      </c>
      <c r="G10" s="179" t="s">
        <v>54</v>
      </c>
      <c r="J10" s="1611">
        <v>0.221</v>
      </c>
    </row>
    <row r="11" spans="2:10" ht="14.85" customHeight="1">
      <c r="B11" s="911" t="s">
        <v>55</v>
      </c>
      <c r="C11" s="1612"/>
      <c r="D11" s="1612"/>
      <c r="E11" s="1610">
        <v>0.33</v>
      </c>
      <c r="G11" s="179" t="s">
        <v>56</v>
      </c>
      <c r="J11" s="1611">
        <v>0.27100000000000002</v>
      </c>
    </row>
    <row r="12" spans="2:10" ht="14.85" customHeight="1">
      <c r="B12" s="911" t="s">
        <v>57</v>
      </c>
      <c r="C12" s="1612"/>
      <c r="D12" s="1612"/>
      <c r="E12" s="1610">
        <v>0.33500000000000002</v>
      </c>
      <c r="G12" s="179" t="s">
        <v>58</v>
      </c>
      <c r="J12" s="1611">
        <v>0.222</v>
      </c>
    </row>
    <row r="13" spans="2:10" ht="14.85" customHeight="1">
      <c r="B13" s="911" t="s">
        <v>59</v>
      </c>
      <c r="C13" s="1612"/>
      <c r="D13" s="1612"/>
      <c r="E13" s="1610">
        <v>0.35</v>
      </c>
      <c r="G13" s="179" t="s">
        <v>60</v>
      </c>
      <c r="J13" s="1611">
        <v>0.2</v>
      </c>
    </row>
    <row r="14" spans="2:10" ht="14.85" customHeight="1">
      <c r="B14" s="911" t="s">
        <v>61</v>
      </c>
      <c r="C14" s="1613"/>
      <c r="D14" s="1613"/>
      <c r="E14" s="1610">
        <v>0.35399999999999998</v>
      </c>
      <c r="G14" s="179" t="s">
        <v>62</v>
      </c>
      <c r="J14" s="1611">
        <v>0.21</v>
      </c>
    </row>
    <row r="15" spans="2:10" ht="14.85" customHeight="1">
      <c r="B15" s="911" t="s">
        <v>63</v>
      </c>
      <c r="C15" s="1613"/>
      <c r="D15" s="1613"/>
      <c r="E15" s="1610">
        <v>0.45</v>
      </c>
      <c r="G15" s="179" t="s">
        <v>62</v>
      </c>
      <c r="J15" s="1611">
        <v>0.13</v>
      </c>
    </row>
    <row r="16" spans="2:10" ht="14.85" customHeight="1">
      <c r="B16" s="911" t="s">
        <v>64</v>
      </c>
      <c r="C16" s="1613"/>
      <c r="D16" s="1613"/>
      <c r="E16" s="1610">
        <v>0.33800000000000002</v>
      </c>
      <c r="J16" s="1614"/>
    </row>
    <row r="17" spans="2:10" ht="14.85" customHeight="1">
      <c r="B17" s="911" t="s">
        <v>65</v>
      </c>
      <c r="C17" s="1613"/>
      <c r="D17" s="1613"/>
      <c r="E17" s="1615">
        <v>0.312</v>
      </c>
      <c r="J17" s="1616"/>
    </row>
    <row r="18" spans="2:10" ht="14.85" customHeight="1" thickBot="1">
      <c r="B18" s="1617" t="s">
        <v>66</v>
      </c>
      <c r="E18" s="1618">
        <v>0.34100000000000003</v>
      </c>
      <c r="G18" s="1619" t="s">
        <v>67</v>
      </c>
      <c r="J18" s="1620">
        <v>0.20899999999999999</v>
      </c>
    </row>
    <row r="19" spans="2:10" ht="14.85" customHeight="1" thickTop="1">
      <c r="B19" s="378"/>
      <c r="C19" s="621"/>
      <c r="D19" s="621"/>
      <c r="E19" s="621"/>
      <c r="F19" s="621"/>
      <c r="G19" s="621"/>
      <c r="H19" s="621"/>
      <c r="I19" s="621"/>
      <c r="J19" s="1621"/>
    </row>
    <row r="20" spans="2:10" ht="14.85" customHeight="1"/>
    <row r="21" spans="2:10" ht="14.85" customHeight="1"/>
    <row r="22" spans="2:10" ht="14.85" customHeight="1"/>
    <row r="23" spans="2:10" ht="14.85" customHeight="1"/>
    <row r="24" spans="2:10" ht="14.85" customHeight="1"/>
    <row r="25" spans="2:10" ht="14.85" customHeight="1"/>
    <row r="26" spans="2:10" ht="14.85" customHeight="1"/>
    <row r="27" spans="2:10" ht="14.85" customHeight="1"/>
    <row r="28" spans="2:10" ht="14.85" customHeight="1"/>
    <row r="29" spans="2:10" ht="14.85" customHeight="1"/>
    <row r="30" spans="2:10" ht="14.85" customHeight="1"/>
    <row r="31" spans="2:10" ht="14.85" customHeight="1"/>
    <row r="32" spans="2:10"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I4">
    <cfRule type="cellIs" dxfId="87" priority="3" stopIfTrue="1" operator="equal">
      <formula>"input"</formula>
    </cfRule>
  </conditionalFormatting>
  <conditionalFormatting sqref="J4">
    <cfRule type="cellIs" dxfId="86" priority="1" stopIfTrue="1" operator="equal">
      <formula>"input"</formula>
    </cfRule>
  </conditionalFormatting>
  <conditionalFormatting sqref="J4">
    <cfRule type="cellIs" dxfId="85" priority="2" stopIfTrue="1" operator="equal">
      <formula>"input"</formula>
    </cfRule>
  </conditionalFormatting>
  <pageMargins left="0.5" right="0.5" top="0.5" bottom="0.5" header="0.5" footer="0.5"/>
  <pageSetup orientation="landscape" r:id="rId1"/>
  <legacyDrawingHF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43"/>
  <dimension ref="B1:F764"/>
  <sheetViews>
    <sheetView showGridLines="0" view="pageBreakPreview" zoomScale="80" zoomScaleNormal="100" zoomScaleSheetLayoutView="80" workbookViewId="0"/>
  </sheetViews>
  <sheetFormatPr defaultRowHeight="12.75"/>
  <cols>
    <col min="1" max="1" width="2.83203125" style="179" customWidth="1"/>
    <col min="2" max="2" width="77.6640625" style="179" customWidth="1"/>
    <col min="3" max="4" width="20.83203125" style="179" customWidth="1"/>
    <col min="5" max="5" width="16" style="179" customWidth="1"/>
    <col min="6" max="6" width="19" style="179" customWidth="1"/>
    <col min="7" max="7" width="2.83203125" style="179" customWidth="1"/>
    <col min="8" max="16384" width="9.33203125" style="179"/>
  </cols>
  <sheetData>
    <row r="1" spans="2:6" ht="10.7" customHeight="1" thickBot="1"/>
    <row r="2" spans="2:6" ht="16.5" customHeight="1" thickTop="1">
      <c r="B2" s="187" t="str">
        <f>'MASTER PubCo Inputs'!$C$5</f>
        <v>Decibel Therapeutics, Inc.</v>
      </c>
      <c r="C2" s="187"/>
      <c r="D2" s="187"/>
      <c r="E2" s="187"/>
      <c r="F2" s="187"/>
    </row>
    <row r="3" spans="2:6" ht="15.75" customHeight="1">
      <c r="B3" s="188" t="e">
        <f>VLOOKUP(B4,Outline!$E$8:$G$75,COLUMNS(Outline!$E$8:$G$8),FALSE)</f>
        <v>#N/A</v>
      </c>
      <c r="C3" s="188"/>
      <c r="D3" s="188"/>
      <c r="E3" s="188"/>
      <c r="F3" s="188"/>
    </row>
    <row r="4" spans="2:6" ht="16.5" customHeight="1" thickBot="1">
      <c r="B4" s="726" t="s">
        <v>48</v>
      </c>
      <c r="C4" s="726"/>
      <c r="D4" s="726"/>
      <c r="E4" s="726"/>
      <c r="F4" s="726"/>
    </row>
    <row r="5" spans="2:6" ht="14.85" customHeight="1" thickTop="1">
      <c r="B5" s="361"/>
      <c r="C5" s="361"/>
      <c r="D5" s="361"/>
      <c r="E5" s="361"/>
      <c r="F5" s="361"/>
    </row>
    <row r="6" spans="2:6" ht="14.85" customHeight="1"/>
    <row r="7" spans="2:6" ht="14.85" customHeight="1">
      <c r="B7" s="1169" t="s">
        <v>1</v>
      </c>
      <c r="C7" s="1170"/>
      <c r="D7" s="1170"/>
      <c r="E7" s="1170"/>
      <c r="F7" s="1171"/>
    </row>
    <row r="8" spans="2:6" ht="14.85" customHeight="1"/>
    <row r="9" spans="2:6" s="200" customFormat="1" ht="14.85" customHeight="1">
      <c r="B9" s="1622" t="s">
        <v>2</v>
      </c>
      <c r="C9" s="1623" t="s">
        <v>3</v>
      </c>
      <c r="D9" s="1623" t="s">
        <v>4</v>
      </c>
      <c r="E9" s="1623" t="s">
        <v>5</v>
      </c>
      <c r="F9" s="1624" t="s">
        <v>6</v>
      </c>
    </row>
    <row r="10" spans="2:6" ht="14.85" customHeight="1"/>
    <row r="11" spans="2:6" ht="14.85" customHeight="1">
      <c r="B11" s="179" t="s">
        <v>7</v>
      </c>
      <c r="C11" s="180">
        <v>2008</v>
      </c>
      <c r="D11" s="180" t="s">
        <v>8</v>
      </c>
      <c r="E11" s="688">
        <v>457</v>
      </c>
      <c r="F11" s="257">
        <v>2.3E-2</v>
      </c>
    </row>
    <row r="12" spans="2:6" ht="14.85" customHeight="1">
      <c r="B12" s="179" t="s">
        <v>9</v>
      </c>
      <c r="C12" s="180">
        <v>1996</v>
      </c>
      <c r="D12" s="180">
        <v>1996</v>
      </c>
      <c r="E12" s="688">
        <v>116</v>
      </c>
      <c r="F12" s="257">
        <v>2.7E-2</v>
      </c>
    </row>
    <row r="13" spans="2:6" ht="14.85" customHeight="1">
      <c r="B13" s="179" t="s">
        <v>10</v>
      </c>
      <c r="C13" s="180">
        <v>2002</v>
      </c>
      <c r="D13" s="180" t="s">
        <v>11</v>
      </c>
      <c r="E13" s="688">
        <v>98</v>
      </c>
      <c r="F13" s="257">
        <v>0.1</v>
      </c>
    </row>
    <row r="14" spans="2:6" ht="14.85" customHeight="1">
      <c r="B14" s="179" t="s">
        <v>12</v>
      </c>
      <c r="C14" s="180" t="s">
        <v>13</v>
      </c>
      <c r="D14" s="180" t="s">
        <v>14</v>
      </c>
      <c r="E14" s="688">
        <v>40</v>
      </c>
      <c r="F14" s="257">
        <v>2.7E-2</v>
      </c>
    </row>
    <row r="15" spans="2:6" ht="14.85" customHeight="1">
      <c r="B15" s="179" t="s">
        <v>15</v>
      </c>
      <c r="C15" s="180">
        <v>1995</v>
      </c>
      <c r="D15" s="180" t="s">
        <v>16</v>
      </c>
      <c r="E15" s="688">
        <v>81</v>
      </c>
      <c r="F15" s="257">
        <v>0.06</v>
      </c>
    </row>
    <row r="16" spans="2:6" ht="14.85" customHeight="1">
      <c r="B16" s="179" t="s">
        <v>17</v>
      </c>
      <c r="C16" s="180">
        <v>1995</v>
      </c>
      <c r="D16" s="180" t="s">
        <v>18</v>
      </c>
      <c r="E16" s="688">
        <v>94</v>
      </c>
      <c r="F16" s="257">
        <v>9.5000000000000001E-2</v>
      </c>
    </row>
    <row r="17" spans="2:6" ht="14.85" customHeight="1">
      <c r="B17" s="179" t="s">
        <v>19</v>
      </c>
      <c r="C17" s="180">
        <v>1991</v>
      </c>
      <c r="D17" s="180" t="s">
        <v>20</v>
      </c>
      <c r="E17" s="688">
        <v>43</v>
      </c>
      <c r="F17" s="257">
        <v>1.2999999999999999E-2</v>
      </c>
    </row>
    <row r="18" spans="2:6" ht="14.85" customHeight="1">
      <c r="B18" s="179" t="s">
        <v>21</v>
      </c>
      <c r="C18" s="180">
        <v>1987</v>
      </c>
      <c r="D18" s="180" t="s">
        <v>13</v>
      </c>
      <c r="E18" s="688">
        <v>63</v>
      </c>
      <c r="F18" s="384" t="s">
        <v>22</v>
      </c>
    </row>
    <row r="19" spans="2:6" ht="14.85" customHeight="1">
      <c r="B19" s="179" t="s">
        <v>23</v>
      </c>
      <c r="C19" s="180">
        <v>1983</v>
      </c>
      <c r="D19" s="180" t="s">
        <v>24</v>
      </c>
      <c r="E19" s="688">
        <v>30</v>
      </c>
      <c r="F19" s="257">
        <v>5.1999999999999998E-2</v>
      </c>
    </row>
    <row r="20" spans="2:6" ht="14.85" customHeight="1"/>
    <row r="21" spans="2:6" ht="14.85" customHeight="1">
      <c r="B21" s="1262" t="s">
        <v>25</v>
      </c>
      <c r="C21" s="1625"/>
      <c r="D21" s="1625"/>
      <c r="E21" s="1625"/>
      <c r="F21" s="1626">
        <f>AVERAGE(F11:F17,F19)</f>
        <v>4.9625000000000002E-2</v>
      </c>
    </row>
    <row r="22" spans="2:6" ht="14.85" customHeight="1">
      <c r="B22" s="946" t="s">
        <v>26</v>
      </c>
      <c r="C22" s="1269"/>
      <c r="D22" s="1269"/>
      <c r="E22" s="1269"/>
      <c r="F22" s="1103">
        <f>MEDIAN(F11:F17,F19)</f>
        <v>3.95E-2</v>
      </c>
    </row>
    <row r="23" spans="2:6" ht="14.85" customHeight="1"/>
    <row r="24" spans="2:6" ht="14.85" customHeight="1">
      <c r="B24" s="1262" t="s">
        <v>27</v>
      </c>
      <c r="C24" s="1625"/>
      <c r="D24" s="1625"/>
      <c r="E24" s="1625"/>
      <c r="F24" s="1626">
        <f>AVERAGE(F11:F12,F14:F17,F19)</f>
        <v>4.2428571428571434E-2</v>
      </c>
    </row>
    <row r="25" spans="2:6" ht="14.85" customHeight="1">
      <c r="B25" s="946" t="s">
        <v>28</v>
      </c>
      <c r="C25" s="1269"/>
      <c r="D25" s="1269"/>
      <c r="E25" s="1269"/>
      <c r="F25" s="1103">
        <f>MEDIAN(F11:F12,F14:F17,F19)</f>
        <v>2.7E-2</v>
      </c>
    </row>
    <row r="26" spans="2:6" ht="14.85" customHeight="1"/>
    <row r="27" spans="2:6" ht="14.85" customHeight="1"/>
    <row r="28" spans="2:6" s="200" customFormat="1" ht="14.85" customHeight="1">
      <c r="B28" s="1627" t="s">
        <v>29</v>
      </c>
      <c r="C28" s="1628"/>
      <c r="D28" s="1628"/>
      <c r="E28" s="1628"/>
      <c r="F28" s="1629" t="s">
        <v>30</v>
      </c>
    </row>
    <row r="29" spans="2:6" ht="14.85" customHeight="1"/>
    <row r="30" spans="2:6" ht="14.85" customHeight="1">
      <c r="B30" s="179" t="s">
        <v>31</v>
      </c>
      <c r="F30" s="257">
        <v>0</v>
      </c>
    </row>
    <row r="31" spans="2:6" ht="14.85" customHeight="1">
      <c r="B31" s="179" t="s">
        <v>32</v>
      </c>
      <c r="F31" s="257">
        <v>3.6999999999999998E-2</v>
      </c>
    </row>
    <row r="32" spans="2:6" ht="14.85" customHeight="1">
      <c r="B32" s="179" t="s">
        <v>33</v>
      </c>
      <c r="F32" s="257">
        <v>0.04</v>
      </c>
    </row>
    <row r="33" spans="2:6" ht="14.85" customHeight="1">
      <c r="B33" s="179" t="s">
        <v>34</v>
      </c>
      <c r="F33" s="257">
        <v>0</v>
      </c>
    </row>
    <row r="34" spans="2:6" ht="14.85" customHeight="1">
      <c r="B34" s="179" t="s">
        <v>35</v>
      </c>
      <c r="F34" s="257">
        <v>5.1999999999999998E-2</v>
      </c>
    </row>
    <row r="35" spans="2:6" ht="14.85" customHeight="1">
      <c r="B35" s="179" t="s">
        <v>36</v>
      </c>
      <c r="F35" s="257">
        <v>9.0999999999999998E-2</v>
      </c>
    </row>
    <row r="36" spans="2:6" ht="14.85" customHeight="1">
      <c r="B36" s="179" t="s">
        <v>37</v>
      </c>
      <c r="F36" s="257">
        <v>0</v>
      </c>
    </row>
    <row r="37" spans="2:6" ht="14.85" customHeight="1">
      <c r="B37" s="179" t="s">
        <v>38</v>
      </c>
      <c r="F37" s="257">
        <v>0.03</v>
      </c>
    </row>
    <row r="38" spans="2:6" ht="14.85" customHeight="1">
      <c r="B38" s="179" t="s">
        <v>39</v>
      </c>
      <c r="F38" s="257">
        <v>4.8000000000000001E-2</v>
      </c>
    </row>
    <row r="39" spans="2:6" ht="14.85" customHeight="1">
      <c r="B39" s="179" t="s">
        <v>40</v>
      </c>
      <c r="F39" s="257">
        <v>4.3999999999999997E-2</v>
      </c>
    </row>
    <row r="40" spans="2:6" ht="14.85" customHeight="1">
      <c r="B40" s="179" t="s">
        <v>41</v>
      </c>
      <c r="F40" s="257">
        <v>5.3999999999999999E-2</v>
      </c>
    </row>
    <row r="41" spans="2:6" ht="14.85" customHeight="1">
      <c r="B41" s="179" t="s">
        <v>42</v>
      </c>
      <c r="F41" s="257">
        <v>3.9E-2</v>
      </c>
    </row>
    <row r="42" spans="2:6" ht="14.85" customHeight="1"/>
    <row r="43" spans="2:6" ht="14.85" customHeight="1">
      <c r="B43" s="1262" t="s">
        <v>43</v>
      </c>
      <c r="C43" s="1625"/>
      <c r="D43" s="1625"/>
      <c r="E43" s="1625"/>
      <c r="F43" s="1626">
        <f>AVERAGE(F30:F41)</f>
        <v>3.6249999999999998E-2</v>
      </c>
    </row>
    <row r="44" spans="2:6" ht="14.85" customHeight="1">
      <c r="B44" s="946" t="s">
        <v>44</v>
      </c>
      <c r="C44" s="1269"/>
      <c r="D44" s="1269"/>
      <c r="E44" s="1269"/>
      <c r="F44" s="1103">
        <f>MEDIAN(F30:F41)</f>
        <v>3.95E-2</v>
      </c>
    </row>
    <row r="45" spans="2:6" ht="14.85" customHeight="1"/>
    <row r="46" spans="2:6" ht="14.85" customHeight="1">
      <c r="B46" s="272" t="s">
        <v>45</v>
      </c>
    </row>
    <row r="47" spans="2:6" ht="14.85" customHeight="1">
      <c r="B47" s="272" t="s">
        <v>46</v>
      </c>
    </row>
    <row r="48" spans="2:6" ht="14.85" customHeight="1">
      <c r="B48" s="272" t="s">
        <v>47</v>
      </c>
    </row>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F5">
    <cfRule type="cellIs" dxfId="84" priority="3" stopIfTrue="1" operator="equal">
      <formula>"input"</formula>
    </cfRule>
  </conditionalFormatting>
  <pageMargins left="0.5" right="0.5" top="0.5" bottom="0.5" header="0.5" footer="0.5"/>
  <pageSetup scale="79" fitToWidth="0" fitToHeight="0" orientation="landscape" r:id="rId1"/>
  <legacyDrawingHF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52"/>
  <dimension ref="B1:AF764"/>
  <sheetViews>
    <sheetView showGridLines="0" view="pageBreakPreview" zoomScale="80" zoomScaleNormal="100" zoomScaleSheetLayoutView="80" workbookViewId="0"/>
  </sheetViews>
  <sheetFormatPr defaultColWidth="9.33203125" defaultRowHeight="12.75" outlineLevelCol="1"/>
  <cols>
    <col min="1" max="1" width="4.5" style="1271" customWidth="1"/>
    <col min="2" max="2" width="14.83203125" style="1271" customWidth="1"/>
    <col min="3" max="3" width="13.6640625" style="1271" customWidth="1"/>
    <col min="4" max="4" width="32.83203125" style="1271" customWidth="1"/>
    <col min="5" max="5" width="32.33203125" style="1271" customWidth="1"/>
    <col min="6" max="6" width="11.33203125" style="1271" hidden="1" customWidth="1" outlineLevel="1"/>
    <col min="7" max="7" width="18.1640625" style="1271" customWidth="1" collapsed="1"/>
    <col min="8" max="8" width="20.5" style="1271" customWidth="1"/>
    <col min="9" max="9" width="17.1640625" style="1271" bestFit="1" customWidth="1"/>
    <col min="10" max="10" width="11.6640625" style="1271" hidden="1" customWidth="1" outlineLevel="1"/>
    <col min="11" max="11" width="12" style="1271" customWidth="1" collapsed="1"/>
    <col min="12" max="12" width="4.5" style="1271" customWidth="1"/>
    <col min="13" max="16384" width="9.33203125" style="1271"/>
  </cols>
  <sheetData>
    <row r="1" spans="2:14" ht="13.5" thickBot="1"/>
    <row r="2" spans="2:14" ht="15" thickTop="1">
      <c r="B2" s="187" t="str">
        <f>'MASTER PubCo Inputs'!$C$5</f>
        <v>Decibel Therapeutics, Inc.</v>
      </c>
      <c r="C2" s="187"/>
      <c r="D2" s="187"/>
      <c r="E2" s="187"/>
      <c r="F2" s="187"/>
      <c r="G2" s="187"/>
      <c r="H2" s="187"/>
      <c r="I2" s="187"/>
      <c r="J2" s="187"/>
      <c r="K2" s="187"/>
    </row>
    <row r="3" spans="2:14" ht="14.25">
      <c r="B3" s="188" t="e">
        <f>VLOOKUP(B4,Outline!$E$8:$G$75,COLUMNS(Outline!$E$8:$G$8),FALSE)</f>
        <v>#N/A</v>
      </c>
      <c r="C3" s="188"/>
      <c r="D3" s="188"/>
      <c r="E3" s="188"/>
      <c r="F3" s="188"/>
      <c r="G3" s="188"/>
      <c r="H3" s="188"/>
      <c r="I3" s="188"/>
      <c r="J3" s="188"/>
      <c r="K3" s="188"/>
    </row>
    <row r="4" spans="2:14" ht="15" thickBot="1">
      <c r="B4" s="1636" t="s">
        <v>974</v>
      </c>
      <c r="C4" s="1636"/>
      <c r="D4" s="1636"/>
      <c r="E4" s="1636"/>
      <c r="F4" s="1636"/>
      <c r="G4" s="726"/>
      <c r="H4" s="726"/>
      <c r="I4" s="726"/>
      <c r="J4" s="726"/>
      <c r="K4" s="727" t="str">
        <f>'MASTER PubCo Inputs'!C21</f>
        <v>(in thousands of USD)</v>
      </c>
      <c r="L4" s="1272"/>
    </row>
    <row r="5" spans="2:14" ht="14.85" customHeight="1" thickTop="1"/>
    <row r="6" spans="2:14" ht="61.5" customHeight="1">
      <c r="B6" s="1273" t="s">
        <v>975</v>
      </c>
      <c r="C6" s="1274" t="s">
        <v>976</v>
      </c>
      <c r="D6" s="1274" t="s">
        <v>977</v>
      </c>
      <c r="E6" s="1274" t="s">
        <v>978</v>
      </c>
      <c r="F6" s="1275" t="s">
        <v>1663</v>
      </c>
      <c r="G6" s="1274" t="s">
        <v>979</v>
      </c>
      <c r="H6" s="1276" t="s">
        <v>980</v>
      </c>
      <c r="I6" s="1276" t="s">
        <v>981</v>
      </c>
      <c r="J6" s="1277" t="s">
        <v>1664</v>
      </c>
      <c r="K6" s="1278" t="s">
        <v>982</v>
      </c>
    </row>
    <row r="7" spans="2:14" ht="14.85" customHeight="1">
      <c r="B7" s="1279"/>
      <c r="C7" s="1280"/>
      <c r="D7" s="1280"/>
      <c r="E7" s="1280"/>
      <c r="F7" s="1280"/>
      <c r="G7" s="1280"/>
      <c r="H7" s="1281"/>
      <c r="I7" s="1281"/>
      <c r="J7" s="1281"/>
      <c r="K7" s="1281"/>
    </row>
    <row r="8" spans="2:14" ht="14.85" customHeight="1">
      <c r="B8" s="1282" t="s">
        <v>983</v>
      </c>
      <c r="C8" s="1280"/>
      <c r="D8" s="1280"/>
      <c r="E8" s="1280"/>
      <c r="F8" s="1280"/>
      <c r="G8" s="1280"/>
      <c r="H8" s="1281"/>
      <c r="I8" s="1281"/>
      <c r="J8" s="1281"/>
      <c r="K8" s="1281"/>
    </row>
    <row r="9" spans="2:14" ht="14.85" customHeight="1">
      <c r="B9" s="1283">
        <v>42641</v>
      </c>
      <c r="C9" s="1284" t="s">
        <v>984</v>
      </c>
      <c r="D9" s="1285" t="s">
        <v>985</v>
      </c>
      <c r="E9" s="1285" t="s">
        <v>986</v>
      </c>
      <c r="F9" s="1285"/>
      <c r="G9" s="1286" t="s">
        <v>885</v>
      </c>
      <c r="H9" s="1287">
        <v>155000</v>
      </c>
      <c r="I9" s="1287">
        <v>50000</v>
      </c>
      <c r="J9" s="1287"/>
      <c r="K9" s="1288">
        <f t="shared" ref="K9:K45" si="0">IFERROR(I9/H9,"n/a")</f>
        <v>0.32258064516129031</v>
      </c>
      <c r="M9" s="1289" t="s">
        <v>987</v>
      </c>
      <c r="N9" s="961" t="s">
        <v>988</v>
      </c>
    </row>
    <row r="10" spans="2:14" ht="14.85" customHeight="1">
      <c r="B10" s="1283">
        <v>42632</v>
      </c>
      <c r="C10" s="1284" t="s">
        <v>984</v>
      </c>
      <c r="D10" s="1285" t="s">
        <v>989</v>
      </c>
      <c r="E10" s="1285" t="s">
        <v>990</v>
      </c>
      <c r="F10" s="1285"/>
      <c r="G10" s="1286" t="s">
        <v>885</v>
      </c>
      <c r="H10" s="1287">
        <v>249000</v>
      </c>
      <c r="I10" s="1287" t="s">
        <v>13</v>
      </c>
      <c r="J10" s="1287"/>
      <c r="K10" s="1288" t="str">
        <f t="shared" si="0"/>
        <v>n/a</v>
      </c>
      <c r="M10" s="1289" t="s">
        <v>991</v>
      </c>
      <c r="N10" s="961"/>
    </row>
    <row r="11" spans="2:14" ht="14.85" customHeight="1">
      <c r="B11" s="1283">
        <v>42628</v>
      </c>
      <c r="C11" s="1284" t="s">
        <v>984</v>
      </c>
      <c r="D11" s="1285" t="s">
        <v>992</v>
      </c>
      <c r="E11" s="1285" t="s">
        <v>993</v>
      </c>
      <c r="F11" s="1285"/>
      <c r="G11" s="1286" t="s">
        <v>885</v>
      </c>
      <c r="H11" s="1287">
        <v>250000</v>
      </c>
      <c r="I11" s="1287" t="s">
        <v>13</v>
      </c>
      <c r="J11" s="1287"/>
      <c r="K11" s="1288" t="str">
        <f t="shared" si="0"/>
        <v>n/a</v>
      </c>
      <c r="M11" s="1289" t="s">
        <v>994</v>
      </c>
      <c r="N11" s="961"/>
    </row>
    <row r="12" spans="2:14" ht="14.85" customHeight="1">
      <c r="B12" s="1283">
        <v>42562</v>
      </c>
      <c r="C12" s="1284" t="s">
        <v>984</v>
      </c>
      <c r="D12" s="1285" t="s">
        <v>995</v>
      </c>
      <c r="E12" s="1285" t="s">
        <v>996</v>
      </c>
      <c r="F12" s="1285"/>
      <c r="G12" s="1286" t="s">
        <v>885</v>
      </c>
      <c r="H12" s="1287">
        <v>816000</v>
      </c>
      <c r="I12" s="1287">
        <v>28000</v>
      </c>
      <c r="J12" s="1287"/>
      <c r="K12" s="1288">
        <f t="shared" si="0"/>
        <v>3.4313725490196081E-2</v>
      </c>
      <c r="M12" s="1289" t="s">
        <v>997</v>
      </c>
    </row>
    <row r="13" spans="2:14" ht="14.85" customHeight="1">
      <c r="B13" s="1283">
        <v>42557</v>
      </c>
      <c r="C13" s="1284" t="s">
        <v>984</v>
      </c>
      <c r="D13" s="1285" t="s">
        <v>998</v>
      </c>
      <c r="E13" s="1285" t="s">
        <v>999</v>
      </c>
      <c r="F13" s="1285"/>
      <c r="G13" s="1286" t="s">
        <v>885</v>
      </c>
      <c r="H13" s="1287">
        <v>374500</v>
      </c>
      <c r="I13" s="1287">
        <v>5000</v>
      </c>
      <c r="J13" s="1287"/>
      <c r="K13" s="1288">
        <f t="shared" si="0"/>
        <v>1.335113484646195E-2</v>
      </c>
      <c r="M13" s="1289" t="s">
        <v>1000</v>
      </c>
    </row>
    <row r="14" spans="2:14" ht="14.85" customHeight="1">
      <c r="B14" s="1283">
        <v>42549</v>
      </c>
      <c r="C14" s="1284" t="s">
        <v>984</v>
      </c>
      <c r="D14" s="1285" t="s">
        <v>1001</v>
      </c>
      <c r="E14" s="1285" t="s">
        <v>1002</v>
      </c>
      <c r="F14" s="1285"/>
      <c r="G14" s="1286" t="s">
        <v>885</v>
      </c>
      <c r="H14" s="1287">
        <v>2560000</v>
      </c>
      <c r="I14" s="1287">
        <v>150000</v>
      </c>
      <c r="J14" s="1287"/>
      <c r="K14" s="1288">
        <f t="shared" si="0"/>
        <v>5.859375E-2</v>
      </c>
      <c r="M14" s="1289" t="s">
        <v>1003</v>
      </c>
    </row>
    <row r="15" spans="2:14" ht="14.85" customHeight="1">
      <c r="B15" s="1283">
        <v>42529</v>
      </c>
      <c r="C15" s="1284" t="s">
        <v>984</v>
      </c>
      <c r="D15" s="1285" t="s">
        <v>1004</v>
      </c>
      <c r="E15" s="1285" t="s">
        <v>1005</v>
      </c>
      <c r="F15" s="1285"/>
      <c r="G15" s="1286" t="s">
        <v>885</v>
      </c>
      <c r="H15" s="1287">
        <v>303000</v>
      </c>
      <c r="I15" s="1287">
        <v>3000</v>
      </c>
      <c r="J15" s="1287"/>
      <c r="K15" s="1288">
        <f t="shared" si="0"/>
        <v>9.9009900990099011E-3</v>
      </c>
      <c r="M15" s="1289" t="s">
        <v>1006</v>
      </c>
    </row>
    <row r="16" spans="2:14" ht="14.85" customHeight="1">
      <c r="B16" s="1283">
        <v>42516</v>
      </c>
      <c r="C16" s="1284" t="s">
        <v>984</v>
      </c>
      <c r="D16" s="1285" t="s">
        <v>1007</v>
      </c>
      <c r="E16" s="1285" t="s">
        <v>1008</v>
      </c>
      <c r="F16" s="1285"/>
      <c r="G16" s="1286" t="s">
        <v>885</v>
      </c>
      <c r="H16" s="1287">
        <v>270900</v>
      </c>
      <c r="I16" s="1287">
        <v>900</v>
      </c>
      <c r="J16" s="1287"/>
      <c r="K16" s="1288">
        <f t="shared" si="0"/>
        <v>3.3222591362126247E-3</v>
      </c>
    </row>
    <row r="17" spans="2:14" ht="14.85" customHeight="1">
      <c r="B17" s="1283">
        <v>42508</v>
      </c>
      <c r="C17" s="1284" t="s">
        <v>984</v>
      </c>
      <c r="D17" s="1285" t="s">
        <v>986</v>
      </c>
      <c r="E17" s="1285" t="s">
        <v>1009</v>
      </c>
      <c r="F17" s="1285"/>
      <c r="G17" s="1286" t="s">
        <v>885</v>
      </c>
      <c r="H17" s="1287">
        <v>740000</v>
      </c>
      <c r="I17" s="1287">
        <v>75000</v>
      </c>
      <c r="J17" s="1287"/>
      <c r="K17" s="1288">
        <f t="shared" si="0"/>
        <v>0.10135135135135136</v>
      </c>
      <c r="M17" s="1289" t="s">
        <v>1010</v>
      </c>
    </row>
    <row r="18" spans="2:14" ht="14.85" customHeight="1">
      <c r="B18" s="1283">
        <v>42481</v>
      </c>
      <c r="C18" s="1284" t="s">
        <v>984</v>
      </c>
      <c r="D18" s="1285" t="s">
        <v>1011</v>
      </c>
      <c r="E18" s="1285" t="s">
        <v>1012</v>
      </c>
      <c r="F18" s="1285"/>
      <c r="G18" s="1286" t="s">
        <v>885</v>
      </c>
      <c r="H18" s="1287">
        <v>685000</v>
      </c>
      <c r="I18" s="1287">
        <v>40000</v>
      </c>
      <c r="J18" s="1287"/>
      <c r="K18" s="1288">
        <f t="shared" si="0"/>
        <v>5.8394160583941604E-2</v>
      </c>
      <c r="M18" s="1289" t="s">
        <v>1013</v>
      </c>
    </row>
    <row r="19" spans="2:14" ht="14.85" customHeight="1">
      <c r="B19" s="1283">
        <v>42403</v>
      </c>
      <c r="C19" s="1284" t="s">
        <v>984</v>
      </c>
      <c r="D19" s="1285" t="s">
        <v>1014</v>
      </c>
      <c r="E19" s="1285" t="s">
        <v>1015</v>
      </c>
      <c r="F19" s="1285"/>
      <c r="G19" s="1286" t="s">
        <v>885</v>
      </c>
      <c r="H19" s="1287">
        <v>455000</v>
      </c>
      <c r="I19" s="1287">
        <v>40000</v>
      </c>
      <c r="J19" s="1287"/>
      <c r="K19" s="1288">
        <f t="shared" si="0"/>
        <v>8.7912087912087919E-2</v>
      </c>
      <c r="M19" s="1289"/>
    </row>
    <row r="20" spans="2:14" ht="14.85" customHeight="1">
      <c r="B20" s="1283">
        <v>42396</v>
      </c>
      <c r="C20" s="1284" t="s">
        <v>984</v>
      </c>
      <c r="D20" s="1285" t="s">
        <v>1016</v>
      </c>
      <c r="E20" s="1285" t="s">
        <v>1017</v>
      </c>
      <c r="F20" s="1285"/>
      <c r="G20" s="1286" t="s">
        <v>885</v>
      </c>
      <c r="H20" s="1287">
        <v>515000</v>
      </c>
      <c r="I20" s="1287">
        <v>15000</v>
      </c>
      <c r="J20" s="1287"/>
      <c r="K20" s="1288">
        <f t="shared" si="0"/>
        <v>2.9126213592233011E-2</v>
      </c>
    </row>
    <row r="21" spans="2:14" ht="14.85" customHeight="1">
      <c r="B21" s="1283">
        <v>42380</v>
      </c>
      <c r="C21" s="1284" t="s">
        <v>984</v>
      </c>
      <c r="D21" s="1285" t="s">
        <v>1018</v>
      </c>
      <c r="E21" s="1285" t="s">
        <v>1019</v>
      </c>
      <c r="F21" s="1285"/>
      <c r="G21" s="1286" t="s">
        <v>885</v>
      </c>
      <c r="H21" s="1287">
        <v>22500</v>
      </c>
      <c r="I21" s="1287">
        <v>17500</v>
      </c>
      <c r="J21" s="1287"/>
      <c r="K21" s="1288">
        <f t="shared" si="0"/>
        <v>0.77777777777777779</v>
      </c>
    </row>
    <row r="22" spans="2:14" ht="14.85" customHeight="1">
      <c r="B22" s="1283">
        <v>42296</v>
      </c>
      <c r="C22" s="1284" t="s">
        <v>984</v>
      </c>
      <c r="D22" s="1285" t="s">
        <v>1020</v>
      </c>
      <c r="E22" s="1285" t="s">
        <v>1021</v>
      </c>
      <c r="F22" s="1285"/>
      <c r="G22" s="1286" t="s">
        <v>885</v>
      </c>
      <c r="H22" s="1287">
        <v>6000</v>
      </c>
      <c r="I22" s="1287">
        <v>6000</v>
      </c>
      <c r="J22" s="1287"/>
      <c r="K22" s="1288">
        <f t="shared" si="0"/>
        <v>1</v>
      </c>
    </row>
    <row r="23" spans="2:14" ht="14.85" customHeight="1">
      <c r="B23" s="1283">
        <v>42288</v>
      </c>
      <c r="C23" s="1284" t="s">
        <v>984</v>
      </c>
      <c r="D23" s="1285" t="s">
        <v>1022</v>
      </c>
      <c r="E23" s="1285" t="s">
        <v>1023</v>
      </c>
      <c r="F23" s="1285"/>
      <c r="G23" s="1286" t="s">
        <v>885</v>
      </c>
      <c r="H23" s="1287">
        <v>1000000</v>
      </c>
      <c r="I23" s="1287">
        <v>0</v>
      </c>
      <c r="J23" s="1287"/>
      <c r="K23" s="1288">
        <f t="shared" si="0"/>
        <v>0</v>
      </c>
      <c r="M23" s="1289" t="s">
        <v>1024</v>
      </c>
    </row>
    <row r="24" spans="2:14" ht="14.85" customHeight="1">
      <c r="B24" s="1283">
        <v>42284</v>
      </c>
      <c r="C24" s="1284" t="s">
        <v>984</v>
      </c>
      <c r="D24" s="1285" t="s">
        <v>1025</v>
      </c>
      <c r="E24" s="1285" t="s">
        <v>1026</v>
      </c>
      <c r="F24" s="1285"/>
      <c r="G24" s="1286" t="s">
        <v>885</v>
      </c>
      <c r="H24" s="1287">
        <v>56081</v>
      </c>
      <c r="I24" s="1287">
        <v>0</v>
      </c>
      <c r="J24" s="1287"/>
      <c r="K24" s="1288">
        <f t="shared" si="0"/>
        <v>0</v>
      </c>
    </row>
    <row r="25" spans="2:14" ht="14.85" customHeight="1">
      <c r="B25" s="1283">
        <v>42277</v>
      </c>
      <c r="C25" s="1284" t="s">
        <v>984</v>
      </c>
      <c r="D25" s="1285" t="s">
        <v>1027</v>
      </c>
      <c r="E25" s="1285" t="s">
        <v>1028</v>
      </c>
      <c r="F25" s="1285"/>
      <c r="G25" s="1286" t="s">
        <v>885</v>
      </c>
      <c r="H25" s="1287">
        <v>500000</v>
      </c>
      <c r="I25" s="1287">
        <v>15000</v>
      </c>
      <c r="J25" s="1287"/>
      <c r="K25" s="1288">
        <f t="shared" si="0"/>
        <v>0.03</v>
      </c>
    </row>
    <row r="26" spans="2:14" ht="14.85" customHeight="1">
      <c r="B26" s="1283">
        <v>42271</v>
      </c>
      <c r="C26" s="1284" t="s">
        <v>984</v>
      </c>
      <c r="D26" s="1285" t="s">
        <v>992</v>
      </c>
      <c r="E26" s="1285" t="s">
        <v>1029</v>
      </c>
      <c r="F26" s="1285"/>
      <c r="G26" s="1286" t="s">
        <v>885</v>
      </c>
      <c r="H26" s="1287">
        <v>2500</v>
      </c>
      <c r="I26" s="1287">
        <v>2500</v>
      </c>
      <c r="J26" s="1287"/>
      <c r="K26" s="1288">
        <f t="shared" si="0"/>
        <v>1</v>
      </c>
    </row>
    <row r="27" spans="2:14" ht="14.85" customHeight="1">
      <c r="B27" s="1283">
        <v>42263</v>
      </c>
      <c r="C27" s="1284" t="s">
        <v>984</v>
      </c>
      <c r="D27" s="1285" t="s">
        <v>1030</v>
      </c>
      <c r="E27" s="1285" t="s">
        <v>1002</v>
      </c>
      <c r="F27" s="1285"/>
      <c r="G27" s="1286" t="s">
        <v>885</v>
      </c>
      <c r="H27" s="1287">
        <v>1745000</v>
      </c>
      <c r="I27" s="1287">
        <v>45000</v>
      </c>
      <c r="J27" s="1287"/>
      <c r="K27" s="1288">
        <f t="shared" si="0"/>
        <v>2.5787965616045846E-2</v>
      </c>
      <c r="M27" s="1271" t="s">
        <v>1031</v>
      </c>
    </row>
    <row r="28" spans="2:14" ht="14.85" customHeight="1">
      <c r="B28" s="1283">
        <v>42222</v>
      </c>
      <c r="C28" s="1284" t="s">
        <v>984</v>
      </c>
      <c r="D28" s="1285" t="s">
        <v>1032</v>
      </c>
      <c r="E28" s="1285" t="s">
        <v>1033</v>
      </c>
      <c r="F28" s="1285"/>
      <c r="G28" s="1286" t="s">
        <v>885</v>
      </c>
      <c r="H28" s="1287">
        <v>510000</v>
      </c>
      <c r="I28" s="1287">
        <v>10000</v>
      </c>
      <c r="J28" s="1287"/>
      <c r="K28" s="1288">
        <f t="shared" si="0"/>
        <v>1.9607843137254902E-2</v>
      </c>
      <c r="M28" s="1271" t="s">
        <v>1034</v>
      </c>
      <c r="N28" s="1271" t="s">
        <v>1035</v>
      </c>
    </row>
    <row r="29" spans="2:14" ht="14.85" customHeight="1">
      <c r="B29" s="1283">
        <v>42213</v>
      </c>
      <c r="C29" s="1284" t="s">
        <v>984</v>
      </c>
      <c r="D29" s="1285" t="s">
        <v>1036</v>
      </c>
      <c r="E29" s="1285" t="s">
        <v>1037</v>
      </c>
      <c r="F29" s="1285"/>
      <c r="G29" s="1286" t="s">
        <v>885</v>
      </c>
      <c r="H29" s="1287">
        <v>2170000</v>
      </c>
      <c r="I29" s="1287">
        <v>640000</v>
      </c>
      <c r="J29" s="1287"/>
      <c r="K29" s="1288">
        <f t="shared" si="0"/>
        <v>0.29493087557603687</v>
      </c>
      <c r="M29" s="1289" t="s">
        <v>1038</v>
      </c>
    </row>
    <row r="30" spans="2:14" ht="14.85" customHeight="1">
      <c r="B30" s="1283">
        <v>42213</v>
      </c>
      <c r="C30" s="1284" t="s">
        <v>984</v>
      </c>
      <c r="D30" s="1285" t="s">
        <v>1039</v>
      </c>
      <c r="E30" s="1285" t="s">
        <v>1040</v>
      </c>
      <c r="F30" s="1285"/>
      <c r="G30" s="1286" t="s">
        <v>885</v>
      </c>
      <c r="H30" s="1287">
        <v>209908.19999999998</v>
      </c>
      <c r="I30" s="1287">
        <v>0</v>
      </c>
      <c r="J30" s="1287"/>
      <c r="K30" s="1288">
        <f t="shared" si="0"/>
        <v>0</v>
      </c>
    </row>
    <row r="31" spans="2:14" ht="14.85" customHeight="1">
      <c r="B31" s="1283">
        <v>42200</v>
      </c>
      <c r="C31" s="1284" t="s">
        <v>984</v>
      </c>
      <c r="D31" s="1285" t="s">
        <v>1041</v>
      </c>
      <c r="E31" s="1285" t="s">
        <v>1042</v>
      </c>
      <c r="F31" s="1285"/>
      <c r="G31" s="1286" t="s">
        <v>885</v>
      </c>
      <c r="H31" s="1287">
        <v>353000</v>
      </c>
      <c r="I31" s="1287">
        <v>10000</v>
      </c>
      <c r="J31" s="1287"/>
      <c r="K31" s="1288">
        <f t="shared" si="0"/>
        <v>2.8328611898016998E-2</v>
      </c>
      <c r="M31" s="1289" t="s">
        <v>1043</v>
      </c>
    </row>
    <row r="32" spans="2:14" ht="14.85" customHeight="1">
      <c r="B32" s="1283">
        <v>42131</v>
      </c>
      <c r="C32" s="1284" t="s">
        <v>984</v>
      </c>
      <c r="D32" s="1285" t="s">
        <v>1044</v>
      </c>
      <c r="E32" s="1285" t="s">
        <v>1045</v>
      </c>
      <c r="F32" s="1285"/>
      <c r="G32" s="1286" t="s">
        <v>885</v>
      </c>
      <c r="H32" s="1287">
        <v>3118.2</v>
      </c>
      <c r="I32" s="1287">
        <v>0</v>
      </c>
      <c r="J32" s="1287"/>
      <c r="K32" s="1288">
        <f t="shared" si="0"/>
        <v>0</v>
      </c>
    </row>
    <row r="33" spans="2:13" ht="14.85" customHeight="1">
      <c r="B33" s="1283">
        <v>42114</v>
      </c>
      <c r="C33" s="1284" t="s">
        <v>984</v>
      </c>
      <c r="D33" s="1285" t="s">
        <v>1046</v>
      </c>
      <c r="E33" s="1285" t="s">
        <v>1047</v>
      </c>
      <c r="F33" s="1285"/>
      <c r="G33" s="1286" t="s">
        <v>1048</v>
      </c>
      <c r="H33" s="1287">
        <v>555000</v>
      </c>
      <c r="I33" s="1287">
        <v>25000</v>
      </c>
      <c r="J33" s="1287"/>
      <c r="K33" s="1288">
        <f t="shared" si="0"/>
        <v>4.5045045045045043E-2</v>
      </c>
    </row>
    <row r="34" spans="2:13" ht="14.85" customHeight="1">
      <c r="B34" s="1283">
        <v>42093</v>
      </c>
      <c r="C34" s="1284" t="s">
        <v>984</v>
      </c>
      <c r="D34" s="1285" t="s">
        <v>1049</v>
      </c>
      <c r="E34" s="1285" t="s">
        <v>1050</v>
      </c>
      <c r="F34" s="1285"/>
      <c r="G34" s="1286" t="s">
        <v>885</v>
      </c>
      <c r="H34" s="1287">
        <v>750000</v>
      </c>
      <c r="I34" s="1287">
        <v>200000</v>
      </c>
      <c r="J34" s="1287"/>
      <c r="K34" s="1288">
        <f>IFERROR(I34/H34,"n/a")</f>
        <v>0.26666666666666666</v>
      </c>
      <c r="M34" s="1290" t="s">
        <v>1051</v>
      </c>
    </row>
    <row r="35" spans="2:13" ht="14.85" customHeight="1">
      <c r="B35" s="1283">
        <v>42081</v>
      </c>
      <c r="C35" s="1284" t="s">
        <v>984</v>
      </c>
      <c r="D35" s="1285" t="s">
        <v>1052</v>
      </c>
      <c r="E35" s="1285" t="s">
        <v>1053</v>
      </c>
      <c r="F35" s="1285"/>
      <c r="G35" s="1286" t="s">
        <v>885</v>
      </c>
      <c r="H35" s="1287">
        <v>3000</v>
      </c>
      <c r="I35" s="1287">
        <v>3000</v>
      </c>
      <c r="J35" s="1287"/>
      <c r="K35" s="1288">
        <f t="shared" si="0"/>
        <v>1</v>
      </c>
      <c r="M35" s="1289" t="s">
        <v>1054</v>
      </c>
    </row>
    <row r="36" spans="2:13" ht="14.85" customHeight="1">
      <c r="B36" s="1283">
        <v>42075</v>
      </c>
      <c r="C36" s="1284" t="s">
        <v>984</v>
      </c>
      <c r="D36" s="1286" t="s">
        <v>13</v>
      </c>
      <c r="E36" s="1285" t="s">
        <v>1055</v>
      </c>
      <c r="F36" s="1285"/>
      <c r="G36" s="1286" t="s">
        <v>885</v>
      </c>
      <c r="H36" s="1287">
        <v>24375</v>
      </c>
      <c r="I36" s="1287">
        <v>500</v>
      </c>
      <c r="J36" s="1287"/>
      <c r="K36" s="1288">
        <f t="shared" si="0"/>
        <v>2.0512820512820513E-2</v>
      </c>
    </row>
    <row r="37" spans="2:13" ht="14.85" customHeight="1">
      <c r="B37" s="1283">
        <v>42068</v>
      </c>
      <c r="C37" s="1284" t="s">
        <v>984</v>
      </c>
      <c r="D37" s="1285" t="s">
        <v>1056</v>
      </c>
      <c r="E37" s="1285" t="s">
        <v>1057</v>
      </c>
      <c r="F37" s="1285"/>
      <c r="G37" s="1286" t="s">
        <v>885</v>
      </c>
      <c r="H37" s="1287">
        <v>109200</v>
      </c>
      <c r="I37" s="1287">
        <v>600</v>
      </c>
      <c r="J37" s="1287"/>
      <c r="K37" s="1288">
        <f t="shared" si="0"/>
        <v>5.4945054945054949E-3</v>
      </c>
    </row>
    <row r="38" spans="2:13" ht="14.85" customHeight="1">
      <c r="B38" s="1283">
        <v>42006</v>
      </c>
      <c r="C38" s="1284" t="s">
        <v>984</v>
      </c>
      <c r="D38" s="1285" t="s">
        <v>1058</v>
      </c>
      <c r="E38" s="1285" t="s">
        <v>1059</v>
      </c>
      <c r="F38" s="1285"/>
      <c r="G38" s="1286" t="s">
        <v>885</v>
      </c>
      <c r="H38" s="1287">
        <v>700</v>
      </c>
      <c r="I38" s="1287">
        <v>0</v>
      </c>
      <c r="J38" s="1287"/>
      <c r="K38" s="1288">
        <f t="shared" si="0"/>
        <v>0</v>
      </c>
    </row>
    <row r="39" spans="2:13" ht="14.85" customHeight="1">
      <c r="B39" s="1283">
        <v>41981</v>
      </c>
      <c r="C39" s="1284" t="s">
        <v>984</v>
      </c>
      <c r="D39" s="1285" t="s">
        <v>992</v>
      </c>
      <c r="E39" s="1285" t="s">
        <v>1060</v>
      </c>
      <c r="F39" s="1285"/>
      <c r="G39" s="1286" t="s">
        <v>885</v>
      </c>
      <c r="H39" s="1287">
        <v>29486.2</v>
      </c>
      <c r="I39" s="1287">
        <v>29470</v>
      </c>
      <c r="J39" s="1287"/>
      <c r="K39" s="1288">
        <f t="shared" si="0"/>
        <v>0.99945059044569995</v>
      </c>
    </row>
    <row r="40" spans="2:13" ht="14.85" customHeight="1">
      <c r="B40" s="1283">
        <v>41855</v>
      </c>
      <c r="C40" s="1284" t="s">
        <v>984</v>
      </c>
      <c r="D40" s="1285" t="s">
        <v>1061</v>
      </c>
      <c r="E40" s="1285" t="s">
        <v>1062</v>
      </c>
      <c r="F40" s="1285"/>
      <c r="G40" s="1286" t="s">
        <v>885</v>
      </c>
      <c r="H40" s="1287">
        <v>3500</v>
      </c>
      <c r="I40" s="1287">
        <v>3500</v>
      </c>
      <c r="J40" s="1287"/>
      <c r="K40" s="1288">
        <f t="shared" si="0"/>
        <v>1</v>
      </c>
    </row>
    <row r="41" spans="2:13" ht="14.85" customHeight="1">
      <c r="B41" s="1283">
        <v>41813</v>
      </c>
      <c r="C41" s="1284" t="s">
        <v>984</v>
      </c>
      <c r="D41" s="1285" t="s">
        <v>1063</v>
      </c>
      <c r="E41" s="1285" t="s">
        <v>1064</v>
      </c>
      <c r="F41" s="1285"/>
      <c r="G41" s="1286" t="s">
        <v>885</v>
      </c>
      <c r="H41" s="1287">
        <v>208000</v>
      </c>
      <c r="I41" s="1287">
        <v>1000</v>
      </c>
      <c r="J41" s="1287"/>
      <c r="K41" s="1288">
        <f t="shared" si="0"/>
        <v>4.807692307692308E-3</v>
      </c>
    </row>
    <row r="42" spans="2:13" ht="14.85" customHeight="1">
      <c r="B42" s="1283">
        <v>41751</v>
      </c>
      <c r="C42" s="1284" t="s">
        <v>984</v>
      </c>
      <c r="D42" s="1285" t="s">
        <v>1065</v>
      </c>
      <c r="E42" s="1285" t="s">
        <v>1066</v>
      </c>
      <c r="F42" s="1285"/>
      <c r="G42" s="1286" t="s">
        <v>885</v>
      </c>
      <c r="H42" s="1287">
        <v>174000</v>
      </c>
      <c r="I42" s="1287">
        <v>0</v>
      </c>
      <c r="J42" s="1287"/>
      <c r="K42" s="1288">
        <f t="shared" si="0"/>
        <v>0</v>
      </c>
    </row>
    <row r="43" spans="2:13" ht="14.85" customHeight="1">
      <c r="B43" s="1283">
        <v>41591</v>
      </c>
      <c r="C43" s="1284" t="s">
        <v>984</v>
      </c>
      <c r="D43" s="1285" t="s">
        <v>1067</v>
      </c>
      <c r="E43" s="1286" t="s">
        <v>13</v>
      </c>
      <c r="F43" s="1286"/>
      <c r="G43" s="1286" t="s">
        <v>885</v>
      </c>
      <c r="H43" s="1287">
        <v>232000</v>
      </c>
      <c r="I43" s="1287">
        <v>0</v>
      </c>
      <c r="J43" s="1287"/>
      <c r="K43" s="1288">
        <f t="shared" si="0"/>
        <v>0</v>
      </c>
    </row>
    <row r="44" spans="2:13" ht="14.85" customHeight="1">
      <c r="B44" s="1283">
        <v>41418</v>
      </c>
      <c r="C44" s="1284" t="s">
        <v>984</v>
      </c>
      <c r="D44" s="1285" t="s">
        <v>1068</v>
      </c>
      <c r="E44" s="1285" t="s">
        <v>1069</v>
      </c>
      <c r="F44" s="1285"/>
      <c r="G44" s="1286" t="s">
        <v>885</v>
      </c>
      <c r="H44" s="1287">
        <v>246000</v>
      </c>
      <c r="I44" s="1287">
        <v>13000</v>
      </c>
      <c r="J44" s="1287"/>
      <c r="K44" s="1288">
        <f t="shared" si="0"/>
        <v>5.2845528455284556E-2</v>
      </c>
    </row>
    <row r="45" spans="2:13" ht="14.85" customHeight="1">
      <c r="B45" s="1283">
        <v>41186</v>
      </c>
      <c r="C45" s="1284" t="s">
        <v>984</v>
      </c>
      <c r="D45" s="1285" t="s">
        <v>1070</v>
      </c>
      <c r="E45" s="1285" t="s">
        <v>1071</v>
      </c>
      <c r="F45" s="1285"/>
      <c r="G45" s="1286" t="s">
        <v>885</v>
      </c>
      <c r="H45" s="1287">
        <v>60000</v>
      </c>
      <c r="I45" s="1287">
        <v>5000</v>
      </c>
      <c r="J45" s="1287"/>
      <c r="K45" s="1288">
        <f t="shared" si="0"/>
        <v>8.3333333333333329E-2</v>
      </c>
    </row>
    <row r="46" spans="2:13" ht="14.85" customHeight="1">
      <c r="B46" s="1283"/>
      <c r="C46" s="1284"/>
      <c r="D46" s="1285"/>
      <c r="E46" s="1285"/>
      <c r="F46" s="1285"/>
      <c r="G46" s="1286"/>
      <c r="H46" s="1287"/>
      <c r="I46" s="1287"/>
      <c r="J46" s="1287"/>
      <c r="K46" s="1288"/>
    </row>
    <row r="47" spans="2:13" ht="14.85" customHeight="1">
      <c r="B47" s="1291" t="s">
        <v>610</v>
      </c>
      <c r="C47" s="1284"/>
      <c r="D47" s="1285"/>
      <c r="E47" s="1285"/>
      <c r="F47" s="1285"/>
      <c r="G47" s="1286"/>
      <c r="H47" s="1287"/>
      <c r="I47" s="1287"/>
      <c r="J47" s="1287"/>
      <c r="K47" s="1288"/>
    </row>
    <row r="48" spans="2:13" ht="14.85" customHeight="1">
      <c r="B48" s="1283">
        <v>42674</v>
      </c>
      <c r="C48" s="1284" t="s">
        <v>984</v>
      </c>
      <c r="D48" s="1285" t="s">
        <v>1072</v>
      </c>
      <c r="E48" s="1285" t="s">
        <v>1073</v>
      </c>
      <c r="F48" s="1285"/>
      <c r="G48" s="1286" t="s">
        <v>610</v>
      </c>
      <c r="H48" s="1287">
        <v>3000</v>
      </c>
      <c r="I48" s="1287">
        <v>2570</v>
      </c>
      <c r="J48" s="1287"/>
      <c r="K48" s="1288">
        <f t="shared" ref="K48:K59" si="1">IFERROR(I48/H48,"n/a")</f>
        <v>0.85666666666666669</v>
      </c>
      <c r="M48" s="1271" t="s">
        <v>1074</v>
      </c>
    </row>
    <row r="49" spans="2:13" ht="14.85" customHeight="1">
      <c r="B49" s="1283">
        <v>42642</v>
      </c>
      <c r="C49" s="1284" t="s">
        <v>984</v>
      </c>
      <c r="D49" s="1285" t="s">
        <v>1073</v>
      </c>
      <c r="E49" s="1285" t="s">
        <v>1075</v>
      </c>
      <c r="F49" s="1285"/>
      <c r="G49" s="1286" t="s">
        <v>610</v>
      </c>
      <c r="H49" s="1287">
        <v>910000</v>
      </c>
      <c r="I49" s="1287">
        <v>80000</v>
      </c>
      <c r="J49" s="1287"/>
      <c r="K49" s="1288">
        <f>IFERROR(I49/H49,"n/a")</f>
        <v>8.7912087912087919E-2</v>
      </c>
      <c r="M49" s="1292" t="s">
        <v>1076</v>
      </c>
    </row>
    <row r="50" spans="2:13" ht="14.85" customHeight="1">
      <c r="B50" s="1283">
        <v>42450</v>
      </c>
      <c r="C50" s="1284" t="s">
        <v>984</v>
      </c>
      <c r="D50" s="1285" t="s">
        <v>1077</v>
      </c>
      <c r="E50" s="1285" t="s">
        <v>1078</v>
      </c>
      <c r="F50" s="1285"/>
      <c r="G50" s="1286" t="s">
        <v>610</v>
      </c>
      <c r="H50" s="1287">
        <v>134000</v>
      </c>
      <c r="I50" s="1287">
        <v>1000</v>
      </c>
      <c r="J50" s="1287"/>
      <c r="K50" s="1288">
        <f t="shared" si="1"/>
        <v>7.462686567164179E-3</v>
      </c>
      <c r="M50" s="1289" t="s">
        <v>1079</v>
      </c>
    </row>
    <row r="51" spans="2:13" ht="14.85" customHeight="1">
      <c r="B51" s="1283">
        <v>42401</v>
      </c>
      <c r="C51" s="1284" t="s">
        <v>984</v>
      </c>
      <c r="D51" s="1285" t="s">
        <v>1080</v>
      </c>
      <c r="E51" s="1285" t="s">
        <v>1081</v>
      </c>
      <c r="F51" s="1285"/>
      <c r="G51" s="1286" t="s">
        <v>610</v>
      </c>
      <c r="H51" s="1287">
        <v>280000</v>
      </c>
      <c r="I51" s="1287">
        <v>0</v>
      </c>
      <c r="J51" s="1287"/>
      <c r="K51" s="1288">
        <f t="shared" si="1"/>
        <v>0</v>
      </c>
    </row>
    <row r="52" spans="2:13" ht="14.85" customHeight="1">
      <c r="B52" s="1283">
        <v>42324</v>
      </c>
      <c r="C52" s="1284" t="s">
        <v>984</v>
      </c>
      <c r="D52" s="1285" t="s">
        <v>1082</v>
      </c>
      <c r="E52" s="1285" t="s">
        <v>1083</v>
      </c>
      <c r="F52" s="1285"/>
      <c r="G52" s="1286" t="s">
        <v>610</v>
      </c>
      <c r="H52" s="1287">
        <v>10000</v>
      </c>
      <c r="I52" s="1287">
        <v>0</v>
      </c>
      <c r="J52" s="1287"/>
      <c r="K52" s="1288">
        <f t="shared" si="1"/>
        <v>0</v>
      </c>
    </row>
    <row r="53" spans="2:13" ht="14.85" customHeight="1">
      <c r="B53" s="1283">
        <v>42298</v>
      </c>
      <c r="C53" s="1284" t="s">
        <v>984</v>
      </c>
      <c r="D53" s="1285" t="s">
        <v>1049</v>
      </c>
      <c r="E53" s="1285" t="s">
        <v>1084</v>
      </c>
      <c r="F53" s="1285"/>
      <c r="G53" s="1286" t="s">
        <v>610</v>
      </c>
      <c r="H53" s="1287">
        <v>15000</v>
      </c>
      <c r="I53" s="1287">
        <v>15000</v>
      </c>
      <c r="J53" s="1287"/>
      <c r="K53" s="1288">
        <f t="shared" si="1"/>
        <v>1</v>
      </c>
    </row>
    <row r="54" spans="2:13" ht="14.85" customHeight="1">
      <c r="B54" s="1283">
        <v>42249</v>
      </c>
      <c r="C54" s="1284" t="s">
        <v>984</v>
      </c>
      <c r="D54" s="1285" t="s">
        <v>1085</v>
      </c>
      <c r="E54" s="1285" t="s">
        <v>1086</v>
      </c>
      <c r="F54" s="1285"/>
      <c r="G54" s="1286" t="s">
        <v>610</v>
      </c>
      <c r="H54" s="1287">
        <v>795000</v>
      </c>
      <c r="I54" s="1287">
        <v>25000</v>
      </c>
      <c r="J54" s="1287"/>
      <c r="K54" s="1288">
        <f t="shared" si="1"/>
        <v>3.1446540880503145E-2</v>
      </c>
      <c r="M54" s="1289" t="s">
        <v>1087</v>
      </c>
    </row>
    <row r="55" spans="2:13" ht="14.85" customHeight="1">
      <c r="B55" s="1283">
        <v>42035</v>
      </c>
      <c r="C55" s="1284" t="s">
        <v>984</v>
      </c>
      <c r="D55" s="1285" t="s">
        <v>1018</v>
      </c>
      <c r="E55" s="1285" t="s">
        <v>1088</v>
      </c>
      <c r="F55" s="1285"/>
      <c r="G55" s="1286" t="s">
        <v>610</v>
      </c>
      <c r="H55" s="1287">
        <v>120000</v>
      </c>
      <c r="I55" s="1287">
        <v>0</v>
      </c>
      <c r="J55" s="1287"/>
      <c r="K55" s="1288">
        <f t="shared" si="1"/>
        <v>0</v>
      </c>
    </row>
    <row r="56" spans="2:13" ht="14.85" customHeight="1">
      <c r="B56" s="1283">
        <v>41984</v>
      </c>
      <c r="C56" s="1284" t="s">
        <v>984</v>
      </c>
      <c r="D56" s="1285" t="s">
        <v>1065</v>
      </c>
      <c r="E56" s="1285" t="s">
        <v>1089</v>
      </c>
      <c r="F56" s="1285"/>
      <c r="G56" s="1286" t="s">
        <v>610</v>
      </c>
      <c r="H56" s="1287">
        <v>300000</v>
      </c>
      <c r="I56" s="1287">
        <v>20000</v>
      </c>
      <c r="J56" s="1287"/>
      <c r="K56" s="1288">
        <f t="shared" si="1"/>
        <v>6.6666666666666666E-2</v>
      </c>
    </row>
    <row r="57" spans="2:13" ht="14.85" customHeight="1">
      <c r="B57" s="1283">
        <v>41905</v>
      </c>
      <c r="C57" s="1284" t="s">
        <v>984</v>
      </c>
      <c r="D57" s="1285" t="s">
        <v>1063</v>
      </c>
      <c r="E57" s="1285" t="s">
        <v>1090</v>
      </c>
      <c r="F57" s="1285"/>
      <c r="G57" s="1286" t="s">
        <v>610</v>
      </c>
      <c r="H57" s="1287">
        <v>244000</v>
      </c>
      <c r="I57" s="1287">
        <v>4000</v>
      </c>
      <c r="J57" s="1287"/>
      <c r="K57" s="1288">
        <f t="shared" si="1"/>
        <v>1.6393442622950821E-2</v>
      </c>
    </row>
    <row r="58" spans="2:13" ht="14.85" customHeight="1">
      <c r="B58" s="1283">
        <v>41691</v>
      </c>
      <c r="C58" s="1284" t="s">
        <v>984</v>
      </c>
      <c r="D58" s="1285" t="s">
        <v>1091</v>
      </c>
      <c r="E58" s="1285" t="s">
        <v>1092</v>
      </c>
      <c r="F58" s="1285"/>
      <c r="G58" s="1286" t="s">
        <v>610</v>
      </c>
      <c r="H58" s="1287">
        <v>3000</v>
      </c>
      <c r="I58" s="1287">
        <v>0</v>
      </c>
      <c r="J58" s="1287"/>
      <c r="K58" s="1288">
        <f t="shared" si="1"/>
        <v>0</v>
      </c>
    </row>
    <row r="59" spans="2:13" ht="14.85" customHeight="1">
      <c r="B59" s="1283">
        <v>41241</v>
      </c>
      <c r="C59" s="1284" t="s">
        <v>984</v>
      </c>
      <c r="D59" s="1285" t="s">
        <v>1020</v>
      </c>
      <c r="E59" s="1285" t="s">
        <v>1093</v>
      </c>
      <c r="F59" s="1285"/>
      <c r="G59" s="1286" t="s">
        <v>610</v>
      </c>
      <c r="H59" s="1287">
        <v>9500</v>
      </c>
      <c r="I59" s="1287">
        <v>9500</v>
      </c>
      <c r="J59" s="1287"/>
      <c r="K59" s="1288">
        <f t="shared" si="1"/>
        <v>1</v>
      </c>
    </row>
    <row r="60" spans="2:13" ht="14.85" customHeight="1">
      <c r="B60" s="1283"/>
      <c r="C60" s="1284"/>
      <c r="D60" s="1285"/>
      <c r="E60" s="1285"/>
      <c r="F60" s="1285"/>
      <c r="G60" s="1286"/>
      <c r="H60" s="1287"/>
      <c r="I60" s="1287"/>
      <c r="J60" s="1287"/>
      <c r="K60" s="1288"/>
    </row>
    <row r="61" spans="2:13" ht="14.85" customHeight="1">
      <c r="B61" s="1291" t="s">
        <v>587</v>
      </c>
      <c r="C61" s="1284"/>
      <c r="D61" s="1285"/>
      <c r="E61" s="1285"/>
      <c r="F61" s="1285"/>
      <c r="G61" s="1286"/>
      <c r="H61" s="1287"/>
      <c r="I61" s="1287"/>
      <c r="J61" s="1287"/>
      <c r="K61" s="1288"/>
    </row>
    <row r="62" spans="2:13" ht="14.85" customHeight="1">
      <c r="B62" s="1283">
        <v>42590</v>
      </c>
      <c r="C62" s="1284" t="s">
        <v>984</v>
      </c>
      <c r="D62" s="1285" t="s">
        <v>1094</v>
      </c>
      <c r="E62" s="1285" t="s">
        <v>1095</v>
      </c>
      <c r="F62" s="1285"/>
      <c r="G62" s="1286" t="s">
        <v>587</v>
      </c>
      <c r="H62" s="1287">
        <v>464000</v>
      </c>
      <c r="I62" s="1287">
        <v>15000</v>
      </c>
      <c r="J62" s="1287"/>
      <c r="K62" s="1288">
        <f t="shared" ref="K62:K90" si="2">IFERROR(I62/H62,"n/a")</f>
        <v>3.2327586206896554E-2</v>
      </c>
      <c r="M62" s="1289" t="s">
        <v>1096</v>
      </c>
    </row>
    <row r="63" spans="2:13" ht="14.85" customHeight="1">
      <c r="B63" s="1283">
        <v>42501</v>
      </c>
      <c r="C63" s="1284" t="s">
        <v>984</v>
      </c>
      <c r="D63" s="1285" t="s">
        <v>1097</v>
      </c>
      <c r="E63" s="1285" t="s">
        <v>1098</v>
      </c>
      <c r="F63" s="1285"/>
      <c r="G63" s="1286" t="s">
        <v>587</v>
      </c>
      <c r="H63" s="1287">
        <v>20000</v>
      </c>
      <c r="I63" s="1287">
        <v>0</v>
      </c>
      <c r="J63" s="1287"/>
      <c r="K63" s="1288">
        <f t="shared" si="2"/>
        <v>0</v>
      </c>
    </row>
    <row r="64" spans="2:13" ht="14.85" customHeight="1">
      <c r="B64" s="1283">
        <v>42471</v>
      </c>
      <c r="C64" s="1284" t="s">
        <v>984</v>
      </c>
      <c r="D64" s="1285" t="s">
        <v>1099</v>
      </c>
      <c r="E64" s="1285" t="s">
        <v>1100</v>
      </c>
      <c r="F64" s="1285"/>
      <c r="G64" s="1286" t="s">
        <v>587</v>
      </c>
      <c r="H64" s="1287">
        <v>3500</v>
      </c>
      <c r="I64" s="1287">
        <v>500</v>
      </c>
      <c r="J64" s="1287"/>
      <c r="K64" s="1288">
        <f t="shared" si="2"/>
        <v>0.14285714285714285</v>
      </c>
    </row>
    <row r="65" spans="2:13" ht="14.85" customHeight="1">
      <c r="B65" s="1283">
        <v>42460</v>
      </c>
      <c r="C65" s="1284" t="s">
        <v>984</v>
      </c>
      <c r="D65" s="1285" t="s">
        <v>1101</v>
      </c>
      <c r="E65" s="1285" t="s">
        <v>1102</v>
      </c>
      <c r="F65" s="1285"/>
      <c r="G65" s="1286" t="s">
        <v>587</v>
      </c>
      <c r="H65" s="1287">
        <v>160000</v>
      </c>
      <c r="I65" s="1287">
        <v>15000</v>
      </c>
      <c r="J65" s="1287"/>
      <c r="K65" s="1288">
        <f t="shared" si="2"/>
        <v>9.375E-2</v>
      </c>
    </row>
    <row r="66" spans="2:13" ht="14.85" customHeight="1">
      <c r="B66" s="1283">
        <v>42316</v>
      </c>
      <c r="C66" s="1284" t="s">
        <v>984</v>
      </c>
      <c r="D66" s="1285" t="s">
        <v>1061</v>
      </c>
      <c r="E66" s="1285" t="s">
        <v>1022</v>
      </c>
      <c r="F66" s="1285"/>
      <c r="G66" s="1286" t="s">
        <v>587</v>
      </c>
      <c r="H66" s="1287">
        <v>40000</v>
      </c>
      <c r="I66" s="1287">
        <v>2000</v>
      </c>
      <c r="J66" s="1287"/>
      <c r="K66" s="1288">
        <f t="shared" si="2"/>
        <v>0.05</v>
      </c>
    </row>
    <row r="67" spans="2:13" ht="14.85" customHeight="1">
      <c r="B67" s="1283">
        <v>42213</v>
      </c>
      <c r="C67" s="1284" t="s">
        <v>984</v>
      </c>
      <c r="D67" s="1285" t="s">
        <v>1103</v>
      </c>
      <c r="E67" s="1285" t="s">
        <v>1104</v>
      </c>
      <c r="F67" s="1285"/>
      <c r="G67" s="1286" t="s">
        <v>587</v>
      </c>
      <c r="H67" s="1287">
        <v>730000</v>
      </c>
      <c r="I67" s="1287">
        <v>50000</v>
      </c>
      <c r="J67" s="1287"/>
      <c r="K67" s="1288">
        <f t="shared" si="2"/>
        <v>6.8493150684931503E-2</v>
      </c>
    </row>
    <row r="68" spans="2:13" ht="14.85" customHeight="1">
      <c r="B68" s="1283">
        <v>42212</v>
      </c>
      <c r="C68" s="1284" t="s">
        <v>984</v>
      </c>
      <c r="D68" s="1285" t="s">
        <v>1105</v>
      </c>
      <c r="E68" s="1285" t="s">
        <v>1106</v>
      </c>
      <c r="F68" s="1285"/>
      <c r="G68" s="1286" t="s">
        <v>587</v>
      </c>
      <c r="H68" s="1287">
        <v>20000</v>
      </c>
      <c r="I68" s="1287" t="s">
        <v>13</v>
      </c>
      <c r="J68" s="1287"/>
      <c r="K68" s="1288" t="str">
        <f t="shared" si="2"/>
        <v>n/a</v>
      </c>
      <c r="M68" s="1271" t="s">
        <v>1107</v>
      </c>
    </row>
    <row r="69" spans="2:13" ht="14.85" customHeight="1">
      <c r="B69" s="1283">
        <v>42184</v>
      </c>
      <c r="C69" s="1284" t="s">
        <v>984</v>
      </c>
      <c r="D69" s="1285" t="s">
        <v>1102</v>
      </c>
      <c r="E69" s="1285" t="s">
        <v>1108</v>
      </c>
      <c r="F69" s="1285"/>
      <c r="G69" s="1286" t="s">
        <v>587</v>
      </c>
      <c r="H69" s="1287">
        <v>5030</v>
      </c>
      <c r="I69" s="1287">
        <v>0</v>
      </c>
      <c r="J69" s="1287"/>
      <c r="K69" s="1288">
        <f t="shared" si="2"/>
        <v>0</v>
      </c>
    </row>
    <row r="70" spans="2:13" ht="14.85" customHeight="1">
      <c r="B70" s="1283">
        <v>42108</v>
      </c>
      <c r="C70" s="1284" t="s">
        <v>984</v>
      </c>
      <c r="D70" s="1285" t="s">
        <v>1109</v>
      </c>
      <c r="E70" s="1285" t="s">
        <v>1110</v>
      </c>
      <c r="F70" s="1285"/>
      <c r="G70" s="1286" t="s">
        <v>587</v>
      </c>
      <c r="H70" s="1287">
        <v>100512.90000000001</v>
      </c>
      <c r="I70" s="1287">
        <v>0</v>
      </c>
      <c r="J70" s="1287"/>
      <c r="K70" s="1288">
        <f t="shared" si="2"/>
        <v>0</v>
      </c>
    </row>
    <row r="71" spans="2:13" ht="14.85" customHeight="1">
      <c r="B71" s="1283">
        <v>42094</v>
      </c>
      <c r="C71" s="1284" t="s">
        <v>984</v>
      </c>
      <c r="D71" s="1285" t="s">
        <v>1111</v>
      </c>
      <c r="E71" s="1285" t="s">
        <v>1112</v>
      </c>
      <c r="F71" s="1285"/>
      <c r="G71" s="1286" t="s">
        <v>587</v>
      </c>
      <c r="H71" s="1287">
        <v>5500</v>
      </c>
      <c r="I71" s="1287">
        <v>1500</v>
      </c>
      <c r="J71" s="1287"/>
      <c r="K71" s="1288">
        <f t="shared" si="2"/>
        <v>0.27272727272727271</v>
      </c>
    </row>
    <row r="72" spans="2:13" ht="14.85" customHeight="1">
      <c r="B72" s="1283">
        <v>42075</v>
      </c>
      <c r="C72" s="1284" t="s">
        <v>984</v>
      </c>
      <c r="D72" s="1285" t="s">
        <v>1113</v>
      </c>
      <c r="E72" s="1285" t="s">
        <v>986</v>
      </c>
      <c r="F72" s="1285"/>
      <c r="G72" s="1286" t="s">
        <v>587</v>
      </c>
      <c r="H72" s="1287">
        <v>60000</v>
      </c>
      <c r="I72" s="1287" t="s">
        <v>13</v>
      </c>
      <c r="J72" s="1287"/>
      <c r="K72" s="1288" t="str">
        <f t="shared" si="2"/>
        <v>n/a</v>
      </c>
      <c r="M72" s="1290" t="s">
        <v>1114</v>
      </c>
    </row>
    <row r="73" spans="2:13" ht="14.85" customHeight="1">
      <c r="B73" s="1283">
        <v>42067</v>
      </c>
      <c r="C73" s="1284" t="s">
        <v>984</v>
      </c>
      <c r="D73" s="1285" t="s">
        <v>1115</v>
      </c>
      <c r="E73" s="1285" t="s">
        <v>1104</v>
      </c>
      <c r="F73" s="1285"/>
      <c r="G73" s="1286" t="s">
        <v>587</v>
      </c>
      <c r="H73" s="1287">
        <v>358000</v>
      </c>
      <c r="I73" s="1287">
        <v>0</v>
      </c>
      <c r="J73" s="1287"/>
      <c r="K73" s="1288">
        <f t="shared" si="2"/>
        <v>0</v>
      </c>
    </row>
    <row r="74" spans="2:13" ht="14.85" customHeight="1">
      <c r="B74" s="1283">
        <v>42061</v>
      </c>
      <c r="C74" s="1284" t="s">
        <v>984</v>
      </c>
      <c r="D74" s="1285" t="s">
        <v>1116</v>
      </c>
      <c r="E74" s="1285" t="s">
        <v>1117</v>
      </c>
      <c r="F74" s="1285"/>
      <c r="G74" s="1286" t="s">
        <v>587</v>
      </c>
      <c r="H74" s="1287">
        <v>201000</v>
      </c>
      <c r="I74" s="1287">
        <v>1000</v>
      </c>
      <c r="J74" s="1287"/>
      <c r="K74" s="1288">
        <f t="shared" si="2"/>
        <v>4.9751243781094526E-3</v>
      </c>
    </row>
    <row r="75" spans="2:13" ht="14.85" customHeight="1">
      <c r="B75" s="1283">
        <v>42040</v>
      </c>
      <c r="C75" s="1284" t="s">
        <v>984</v>
      </c>
      <c r="D75" s="1285" t="s">
        <v>945</v>
      </c>
      <c r="E75" s="1285" t="s">
        <v>1118</v>
      </c>
      <c r="F75" s="1285"/>
      <c r="G75" s="1286" t="s">
        <v>587</v>
      </c>
      <c r="H75" s="1287">
        <v>100</v>
      </c>
      <c r="I75" s="1287">
        <v>100</v>
      </c>
      <c r="J75" s="1287"/>
      <c r="K75" s="1288">
        <f t="shared" si="2"/>
        <v>1</v>
      </c>
    </row>
    <row r="76" spans="2:13" ht="14.85" customHeight="1">
      <c r="B76" s="1283">
        <v>42024</v>
      </c>
      <c r="C76" s="1284" t="s">
        <v>984</v>
      </c>
      <c r="D76" s="1285" t="s">
        <v>1044</v>
      </c>
      <c r="E76" s="1285" t="s">
        <v>1062</v>
      </c>
      <c r="F76" s="1285"/>
      <c r="G76" s="1286" t="s">
        <v>587</v>
      </c>
      <c r="H76" s="1287">
        <v>41740</v>
      </c>
      <c r="I76" s="1287">
        <v>3500</v>
      </c>
      <c r="J76" s="1287"/>
      <c r="K76" s="1288">
        <f t="shared" si="2"/>
        <v>8.3852419741255388E-2</v>
      </c>
    </row>
    <row r="77" spans="2:13" ht="14.85" customHeight="1">
      <c r="B77" s="1283">
        <v>42011</v>
      </c>
      <c r="C77" s="1284" t="s">
        <v>984</v>
      </c>
      <c r="D77" s="1285" t="s">
        <v>1119</v>
      </c>
      <c r="E77" s="1285" t="s">
        <v>1120</v>
      </c>
      <c r="F77" s="1285"/>
      <c r="G77" s="1286" t="s">
        <v>587</v>
      </c>
      <c r="H77" s="1287">
        <v>100000</v>
      </c>
      <c r="I77" s="1287">
        <v>25000</v>
      </c>
      <c r="J77" s="1287"/>
      <c r="K77" s="1288">
        <f t="shared" si="2"/>
        <v>0.25</v>
      </c>
    </row>
    <row r="78" spans="2:13" ht="14.85" customHeight="1">
      <c r="B78" s="1283">
        <v>41991</v>
      </c>
      <c r="C78" s="1284" t="s">
        <v>984</v>
      </c>
      <c r="D78" s="1285" t="s">
        <v>1113</v>
      </c>
      <c r="E78" s="1285" t="s">
        <v>1121</v>
      </c>
      <c r="F78" s="1285"/>
      <c r="G78" s="1286" t="s">
        <v>587</v>
      </c>
      <c r="H78" s="1287">
        <v>76000</v>
      </c>
      <c r="I78" s="1287">
        <v>1000</v>
      </c>
      <c r="J78" s="1287"/>
      <c r="K78" s="1288">
        <f t="shared" si="2"/>
        <v>1.3157894736842105E-2</v>
      </c>
    </row>
    <row r="79" spans="2:13" ht="14.85" customHeight="1">
      <c r="B79" s="1283">
        <v>41954</v>
      </c>
      <c r="C79" s="1284" t="s">
        <v>984</v>
      </c>
      <c r="D79" s="1285" t="s">
        <v>1122</v>
      </c>
      <c r="E79" s="1285" t="s">
        <v>1123</v>
      </c>
      <c r="F79" s="1285"/>
      <c r="G79" s="1286" t="s">
        <v>587</v>
      </c>
      <c r="H79" s="1287">
        <v>105500</v>
      </c>
      <c r="I79" s="1287">
        <v>500</v>
      </c>
      <c r="J79" s="1287"/>
      <c r="K79" s="1288">
        <f t="shared" si="2"/>
        <v>4.7393364928909956E-3</v>
      </c>
    </row>
    <row r="80" spans="2:13" ht="14.85" customHeight="1">
      <c r="B80" s="1283">
        <v>41941</v>
      </c>
      <c r="C80" s="1284" t="s">
        <v>984</v>
      </c>
      <c r="D80" s="1285" t="s">
        <v>1124</v>
      </c>
      <c r="E80" s="1285" t="s">
        <v>1125</v>
      </c>
      <c r="F80" s="1285"/>
      <c r="G80" s="1286" t="s">
        <v>587</v>
      </c>
      <c r="H80" s="1287">
        <v>5500</v>
      </c>
      <c r="I80" s="1287">
        <v>1000</v>
      </c>
      <c r="J80" s="1287"/>
      <c r="K80" s="1288">
        <f t="shared" si="2"/>
        <v>0.18181818181818182</v>
      </c>
    </row>
    <row r="81" spans="2:13" ht="14.85" customHeight="1">
      <c r="B81" s="1283">
        <v>41872</v>
      </c>
      <c r="C81" s="1284" t="s">
        <v>984</v>
      </c>
      <c r="D81" s="1285" t="s">
        <v>1126</v>
      </c>
      <c r="E81" s="1285" t="s">
        <v>1104</v>
      </c>
      <c r="F81" s="1285"/>
      <c r="G81" s="1286" t="s">
        <v>587</v>
      </c>
      <c r="H81" s="1287">
        <v>20000</v>
      </c>
      <c r="I81" s="1287">
        <v>0</v>
      </c>
      <c r="J81" s="1287"/>
      <c r="K81" s="1288">
        <f t="shared" si="2"/>
        <v>0</v>
      </c>
    </row>
    <row r="82" spans="2:13" ht="14.85" customHeight="1">
      <c r="B82" s="1283">
        <v>41851</v>
      </c>
      <c r="C82" s="1284" t="s">
        <v>984</v>
      </c>
      <c r="D82" s="1285" t="s">
        <v>1127</v>
      </c>
      <c r="E82" s="1285" t="s">
        <v>1128</v>
      </c>
      <c r="F82" s="1285"/>
      <c r="G82" s="1286" t="s">
        <v>587</v>
      </c>
      <c r="H82" s="1287">
        <v>72200</v>
      </c>
      <c r="I82" s="1287">
        <v>0</v>
      </c>
      <c r="J82" s="1287"/>
      <c r="K82" s="1288">
        <f t="shared" si="2"/>
        <v>0</v>
      </c>
    </row>
    <row r="83" spans="2:13" ht="14.85" customHeight="1">
      <c r="B83" s="1283">
        <v>41820</v>
      </c>
      <c r="C83" s="1284" t="s">
        <v>984</v>
      </c>
      <c r="D83" s="1285" t="s">
        <v>1111</v>
      </c>
      <c r="E83" s="1285" t="s">
        <v>1129</v>
      </c>
      <c r="F83" s="1285"/>
      <c r="G83" s="1286" t="s">
        <v>587</v>
      </c>
      <c r="H83" s="1287">
        <v>1000</v>
      </c>
      <c r="I83" s="1287">
        <v>1000</v>
      </c>
      <c r="J83" s="1287"/>
      <c r="K83" s="1288">
        <f t="shared" si="2"/>
        <v>1</v>
      </c>
    </row>
    <row r="84" spans="2:13" ht="14.85" customHeight="1">
      <c r="B84" s="1283">
        <v>41801</v>
      </c>
      <c r="C84" s="1284" t="s">
        <v>984</v>
      </c>
      <c r="D84" s="1285" t="s">
        <v>1018</v>
      </c>
      <c r="E84" s="1285" t="s">
        <v>1088</v>
      </c>
      <c r="F84" s="1285"/>
      <c r="G84" s="1286" t="s">
        <v>587</v>
      </c>
      <c r="H84" s="1287">
        <v>120000</v>
      </c>
      <c r="I84" s="1287">
        <v>0</v>
      </c>
      <c r="J84" s="1287"/>
      <c r="K84" s="1288">
        <f t="shared" si="2"/>
        <v>0</v>
      </c>
    </row>
    <row r="85" spans="2:13" ht="14.85" customHeight="1">
      <c r="B85" s="1283">
        <v>41726</v>
      </c>
      <c r="C85" s="1284" t="s">
        <v>984</v>
      </c>
      <c r="D85" s="1285" t="s">
        <v>1130</v>
      </c>
      <c r="E85" s="1285" t="s">
        <v>1129</v>
      </c>
      <c r="F85" s="1285"/>
      <c r="G85" s="1286" t="s">
        <v>587</v>
      </c>
      <c r="H85" s="1287">
        <v>9630</v>
      </c>
      <c r="I85" s="1287">
        <v>0</v>
      </c>
      <c r="J85" s="1287"/>
      <c r="K85" s="1288">
        <f t="shared" si="2"/>
        <v>0</v>
      </c>
    </row>
    <row r="86" spans="2:13" ht="14.85" customHeight="1">
      <c r="B86" s="1283">
        <v>41556</v>
      </c>
      <c r="C86" s="1284" t="s">
        <v>984</v>
      </c>
      <c r="D86" s="1285" t="s">
        <v>1022</v>
      </c>
      <c r="E86" s="1285" t="s">
        <v>1131</v>
      </c>
      <c r="F86" s="1285"/>
      <c r="G86" s="1286" t="s">
        <v>587</v>
      </c>
      <c r="H86" s="1287">
        <v>86500</v>
      </c>
      <c r="I86" s="1287">
        <v>0</v>
      </c>
      <c r="J86" s="1287"/>
      <c r="K86" s="1288">
        <f t="shared" si="2"/>
        <v>0</v>
      </c>
    </row>
    <row r="87" spans="2:13" ht="14.85" customHeight="1">
      <c r="B87" s="1283">
        <v>41528</v>
      </c>
      <c r="C87" s="1284" t="s">
        <v>984</v>
      </c>
      <c r="D87" s="1285" t="s">
        <v>1032</v>
      </c>
      <c r="E87" s="1285" t="s">
        <v>1016</v>
      </c>
      <c r="F87" s="1285"/>
      <c r="G87" s="1286" t="s">
        <v>587</v>
      </c>
      <c r="H87" s="1287">
        <v>50000</v>
      </c>
      <c r="I87" s="1287">
        <v>50000</v>
      </c>
      <c r="J87" s="1287"/>
      <c r="K87" s="1288">
        <f t="shared" si="2"/>
        <v>1</v>
      </c>
    </row>
    <row r="88" spans="2:13" ht="14.85" customHeight="1">
      <c r="B88" s="1283">
        <v>41341</v>
      </c>
      <c r="C88" s="1284" t="s">
        <v>984</v>
      </c>
      <c r="D88" s="1285" t="s">
        <v>1115</v>
      </c>
      <c r="E88" s="1285" t="s">
        <v>1064</v>
      </c>
      <c r="F88" s="1285"/>
      <c r="G88" s="1286" t="s">
        <v>587</v>
      </c>
      <c r="H88" s="1287">
        <v>53000</v>
      </c>
      <c r="I88" s="1287">
        <v>3000</v>
      </c>
      <c r="J88" s="1287"/>
      <c r="K88" s="1288">
        <f t="shared" si="2"/>
        <v>5.6603773584905662E-2</v>
      </c>
    </row>
    <row r="89" spans="2:13" ht="14.85" customHeight="1">
      <c r="B89" s="1283">
        <v>41183</v>
      </c>
      <c r="C89" s="1284" t="s">
        <v>984</v>
      </c>
      <c r="D89" s="1285" t="s">
        <v>1132</v>
      </c>
      <c r="E89" s="1285" t="s">
        <v>1133</v>
      </c>
      <c r="F89" s="1285"/>
      <c r="G89" s="1286" t="s">
        <v>587</v>
      </c>
      <c r="H89" s="1287">
        <v>57850</v>
      </c>
      <c r="I89" s="1287">
        <v>57850</v>
      </c>
      <c r="J89" s="1287"/>
      <c r="K89" s="1288">
        <f t="shared" si="2"/>
        <v>1</v>
      </c>
    </row>
    <row r="90" spans="2:13" ht="14.85" customHeight="1">
      <c r="B90" s="1283">
        <v>41101</v>
      </c>
      <c r="C90" s="1284" t="s">
        <v>984</v>
      </c>
      <c r="D90" s="1285" t="s">
        <v>1091</v>
      </c>
      <c r="E90" s="1285" t="s">
        <v>992</v>
      </c>
      <c r="F90" s="1285"/>
      <c r="G90" s="1286" t="s">
        <v>587</v>
      </c>
      <c r="H90" s="1287">
        <v>130500</v>
      </c>
      <c r="I90" s="1287">
        <v>3500</v>
      </c>
      <c r="J90" s="1287"/>
      <c r="K90" s="1288">
        <f t="shared" si="2"/>
        <v>2.681992337164751E-2</v>
      </c>
    </row>
    <row r="91" spans="2:13" ht="14.85" customHeight="1">
      <c r="B91" s="1283"/>
      <c r="C91" s="1284"/>
      <c r="D91" s="1285"/>
      <c r="E91" s="1285"/>
      <c r="F91" s="1285"/>
      <c r="G91" s="1286"/>
      <c r="H91" s="1287"/>
      <c r="I91" s="1287"/>
      <c r="J91" s="1287"/>
      <c r="K91" s="1288"/>
    </row>
    <row r="92" spans="2:13" ht="14.85" customHeight="1">
      <c r="B92" s="1291" t="s">
        <v>611</v>
      </c>
      <c r="C92" s="1284"/>
      <c r="D92" s="1285"/>
      <c r="E92" s="1285"/>
      <c r="F92" s="1285"/>
      <c r="G92" s="1286"/>
      <c r="H92" s="1287"/>
      <c r="I92" s="1287"/>
      <c r="J92" s="1287"/>
      <c r="K92" s="1288"/>
    </row>
    <row r="93" spans="2:13" ht="14.85" customHeight="1">
      <c r="B93" s="1283">
        <v>42520</v>
      </c>
      <c r="C93" s="1284" t="s">
        <v>984</v>
      </c>
      <c r="D93" s="1285" t="s">
        <v>1134</v>
      </c>
      <c r="E93" s="1285" t="s">
        <v>1135</v>
      </c>
      <c r="F93" s="1285"/>
      <c r="G93" s="1286" t="s">
        <v>611</v>
      </c>
      <c r="H93" s="1287">
        <v>80000</v>
      </c>
      <c r="I93" s="1287">
        <v>20000</v>
      </c>
      <c r="J93" s="1287"/>
      <c r="K93" s="1288">
        <f t="shared" ref="K93:K111" si="3">IFERROR(I93/H93,"n/a")</f>
        <v>0.25</v>
      </c>
    </row>
    <row r="94" spans="2:13" ht="14.85" customHeight="1">
      <c r="B94" s="1283">
        <v>42466</v>
      </c>
      <c r="C94" s="1284" t="s">
        <v>984</v>
      </c>
      <c r="D94" s="1285" t="s">
        <v>1136</v>
      </c>
      <c r="E94" s="1285" t="s">
        <v>1137</v>
      </c>
      <c r="F94" s="1285"/>
      <c r="G94" s="1286" t="s">
        <v>611</v>
      </c>
      <c r="H94" s="1287">
        <v>450000</v>
      </c>
      <c r="I94" s="1287">
        <v>35000</v>
      </c>
      <c r="J94" s="1287"/>
      <c r="K94" s="1288">
        <f t="shared" si="3"/>
        <v>7.7777777777777779E-2</v>
      </c>
    </row>
    <row r="95" spans="2:13" ht="14.85" customHeight="1">
      <c r="B95" s="1283">
        <v>42429</v>
      </c>
      <c r="C95" s="1284" t="s">
        <v>984</v>
      </c>
      <c r="D95" s="1285" t="s">
        <v>1138</v>
      </c>
      <c r="E95" s="1285" t="s">
        <v>1139</v>
      </c>
      <c r="F95" s="1285"/>
      <c r="G95" s="1286" t="s">
        <v>611</v>
      </c>
      <c r="H95" s="1287">
        <v>855000</v>
      </c>
      <c r="I95" s="1287">
        <v>200000</v>
      </c>
      <c r="J95" s="1287"/>
      <c r="K95" s="1288">
        <f t="shared" si="3"/>
        <v>0.23391812865497075</v>
      </c>
      <c r="M95" s="1271" t="s">
        <v>1140</v>
      </c>
    </row>
    <row r="96" spans="2:13" ht="14.85" customHeight="1">
      <c r="B96" s="1283">
        <v>42380</v>
      </c>
      <c r="C96" s="1284" t="s">
        <v>984</v>
      </c>
      <c r="D96" s="1285" t="s">
        <v>1141</v>
      </c>
      <c r="E96" s="1285" t="s">
        <v>1142</v>
      </c>
      <c r="F96" s="1285"/>
      <c r="G96" s="1286" t="s">
        <v>611</v>
      </c>
      <c r="H96" s="1287">
        <v>202500</v>
      </c>
      <c r="I96" s="1287">
        <v>5000</v>
      </c>
      <c r="J96" s="1287"/>
      <c r="K96" s="1288">
        <f t="shared" si="3"/>
        <v>2.4691358024691357E-2</v>
      </c>
    </row>
    <row r="97" spans="2:13" ht="14.85" customHeight="1">
      <c r="B97" s="1283">
        <v>42356</v>
      </c>
      <c r="C97" s="1284" t="s">
        <v>984</v>
      </c>
      <c r="D97" s="1285" t="s">
        <v>1143</v>
      </c>
      <c r="E97" s="1285" t="s">
        <v>1123</v>
      </c>
      <c r="F97" s="1285"/>
      <c r="G97" s="1286" t="s">
        <v>611</v>
      </c>
      <c r="H97" s="1287">
        <v>374500</v>
      </c>
      <c r="I97" s="1287">
        <v>2500</v>
      </c>
      <c r="J97" s="1287"/>
      <c r="K97" s="1288">
        <f t="shared" si="3"/>
        <v>6.6755674232309749E-3</v>
      </c>
    </row>
    <row r="98" spans="2:13" ht="14.85" customHeight="1">
      <c r="B98" s="1283">
        <v>42240</v>
      </c>
      <c r="C98" s="1284" t="s">
        <v>984</v>
      </c>
      <c r="D98" s="1285" t="s">
        <v>992</v>
      </c>
      <c r="E98" s="1285" t="s">
        <v>1144</v>
      </c>
      <c r="F98" s="1285"/>
      <c r="G98" s="1286" t="s">
        <v>611</v>
      </c>
      <c r="H98" s="1287">
        <v>14000000</v>
      </c>
      <c r="I98" s="1287">
        <v>410000</v>
      </c>
      <c r="J98" s="1287"/>
      <c r="K98" s="1288">
        <f t="shared" si="3"/>
        <v>2.9285714285714286E-2</v>
      </c>
      <c r="M98" s="1289" t="s">
        <v>1145</v>
      </c>
    </row>
    <row r="99" spans="2:13" ht="14.85" customHeight="1">
      <c r="B99" s="1283">
        <v>42220</v>
      </c>
      <c r="C99" s="1284" t="s">
        <v>984</v>
      </c>
      <c r="D99" s="1285" t="s">
        <v>1146</v>
      </c>
      <c r="E99" s="1285" t="s">
        <v>1123</v>
      </c>
      <c r="F99" s="1285"/>
      <c r="G99" s="1286" t="s">
        <v>611</v>
      </c>
      <c r="H99" s="1287">
        <v>12000</v>
      </c>
      <c r="I99" s="1287">
        <v>1500</v>
      </c>
      <c r="J99" s="1287"/>
      <c r="K99" s="1288">
        <f t="shared" si="3"/>
        <v>0.125</v>
      </c>
    </row>
    <row r="100" spans="2:13" ht="14.85" customHeight="1">
      <c r="B100" s="1283">
        <v>42086</v>
      </c>
      <c r="C100" s="1284" t="s">
        <v>984</v>
      </c>
      <c r="D100" s="1285" t="s">
        <v>1147</v>
      </c>
      <c r="E100" s="1285" t="s">
        <v>1148</v>
      </c>
      <c r="F100" s="1285"/>
      <c r="G100" s="1286" t="s">
        <v>611</v>
      </c>
      <c r="H100" s="1287">
        <v>2907</v>
      </c>
      <c r="I100" s="1287">
        <v>1310</v>
      </c>
      <c r="J100" s="1287"/>
      <c r="K100" s="1288">
        <f t="shared" si="3"/>
        <v>0.45063639490884072</v>
      </c>
    </row>
    <row r="101" spans="2:13" ht="14.85" customHeight="1">
      <c r="B101" s="1283">
        <v>42080</v>
      </c>
      <c r="C101" s="1284" t="s">
        <v>984</v>
      </c>
      <c r="D101" s="1285" t="s">
        <v>1138</v>
      </c>
      <c r="E101" s="1285" t="s">
        <v>1149</v>
      </c>
      <c r="F101" s="1285"/>
      <c r="G101" s="1286" t="s">
        <v>611</v>
      </c>
      <c r="H101" s="1287">
        <v>5000</v>
      </c>
      <c r="I101" s="1287">
        <v>0</v>
      </c>
      <c r="J101" s="1287"/>
      <c r="K101" s="1288">
        <f t="shared" si="3"/>
        <v>0</v>
      </c>
    </row>
    <row r="102" spans="2:13" ht="14.85" customHeight="1">
      <c r="B102" s="1283">
        <v>41974</v>
      </c>
      <c r="C102" s="1284" t="s">
        <v>984</v>
      </c>
      <c r="D102" s="1285" t="s">
        <v>1150</v>
      </c>
      <c r="E102" s="1285" t="s">
        <v>1151</v>
      </c>
      <c r="F102" s="1285"/>
      <c r="G102" s="1286" t="s">
        <v>611</v>
      </c>
      <c r="H102" s="1287">
        <v>1000</v>
      </c>
      <c r="I102" s="1287">
        <v>1000</v>
      </c>
      <c r="J102" s="1287"/>
      <c r="K102" s="1288">
        <f t="shared" si="3"/>
        <v>1</v>
      </c>
    </row>
    <row r="103" spans="2:13" ht="14.85" customHeight="1">
      <c r="B103" s="1283">
        <v>41912</v>
      </c>
      <c r="C103" s="1284" t="s">
        <v>984</v>
      </c>
      <c r="D103" s="1285" t="s">
        <v>1152</v>
      </c>
      <c r="E103" s="1285" t="s">
        <v>1153</v>
      </c>
      <c r="F103" s="1285"/>
      <c r="G103" s="1286" t="s">
        <v>611</v>
      </c>
      <c r="H103" s="1287">
        <v>25</v>
      </c>
      <c r="I103" s="1287">
        <v>0</v>
      </c>
      <c r="J103" s="1287"/>
      <c r="K103" s="1288">
        <f t="shared" si="3"/>
        <v>0</v>
      </c>
    </row>
    <row r="104" spans="2:13" ht="14.85" customHeight="1">
      <c r="B104" s="1283">
        <v>41906</v>
      </c>
      <c r="C104" s="1284" t="s">
        <v>984</v>
      </c>
      <c r="D104" s="1285" t="s">
        <v>1154</v>
      </c>
      <c r="E104" s="1285" t="s">
        <v>1155</v>
      </c>
      <c r="F104" s="1285"/>
      <c r="G104" s="1286" t="s">
        <v>611</v>
      </c>
      <c r="H104" s="1287">
        <v>970000</v>
      </c>
      <c r="I104" s="1287">
        <v>100000</v>
      </c>
      <c r="J104" s="1287"/>
      <c r="K104" s="1288">
        <f t="shared" si="3"/>
        <v>0.10309278350515463</v>
      </c>
    </row>
    <row r="105" spans="2:13" ht="14.85" customHeight="1">
      <c r="B105" s="1283">
        <v>41904</v>
      </c>
      <c r="C105" s="1284" t="s">
        <v>984</v>
      </c>
      <c r="D105" s="1285" t="s">
        <v>1155</v>
      </c>
      <c r="E105" s="1285" t="s">
        <v>1156</v>
      </c>
      <c r="F105" s="1285"/>
      <c r="G105" s="1286" t="s">
        <v>611</v>
      </c>
      <c r="H105" s="1287">
        <v>318000</v>
      </c>
      <c r="I105" s="1287">
        <v>7000</v>
      </c>
      <c r="J105" s="1287"/>
      <c r="K105" s="1288">
        <f t="shared" si="3"/>
        <v>2.20125786163522E-2</v>
      </c>
    </row>
    <row r="106" spans="2:13" ht="14.85" customHeight="1">
      <c r="B106" s="1283">
        <v>41884</v>
      </c>
      <c r="C106" s="1284" t="s">
        <v>984</v>
      </c>
      <c r="D106" s="1285" t="s">
        <v>1011</v>
      </c>
      <c r="E106" s="1285" t="s">
        <v>1157</v>
      </c>
      <c r="F106" s="1285"/>
      <c r="G106" s="1286" t="s">
        <v>611</v>
      </c>
      <c r="H106" s="1287">
        <v>805000</v>
      </c>
      <c r="I106" s="1287">
        <v>275000</v>
      </c>
      <c r="J106" s="1287"/>
      <c r="K106" s="1288">
        <f t="shared" si="3"/>
        <v>0.34161490683229812</v>
      </c>
    </row>
    <row r="107" spans="2:13" ht="14.85" customHeight="1">
      <c r="B107" s="1283">
        <v>41857</v>
      </c>
      <c r="C107" s="1284" t="s">
        <v>984</v>
      </c>
      <c r="D107" s="1285" t="s">
        <v>1158</v>
      </c>
      <c r="E107" s="1285" t="s">
        <v>1159</v>
      </c>
      <c r="F107" s="1285"/>
      <c r="G107" s="1286" t="s">
        <v>611</v>
      </c>
      <c r="H107" s="1287">
        <v>650000</v>
      </c>
      <c r="I107" s="1287">
        <v>200000</v>
      </c>
      <c r="J107" s="1287"/>
      <c r="K107" s="1288">
        <f t="shared" si="3"/>
        <v>0.30769230769230771</v>
      </c>
    </row>
    <row r="108" spans="2:13" ht="14.85" customHeight="1">
      <c r="B108" s="1283">
        <v>41842</v>
      </c>
      <c r="C108" s="1284" t="s">
        <v>984</v>
      </c>
      <c r="D108" s="1285" t="s">
        <v>1160</v>
      </c>
      <c r="E108" s="1285" t="s">
        <v>1161</v>
      </c>
      <c r="F108" s="1285"/>
      <c r="G108" s="1286" t="s">
        <v>611</v>
      </c>
      <c r="H108" s="1287">
        <v>5500</v>
      </c>
      <c r="I108" s="1287">
        <v>5000</v>
      </c>
      <c r="J108" s="1287"/>
      <c r="K108" s="1288">
        <f t="shared" si="3"/>
        <v>0.90909090909090906</v>
      </c>
    </row>
    <row r="109" spans="2:13" ht="14.85" customHeight="1">
      <c r="B109" s="1283">
        <v>41635</v>
      </c>
      <c r="C109" s="1284" t="s">
        <v>984</v>
      </c>
      <c r="D109" s="1285" t="s">
        <v>1162</v>
      </c>
      <c r="E109" s="1285" t="s">
        <v>1142</v>
      </c>
      <c r="F109" s="1285"/>
      <c r="G109" s="1286" t="s">
        <v>611</v>
      </c>
      <c r="H109" s="1287">
        <v>108000</v>
      </c>
      <c r="I109" s="1287">
        <v>0</v>
      </c>
      <c r="J109" s="1287"/>
      <c r="K109" s="1288">
        <f t="shared" si="3"/>
        <v>0</v>
      </c>
    </row>
    <row r="110" spans="2:13" ht="14.85" customHeight="1">
      <c r="B110" s="1283">
        <v>41593</v>
      </c>
      <c r="C110" s="1284" t="s">
        <v>984</v>
      </c>
      <c r="D110" s="1285" t="s">
        <v>1163</v>
      </c>
      <c r="E110" s="1285" t="s">
        <v>1164</v>
      </c>
      <c r="F110" s="1285"/>
      <c r="G110" s="1286" t="s">
        <v>611</v>
      </c>
      <c r="H110" s="1287">
        <v>172000</v>
      </c>
      <c r="I110" s="1287">
        <v>60000</v>
      </c>
      <c r="J110" s="1287"/>
      <c r="K110" s="1288">
        <f t="shared" si="3"/>
        <v>0.34883720930232559</v>
      </c>
    </row>
    <row r="111" spans="2:13" ht="14.85" customHeight="1">
      <c r="B111" s="1283">
        <v>41423</v>
      </c>
      <c r="C111" s="1284" t="s">
        <v>984</v>
      </c>
      <c r="D111" s="1285" t="s">
        <v>1165</v>
      </c>
      <c r="E111" s="1285" t="s">
        <v>1166</v>
      </c>
      <c r="F111" s="1285"/>
      <c r="G111" s="1286" t="s">
        <v>611</v>
      </c>
      <c r="H111" s="1287">
        <v>130000</v>
      </c>
      <c r="I111" s="1287">
        <v>7000</v>
      </c>
      <c r="J111" s="1287"/>
      <c r="K111" s="1288">
        <f t="shared" si="3"/>
        <v>5.3846153846153849E-2</v>
      </c>
    </row>
    <row r="112" spans="2:13" ht="14.85" customHeight="1">
      <c r="B112" s="1283"/>
      <c r="C112" s="1284"/>
      <c r="D112" s="1285"/>
      <c r="E112" s="1285"/>
      <c r="F112" s="1285"/>
      <c r="G112" s="1286"/>
      <c r="H112" s="1287"/>
      <c r="I112" s="1287"/>
      <c r="J112" s="1287"/>
      <c r="K112" s="1288"/>
    </row>
    <row r="113" spans="2:13" ht="14.85" customHeight="1">
      <c r="B113" s="1293" t="s">
        <v>1167</v>
      </c>
      <c r="C113" s="1284"/>
      <c r="D113" s="1285"/>
      <c r="E113" s="1285"/>
      <c r="F113" s="1285"/>
      <c r="G113" s="1286"/>
      <c r="H113" s="1287"/>
      <c r="I113" s="1287"/>
      <c r="J113" s="1287"/>
      <c r="K113" s="1288"/>
    </row>
    <row r="114" spans="2:13" ht="14.85" customHeight="1">
      <c r="B114" s="1283">
        <v>42523</v>
      </c>
      <c r="C114" s="1284" t="s">
        <v>984</v>
      </c>
      <c r="D114" s="1285" t="s">
        <v>1085</v>
      </c>
      <c r="E114" s="1285" t="s">
        <v>1168</v>
      </c>
      <c r="F114" s="1285"/>
      <c r="G114" s="1286" t="s">
        <v>1169</v>
      </c>
      <c r="H114" s="1287">
        <f>140000+135000</f>
        <v>275000</v>
      </c>
      <c r="I114" s="1287">
        <v>140000</v>
      </c>
      <c r="J114" s="1287"/>
      <c r="K114" s="1288">
        <f t="shared" ref="K114:K121" si="4">IFERROR(I114/H114,"n/a")</f>
        <v>0.50909090909090904</v>
      </c>
      <c r="M114" s="1271" t="s">
        <v>1170</v>
      </c>
    </row>
    <row r="115" spans="2:13" ht="14.85" customHeight="1">
      <c r="B115" s="1283">
        <v>42430</v>
      </c>
      <c r="C115" s="1284" t="s">
        <v>984</v>
      </c>
      <c r="D115" s="1285" t="s">
        <v>1171</v>
      </c>
      <c r="E115" s="1285" t="s">
        <v>1032</v>
      </c>
      <c r="F115" s="1285"/>
      <c r="G115" s="1286" t="s">
        <v>1169</v>
      </c>
      <c r="H115" s="1287">
        <v>70000</v>
      </c>
      <c r="I115" s="1287">
        <v>70000</v>
      </c>
      <c r="J115" s="1287"/>
      <c r="K115" s="1288">
        <f t="shared" si="4"/>
        <v>1</v>
      </c>
    </row>
    <row r="116" spans="2:13" ht="14.85" customHeight="1">
      <c r="B116" s="1283">
        <v>42381</v>
      </c>
      <c r="C116" s="1284" t="s">
        <v>984</v>
      </c>
      <c r="D116" s="1285" t="s">
        <v>1172</v>
      </c>
      <c r="E116" s="1285" t="s">
        <v>1005</v>
      </c>
      <c r="F116" s="1285"/>
      <c r="G116" s="1286" t="s">
        <v>1169</v>
      </c>
      <c r="H116" s="1287">
        <v>12000</v>
      </c>
      <c r="I116" s="1287">
        <v>0</v>
      </c>
      <c r="J116" s="1287"/>
      <c r="K116" s="1288">
        <f t="shared" si="4"/>
        <v>0</v>
      </c>
    </row>
    <row r="117" spans="2:13" ht="14.85" customHeight="1">
      <c r="B117" s="1283">
        <v>42167</v>
      </c>
      <c r="C117" s="1284" t="s">
        <v>984</v>
      </c>
      <c r="D117" s="1285" t="s">
        <v>1132</v>
      </c>
      <c r="E117" s="1285" t="s">
        <v>1173</v>
      </c>
      <c r="F117" s="1285"/>
      <c r="G117" s="1286" t="s">
        <v>1169</v>
      </c>
      <c r="H117" s="1287">
        <v>130000</v>
      </c>
      <c r="I117" s="1287">
        <v>130000</v>
      </c>
      <c r="J117" s="1287"/>
      <c r="K117" s="1288">
        <f t="shared" si="4"/>
        <v>1</v>
      </c>
    </row>
    <row r="118" spans="2:13" ht="14.85" customHeight="1">
      <c r="B118" s="1283">
        <v>42135</v>
      </c>
      <c r="C118" s="1284" t="s">
        <v>984</v>
      </c>
      <c r="D118" s="1285" t="s">
        <v>1174</v>
      </c>
      <c r="E118" s="1285" t="s">
        <v>1175</v>
      </c>
      <c r="F118" s="1285"/>
      <c r="G118" s="1286" t="s">
        <v>1169</v>
      </c>
      <c r="H118" s="1287">
        <v>1500</v>
      </c>
      <c r="I118" s="1287">
        <v>1500</v>
      </c>
      <c r="J118" s="1287"/>
      <c r="K118" s="1288">
        <f t="shared" si="4"/>
        <v>1</v>
      </c>
      <c r="M118" s="1271" t="s">
        <v>1176</v>
      </c>
    </row>
    <row r="119" spans="2:13" ht="14.85" customHeight="1">
      <c r="B119" s="1283">
        <v>42052</v>
      </c>
      <c r="C119" s="1284" t="s">
        <v>984</v>
      </c>
      <c r="D119" s="1285" t="s">
        <v>1177</v>
      </c>
      <c r="E119" s="1285" t="s">
        <v>1178</v>
      </c>
      <c r="F119" s="1285"/>
      <c r="G119" s="1286" t="s">
        <v>1179</v>
      </c>
      <c r="H119" s="1287">
        <v>120000</v>
      </c>
      <c r="I119" s="1287">
        <v>30000</v>
      </c>
      <c r="J119" s="1287"/>
      <c r="K119" s="1288">
        <f t="shared" si="4"/>
        <v>0.25</v>
      </c>
      <c r="M119" s="1271" t="s">
        <v>1180</v>
      </c>
    </row>
    <row r="120" spans="2:13" ht="14.85" customHeight="1">
      <c r="B120" s="1283">
        <v>41929</v>
      </c>
      <c r="C120" s="1284" t="s">
        <v>984</v>
      </c>
      <c r="D120" s="1285" t="s">
        <v>1181</v>
      </c>
      <c r="E120" s="1285" t="s">
        <v>1175</v>
      </c>
      <c r="F120" s="1285"/>
      <c r="G120" s="1286" t="s">
        <v>1169</v>
      </c>
      <c r="H120" s="1287">
        <v>55000</v>
      </c>
      <c r="I120" s="1287">
        <v>14000</v>
      </c>
      <c r="J120" s="1287"/>
      <c r="K120" s="1288">
        <f t="shared" si="4"/>
        <v>0.25454545454545452</v>
      </c>
    </row>
    <row r="121" spans="2:13" ht="14.85" customHeight="1">
      <c r="B121" s="1283">
        <v>41898</v>
      </c>
      <c r="C121" s="1284" t="s">
        <v>984</v>
      </c>
      <c r="D121" s="1285" t="s">
        <v>1132</v>
      </c>
      <c r="E121" s="1285" t="s">
        <v>1164</v>
      </c>
      <c r="F121" s="1285"/>
      <c r="G121" s="1286" t="s">
        <v>1169</v>
      </c>
      <c r="H121" s="1287">
        <v>133500.40000000002</v>
      </c>
      <c r="I121" s="1287">
        <v>18100</v>
      </c>
      <c r="J121" s="1287"/>
      <c r="K121" s="1288">
        <f t="shared" si="4"/>
        <v>0.13558011811200563</v>
      </c>
    </row>
    <row r="122" spans="2:13" ht="14.85" customHeight="1">
      <c r="B122" s="1283"/>
      <c r="C122" s="1284"/>
      <c r="D122" s="1285"/>
      <c r="E122" s="1285"/>
      <c r="F122" s="1285"/>
      <c r="G122" s="1286"/>
      <c r="H122" s="1287"/>
      <c r="I122" s="1287"/>
      <c r="J122" s="1287"/>
      <c r="K122" s="1288"/>
    </row>
    <row r="123" spans="2:13" ht="14.85" customHeight="1">
      <c r="B123" s="1293" t="s">
        <v>1182</v>
      </c>
      <c r="C123" s="1284"/>
      <c r="D123" s="1285"/>
      <c r="E123" s="1285"/>
      <c r="F123" s="1285"/>
      <c r="G123" s="1286"/>
      <c r="H123" s="1287"/>
      <c r="I123" s="1287"/>
      <c r="J123" s="1287"/>
      <c r="K123" s="1288"/>
    </row>
    <row r="124" spans="2:13" ht="14.85" customHeight="1">
      <c r="B124" s="1283">
        <v>42517</v>
      </c>
      <c r="C124" s="1284" t="s">
        <v>984</v>
      </c>
      <c r="D124" s="1285" t="s">
        <v>1063</v>
      </c>
      <c r="E124" s="1285" t="s">
        <v>1183</v>
      </c>
      <c r="F124" s="1285"/>
      <c r="G124" s="1286" t="s">
        <v>13</v>
      </c>
      <c r="H124" s="1287">
        <v>178000</v>
      </c>
      <c r="I124" s="1287">
        <v>1000</v>
      </c>
      <c r="J124" s="1287"/>
      <c r="K124" s="1288">
        <f t="shared" ref="K124:K137" si="5">IFERROR(I124/H124,"n/a")</f>
        <v>5.6179775280898875E-3</v>
      </c>
    </row>
    <row r="125" spans="2:13" ht="14.85" customHeight="1">
      <c r="B125" s="1283">
        <v>42450</v>
      </c>
      <c r="C125" s="1284" t="s">
        <v>984</v>
      </c>
      <c r="D125" s="1285" t="s">
        <v>1016</v>
      </c>
      <c r="E125" s="1285" t="s">
        <v>1184</v>
      </c>
      <c r="F125" s="1285"/>
      <c r="G125" s="1286" t="s">
        <v>13</v>
      </c>
      <c r="H125" s="1287">
        <v>20000</v>
      </c>
      <c r="I125" s="1287">
        <v>20000</v>
      </c>
      <c r="J125" s="1287"/>
      <c r="K125" s="1288">
        <f t="shared" si="5"/>
        <v>1</v>
      </c>
    </row>
    <row r="126" spans="2:13" ht="14.85" customHeight="1">
      <c r="B126" s="1283">
        <v>42444</v>
      </c>
      <c r="C126" s="1284" t="s">
        <v>984</v>
      </c>
      <c r="D126" s="1285" t="s">
        <v>1185</v>
      </c>
      <c r="E126" s="1285" t="s">
        <v>1186</v>
      </c>
      <c r="F126" s="1285"/>
      <c r="G126" s="1286" t="s">
        <v>13</v>
      </c>
      <c r="H126" s="1287">
        <v>1010000</v>
      </c>
      <c r="I126" s="1287">
        <v>45000</v>
      </c>
      <c r="J126" s="1287"/>
      <c r="K126" s="1288">
        <f t="shared" si="5"/>
        <v>4.4554455445544552E-2</v>
      </c>
    </row>
    <row r="127" spans="2:13" ht="14.85" customHeight="1">
      <c r="B127" s="1283">
        <v>42278</v>
      </c>
      <c r="C127" s="1284" t="s">
        <v>984</v>
      </c>
      <c r="D127" s="1285" t="s">
        <v>1093</v>
      </c>
      <c r="E127" s="1285" t="s">
        <v>1187</v>
      </c>
      <c r="F127" s="1285"/>
      <c r="G127" s="1286" t="s">
        <v>13</v>
      </c>
      <c r="H127" s="1287">
        <v>300000</v>
      </c>
      <c r="I127" s="1287">
        <v>0</v>
      </c>
      <c r="J127" s="1287"/>
      <c r="K127" s="1288">
        <f t="shared" si="5"/>
        <v>0</v>
      </c>
    </row>
    <row r="128" spans="2:13" ht="14.85" customHeight="1">
      <c r="B128" s="1283">
        <v>42251</v>
      </c>
      <c r="C128" s="1284" t="s">
        <v>984</v>
      </c>
      <c r="D128" s="1285" t="s">
        <v>1188</v>
      </c>
      <c r="E128" s="1285" t="s">
        <v>1189</v>
      </c>
      <c r="F128" s="1285"/>
      <c r="G128" s="1286" t="s">
        <v>13</v>
      </c>
      <c r="H128" s="1287">
        <v>102700</v>
      </c>
      <c r="I128" s="1287">
        <v>0</v>
      </c>
      <c r="J128" s="1287"/>
      <c r="K128" s="1288">
        <f t="shared" si="5"/>
        <v>0</v>
      </c>
    </row>
    <row r="129" spans="2:32" ht="14.85" customHeight="1">
      <c r="B129" s="1283">
        <v>42170</v>
      </c>
      <c r="C129" s="1284" t="s">
        <v>984</v>
      </c>
      <c r="D129" s="1285" t="s">
        <v>1093</v>
      </c>
      <c r="E129" s="1285" t="s">
        <v>1190</v>
      </c>
      <c r="F129" s="1285"/>
      <c r="G129" s="1286" t="s">
        <v>13</v>
      </c>
      <c r="H129" s="1287">
        <v>363928.5</v>
      </c>
      <c r="I129" s="1287">
        <v>14000</v>
      </c>
      <c r="J129" s="1287"/>
      <c r="K129" s="1288">
        <f t="shared" si="5"/>
        <v>3.8469094890892029E-2</v>
      </c>
    </row>
    <row r="130" spans="2:32" ht="14.85" customHeight="1">
      <c r="B130" s="1283">
        <v>42082</v>
      </c>
      <c r="C130" s="1284" t="s">
        <v>984</v>
      </c>
      <c r="D130" s="1285" t="s">
        <v>1191</v>
      </c>
      <c r="E130" s="1285" t="s">
        <v>1192</v>
      </c>
      <c r="F130" s="1285"/>
      <c r="G130" s="1286" t="s">
        <v>13</v>
      </c>
      <c r="H130" s="1287">
        <v>1000</v>
      </c>
      <c r="I130" s="1287">
        <v>1000</v>
      </c>
      <c r="J130" s="1287"/>
      <c r="K130" s="1288">
        <f t="shared" si="5"/>
        <v>1</v>
      </c>
    </row>
    <row r="131" spans="2:32" ht="14.85" customHeight="1">
      <c r="B131" s="1283">
        <v>41918</v>
      </c>
      <c r="C131" s="1284" t="s">
        <v>984</v>
      </c>
      <c r="D131" s="1285" t="s">
        <v>1193</v>
      </c>
      <c r="E131" s="1285" t="s">
        <v>1194</v>
      </c>
      <c r="F131" s="1285"/>
      <c r="G131" s="1286" t="s">
        <v>13</v>
      </c>
      <c r="H131" s="1287">
        <v>325.29999999999995</v>
      </c>
      <c r="I131" s="1287">
        <v>0</v>
      </c>
      <c r="J131" s="1287"/>
      <c r="K131" s="1288">
        <f t="shared" si="5"/>
        <v>0</v>
      </c>
    </row>
    <row r="132" spans="2:32" ht="14.85" customHeight="1">
      <c r="B132" s="1283">
        <v>41660</v>
      </c>
      <c r="C132" s="1284" t="s">
        <v>984</v>
      </c>
      <c r="D132" s="1285" t="s">
        <v>822</v>
      </c>
      <c r="E132" s="1285" t="s">
        <v>1195</v>
      </c>
      <c r="F132" s="1285"/>
      <c r="G132" s="1286" t="s">
        <v>13</v>
      </c>
      <c r="H132" s="1287">
        <v>162000</v>
      </c>
      <c r="I132" s="1287">
        <v>2000</v>
      </c>
      <c r="J132" s="1287"/>
      <c r="K132" s="1288">
        <f t="shared" si="5"/>
        <v>1.2345679012345678E-2</v>
      </c>
    </row>
    <row r="133" spans="2:32" ht="14.85" customHeight="1">
      <c r="B133" s="1283">
        <v>41626</v>
      </c>
      <c r="C133" s="1284" t="s">
        <v>984</v>
      </c>
      <c r="D133" s="1285" t="s">
        <v>1196</v>
      </c>
      <c r="E133" s="1285" t="s">
        <v>1197</v>
      </c>
      <c r="F133" s="1285"/>
      <c r="G133" s="1286" t="s">
        <v>13</v>
      </c>
      <c r="H133" s="1287">
        <v>26150</v>
      </c>
      <c r="I133" s="1287">
        <v>0</v>
      </c>
      <c r="J133" s="1287"/>
      <c r="K133" s="1288">
        <f t="shared" si="5"/>
        <v>0</v>
      </c>
    </row>
    <row r="134" spans="2:32" ht="14.85" customHeight="1">
      <c r="B134" s="1283">
        <v>41485</v>
      </c>
      <c r="C134" s="1284" t="s">
        <v>984</v>
      </c>
      <c r="D134" s="1285" t="s">
        <v>1132</v>
      </c>
      <c r="E134" s="1285" t="s">
        <v>1062</v>
      </c>
      <c r="F134" s="1285"/>
      <c r="G134" s="1286" t="s">
        <v>13</v>
      </c>
      <c r="H134" s="1287">
        <v>143350</v>
      </c>
      <c r="I134" s="1287">
        <v>10620</v>
      </c>
      <c r="J134" s="1287"/>
      <c r="K134" s="1288">
        <f t="shared" si="5"/>
        <v>7.4084408789675621E-2</v>
      </c>
    </row>
    <row r="135" spans="2:32" ht="14.85" customHeight="1">
      <c r="B135" s="1283">
        <v>41458</v>
      </c>
      <c r="C135" s="1284" t="s">
        <v>984</v>
      </c>
      <c r="D135" s="1285" t="s">
        <v>1198</v>
      </c>
      <c r="E135" s="1285" t="s">
        <v>1089</v>
      </c>
      <c r="F135" s="1285"/>
      <c r="G135" s="1286" t="s">
        <v>13</v>
      </c>
      <c r="H135" s="1287">
        <v>434000</v>
      </c>
      <c r="I135" s="1287">
        <v>0</v>
      </c>
      <c r="J135" s="1287"/>
      <c r="K135" s="1288">
        <f t="shared" si="5"/>
        <v>0</v>
      </c>
    </row>
    <row r="136" spans="2:32" ht="14.85" customHeight="1">
      <c r="B136" s="1283">
        <v>41431</v>
      </c>
      <c r="C136" s="1284" t="s">
        <v>984</v>
      </c>
      <c r="D136" s="1285" t="s">
        <v>1199</v>
      </c>
      <c r="E136" s="1285" t="s">
        <v>1200</v>
      </c>
      <c r="F136" s="1285"/>
      <c r="G136" s="1286" t="s">
        <v>13</v>
      </c>
      <c r="H136" s="1287">
        <v>18000</v>
      </c>
      <c r="I136" s="1287">
        <v>0</v>
      </c>
      <c r="J136" s="1287"/>
      <c r="K136" s="1288">
        <f t="shared" si="5"/>
        <v>0</v>
      </c>
    </row>
    <row r="137" spans="2:32" ht="14.85" customHeight="1">
      <c r="B137" s="1283">
        <v>41260</v>
      </c>
      <c r="C137" s="1284" t="s">
        <v>984</v>
      </c>
      <c r="D137" s="1285" t="s">
        <v>1201</v>
      </c>
      <c r="E137" s="1285" t="s">
        <v>1202</v>
      </c>
      <c r="F137" s="1285"/>
      <c r="G137" s="1286" t="s">
        <v>13</v>
      </c>
      <c r="H137" s="1287">
        <v>3300</v>
      </c>
      <c r="I137" s="1287">
        <v>3300</v>
      </c>
      <c r="J137" s="1287"/>
      <c r="K137" s="1288">
        <f t="shared" si="5"/>
        <v>1</v>
      </c>
    </row>
    <row r="138" spans="2:32" ht="14.85" customHeight="1">
      <c r="C138" s="1294"/>
    </row>
    <row r="139" spans="2:32" ht="14.85" customHeight="1">
      <c r="B139" s="935" t="s">
        <v>111</v>
      </c>
      <c r="C139" s="1239"/>
      <c r="D139" s="1239"/>
      <c r="E139" s="1239"/>
      <c r="F139" s="1295"/>
      <c r="G139" s="1239"/>
      <c r="H139" s="1296">
        <f>MAX(H9:H137)</f>
        <v>14000000</v>
      </c>
      <c r="I139" s="1296">
        <f>MAX(I9:I137)</f>
        <v>640000</v>
      </c>
      <c r="J139" s="1297"/>
      <c r="K139" s="1045">
        <f>MAX(K9:K137)</f>
        <v>1</v>
      </c>
      <c r="L139" s="179"/>
      <c r="M139" s="309"/>
      <c r="N139" s="309"/>
      <c r="O139" s="309"/>
      <c r="P139" s="179"/>
      <c r="Q139" s="1298"/>
      <c r="R139" s="1298"/>
      <c r="S139" s="1298"/>
      <c r="T139" s="1298"/>
      <c r="U139" s="1298"/>
      <c r="V139" s="179"/>
      <c r="W139" s="309"/>
      <c r="X139" s="309"/>
      <c r="Y139" s="309"/>
      <c r="Z139" s="179"/>
      <c r="AA139" s="1298"/>
      <c r="AB139" s="1298"/>
      <c r="AC139" s="1298"/>
      <c r="AD139" s="179"/>
      <c r="AE139" s="389"/>
      <c r="AF139" s="389"/>
    </row>
    <row r="140" spans="2:32" ht="14.85" customHeight="1">
      <c r="B140" s="941" t="s">
        <v>115</v>
      </c>
      <c r="C140" s="637"/>
      <c r="D140" s="637"/>
      <c r="E140" s="637"/>
      <c r="F140" s="637"/>
      <c r="G140" s="637"/>
      <c r="H140" s="1299">
        <f>QUARTILE(H9:H137,3)</f>
        <v>335500</v>
      </c>
      <c r="I140" s="1299">
        <f>QUARTILE(I9:I137,3)</f>
        <v>22500</v>
      </c>
      <c r="J140" s="1299"/>
      <c r="K140" s="1047">
        <f>QUARTILE(K9:K137,3)</f>
        <v>0.26969696969696966</v>
      </c>
      <c r="L140" s="179"/>
      <c r="M140" s="309"/>
      <c r="N140" s="309"/>
      <c r="O140" s="309"/>
      <c r="P140" s="179"/>
      <c r="Q140" s="1298"/>
      <c r="R140" s="1298"/>
      <c r="S140" s="1298"/>
      <c r="T140" s="1298"/>
      <c r="U140" s="1298"/>
      <c r="V140" s="179"/>
      <c r="W140" s="309"/>
      <c r="X140" s="309"/>
      <c r="Y140" s="309"/>
      <c r="Z140" s="179"/>
      <c r="AA140" s="1298"/>
      <c r="AB140" s="1298"/>
      <c r="AC140" s="1298"/>
      <c r="AD140" s="179"/>
      <c r="AE140" s="389"/>
      <c r="AF140" s="389"/>
    </row>
    <row r="141" spans="2:32" ht="14.85" customHeight="1">
      <c r="B141" s="941" t="s">
        <v>43</v>
      </c>
      <c r="C141" s="637"/>
      <c r="D141" s="637"/>
      <c r="E141" s="1100"/>
      <c r="F141" s="1100"/>
      <c r="G141" s="637"/>
      <c r="H141" s="1299">
        <f>AVERAGE(H9:H137)</f>
        <v>377886.70336134452</v>
      </c>
      <c r="I141" s="1299">
        <f>AVERAGE(I9:I137)</f>
        <v>31768</v>
      </c>
      <c r="J141" s="1299"/>
      <c r="K141" s="1047">
        <f>AVERAGE(K9:K137)</f>
        <v>0.237657090084615</v>
      </c>
      <c r="L141" s="179"/>
      <c r="M141" s="309"/>
      <c r="N141" s="309"/>
      <c r="O141" s="309"/>
      <c r="P141" s="179"/>
      <c r="Q141" s="1298"/>
      <c r="R141" s="1298"/>
      <c r="S141" s="1298"/>
      <c r="T141" s="1298"/>
      <c r="U141" s="1298"/>
      <c r="V141" s="179"/>
      <c r="W141" s="309"/>
      <c r="X141" s="309"/>
      <c r="Y141" s="309"/>
      <c r="Z141" s="179"/>
      <c r="AA141" s="1298"/>
      <c r="AB141" s="1298"/>
      <c r="AC141" s="1298"/>
      <c r="AD141" s="179"/>
      <c r="AE141" s="389"/>
      <c r="AF141" s="389"/>
    </row>
    <row r="142" spans="2:32" ht="14.85" customHeight="1">
      <c r="B142" s="941" t="s">
        <v>44</v>
      </c>
      <c r="C142" s="637"/>
      <c r="D142" s="637"/>
      <c r="E142" s="1100"/>
      <c r="F142" s="1100"/>
      <c r="G142" s="637"/>
      <c r="H142" s="1299">
        <f>MEDIAN(H9:H137)</f>
        <v>120000</v>
      </c>
      <c r="I142" s="1299">
        <f>MEDIAN(I9:I137)</f>
        <v>3300</v>
      </c>
      <c r="J142" s="1299"/>
      <c r="K142" s="1047">
        <f>MEDIAN(K9:K137)</f>
        <v>4.4554455445544552E-2</v>
      </c>
      <c r="L142" s="179"/>
      <c r="M142" s="309"/>
      <c r="N142" s="309"/>
      <c r="O142" s="309"/>
      <c r="P142" s="179"/>
      <c r="Q142" s="1298"/>
      <c r="R142" s="1298"/>
      <c r="S142" s="1298"/>
      <c r="T142" s="1298"/>
      <c r="U142" s="1298"/>
      <c r="V142" s="179"/>
      <c r="W142" s="309"/>
      <c r="X142" s="309"/>
      <c r="Y142" s="309"/>
      <c r="Z142" s="179"/>
      <c r="AA142" s="1298"/>
      <c r="AB142" s="1298"/>
      <c r="AC142" s="1298"/>
      <c r="AD142" s="179"/>
      <c r="AE142" s="389"/>
      <c r="AF142" s="389"/>
    </row>
    <row r="143" spans="2:32" ht="14.85" customHeight="1">
      <c r="B143" s="941" t="s">
        <v>114</v>
      </c>
      <c r="C143" s="637"/>
      <c r="D143" s="637"/>
      <c r="E143" s="1100"/>
      <c r="F143" s="1100"/>
      <c r="G143" s="637"/>
      <c r="H143" s="1299">
        <f>QUARTILE(H9:H137,1)</f>
        <v>19000</v>
      </c>
      <c r="I143" s="1299">
        <f>QUARTILE(I9:I137,1)</f>
        <v>0</v>
      </c>
      <c r="J143" s="1299"/>
      <c r="K143" s="1047">
        <f>QUARTILE(K9:K137,1)</f>
        <v>0</v>
      </c>
      <c r="L143" s="179"/>
      <c r="M143" s="309"/>
      <c r="N143" s="309"/>
      <c r="O143" s="309"/>
      <c r="P143" s="179"/>
      <c r="Q143" s="1298"/>
      <c r="R143" s="1298"/>
      <c r="S143" s="1298"/>
      <c r="T143" s="1298"/>
      <c r="U143" s="1298"/>
      <c r="V143" s="179"/>
      <c r="W143" s="309"/>
      <c r="X143" s="309"/>
      <c r="Y143" s="309"/>
      <c r="Z143" s="179"/>
      <c r="AA143" s="1298"/>
      <c r="AB143" s="1298"/>
      <c r="AC143" s="1298"/>
      <c r="AD143" s="179"/>
      <c r="AE143" s="389"/>
      <c r="AF143" s="389"/>
    </row>
    <row r="144" spans="2:32" ht="14.85" customHeight="1">
      <c r="B144" s="946" t="s">
        <v>112</v>
      </c>
      <c r="C144" s="1101"/>
      <c r="D144" s="1101"/>
      <c r="E144" s="1300"/>
      <c r="F144" s="1300"/>
      <c r="G144" s="1101"/>
      <c r="H144" s="1301">
        <f>MIN(H9:H137)</f>
        <v>25</v>
      </c>
      <c r="I144" s="1301">
        <f>MIN(I9:I137)</f>
        <v>0</v>
      </c>
      <c r="J144" s="1301"/>
      <c r="K144" s="1049">
        <f>MIN(K9:K137)</f>
        <v>0</v>
      </c>
      <c r="L144" s="179"/>
      <c r="M144" s="309"/>
      <c r="N144" s="309"/>
      <c r="O144" s="309"/>
      <c r="P144" s="179"/>
      <c r="Q144" s="1298"/>
      <c r="R144" s="1298"/>
      <c r="S144" s="1298"/>
      <c r="T144" s="1298"/>
      <c r="U144" s="1298"/>
      <c r="V144" s="179"/>
      <c r="W144" s="309"/>
      <c r="X144" s="309"/>
      <c r="Y144" s="309"/>
      <c r="Z144" s="179"/>
      <c r="AA144" s="1298"/>
      <c r="AB144" s="1298"/>
      <c r="AC144" s="1298"/>
      <c r="AD144" s="179"/>
      <c r="AE144" s="389"/>
      <c r="AF144" s="389"/>
    </row>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J4">
    <cfRule type="cellIs" dxfId="83" priority="4" stopIfTrue="1" operator="equal">
      <formula>"input"</formula>
    </cfRule>
  </conditionalFormatting>
  <conditionalFormatting sqref="B4">
    <cfRule type="cellIs" dxfId="82" priority="3" stopIfTrue="1" operator="equal">
      <formula>"input"</formula>
    </cfRule>
  </conditionalFormatting>
  <conditionalFormatting sqref="K4">
    <cfRule type="cellIs" dxfId="81" priority="1" stopIfTrue="1" operator="equal">
      <formula>"input"</formula>
    </cfRule>
  </conditionalFormatting>
  <conditionalFormatting sqref="K4">
    <cfRule type="cellIs" dxfId="80" priority="2" stopIfTrue="1" operator="equal">
      <formula>"input"</formula>
    </cfRule>
  </conditionalFormatting>
  <hyperlinks>
    <hyperlink ref="M49" r:id="rId1" xr:uid="{00000000-0004-0000-4B00-000000000000}"/>
  </hyperlinks>
  <pageMargins left="0.5" right="0.5" top="0.5" bottom="0.5" header="0.5" footer="0.5"/>
  <pageSetup scale="90" orientation="landscape" r:id="rId2"/>
  <rowBreaks count="1" manualBreakCount="1">
    <brk id="121" max="10" man="1"/>
  </rowBreaks>
  <legacyDrawing r:id="rId3"/>
  <legacyDrawingHF r:id="rId4"/>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63"/>
  <dimension ref="A1:AL764"/>
  <sheetViews>
    <sheetView showGridLines="0" view="pageBreakPreview" zoomScale="80" zoomScaleNormal="100" zoomScaleSheetLayoutView="80" workbookViewId="0"/>
  </sheetViews>
  <sheetFormatPr defaultColWidth="10.6640625" defaultRowHeight="12.75" outlineLevelCol="1"/>
  <cols>
    <col min="1" max="1" width="4.5" style="1303" customWidth="1"/>
    <col min="2" max="2" width="40.83203125" style="1303" customWidth="1"/>
    <col min="3" max="3" width="18.6640625" style="1303" hidden="1" customWidth="1" outlineLevel="1"/>
    <col min="4" max="4" width="15.1640625" style="1303" hidden="1" customWidth="1" outlineLevel="1"/>
    <col min="5" max="5" width="12.5" style="1305" bestFit="1" customWidth="1" collapsed="1"/>
    <col min="6" max="6" width="12.33203125" style="1305" customWidth="1"/>
    <col min="7" max="8" width="14" style="1305" hidden="1" customWidth="1" outlineLevel="1"/>
    <col min="9" max="9" width="14.83203125" style="1305" hidden="1" customWidth="1" outlineLevel="1"/>
    <col min="10" max="10" width="14.83203125" style="1305" customWidth="1" collapsed="1"/>
    <col min="11" max="11" width="13.83203125" style="1305" bestFit="1" customWidth="1"/>
    <col min="12" max="12" width="14.83203125" style="1305" customWidth="1"/>
    <col min="13" max="13" width="15.6640625" style="1305" customWidth="1"/>
    <col min="14" max="14" width="15.83203125" style="1305" customWidth="1"/>
    <col min="15" max="15" width="16" style="1305" customWidth="1"/>
    <col min="16" max="16" width="4.5" style="1305" hidden="1" customWidth="1" outlineLevel="1"/>
    <col min="17" max="17" width="28.83203125" style="1305" hidden="1" customWidth="1" outlineLevel="1"/>
    <col min="18" max="18" width="16.33203125" style="1303" hidden="1" customWidth="1" outlineLevel="1"/>
    <col min="19" max="19" width="13.6640625" style="1303" hidden="1" customWidth="1" outlineLevel="1"/>
    <col min="20" max="20" width="14.83203125" style="1303" hidden="1" customWidth="1" outlineLevel="1"/>
    <col min="21" max="21" width="13.5" style="1303" hidden="1" customWidth="1" outlineLevel="1"/>
    <col min="22" max="22" width="16.1640625" style="1303" hidden="1" customWidth="1" outlineLevel="1"/>
    <col min="23" max="23" width="11.5" style="1303" hidden="1" customWidth="1" outlineLevel="1"/>
    <col min="24" max="25" width="10.6640625" style="1303" hidden="1" customWidth="1" outlineLevel="1"/>
    <col min="26" max="26" width="4.5" style="1303" customWidth="1" collapsed="1"/>
    <col min="27" max="27" width="23.5" style="1303" customWidth="1"/>
    <col min="28" max="33" width="15.33203125" style="1303" customWidth="1"/>
    <col min="34" max="34" width="12.6640625" style="1303" bestFit="1" customWidth="1"/>
    <col min="35" max="35" width="13.5" style="1303" bestFit="1" customWidth="1"/>
    <col min="36" max="36" width="13" style="1303" bestFit="1" customWidth="1"/>
    <col min="37" max="37" width="10.83203125" style="1303" bestFit="1" customWidth="1"/>
    <col min="38" max="38" width="14.83203125" style="1303" bestFit="1" customWidth="1"/>
    <col min="39" max="16384" width="10.6640625" style="1303"/>
  </cols>
  <sheetData>
    <row r="1" spans="1:38" ht="11.25" customHeight="1" thickBot="1">
      <c r="A1" s="1302"/>
      <c r="E1" s="1304"/>
      <c r="F1" s="1304"/>
      <c r="G1" s="1304"/>
      <c r="H1" s="1304"/>
      <c r="I1" s="1304"/>
      <c r="J1" s="1304"/>
      <c r="K1" s="1304"/>
      <c r="L1" s="1304"/>
      <c r="M1" s="1304"/>
      <c r="Q1" s="1303"/>
      <c r="R1" s="1306"/>
      <c r="S1" s="1307"/>
      <c r="AG1" s="1303" t="s">
        <v>462</v>
      </c>
      <c r="AH1" s="1303" t="s">
        <v>464</v>
      </c>
      <c r="AJ1" s="1308"/>
    </row>
    <row r="2" spans="1:38" ht="15" thickTop="1">
      <c r="A2" s="1309"/>
      <c r="B2" s="187" t="str">
        <f>'MASTER PubCo Inputs'!$C$5</f>
        <v>Decibel Therapeutics, Inc.</v>
      </c>
      <c r="C2" s="187"/>
      <c r="D2" s="187"/>
      <c r="E2" s="187"/>
      <c r="F2" s="187"/>
      <c r="G2" s="187"/>
      <c r="H2" s="187"/>
      <c r="I2" s="187"/>
      <c r="J2" s="187"/>
      <c r="K2" s="187"/>
      <c r="L2" s="187"/>
      <c r="M2" s="187"/>
      <c r="N2" s="187"/>
      <c r="O2" s="187"/>
      <c r="P2" s="1310"/>
      <c r="Q2" s="1311"/>
      <c r="R2" s="1312" t="s">
        <v>1575</v>
      </c>
      <c r="S2" s="1313">
        <v>42704</v>
      </c>
      <c r="AB2" s="1406" t="s">
        <v>1951</v>
      </c>
      <c r="AG2" s="1303" t="s">
        <v>843</v>
      </c>
      <c r="AH2" s="1303" t="s">
        <v>844</v>
      </c>
    </row>
    <row r="3" spans="1:38" ht="14.25">
      <c r="A3" s="1309"/>
      <c r="B3" s="188" t="str">
        <f>VLOOKUP(B4,Outline!$E$8:$G$75,COLUMNS(Outline!$E$8:$G$8),FALSE)</f>
        <v>Workpaper #15</v>
      </c>
      <c r="C3" s="188"/>
      <c r="D3" s="188"/>
      <c r="E3" s="188"/>
      <c r="F3" s="188"/>
      <c r="G3" s="188"/>
      <c r="H3" s="188"/>
      <c r="I3" s="188"/>
      <c r="J3" s="188"/>
      <c r="K3" s="188"/>
      <c r="L3" s="188"/>
      <c r="M3" s="188"/>
      <c r="N3" s="188"/>
      <c r="O3" s="188"/>
      <c r="P3" s="1310"/>
      <c r="Q3" s="1311"/>
      <c r="R3" s="1407"/>
      <c r="S3" s="1315"/>
      <c r="AB3" s="1408">
        <v>42825</v>
      </c>
      <c r="AC3" s="1303" t="s">
        <v>1952</v>
      </c>
      <c r="AG3" s="1303" t="s">
        <v>463</v>
      </c>
      <c r="AH3" s="1303" t="s">
        <v>465</v>
      </c>
    </row>
    <row r="4" spans="1:38" ht="15" thickBot="1">
      <c r="B4" s="726" t="s">
        <v>1203</v>
      </c>
      <c r="C4" s="726"/>
      <c r="D4" s="726"/>
      <c r="E4" s="726"/>
      <c r="F4" s="726"/>
      <c r="G4" s="726"/>
      <c r="H4" s="726"/>
      <c r="I4" s="726"/>
      <c r="J4" s="726"/>
      <c r="K4" s="726"/>
      <c r="L4" s="726"/>
      <c r="M4" s="726"/>
      <c r="N4" s="726"/>
      <c r="O4" s="727" t="str">
        <f>'MASTER PubCo Inputs'!C20</f>
        <v>(in thousands of USD and shares, except price per share)</v>
      </c>
      <c r="P4" s="1310"/>
      <c r="Q4" s="1303"/>
      <c r="AG4" s="1303" t="s">
        <v>89</v>
      </c>
      <c r="AH4" s="1303" t="s">
        <v>90</v>
      </c>
    </row>
    <row r="5" spans="1:38" ht="14.85" customHeight="1" thickTop="1">
      <c r="B5" s="1316" t="s">
        <v>2083</v>
      </c>
      <c r="C5" s="1316"/>
      <c r="D5" s="1316"/>
      <c r="E5" s="1316"/>
      <c r="F5" s="1317"/>
      <c r="G5" s="1409"/>
      <c r="H5" s="1409"/>
      <c r="I5" s="1409"/>
      <c r="J5" s="1409"/>
      <c r="K5" s="361"/>
      <c r="L5" s="361"/>
      <c r="M5" s="361"/>
      <c r="N5" s="361"/>
      <c r="O5" s="362"/>
      <c r="P5" s="1310"/>
      <c r="Q5" s="1303"/>
    </row>
    <row r="6" spans="1:38" ht="14.85" customHeight="1">
      <c r="B6" s="1309"/>
      <c r="C6" s="1309"/>
      <c r="D6" s="1309"/>
      <c r="E6" s="1304"/>
      <c r="F6" s="1304"/>
      <c r="G6" s="1304"/>
      <c r="H6" s="1304"/>
      <c r="I6" s="1304"/>
      <c r="J6" s="1304"/>
      <c r="K6" s="1304"/>
      <c r="L6" s="1304"/>
      <c r="M6" s="1304"/>
      <c r="P6" s="1310"/>
      <c r="Q6" s="1303"/>
    </row>
    <row r="7" spans="1:38" s="1321" customFormat="1" ht="14.85" customHeight="1">
      <c r="B7" s="964" t="s">
        <v>1847</v>
      </c>
      <c r="C7" s="1410"/>
      <c r="D7" s="1410"/>
      <c r="E7" s="1410"/>
      <c r="F7" s="1410"/>
      <c r="G7" s="1410"/>
      <c r="H7" s="1410"/>
      <c r="I7" s="1410"/>
      <c r="J7" s="1410"/>
      <c r="K7" s="1410"/>
      <c r="L7" s="1410"/>
      <c r="M7" s="1410"/>
      <c r="N7" s="1410"/>
      <c r="O7" s="1411"/>
      <c r="P7" s="1410"/>
      <c r="Q7" s="1410"/>
      <c r="R7" s="1410"/>
      <c r="S7" s="1411"/>
      <c r="T7" s="1410"/>
      <c r="U7" s="1410"/>
      <c r="V7" s="1410"/>
      <c r="W7" s="1410"/>
      <c r="X7" s="1410"/>
      <c r="Y7" s="1411"/>
      <c r="Z7" s="1412"/>
      <c r="AA7" s="1326"/>
    </row>
    <row r="8" spans="1:38" s="1327" customFormat="1" ht="14.85" customHeight="1">
      <c r="B8" s="1413"/>
      <c r="C8" s="1414"/>
      <c r="D8" s="1414"/>
      <c r="E8" s="1414"/>
      <c r="F8" s="1415"/>
      <c r="G8" s="1415"/>
      <c r="H8" s="1415"/>
      <c r="I8" s="1416"/>
      <c r="J8" s="1414"/>
      <c r="K8" s="1416"/>
      <c r="L8" s="1416"/>
      <c r="M8" s="1416"/>
      <c r="N8" s="1414"/>
      <c r="O8" s="1417"/>
      <c r="P8" s="1418" t="s">
        <v>1848</v>
      </c>
      <c r="Q8" s="1418"/>
      <c r="R8" s="1418"/>
      <c r="S8" s="1419"/>
      <c r="T8" s="1418" t="s">
        <v>1849</v>
      </c>
      <c r="U8" s="1418"/>
      <c r="V8" s="1418"/>
      <c r="W8" s="1418" t="s">
        <v>1850</v>
      </c>
      <c r="X8" s="1418"/>
      <c r="Y8" s="1419"/>
      <c r="Z8" s="1412"/>
      <c r="AA8" s="1420"/>
      <c r="AB8" s="1321"/>
      <c r="AC8" s="1321"/>
      <c r="AF8" s="1321"/>
    </row>
    <row r="9" spans="1:38" s="1327" customFormat="1" ht="17.25" customHeight="1">
      <c r="B9" s="1421"/>
      <c r="C9" s="1330"/>
      <c r="D9" s="1330" t="s">
        <v>1206</v>
      </c>
      <c r="E9" s="2083" t="s">
        <v>1848</v>
      </c>
      <c r="F9" s="2082" t="s">
        <v>1207</v>
      </c>
      <c r="G9" s="2083" t="s">
        <v>1208</v>
      </c>
      <c r="H9" s="2083"/>
      <c r="I9" s="2082" t="s">
        <v>1209</v>
      </c>
      <c r="J9" s="2082" t="s">
        <v>2079</v>
      </c>
      <c r="K9" s="2082" t="s">
        <v>1210</v>
      </c>
      <c r="L9" s="2082" t="s">
        <v>1211</v>
      </c>
      <c r="M9" s="2082" t="s">
        <v>1212</v>
      </c>
      <c r="N9" s="2082" t="s">
        <v>2080</v>
      </c>
      <c r="O9" s="2085" t="s">
        <v>1217</v>
      </c>
      <c r="P9" s="1422" t="s">
        <v>330</v>
      </c>
      <c r="Q9" s="1422" t="s">
        <v>333</v>
      </c>
      <c r="R9" s="1330" t="s">
        <v>330</v>
      </c>
      <c r="S9" s="1423" t="s">
        <v>333</v>
      </c>
      <c r="T9" s="1330" t="s">
        <v>1851</v>
      </c>
      <c r="U9" s="1330" t="s">
        <v>330</v>
      </c>
      <c r="V9" s="1330" t="s">
        <v>333</v>
      </c>
      <c r="W9" s="1330" t="s">
        <v>1851</v>
      </c>
      <c r="X9" s="1330" t="s">
        <v>330</v>
      </c>
      <c r="Y9" s="1424" t="s">
        <v>333</v>
      </c>
      <c r="Z9" s="1412"/>
      <c r="AA9" s="2065" t="s">
        <v>1213</v>
      </c>
      <c r="AB9" s="2065" t="s">
        <v>1214</v>
      </c>
      <c r="AC9" s="2065" t="s">
        <v>1215</v>
      </c>
      <c r="AE9" s="2084" t="s">
        <v>1217</v>
      </c>
      <c r="AF9" s="2065" t="s">
        <v>824</v>
      </c>
      <c r="AH9" s="2066" t="s">
        <v>147</v>
      </c>
      <c r="AI9" s="2066" t="s">
        <v>2085</v>
      </c>
      <c r="AJ9" s="2066" t="s">
        <v>2086</v>
      </c>
      <c r="AK9" s="2066" t="s">
        <v>2087</v>
      </c>
      <c r="AL9" s="2066" t="s">
        <v>2088</v>
      </c>
    </row>
    <row r="10" spans="1:38" s="1327" customFormat="1" ht="23.25" customHeight="1">
      <c r="B10" s="1331" t="s">
        <v>1218</v>
      </c>
      <c r="C10" s="1332" t="s">
        <v>1219</v>
      </c>
      <c r="D10" s="1332" t="s">
        <v>1220</v>
      </c>
      <c r="E10" s="2068"/>
      <c r="F10" s="2070"/>
      <c r="G10" s="1333" t="s">
        <v>112</v>
      </c>
      <c r="H10" s="1333" t="s">
        <v>111</v>
      </c>
      <c r="I10" s="2070"/>
      <c r="J10" s="2070"/>
      <c r="K10" s="2070"/>
      <c r="L10" s="2070"/>
      <c r="M10" s="2070"/>
      <c r="N10" s="2070"/>
      <c r="O10" s="2072"/>
      <c r="P10" s="1332" t="s">
        <v>162</v>
      </c>
      <c r="Q10" s="1332" t="s">
        <v>162</v>
      </c>
      <c r="R10" s="1332" t="s">
        <v>1852</v>
      </c>
      <c r="S10" s="1425" t="s">
        <v>1853</v>
      </c>
      <c r="T10" s="1332" t="s">
        <v>1854</v>
      </c>
      <c r="U10" s="1332" t="s">
        <v>1852</v>
      </c>
      <c r="V10" s="1332" t="s">
        <v>1853</v>
      </c>
      <c r="W10" s="1332" t="s">
        <v>1854</v>
      </c>
      <c r="X10" s="1332" t="s">
        <v>1852</v>
      </c>
      <c r="Y10" s="1425" t="s">
        <v>1853</v>
      </c>
      <c r="Z10" s="1412"/>
      <c r="AA10" s="2065"/>
      <c r="AB10" s="2065"/>
      <c r="AC10" s="2065"/>
      <c r="AE10" s="2084"/>
      <c r="AF10" s="2065"/>
      <c r="AG10" s="1335" t="s">
        <v>95</v>
      </c>
      <c r="AH10" s="2066"/>
      <c r="AI10" s="2066"/>
      <c r="AJ10" s="2066"/>
      <c r="AK10" s="2066"/>
      <c r="AL10" s="2066"/>
    </row>
    <row r="11" spans="1:38" s="1327" customFormat="1" ht="14.85" customHeight="1">
      <c r="B11" s="1335"/>
      <c r="C11" s="1335"/>
      <c r="D11" s="1335"/>
      <c r="E11" s="1335"/>
      <c r="F11" s="1335"/>
      <c r="G11" s="1335"/>
      <c r="H11" s="1335"/>
      <c r="I11" s="1335"/>
      <c r="J11" s="1335"/>
      <c r="K11" s="1335"/>
      <c r="L11" s="1335"/>
      <c r="M11" s="1335"/>
      <c r="N11" s="1426"/>
      <c r="O11" s="1335"/>
      <c r="P11" s="1426"/>
      <c r="Q11" s="1426"/>
      <c r="R11" s="1335"/>
      <c r="S11" s="1426"/>
      <c r="T11" s="1426"/>
      <c r="U11" s="1335"/>
      <c r="V11" s="1335"/>
      <c r="W11" s="1335"/>
      <c r="X11" s="1335"/>
      <c r="Y11" s="1426"/>
      <c r="Z11" s="1412"/>
      <c r="AA11" s="1336"/>
      <c r="AB11" s="1336"/>
      <c r="AC11" s="1336"/>
      <c r="AF11" s="1427"/>
    </row>
    <row r="12" spans="1:38" s="1327" customFormat="1" ht="14.85" customHeight="1">
      <c r="B12" s="1321" t="s">
        <v>1855</v>
      </c>
      <c r="C12" s="1340" t="s">
        <v>1856</v>
      </c>
      <c r="D12" s="1340" t="s">
        <v>1857</v>
      </c>
      <c r="E12" s="1342">
        <v>42662</v>
      </c>
      <c r="F12" s="1428">
        <v>17</v>
      </c>
      <c r="G12" s="1428">
        <v>13</v>
      </c>
      <c r="H12" s="1429">
        <v>15</v>
      </c>
      <c r="I12" s="1429">
        <v>30.49</v>
      </c>
      <c r="J12" s="1358">
        <f t="shared" ref="J12:J40" si="0">L12-K12</f>
        <v>14828.987000000001</v>
      </c>
      <c r="K12" s="1358">
        <v>5350</v>
      </c>
      <c r="L12" s="1129">
        <v>20178.987000000001</v>
      </c>
      <c r="M12" s="1358">
        <f t="shared" ref="M12:M17" si="1">+J12*F12</f>
        <v>252092.77900000001</v>
      </c>
      <c r="N12" s="1358">
        <v>107000.01</v>
      </c>
      <c r="O12" s="1358">
        <f>+M12+N12</f>
        <v>359092.78899999999</v>
      </c>
      <c r="P12" s="1353">
        <v>48786000</v>
      </c>
      <c r="Q12" s="1353">
        <v>62887920</v>
      </c>
      <c r="R12" s="1358">
        <f t="shared" ref="R12:R40" si="2">IFERROR(O12/P12,"n/a")</f>
        <v>7.3605704300414047E-3</v>
      </c>
      <c r="S12" s="1358">
        <f t="shared" ref="S12:S40" si="3">IFERROR(O12/Q12,"n/a")</f>
        <v>5.7100439798295124E-3</v>
      </c>
      <c r="T12" s="1353">
        <f t="shared" ref="T12:T17" si="4">O12+AG12-AF12</f>
        <v>381493.78899999999</v>
      </c>
      <c r="U12" s="1358">
        <f>IFERROR($T12/P12,"n/a")</f>
        <v>7.8197390439880294E-3</v>
      </c>
      <c r="V12" s="1358">
        <f>IFERROR($T12/Q12,"n/a")</f>
        <v>6.0662491142973087E-3</v>
      </c>
      <c r="W12" s="1353">
        <v>766886680</v>
      </c>
      <c r="X12" s="1358">
        <f>IFERROR($W12/P12,"n/a")</f>
        <v>15.719400647726808</v>
      </c>
      <c r="Y12" s="1358">
        <f>IFERROR($W12/Q12,"n/a")</f>
        <v>12.194499038925123</v>
      </c>
      <c r="Z12" s="1358"/>
      <c r="AA12" s="1358">
        <f t="shared" ref="AA12:AA18" si="5">+I12*L12</f>
        <v>615257.31362999999</v>
      </c>
      <c r="AB12" s="1430">
        <v>42663</v>
      </c>
      <c r="AC12" s="1430">
        <f t="shared" ref="AC12:AC21" si="6">+AB12+30</f>
        <v>42693</v>
      </c>
      <c r="AD12" s="1348" t="s">
        <v>1858</v>
      </c>
      <c r="AE12" s="1348">
        <v>359092.78899999999</v>
      </c>
      <c r="AF12" s="1303">
        <v>8974</v>
      </c>
      <c r="AG12" s="1303">
        <v>31375</v>
      </c>
      <c r="AH12" s="1431">
        <f>AE12+AG12-AF12</f>
        <v>381493.78899999999</v>
      </c>
      <c r="AI12" s="1432">
        <v>3924</v>
      </c>
      <c r="AJ12" s="1432">
        <v>-15387</v>
      </c>
      <c r="AK12" s="1433">
        <f>IFERROR(AH12/AI12,"n/a")</f>
        <v>97.220639398572885</v>
      </c>
      <c r="AL12" s="1431">
        <f>IFERROR(AH12/AJ12,"n/a")</f>
        <v>-24.793253330733737</v>
      </c>
    </row>
    <row r="13" spans="1:38" s="1327" customFormat="1" ht="14.85" customHeight="1">
      <c r="B13" s="1321" t="s">
        <v>1859</v>
      </c>
      <c r="C13" s="1340" t="s">
        <v>1860</v>
      </c>
      <c r="D13" s="1340" t="s">
        <v>1861</v>
      </c>
      <c r="E13" s="1342">
        <v>42648</v>
      </c>
      <c r="F13" s="1428">
        <v>15</v>
      </c>
      <c r="G13" s="1428">
        <v>14</v>
      </c>
      <c r="H13" s="1429">
        <v>16</v>
      </c>
      <c r="I13" s="1429">
        <v>8.9499999999999993</v>
      </c>
      <c r="J13" s="1358">
        <f t="shared" si="0"/>
        <v>10953.471</v>
      </c>
      <c r="K13" s="1358">
        <v>5000</v>
      </c>
      <c r="L13" s="1129">
        <v>15953.471</v>
      </c>
      <c r="M13" s="1358">
        <f t="shared" si="1"/>
        <v>164302.065</v>
      </c>
      <c r="N13" s="1358">
        <v>75000</v>
      </c>
      <c r="O13" s="1358">
        <f t="shared" ref="O13:O40" si="7">+M13+N13</f>
        <v>239302.065</v>
      </c>
      <c r="P13" s="1353">
        <v>3924000</v>
      </c>
      <c r="Q13" s="1353">
        <v>3332750</v>
      </c>
      <c r="R13" s="1358">
        <f t="shared" si="2"/>
        <v>6.0984216360856269E-2</v>
      </c>
      <c r="S13" s="1358">
        <f t="shared" si="3"/>
        <v>7.1803185057385047E-2</v>
      </c>
      <c r="T13" s="1353">
        <f t="shared" si="4"/>
        <v>244856.065</v>
      </c>
      <c r="U13" s="1358">
        <f t="shared" ref="U13:V16" si="8">IFERROR($T13/P13,"n/a")</f>
        <v>6.2399608817533127E-2</v>
      </c>
      <c r="V13" s="1358">
        <f t="shared" si="8"/>
        <v>7.3469676693421346E-2</v>
      </c>
      <c r="W13" s="1353">
        <v>249632570</v>
      </c>
      <c r="X13" s="1358">
        <f t="shared" ref="X13:Y16" si="9">IFERROR($W13/P13,"n/a")</f>
        <v>63.616862895005099</v>
      </c>
      <c r="Y13" s="1358">
        <f t="shared" si="9"/>
        <v>74.902879003825674</v>
      </c>
      <c r="Z13" s="1358"/>
      <c r="AA13" s="1358">
        <f t="shared" si="5"/>
        <v>142783.56544999999</v>
      </c>
      <c r="AB13" s="1430">
        <v>42649</v>
      </c>
      <c r="AC13" s="1430">
        <f t="shared" si="6"/>
        <v>42679</v>
      </c>
      <c r="AD13" s="1348" t="s">
        <v>1862</v>
      </c>
      <c r="AE13" s="1348">
        <v>239302.065</v>
      </c>
      <c r="AF13" s="1303">
        <v>4329</v>
      </c>
      <c r="AG13" s="1303">
        <v>9883</v>
      </c>
      <c r="AH13" s="1431">
        <f t="shared" ref="AH13:AH40" si="10">AE13+AG13-AF13</f>
        <v>244856.065</v>
      </c>
      <c r="AI13" s="1431">
        <v>71409</v>
      </c>
      <c r="AJ13" s="1431">
        <v>5566</v>
      </c>
      <c r="AK13" s="1433">
        <f t="shared" ref="AK13:AK40" si="11">IFERROR(AH13/AI13,"n/a")</f>
        <v>3.4289244352952708</v>
      </c>
      <c r="AL13" s="1433">
        <f t="shared" ref="AL13:AL40" si="12">IFERROR(AH13/AJ13,"n/a")</f>
        <v>43.99138789076536</v>
      </c>
    </row>
    <row r="14" spans="1:38" s="1327" customFormat="1" ht="14.85" customHeight="1">
      <c r="B14" s="1321" t="s">
        <v>1863</v>
      </c>
      <c r="C14" s="1340" t="s">
        <v>1864</v>
      </c>
      <c r="D14" s="1340" t="s">
        <v>1865</v>
      </c>
      <c r="E14" s="1342">
        <v>42578</v>
      </c>
      <c r="F14" s="1428">
        <v>10</v>
      </c>
      <c r="G14" s="1428">
        <v>14</v>
      </c>
      <c r="H14" s="1429">
        <v>16</v>
      </c>
      <c r="I14" s="1429">
        <v>13.57</v>
      </c>
      <c r="J14" s="1358">
        <f t="shared" si="0"/>
        <v>12649.017</v>
      </c>
      <c r="K14" s="1358">
        <v>4000</v>
      </c>
      <c r="L14" s="1129">
        <v>16649.017</v>
      </c>
      <c r="M14" s="1358">
        <f t="shared" si="1"/>
        <v>126490.17</v>
      </c>
      <c r="N14" s="1358">
        <v>40000</v>
      </c>
      <c r="O14" s="1358">
        <f t="shared" si="7"/>
        <v>166490.16999999998</v>
      </c>
      <c r="P14" s="1353">
        <v>66450999.999999993</v>
      </c>
      <c r="Q14" s="1353">
        <v>82300000</v>
      </c>
      <c r="R14" s="1358">
        <f t="shared" si="2"/>
        <v>2.5054577056778681E-3</v>
      </c>
      <c r="S14" s="1358">
        <f t="shared" si="3"/>
        <v>2.0229668286755771E-3</v>
      </c>
      <c r="T14" s="1353">
        <f t="shared" si="4"/>
        <v>160703.16999999998</v>
      </c>
      <c r="U14" s="1358">
        <f t="shared" si="8"/>
        <v>2.4183709801206903E-3</v>
      </c>
      <c r="V14" s="1358">
        <f t="shared" si="8"/>
        <v>1.9526509113001213E-3</v>
      </c>
      <c r="W14" s="1353">
        <v>199301160</v>
      </c>
      <c r="X14" s="1358">
        <f t="shared" si="9"/>
        <v>2.9992198762998301</v>
      </c>
      <c r="Y14" s="1358">
        <f t="shared" si="9"/>
        <v>2.421642284325638</v>
      </c>
      <c r="Z14" s="1358"/>
      <c r="AA14" s="1358">
        <f t="shared" si="5"/>
        <v>225927.16068999999</v>
      </c>
      <c r="AB14" s="1430">
        <v>42579</v>
      </c>
      <c r="AC14" s="1430">
        <f t="shared" si="6"/>
        <v>42609</v>
      </c>
      <c r="AD14" s="1348" t="s">
        <v>1866</v>
      </c>
      <c r="AE14" s="1348">
        <v>166490.16999999998</v>
      </c>
      <c r="AF14" s="1303">
        <v>5787</v>
      </c>
      <c r="AG14" s="1303">
        <v>0</v>
      </c>
      <c r="AH14" s="1431">
        <f t="shared" si="10"/>
        <v>160703.16999999998</v>
      </c>
      <c r="AI14" s="1431">
        <v>0</v>
      </c>
      <c r="AJ14" s="1431">
        <v>-5970.97</v>
      </c>
      <c r="AK14" s="1433" t="str">
        <f t="shared" si="11"/>
        <v>n/a</v>
      </c>
      <c r="AL14" s="1433">
        <f t="shared" si="12"/>
        <v>-26.914080961719783</v>
      </c>
    </row>
    <row r="15" spans="1:38" s="1327" customFormat="1" ht="14.85" customHeight="1">
      <c r="B15" s="1321" t="s">
        <v>1867</v>
      </c>
      <c r="C15" s="1340" t="s">
        <v>1868</v>
      </c>
      <c r="D15" s="1340" t="s">
        <v>1869</v>
      </c>
      <c r="E15" s="1342">
        <v>42507</v>
      </c>
      <c r="F15" s="1428">
        <v>4</v>
      </c>
      <c r="G15" s="1428">
        <v>0</v>
      </c>
      <c r="H15" s="1429">
        <v>0</v>
      </c>
      <c r="I15" s="1429">
        <v>4.37</v>
      </c>
      <c r="J15" s="1358">
        <f t="shared" si="0"/>
        <v>7565.4509999999991</v>
      </c>
      <c r="K15" s="1358">
        <v>5000</v>
      </c>
      <c r="L15" s="1129">
        <v>12565.450999999999</v>
      </c>
      <c r="M15" s="1358">
        <f t="shared" si="1"/>
        <v>30261.803999999996</v>
      </c>
      <c r="N15" s="1358">
        <v>20000</v>
      </c>
      <c r="O15" s="1358">
        <f t="shared" si="7"/>
        <v>50261.803999999996</v>
      </c>
      <c r="P15" s="1353">
        <v>0</v>
      </c>
      <c r="Q15" s="1353">
        <v>0</v>
      </c>
      <c r="R15" s="1358" t="str">
        <f t="shared" si="2"/>
        <v>n/a</v>
      </c>
      <c r="S15" s="1358" t="str">
        <f t="shared" si="3"/>
        <v>n/a</v>
      </c>
      <c r="T15" s="1353">
        <f t="shared" si="4"/>
        <v>46655.894</v>
      </c>
      <c r="U15" s="1358" t="str">
        <f t="shared" si="8"/>
        <v>n/a</v>
      </c>
      <c r="V15" s="1358" t="str">
        <f t="shared" si="8"/>
        <v>n/a</v>
      </c>
      <c r="W15" s="1353">
        <v>51305110</v>
      </c>
      <c r="X15" s="1358" t="str">
        <f t="shared" si="9"/>
        <v>n/a</v>
      </c>
      <c r="Y15" s="1358" t="str">
        <f t="shared" si="9"/>
        <v>n/a</v>
      </c>
      <c r="Z15" s="1358"/>
      <c r="AA15" s="1358">
        <f t="shared" si="5"/>
        <v>54911.02087</v>
      </c>
      <c r="AB15" s="1430">
        <v>42508</v>
      </c>
      <c r="AC15" s="1430">
        <f t="shared" si="6"/>
        <v>42538</v>
      </c>
      <c r="AD15" s="1348" t="s">
        <v>1870</v>
      </c>
      <c r="AE15" s="1348">
        <v>50261.803999999996</v>
      </c>
      <c r="AF15" s="1303">
        <v>3605.91</v>
      </c>
      <c r="AG15" s="1303">
        <v>0</v>
      </c>
      <c r="AH15" s="1431">
        <f t="shared" si="10"/>
        <v>46655.894</v>
      </c>
      <c r="AI15" s="1431">
        <v>0</v>
      </c>
      <c r="AJ15" s="1431">
        <v>0</v>
      </c>
      <c r="AK15" s="1433" t="str">
        <f t="shared" si="11"/>
        <v>n/a</v>
      </c>
      <c r="AL15" s="1433" t="str">
        <f t="shared" si="12"/>
        <v>n/a</v>
      </c>
    </row>
    <row r="16" spans="1:38" s="1327" customFormat="1" ht="14.85" customHeight="1">
      <c r="B16" s="1321" t="s">
        <v>1871</v>
      </c>
      <c r="C16" s="1340" t="s">
        <v>1872</v>
      </c>
      <c r="D16" s="1340" t="s">
        <v>1873</v>
      </c>
      <c r="E16" s="1342">
        <v>42488</v>
      </c>
      <c r="F16" s="1428">
        <v>5</v>
      </c>
      <c r="G16" s="1428">
        <v>0</v>
      </c>
      <c r="H16" s="1429">
        <v>0</v>
      </c>
      <c r="I16" s="1429">
        <v>14.3</v>
      </c>
      <c r="J16" s="1353">
        <f t="shared" si="0"/>
        <v>12250</v>
      </c>
      <c r="K16" s="1353">
        <f>+L16-(12250000/1000)</f>
        <v>1200</v>
      </c>
      <c r="L16" s="1129">
        <v>13450</v>
      </c>
      <c r="M16" s="1358">
        <f t="shared" si="1"/>
        <v>61250</v>
      </c>
      <c r="N16" s="1358">
        <v>5300</v>
      </c>
      <c r="O16" s="1358">
        <f t="shared" si="7"/>
        <v>66550</v>
      </c>
      <c r="P16" s="1353">
        <v>0</v>
      </c>
      <c r="Q16" s="1353">
        <v>0</v>
      </c>
      <c r="R16" s="1358" t="str">
        <f t="shared" si="2"/>
        <v>n/a</v>
      </c>
      <c r="S16" s="1358" t="str">
        <f t="shared" si="3"/>
        <v>n/a</v>
      </c>
      <c r="T16" s="1353">
        <f t="shared" si="4"/>
        <v>65782.73</v>
      </c>
      <c r="U16" s="1358" t="str">
        <f t="shared" si="8"/>
        <v>n/a</v>
      </c>
      <c r="V16" s="1358" t="str">
        <f t="shared" si="8"/>
        <v>n/a</v>
      </c>
      <c r="W16" s="1353">
        <v>187310150</v>
      </c>
      <c r="X16" s="1358" t="str">
        <f t="shared" si="9"/>
        <v>n/a</v>
      </c>
      <c r="Y16" s="1358" t="str">
        <f t="shared" si="9"/>
        <v>n/a</v>
      </c>
      <c r="Z16" s="1358"/>
      <c r="AA16" s="1358">
        <f t="shared" si="5"/>
        <v>192335</v>
      </c>
      <c r="AB16" s="1430">
        <v>42579</v>
      </c>
      <c r="AC16" s="1430">
        <f t="shared" si="6"/>
        <v>42609</v>
      </c>
      <c r="AD16" s="1348" t="s">
        <v>1874</v>
      </c>
      <c r="AE16" s="1348">
        <v>66550</v>
      </c>
      <c r="AF16" s="1303">
        <v>767.27</v>
      </c>
      <c r="AG16" s="1303">
        <v>0</v>
      </c>
      <c r="AH16" s="1431">
        <f t="shared" si="10"/>
        <v>65782.73</v>
      </c>
      <c r="AI16" s="1431">
        <v>227857</v>
      </c>
      <c r="AJ16" s="1431">
        <v>7320</v>
      </c>
      <c r="AK16" s="1433">
        <f t="shared" si="11"/>
        <v>0.28870181736791056</v>
      </c>
      <c r="AL16" s="1433">
        <f t="shared" si="12"/>
        <v>8.9867117486338799</v>
      </c>
    </row>
    <row r="17" spans="2:38" s="1327" customFormat="1" ht="14.85" customHeight="1">
      <c r="B17" s="1321" t="s">
        <v>1875</v>
      </c>
      <c r="C17" s="1340" t="s">
        <v>1876</v>
      </c>
      <c r="D17" s="1340" t="s">
        <v>1877</v>
      </c>
      <c r="E17" s="1342">
        <v>42264</v>
      </c>
      <c r="F17" s="1428">
        <v>30</v>
      </c>
      <c r="G17" s="1428">
        <v>25</v>
      </c>
      <c r="H17" s="1429">
        <v>28</v>
      </c>
      <c r="I17" s="1429">
        <v>40.799999999999997</v>
      </c>
      <c r="J17" s="1358">
        <f t="shared" si="0"/>
        <v>26038.636999999999</v>
      </c>
      <c r="K17" s="1358">
        <v>4600</v>
      </c>
      <c r="L17" s="1129">
        <v>30638.636999999999</v>
      </c>
      <c r="M17" s="1358">
        <f t="shared" si="1"/>
        <v>781159.11</v>
      </c>
      <c r="N17" s="1358">
        <v>120000</v>
      </c>
      <c r="O17" s="1358">
        <f t="shared" si="7"/>
        <v>901159.11</v>
      </c>
      <c r="P17" s="1353">
        <v>149130000</v>
      </c>
      <c r="Q17" s="1353">
        <v>178289300</v>
      </c>
      <c r="R17" s="1358">
        <f t="shared" si="2"/>
        <v>6.0427754978877486E-3</v>
      </c>
      <c r="S17" s="1358">
        <f t="shared" si="3"/>
        <v>5.0544766848038556E-3</v>
      </c>
      <c r="T17" s="1353">
        <f t="shared" si="4"/>
        <v>864395.11</v>
      </c>
      <c r="U17" s="1358">
        <f>IFERROR($T17/P17,"n/a")</f>
        <v>5.7962523301817205E-3</v>
      </c>
      <c r="V17" s="1358">
        <f>IFERROR($T17/Q17,"n/a")</f>
        <v>4.8482724986861243E-3</v>
      </c>
      <c r="W17" s="1353">
        <v>1300279390</v>
      </c>
      <c r="X17" s="1358">
        <f>IFERROR($W17/P17,"n/a")</f>
        <v>8.7191000469389124</v>
      </c>
      <c r="Y17" s="1358">
        <f>IFERROR($W17/Q17,"n/a")</f>
        <v>7.2930870781364892</v>
      </c>
      <c r="Z17" s="1358"/>
      <c r="AA17" s="1358">
        <f t="shared" si="5"/>
        <v>1250056.3895999999</v>
      </c>
      <c r="AB17" s="1430">
        <v>42265</v>
      </c>
      <c r="AC17" s="1430">
        <f t="shared" si="6"/>
        <v>42295</v>
      </c>
      <c r="AD17" s="1348" t="s">
        <v>1878</v>
      </c>
      <c r="AE17" s="1348">
        <v>901159.11</v>
      </c>
      <c r="AF17" s="1303">
        <v>36764</v>
      </c>
      <c r="AG17" s="1303">
        <v>0</v>
      </c>
      <c r="AH17" s="1431">
        <f t="shared" si="10"/>
        <v>864395.11</v>
      </c>
      <c r="AI17" s="1431">
        <v>72148</v>
      </c>
      <c r="AJ17" s="1431">
        <v>-57318</v>
      </c>
      <c r="AK17" s="1433">
        <f t="shared" si="11"/>
        <v>11.980860314908243</v>
      </c>
      <c r="AL17" s="1433">
        <f t="shared" si="12"/>
        <v>-15.080692103702154</v>
      </c>
    </row>
    <row r="18" spans="2:38" s="1327" customFormat="1" ht="14.85" customHeight="1">
      <c r="B18" s="1321" t="s">
        <v>1879</v>
      </c>
      <c r="C18" s="1340" t="s">
        <v>1880</v>
      </c>
      <c r="D18" s="1340" t="s">
        <v>1881</v>
      </c>
      <c r="E18" s="1342">
        <v>42185</v>
      </c>
      <c r="F18" s="1428">
        <v>15</v>
      </c>
      <c r="G18" s="1428">
        <v>14</v>
      </c>
      <c r="H18" s="1429">
        <v>16</v>
      </c>
      <c r="I18" s="1429">
        <v>23.08</v>
      </c>
      <c r="J18" s="1358">
        <f t="shared" si="0"/>
        <v>30086.637000000002</v>
      </c>
      <c r="K18" s="1358">
        <v>10350</v>
      </c>
      <c r="L18" s="1129">
        <v>40436.637000000002</v>
      </c>
      <c r="M18" s="1358">
        <f t="shared" ref="M18:M40" si="13">+J18*F18</f>
        <v>451299.55500000005</v>
      </c>
      <c r="N18" s="1358">
        <v>135000</v>
      </c>
      <c r="O18" s="1358">
        <f t="shared" si="7"/>
        <v>586299.55500000005</v>
      </c>
      <c r="P18" s="1353">
        <v>51287000</v>
      </c>
      <c r="Q18" s="1353">
        <v>64888710</v>
      </c>
      <c r="R18" s="1358">
        <f t="shared" si="2"/>
        <v>1.1431738159767583E-2</v>
      </c>
      <c r="S18" s="1358">
        <f t="shared" si="3"/>
        <v>9.0354632570134319E-3</v>
      </c>
      <c r="T18" s="1353">
        <f t="shared" ref="T18:T40" si="14">O18+AG18-AF18</f>
        <v>573920.55500000005</v>
      </c>
      <c r="U18" s="1358">
        <f>IFERROR($T18/P18,"n/a")</f>
        <v>1.1190370951703162E-2</v>
      </c>
      <c r="V18" s="1358">
        <f>IFERROR($T18/Q18,"n/a")</f>
        <v>8.8446904708076347E-3</v>
      </c>
      <c r="W18" s="1353">
        <v>889748960</v>
      </c>
      <c r="X18" s="1358">
        <f t="shared" ref="X18:Y40" si="15">IFERROR($W18/P18,"n/a")</f>
        <v>17.348430596447443</v>
      </c>
      <c r="Y18" s="1358">
        <f t="shared" si="15"/>
        <v>13.711922459238286</v>
      </c>
      <c r="Z18" s="1358"/>
      <c r="AA18" s="1358">
        <f t="shared" si="5"/>
        <v>933277.58195999998</v>
      </c>
      <c r="AB18" s="1430">
        <v>42186</v>
      </c>
      <c r="AC18" s="1430">
        <f t="shared" si="6"/>
        <v>42216</v>
      </c>
      <c r="AD18" s="1348" t="s">
        <v>1882</v>
      </c>
      <c r="AE18" s="1348">
        <v>586299.55500000005</v>
      </c>
      <c r="AF18" s="1303">
        <v>22939</v>
      </c>
      <c r="AG18" s="1303">
        <v>10560</v>
      </c>
      <c r="AH18" s="1431">
        <f t="shared" si="10"/>
        <v>573920.55500000005</v>
      </c>
      <c r="AI18" s="1431">
        <v>90928</v>
      </c>
      <c r="AJ18" s="1431">
        <v>3392</v>
      </c>
      <c r="AK18" s="1433">
        <f t="shared" si="11"/>
        <v>6.3118132478444489</v>
      </c>
      <c r="AL18" s="1433">
        <f t="shared" si="12"/>
        <v>169.1982768278302</v>
      </c>
    </row>
    <row r="19" spans="2:38" s="1327" customFormat="1" ht="14.85" customHeight="1">
      <c r="B19" s="1321" t="s">
        <v>1883</v>
      </c>
      <c r="C19" s="1340" t="s">
        <v>1884</v>
      </c>
      <c r="D19" s="1340" t="s">
        <v>1885</v>
      </c>
      <c r="E19" s="1342">
        <v>42179</v>
      </c>
      <c r="F19" s="1429">
        <v>18</v>
      </c>
      <c r="G19" s="1429">
        <v>13</v>
      </c>
      <c r="H19" s="1429">
        <v>15</v>
      </c>
      <c r="I19" s="1429">
        <v>32.119999999999997</v>
      </c>
      <c r="J19" s="1358">
        <f t="shared" si="0"/>
        <v>24363.330999999998</v>
      </c>
      <c r="K19" s="1358">
        <v>6900</v>
      </c>
      <c r="L19" s="1129">
        <v>31263.330999999998</v>
      </c>
      <c r="M19" s="1358">
        <f t="shared" si="13"/>
        <v>438539.95799999998</v>
      </c>
      <c r="N19" s="1358">
        <v>108000</v>
      </c>
      <c r="O19" s="1358">
        <f t="shared" si="7"/>
        <v>546539.95799999998</v>
      </c>
      <c r="P19" s="1353">
        <v>52004000</v>
      </c>
      <c r="Q19" s="1353">
        <v>71599930</v>
      </c>
      <c r="R19" s="1358">
        <f t="shared" si="2"/>
        <v>1.0509575378817014E-2</v>
      </c>
      <c r="S19" s="1358">
        <f t="shared" si="3"/>
        <v>7.6332470995432531E-3</v>
      </c>
      <c r="T19" s="1353">
        <f t="shared" si="14"/>
        <v>564641.95799999998</v>
      </c>
      <c r="U19" s="1358">
        <f t="shared" ref="U19:V40" si="16">IFERROR($T19/P19,"n/a")</f>
        <v>1.0857663987385585E-2</v>
      </c>
      <c r="V19" s="1358">
        <f t="shared" si="16"/>
        <v>7.8860685757653672E-3</v>
      </c>
      <c r="W19" s="1353">
        <v>983313560</v>
      </c>
      <c r="X19" s="1358">
        <f t="shared" si="15"/>
        <v>18.908421659872317</v>
      </c>
      <c r="Y19" s="1358">
        <f t="shared" si="15"/>
        <v>13.733443035489001</v>
      </c>
      <c r="Z19" s="1358"/>
      <c r="AA19" s="1358">
        <f t="shared" ref="AA19:AA40" si="17">+I19*J19</f>
        <v>782550.19171999989</v>
      </c>
      <c r="AB19" s="1430">
        <v>42180</v>
      </c>
      <c r="AC19" s="1430">
        <f t="shared" si="6"/>
        <v>42210</v>
      </c>
      <c r="AD19" s="1348" t="s">
        <v>1886</v>
      </c>
      <c r="AE19" s="1348">
        <v>546539.95799999998</v>
      </c>
      <c r="AF19" s="1303">
        <v>4239</v>
      </c>
      <c r="AG19" s="1303">
        <v>22341</v>
      </c>
      <c r="AH19" s="1431">
        <f t="shared" si="10"/>
        <v>564641.95799999998</v>
      </c>
      <c r="AI19" s="1431">
        <v>462.05</v>
      </c>
      <c r="AJ19" s="1431">
        <v>-14963.6</v>
      </c>
      <c r="AK19" s="1433">
        <f t="shared" si="11"/>
        <v>1222.0364852288712</v>
      </c>
      <c r="AL19" s="1433">
        <f t="shared" si="12"/>
        <v>-37.734365927985245</v>
      </c>
    </row>
    <row r="20" spans="2:38" s="1327" customFormat="1" ht="14.85" customHeight="1">
      <c r="B20" s="1321" t="s">
        <v>1887</v>
      </c>
      <c r="C20" s="1340" t="s">
        <v>1888</v>
      </c>
      <c r="D20" s="1340" t="s">
        <v>1889</v>
      </c>
      <c r="E20" s="1342">
        <v>42173</v>
      </c>
      <c r="F20" s="1429">
        <v>0.39183000000000001</v>
      </c>
      <c r="G20" s="1429">
        <v>0</v>
      </c>
      <c r="H20" s="1429">
        <v>0</v>
      </c>
      <c r="I20" s="1429">
        <v>0.44996999999999998</v>
      </c>
      <c r="J20" s="1358">
        <f t="shared" si="0"/>
        <v>138244.701</v>
      </c>
      <c r="K20" s="1358">
        <v>73027.989000000001</v>
      </c>
      <c r="L20" s="1129">
        <v>211272.69</v>
      </c>
      <c r="M20" s="1358">
        <f t="shared" si="13"/>
        <v>54168.421192829999</v>
      </c>
      <c r="N20" s="1358">
        <v>28614.86</v>
      </c>
      <c r="O20" s="1358">
        <f t="shared" si="7"/>
        <v>82783.281192830007</v>
      </c>
      <c r="P20" s="1353">
        <v>0</v>
      </c>
      <c r="Q20" s="1353">
        <v>900000</v>
      </c>
      <c r="R20" s="1358" t="str">
        <f t="shared" si="2"/>
        <v>n/a</v>
      </c>
      <c r="S20" s="1358">
        <f t="shared" si="3"/>
        <v>9.1981423547588897E-2</v>
      </c>
      <c r="T20" s="1353">
        <f t="shared" si="14"/>
        <v>84696.281192830007</v>
      </c>
      <c r="U20" s="1358" t="str">
        <f t="shared" si="16"/>
        <v>n/a</v>
      </c>
      <c r="V20" s="1358">
        <f t="shared" si="16"/>
        <v>9.4106979103144459E-2</v>
      </c>
      <c r="W20" s="1353">
        <v>96878820</v>
      </c>
      <c r="X20" s="1358" t="str">
        <f t="shared" si="15"/>
        <v>n/a</v>
      </c>
      <c r="Y20" s="1358">
        <f t="shared" si="15"/>
        <v>107.64313333333334</v>
      </c>
      <c r="Z20" s="1358"/>
      <c r="AA20" s="1358">
        <f t="shared" si="17"/>
        <v>62205.968108969995</v>
      </c>
      <c r="AB20" s="1430">
        <v>42177</v>
      </c>
      <c r="AC20" s="1430">
        <f t="shared" si="6"/>
        <v>42207</v>
      </c>
      <c r="AD20" s="1348" t="s">
        <v>1890</v>
      </c>
      <c r="AE20" s="1348">
        <v>82783.281192830007</v>
      </c>
      <c r="AF20" s="1303">
        <v>1651</v>
      </c>
      <c r="AG20" s="1303">
        <v>3564</v>
      </c>
      <c r="AH20" s="1431">
        <f t="shared" si="10"/>
        <v>84696.281192830007</v>
      </c>
      <c r="AI20" s="1431">
        <v>26469</v>
      </c>
      <c r="AJ20" s="1431">
        <v>-37625</v>
      </c>
      <c r="AK20" s="1433">
        <f t="shared" si="11"/>
        <v>3.1998292792636671</v>
      </c>
      <c r="AL20" s="1433">
        <f t="shared" si="12"/>
        <v>-2.251063951968904</v>
      </c>
    </row>
    <row r="21" spans="2:38" s="1327" customFormat="1" ht="14.85" customHeight="1">
      <c r="B21" s="1321" t="s">
        <v>1891</v>
      </c>
      <c r="C21" s="1340" t="s">
        <v>1892</v>
      </c>
      <c r="D21" s="1340" t="s">
        <v>1893</v>
      </c>
      <c r="E21" s="1342">
        <v>42166</v>
      </c>
      <c r="F21" s="1429">
        <v>12</v>
      </c>
      <c r="G21" s="1429">
        <v>14</v>
      </c>
      <c r="H21" s="1429">
        <v>16</v>
      </c>
      <c r="I21" s="1429">
        <v>13.75</v>
      </c>
      <c r="J21" s="1358">
        <f t="shared" si="0"/>
        <v>8701.0920000000006</v>
      </c>
      <c r="K21" s="1358">
        <v>4600</v>
      </c>
      <c r="L21" s="1129">
        <v>13301.092000000001</v>
      </c>
      <c r="M21" s="1358">
        <f t="shared" si="13"/>
        <v>104413.10400000001</v>
      </c>
      <c r="N21" s="1358">
        <v>48000</v>
      </c>
      <c r="O21" s="1358">
        <f t="shared" si="7"/>
        <v>152413.10399999999</v>
      </c>
      <c r="P21" s="1353">
        <v>15391000</v>
      </c>
      <c r="Q21" s="1353">
        <v>20775000</v>
      </c>
      <c r="R21" s="1358">
        <f t="shared" si="2"/>
        <v>9.9027421220193607E-3</v>
      </c>
      <c r="S21" s="1358">
        <f t="shared" si="3"/>
        <v>7.3363708303249096E-3</v>
      </c>
      <c r="T21" s="1353">
        <f t="shared" si="14"/>
        <v>141544.10399999999</v>
      </c>
      <c r="U21" s="1358">
        <f t="shared" si="16"/>
        <v>9.1965501916704568E-3</v>
      </c>
      <c r="V21" s="1358">
        <f t="shared" si="16"/>
        <v>6.8131939350180503E-3</v>
      </c>
      <c r="W21" s="1353">
        <v>163771020</v>
      </c>
      <c r="X21" s="1358">
        <f t="shared" si="15"/>
        <v>10.640700409330128</v>
      </c>
      <c r="Y21" s="1358">
        <f t="shared" si="15"/>
        <v>7.8830815884476531</v>
      </c>
      <c r="Z21" s="1358"/>
      <c r="AA21" s="1358">
        <f t="shared" si="17"/>
        <v>119640.01500000001</v>
      </c>
      <c r="AB21" s="1430">
        <v>42170</v>
      </c>
      <c r="AC21" s="1430">
        <f t="shared" si="6"/>
        <v>42200</v>
      </c>
      <c r="AD21" s="1348" t="s">
        <v>1894</v>
      </c>
      <c r="AE21" s="1348">
        <v>152413.10399999999</v>
      </c>
      <c r="AF21" s="1303">
        <v>25251</v>
      </c>
      <c r="AG21" s="1303">
        <v>14382</v>
      </c>
      <c r="AH21" s="1431">
        <f t="shared" si="10"/>
        <v>141544.10399999999</v>
      </c>
      <c r="AI21" s="1431">
        <v>74624</v>
      </c>
      <c r="AJ21" s="1431">
        <v>-42901</v>
      </c>
      <c r="AK21" s="1433">
        <f t="shared" si="11"/>
        <v>1.8967638293310463</v>
      </c>
      <c r="AL21" s="1433">
        <f t="shared" si="12"/>
        <v>-3.2993194564229271</v>
      </c>
    </row>
    <row r="22" spans="2:38" s="1321" customFormat="1" ht="14.85" customHeight="1">
      <c r="B22" s="1321" t="s">
        <v>1895</v>
      </c>
      <c r="C22" s="1340" t="s">
        <v>1896</v>
      </c>
      <c r="D22" s="1340" t="s">
        <v>1897</v>
      </c>
      <c r="E22" s="1342">
        <v>42159</v>
      </c>
      <c r="F22" s="1429">
        <v>15</v>
      </c>
      <c r="G22" s="1429">
        <v>15</v>
      </c>
      <c r="H22" s="1429">
        <v>17</v>
      </c>
      <c r="I22" s="1429">
        <v>15.80622</v>
      </c>
      <c r="J22" s="1358">
        <f t="shared" si="0"/>
        <v>17910.787</v>
      </c>
      <c r="K22" s="1358">
        <v>7302.5</v>
      </c>
      <c r="L22" s="1129">
        <v>25213.287</v>
      </c>
      <c r="M22" s="1358">
        <f t="shared" si="13"/>
        <v>268661.80499999999</v>
      </c>
      <c r="N22" s="1358">
        <v>95250</v>
      </c>
      <c r="O22" s="1358">
        <f t="shared" si="7"/>
        <v>363911.80499999999</v>
      </c>
      <c r="P22" s="1353" t="s">
        <v>13</v>
      </c>
      <c r="Q22" s="1353" t="s">
        <v>13</v>
      </c>
      <c r="R22" s="1358" t="str">
        <f t="shared" si="2"/>
        <v>n/a</v>
      </c>
      <c r="S22" s="1358" t="str">
        <f t="shared" si="3"/>
        <v>n/a</v>
      </c>
      <c r="T22" s="1353" t="s">
        <v>13</v>
      </c>
      <c r="U22" s="1358" t="str">
        <f t="shared" si="16"/>
        <v>n/a</v>
      </c>
      <c r="V22" s="1358" t="str">
        <f t="shared" si="16"/>
        <v>n/a</v>
      </c>
      <c r="W22" s="1353" t="s">
        <v>13</v>
      </c>
      <c r="X22" s="1358" t="str">
        <f t="shared" si="15"/>
        <v>n/a</v>
      </c>
      <c r="Y22" s="1358" t="str">
        <f t="shared" si="15"/>
        <v>n/a</v>
      </c>
      <c r="Z22" s="1358"/>
      <c r="AA22" s="1358">
        <f t="shared" si="17"/>
        <v>283101.83969514002</v>
      </c>
      <c r="AB22" s="1430">
        <v>42171</v>
      </c>
      <c r="AC22" s="1430">
        <v>42201</v>
      </c>
      <c r="AD22" s="1348" t="s">
        <v>1896</v>
      </c>
      <c r="AE22" s="1348">
        <v>363911.80499999999</v>
      </c>
      <c r="AF22" s="1303">
        <v>32981</v>
      </c>
      <c r="AG22" s="1303">
        <v>39481</v>
      </c>
      <c r="AH22" s="1431">
        <f t="shared" si="10"/>
        <v>370411.80499999999</v>
      </c>
      <c r="AI22" s="1431">
        <v>0</v>
      </c>
      <c r="AJ22" s="1431">
        <v>-32861</v>
      </c>
      <c r="AK22" s="1433" t="str">
        <f t="shared" si="11"/>
        <v>n/a</v>
      </c>
      <c r="AL22" s="1433">
        <f t="shared" si="12"/>
        <v>-11.272079516752381</v>
      </c>
    </row>
    <row r="23" spans="2:38" s="1321" customFormat="1" ht="14.85" customHeight="1">
      <c r="B23" s="1321" t="s">
        <v>1453</v>
      </c>
      <c r="C23" s="1340" t="s">
        <v>1454</v>
      </c>
      <c r="D23" s="1340" t="s">
        <v>1455</v>
      </c>
      <c r="E23" s="1342">
        <v>42048</v>
      </c>
      <c r="F23" s="1429">
        <v>12</v>
      </c>
      <c r="G23" s="1429">
        <v>14</v>
      </c>
      <c r="H23" s="1429">
        <v>16</v>
      </c>
      <c r="I23" s="1429">
        <v>9.75</v>
      </c>
      <c r="J23" s="1358">
        <f t="shared" si="0"/>
        <v>6905.3259999999991</v>
      </c>
      <c r="K23" s="1358">
        <v>5000</v>
      </c>
      <c r="L23" s="1129">
        <v>11905.325999999999</v>
      </c>
      <c r="M23" s="1358">
        <f t="shared" si="13"/>
        <v>82863.911999999982</v>
      </c>
      <c r="N23" s="1358">
        <v>60000</v>
      </c>
      <c r="O23" s="1358">
        <f t="shared" si="7"/>
        <v>142863.91199999998</v>
      </c>
      <c r="P23" s="1353">
        <v>0</v>
      </c>
      <c r="Q23" s="1353">
        <v>0</v>
      </c>
      <c r="R23" s="1358" t="str">
        <f t="shared" si="2"/>
        <v>n/a</v>
      </c>
      <c r="S23" s="1358" t="str">
        <f t="shared" si="3"/>
        <v>n/a</v>
      </c>
      <c r="T23" s="1353">
        <f t="shared" si="14"/>
        <v>112258.91199999998</v>
      </c>
      <c r="U23" s="1358" t="str">
        <f t="shared" si="16"/>
        <v>n/a</v>
      </c>
      <c r="V23" s="1358" t="str">
        <f t="shared" si="16"/>
        <v>n/a</v>
      </c>
      <c r="W23" s="1353">
        <v>95221930</v>
      </c>
      <c r="X23" s="1358" t="str">
        <f t="shared" si="15"/>
        <v>n/a</v>
      </c>
      <c r="Y23" s="1358" t="str">
        <f t="shared" si="15"/>
        <v>n/a</v>
      </c>
      <c r="Z23" s="1358"/>
      <c r="AA23" s="1358">
        <f t="shared" si="17"/>
        <v>67326.928499999995</v>
      </c>
      <c r="AB23" s="1430">
        <v>42048</v>
      </c>
      <c r="AC23" s="1430">
        <f t="shared" ref="AC23:AC40" si="18">+AB23+30</f>
        <v>42078</v>
      </c>
      <c r="AD23" s="1348" t="s">
        <v>1456</v>
      </c>
      <c r="AE23" s="1348">
        <v>142863.91199999998</v>
      </c>
      <c r="AF23" s="1303">
        <v>30605</v>
      </c>
      <c r="AG23" s="1303">
        <v>0</v>
      </c>
      <c r="AH23" s="1431">
        <f t="shared" si="10"/>
        <v>112258.91199999998</v>
      </c>
      <c r="AI23" s="1431">
        <v>14797</v>
      </c>
      <c r="AJ23" s="1431">
        <v>-48150</v>
      </c>
      <c r="AK23" s="1433">
        <f t="shared" si="11"/>
        <v>7.5865994458336141</v>
      </c>
      <c r="AL23" s="1433">
        <f t="shared" si="12"/>
        <v>-2.3314415784008302</v>
      </c>
    </row>
    <row r="24" spans="2:38" s="1321" customFormat="1" ht="14.85" customHeight="1">
      <c r="B24" s="1321" t="s">
        <v>1898</v>
      </c>
      <c r="C24" s="1340" t="s">
        <v>1899</v>
      </c>
      <c r="D24" s="1340" t="s">
        <v>1900</v>
      </c>
      <c r="E24" s="1342">
        <v>42034</v>
      </c>
      <c r="F24" s="1429">
        <v>13</v>
      </c>
      <c r="G24" s="1429">
        <v>12</v>
      </c>
      <c r="H24" s="1429">
        <v>14</v>
      </c>
      <c r="I24" s="1429">
        <v>11.4</v>
      </c>
      <c r="J24" s="1358">
        <f t="shared" si="0"/>
        <v>7211.277</v>
      </c>
      <c r="K24" s="1358">
        <v>5000</v>
      </c>
      <c r="L24" s="1129">
        <v>12211.277</v>
      </c>
      <c r="M24" s="1358">
        <f t="shared" si="13"/>
        <v>93746.600999999995</v>
      </c>
      <c r="N24" s="1358">
        <v>65000</v>
      </c>
      <c r="O24" s="1358">
        <f t="shared" si="7"/>
        <v>158746.601</v>
      </c>
      <c r="P24" s="1353">
        <v>11536000</v>
      </c>
      <c r="Q24" s="1353">
        <v>10923500</v>
      </c>
      <c r="R24" s="1358">
        <f t="shared" si="2"/>
        <v>1.3760974427877947E-2</v>
      </c>
      <c r="S24" s="1358">
        <f t="shared" si="3"/>
        <v>1.4532576646679177E-2</v>
      </c>
      <c r="T24" s="1353">
        <f t="shared" si="14"/>
        <v>179272.601</v>
      </c>
      <c r="U24" s="1358">
        <f t="shared" si="16"/>
        <v>1.554027401178918E-2</v>
      </c>
      <c r="V24" s="1358">
        <f t="shared" si="16"/>
        <v>1.6411644710944293E-2</v>
      </c>
      <c r="W24" s="1353">
        <v>137148000</v>
      </c>
      <c r="X24" s="1358">
        <f t="shared" si="15"/>
        <v>11.88869625520111</v>
      </c>
      <c r="Y24" s="1358">
        <f t="shared" si="15"/>
        <v>12.555316519430585</v>
      </c>
      <c r="Z24" s="1358"/>
      <c r="AA24" s="1358">
        <f t="shared" si="17"/>
        <v>82208.55780000001</v>
      </c>
      <c r="AB24" s="1430">
        <v>42034</v>
      </c>
      <c r="AC24" s="1430">
        <f t="shared" si="18"/>
        <v>42064</v>
      </c>
      <c r="AD24" s="1348" t="s">
        <v>1901</v>
      </c>
      <c r="AE24" s="1348">
        <v>158746.601</v>
      </c>
      <c r="AF24" s="1303">
        <v>12213</v>
      </c>
      <c r="AG24" s="1303">
        <v>32738.999999999996</v>
      </c>
      <c r="AH24" s="1431">
        <f t="shared" si="10"/>
        <v>179272.601</v>
      </c>
      <c r="AI24" s="1431">
        <v>68509</v>
      </c>
      <c r="AJ24" s="1431">
        <v>-19324</v>
      </c>
      <c r="AK24" s="1433">
        <f t="shared" si="11"/>
        <v>2.6167744529915775</v>
      </c>
      <c r="AL24" s="1433">
        <f t="shared" si="12"/>
        <v>-9.2771993893603799</v>
      </c>
    </row>
    <row r="25" spans="2:38" s="1321" customFormat="1" ht="14.85" customHeight="1">
      <c r="B25" s="1321" t="s">
        <v>1902</v>
      </c>
      <c r="C25" s="1340" t="s">
        <v>1903</v>
      </c>
      <c r="D25" s="1340" t="s">
        <v>1904</v>
      </c>
      <c r="E25" s="1342">
        <v>42032</v>
      </c>
      <c r="F25" s="1429">
        <v>17</v>
      </c>
      <c r="G25" s="1429">
        <v>15</v>
      </c>
      <c r="H25" s="1429">
        <v>17</v>
      </c>
      <c r="I25" s="1429">
        <v>21.75</v>
      </c>
      <c r="J25" s="1358">
        <f t="shared" si="0"/>
        <v>13039.407000000001</v>
      </c>
      <c r="K25" s="1358">
        <v>5294.1170000000002</v>
      </c>
      <c r="L25" s="1129">
        <v>18333.524000000001</v>
      </c>
      <c r="M25" s="1358">
        <f t="shared" si="13"/>
        <v>221669.91900000002</v>
      </c>
      <c r="N25" s="1358">
        <v>78260.86</v>
      </c>
      <c r="O25" s="1358">
        <f t="shared" si="7"/>
        <v>299930.77900000004</v>
      </c>
      <c r="P25" s="1353">
        <v>44764000</v>
      </c>
      <c r="Q25" s="1353">
        <v>61076400</v>
      </c>
      <c r="R25" s="1358">
        <f t="shared" si="2"/>
        <v>6.7002676034313294E-3</v>
      </c>
      <c r="S25" s="1358">
        <f t="shared" si="3"/>
        <v>4.9107475064018189E-3</v>
      </c>
      <c r="T25" s="1353">
        <f t="shared" si="14"/>
        <v>313902.77900000004</v>
      </c>
      <c r="U25" s="1358">
        <f t="shared" si="16"/>
        <v>7.0123934188186946E-3</v>
      </c>
      <c r="V25" s="1358">
        <f t="shared" si="16"/>
        <v>5.1395101708679629E-3</v>
      </c>
      <c r="W25" s="1353">
        <v>405211000</v>
      </c>
      <c r="X25" s="1358">
        <f t="shared" si="15"/>
        <v>9.0521624519703341</v>
      </c>
      <c r="Y25" s="1358">
        <f t="shared" si="15"/>
        <v>6.634493847050579</v>
      </c>
      <c r="Z25" s="1358"/>
      <c r="AA25" s="1358">
        <f t="shared" si="17"/>
        <v>283607.10225</v>
      </c>
      <c r="AB25" s="1430">
        <v>42033</v>
      </c>
      <c r="AC25" s="1430">
        <f t="shared" si="18"/>
        <v>42063</v>
      </c>
      <c r="AD25" s="1348" t="s">
        <v>1905</v>
      </c>
      <c r="AE25" s="1348">
        <v>299930.77900000004</v>
      </c>
      <c r="AF25" s="1303">
        <v>1028</v>
      </c>
      <c r="AG25" s="1303">
        <v>15000</v>
      </c>
      <c r="AH25" s="1431">
        <f t="shared" si="10"/>
        <v>313902.77900000004</v>
      </c>
      <c r="AI25" s="1431">
        <v>0</v>
      </c>
      <c r="AJ25" s="1431">
        <v>-26747</v>
      </c>
      <c r="AK25" s="1433" t="str">
        <f t="shared" si="11"/>
        <v>n/a</v>
      </c>
      <c r="AL25" s="1433">
        <f t="shared" si="12"/>
        <v>-11.735999513964185</v>
      </c>
    </row>
    <row r="26" spans="2:38" s="1321" customFormat="1" ht="14.85" customHeight="1">
      <c r="B26" s="1321" t="s">
        <v>1472</v>
      </c>
      <c r="C26" s="1340" t="s">
        <v>1473</v>
      </c>
      <c r="D26" s="1340" t="s">
        <v>1474</v>
      </c>
      <c r="E26" s="1342">
        <v>42030</v>
      </c>
      <c r="F26" s="1429">
        <v>11</v>
      </c>
      <c r="G26" s="1429">
        <v>10</v>
      </c>
      <c r="H26" s="1429">
        <v>12</v>
      </c>
      <c r="I26" s="1429">
        <v>11.04</v>
      </c>
      <c r="J26" s="1358">
        <f t="shared" si="0"/>
        <v>6641.1119999999992</v>
      </c>
      <c r="K26" s="1358">
        <v>5175</v>
      </c>
      <c r="L26" s="1129">
        <v>11816.111999999999</v>
      </c>
      <c r="M26" s="1358">
        <f t="shared" si="13"/>
        <v>73052.231999999989</v>
      </c>
      <c r="N26" s="1358">
        <v>49500</v>
      </c>
      <c r="O26" s="1358">
        <f t="shared" si="7"/>
        <v>122552.23199999999</v>
      </c>
      <c r="P26" s="1353">
        <v>3043000</v>
      </c>
      <c r="Q26" s="1353">
        <v>313000</v>
      </c>
      <c r="R26" s="1358">
        <f t="shared" si="2"/>
        <v>4.0273490634242522E-2</v>
      </c>
      <c r="S26" s="1358">
        <f t="shared" si="3"/>
        <v>0.39154067731629388</v>
      </c>
      <c r="T26" s="1353">
        <f t="shared" si="14"/>
        <v>140512.23199999999</v>
      </c>
      <c r="U26" s="1358">
        <f t="shared" si="16"/>
        <v>4.6175560959579358E-2</v>
      </c>
      <c r="V26" s="1358">
        <f t="shared" si="16"/>
        <v>0.44892086900958461</v>
      </c>
      <c r="W26" s="1353">
        <v>142156640</v>
      </c>
      <c r="X26" s="1358">
        <f t="shared" si="15"/>
        <v>46.715951363785734</v>
      </c>
      <c r="Y26" s="1358">
        <f t="shared" si="15"/>
        <v>454.17456869009584</v>
      </c>
      <c r="Z26" s="1358"/>
      <c r="AA26" s="1358">
        <f t="shared" si="17"/>
        <v>73317.876479999992</v>
      </c>
      <c r="AB26" s="1430">
        <v>42031</v>
      </c>
      <c r="AC26" s="1430">
        <f t="shared" si="18"/>
        <v>42061</v>
      </c>
      <c r="AD26" s="1348" t="s">
        <v>1475</v>
      </c>
      <c r="AE26" s="1348">
        <v>122552.23199999999</v>
      </c>
      <c r="AF26" s="1303">
        <v>2303</v>
      </c>
      <c r="AG26" s="1303">
        <v>20263</v>
      </c>
      <c r="AH26" s="1431">
        <f t="shared" si="10"/>
        <v>140512.23199999999</v>
      </c>
      <c r="AI26" s="1431">
        <v>6679</v>
      </c>
      <c r="AJ26" s="1431">
        <v>-24087</v>
      </c>
      <c r="AK26" s="1433">
        <f t="shared" si="11"/>
        <v>21.037914657882915</v>
      </c>
      <c r="AL26" s="1433">
        <f t="shared" si="12"/>
        <v>-5.8335297878523678</v>
      </c>
    </row>
    <row r="27" spans="2:38" s="1321" customFormat="1" ht="14.85" customHeight="1">
      <c r="B27" s="1321" t="s">
        <v>1906</v>
      </c>
      <c r="C27" s="1340" t="s">
        <v>1907</v>
      </c>
      <c r="D27" s="1340" t="s">
        <v>1908</v>
      </c>
      <c r="E27" s="1342">
        <v>41962</v>
      </c>
      <c r="F27" s="1429">
        <v>9</v>
      </c>
      <c r="G27" s="1429">
        <v>0</v>
      </c>
      <c r="H27" s="1429">
        <v>0</v>
      </c>
      <c r="I27" s="1429">
        <v>11.19</v>
      </c>
      <c r="J27" s="1358">
        <f t="shared" si="0"/>
        <v>31125.572999999997</v>
      </c>
      <c r="K27" s="1358">
        <v>4025</v>
      </c>
      <c r="L27" s="1129">
        <v>35150.572999999997</v>
      </c>
      <c r="M27" s="1358">
        <f t="shared" si="13"/>
        <v>280130.15699999995</v>
      </c>
      <c r="N27" s="1358">
        <v>31500</v>
      </c>
      <c r="O27" s="1358">
        <f t="shared" si="7"/>
        <v>311630.15699999995</v>
      </c>
      <c r="P27" s="1353">
        <v>2441260</v>
      </c>
      <c r="Q27" s="1353">
        <v>0</v>
      </c>
      <c r="R27" s="1358">
        <f t="shared" si="2"/>
        <v>0.12765135913421755</v>
      </c>
      <c r="S27" s="1358" t="str">
        <f t="shared" si="3"/>
        <v>n/a</v>
      </c>
      <c r="T27" s="1353">
        <f t="shared" si="14"/>
        <v>335839.81699999992</v>
      </c>
      <c r="U27" s="1358">
        <f t="shared" si="16"/>
        <v>0.13756822993044573</v>
      </c>
      <c r="V27" s="1358" t="str">
        <f t="shared" si="16"/>
        <v>n/a</v>
      </c>
      <c r="W27" s="1353">
        <v>410977260</v>
      </c>
      <c r="X27" s="1358">
        <f t="shared" si="15"/>
        <v>168.34637031696747</v>
      </c>
      <c r="Y27" s="1358" t="str">
        <f t="shared" si="15"/>
        <v>n/a</v>
      </c>
      <c r="Z27" s="1358"/>
      <c r="AA27" s="1358">
        <f t="shared" si="17"/>
        <v>348295.16186999995</v>
      </c>
      <c r="AB27" s="1430">
        <v>41962</v>
      </c>
      <c r="AC27" s="1430">
        <f t="shared" si="18"/>
        <v>41992</v>
      </c>
      <c r="AD27" s="1348" t="s">
        <v>1909</v>
      </c>
      <c r="AE27" s="1348">
        <v>311630.15699999995</v>
      </c>
      <c r="AF27" s="1303">
        <v>977.4</v>
      </c>
      <c r="AG27" s="1303">
        <v>25187.06</v>
      </c>
      <c r="AH27" s="1431">
        <f t="shared" si="10"/>
        <v>335839.81699999992</v>
      </c>
      <c r="AI27" s="1431">
        <v>145577</v>
      </c>
      <c r="AJ27" s="1431">
        <v>-44540</v>
      </c>
      <c r="AK27" s="1433">
        <f t="shared" si="11"/>
        <v>2.306956572810265</v>
      </c>
      <c r="AL27" s="1433">
        <f t="shared" si="12"/>
        <v>-7.5401844858554092</v>
      </c>
    </row>
    <row r="28" spans="2:38" s="1321" customFormat="1" ht="14.85" customHeight="1">
      <c r="B28" s="1321" t="s">
        <v>1910</v>
      </c>
      <c r="C28" s="1340" t="s">
        <v>1911</v>
      </c>
      <c r="D28" s="1340" t="s">
        <v>1912</v>
      </c>
      <c r="E28" s="1342">
        <v>41948</v>
      </c>
      <c r="F28" s="1429">
        <v>18</v>
      </c>
      <c r="G28" s="1429">
        <v>15</v>
      </c>
      <c r="H28" s="1429">
        <v>17</v>
      </c>
      <c r="I28" s="1429">
        <v>35.86</v>
      </c>
      <c r="J28" s="1358">
        <f t="shared" si="0"/>
        <v>16543.131000000001</v>
      </c>
      <c r="K28" s="1358">
        <v>8050</v>
      </c>
      <c r="L28" s="1129">
        <v>24593.131000000001</v>
      </c>
      <c r="M28" s="1358">
        <f t="shared" si="13"/>
        <v>297776.35800000001</v>
      </c>
      <c r="N28" s="1358">
        <v>126000</v>
      </c>
      <c r="O28" s="1358">
        <f t="shared" si="7"/>
        <v>423776.35800000001</v>
      </c>
      <c r="P28" s="1353">
        <v>26584000</v>
      </c>
      <c r="Q28" s="1353">
        <v>31448010</v>
      </c>
      <c r="R28" s="1358">
        <f t="shared" si="2"/>
        <v>1.5941030619921758E-2</v>
      </c>
      <c r="S28" s="1358">
        <f t="shared" si="3"/>
        <v>1.3475458637923354E-2</v>
      </c>
      <c r="T28" s="1353">
        <f t="shared" si="14"/>
        <v>406382.35800000001</v>
      </c>
      <c r="U28" s="1358">
        <f t="shared" si="16"/>
        <v>1.5286727279566656E-2</v>
      </c>
      <c r="V28" s="1358">
        <f t="shared" si="16"/>
        <v>1.2922355277806132E-2</v>
      </c>
      <c r="W28" s="1353">
        <v>1010615700</v>
      </c>
      <c r="X28" s="1358">
        <f t="shared" si="15"/>
        <v>38.015938158290702</v>
      </c>
      <c r="Y28" s="1358">
        <f t="shared" si="15"/>
        <v>32.136077926711422</v>
      </c>
      <c r="Z28" s="1358"/>
      <c r="AA28" s="1358">
        <f t="shared" si="17"/>
        <v>593236.67766000004</v>
      </c>
      <c r="AB28" s="1430">
        <v>41949</v>
      </c>
      <c r="AC28" s="1430">
        <f t="shared" si="18"/>
        <v>41979</v>
      </c>
      <c r="AD28" s="1348" t="s">
        <v>1913</v>
      </c>
      <c r="AE28" s="1348">
        <v>423776.35800000001</v>
      </c>
      <c r="AF28" s="1303">
        <v>17394</v>
      </c>
      <c r="AG28" s="1303">
        <v>0</v>
      </c>
      <c r="AH28" s="1431">
        <f t="shared" si="10"/>
        <v>406382.35800000001</v>
      </c>
      <c r="AI28" s="1431">
        <v>2618.1800000000003</v>
      </c>
      <c r="AJ28" s="1431">
        <v>-27556.27</v>
      </c>
      <c r="AK28" s="1433">
        <f t="shared" si="11"/>
        <v>155.21559174693868</v>
      </c>
      <c r="AL28" s="1433">
        <f t="shared" si="12"/>
        <v>-14.747364501799408</v>
      </c>
    </row>
    <row r="29" spans="2:38" s="1321" customFormat="1" ht="14.85" customHeight="1">
      <c r="B29" s="1321" t="s">
        <v>1914</v>
      </c>
      <c r="C29" s="1340" t="s">
        <v>1915</v>
      </c>
      <c r="D29" s="1340" t="s">
        <v>1916</v>
      </c>
      <c r="E29" s="1342">
        <v>41920</v>
      </c>
      <c r="F29" s="1429">
        <v>7</v>
      </c>
      <c r="G29" s="1429">
        <v>6</v>
      </c>
      <c r="H29" s="1429">
        <v>7</v>
      </c>
      <c r="I29" s="1429" t="s">
        <v>13</v>
      </c>
      <c r="J29" s="1358">
        <f t="shared" si="0"/>
        <v>3928.4620000000004</v>
      </c>
      <c r="K29" s="1358">
        <v>1150</v>
      </c>
      <c r="L29" s="1129">
        <v>5078.4620000000004</v>
      </c>
      <c r="M29" s="1358">
        <f t="shared" si="13"/>
        <v>27499.234000000004</v>
      </c>
      <c r="N29" s="1358">
        <v>8050.0000000000009</v>
      </c>
      <c r="O29" s="1358">
        <f t="shared" si="7"/>
        <v>35549.234000000004</v>
      </c>
      <c r="P29" s="1353" t="s">
        <v>13</v>
      </c>
      <c r="Q29" s="1353" t="s">
        <v>13</v>
      </c>
      <c r="R29" s="1358" t="str">
        <f t="shared" si="2"/>
        <v>n/a</v>
      </c>
      <c r="S29" s="1358" t="str">
        <f t="shared" si="3"/>
        <v>n/a</v>
      </c>
      <c r="T29" s="1353" t="s">
        <v>13</v>
      </c>
      <c r="U29" s="1358" t="str">
        <f t="shared" si="16"/>
        <v>n/a</v>
      </c>
      <c r="V29" s="1358" t="str">
        <f t="shared" si="16"/>
        <v>n/a</v>
      </c>
      <c r="W29" s="1353" t="s">
        <v>13</v>
      </c>
      <c r="X29" s="1358" t="str">
        <f t="shared" si="15"/>
        <v>n/a</v>
      </c>
      <c r="Y29" s="1358" t="str">
        <f t="shared" si="15"/>
        <v>n/a</v>
      </c>
      <c r="Z29" s="1358"/>
      <c r="AA29" s="1434">
        <v>996023842737.35803</v>
      </c>
      <c r="AB29" s="1430">
        <v>41921</v>
      </c>
      <c r="AC29" s="1430">
        <v>41951</v>
      </c>
      <c r="AD29" s="1348" t="s">
        <v>1915</v>
      </c>
      <c r="AE29" s="1348">
        <v>35549.234000000004</v>
      </c>
      <c r="AF29" s="1303">
        <v>412.75</v>
      </c>
      <c r="AG29" s="1303">
        <v>4079.5899999999997</v>
      </c>
      <c r="AH29" s="1431">
        <f t="shared" si="10"/>
        <v>39216.074000000001</v>
      </c>
      <c r="AI29" s="1431">
        <v>67932</v>
      </c>
      <c r="AJ29" s="1431">
        <v>-29239</v>
      </c>
      <c r="AK29" s="1433">
        <f t="shared" si="11"/>
        <v>0.57728425484307833</v>
      </c>
      <c r="AL29" s="1433">
        <f t="shared" si="12"/>
        <v>-1.3412248708916175</v>
      </c>
    </row>
    <row r="30" spans="2:38" s="1321" customFormat="1" ht="14.85" customHeight="1">
      <c r="B30" s="1321" t="s">
        <v>1506</v>
      </c>
      <c r="C30" s="1340" t="s">
        <v>1507</v>
      </c>
      <c r="D30" s="1340" t="s">
        <v>1508</v>
      </c>
      <c r="E30" s="1342">
        <v>41843</v>
      </c>
      <c r="F30" s="1429">
        <v>11</v>
      </c>
      <c r="G30" s="1429">
        <v>11</v>
      </c>
      <c r="H30" s="1429">
        <v>13</v>
      </c>
      <c r="I30" s="1429">
        <v>15.86</v>
      </c>
      <c r="J30" s="1358">
        <f t="shared" si="0"/>
        <v>16751.808000000001</v>
      </c>
      <c r="K30" s="1358">
        <v>5750</v>
      </c>
      <c r="L30" s="1129">
        <v>22501.808000000001</v>
      </c>
      <c r="M30" s="1358">
        <f t="shared" si="13"/>
        <v>184269.88800000001</v>
      </c>
      <c r="N30" s="1358">
        <v>55000</v>
      </c>
      <c r="O30" s="1358">
        <f t="shared" si="7"/>
        <v>239269.88800000001</v>
      </c>
      <c r="P30" s="1353">
        <v>22384000</v>
      </c>
      <c r="Q30" s="1353">
        <v>38406000</v>
      </c>
      <c r="R30" s="1358">
        <f t="shared" si="2"/>
        <v>1.0689326661901359E-2</v>
      </c>
      <c r="S30" s="1358">
        <f t="shared" si="3"/>
        <v>6.2300132270999321E-3</v>
      </c>
      <c r="T30" s="1353">
        <f t="shared" si="14"/>
        <v>233071.88800000001</v>
      </c>
      <c r="U30" s="1358">
        <f t="shared" si="16"/>
        <v>1.0412432451751252E-2</v>
      </c>
      <c r="V30" s="1358">
        <f t="shared" si="16"/>
        <v>6.0686321928865279E-3</v>
      </c>
      <c r="W30" s="1353">
        <v>350683720</v>
      </c>
      <c r="X30" s="1358">
        <f t="shared" si="15"/>
        <v>15.666713724088634</v>
      </c>
      <c r="Y30" s="1358">
        <f t="shared" si="15"/>
        <v>9.1309618288809045</v>
      </c>
      <c r="Z30" s="1358"/>
      <c r="AA30" s="1358">
        <f t="shared" si="17"/>
        <v>265683.67488000001</v>
      </c>
      <c r="AB30" s="1430">
        <v>41844</v>
      </c>
      <c r="AC30" s="1430">
        <f t="shared" si="18"/>
        <v>41874</v>
      </c>
      <c r="AD30" s="1348" t="s">
        <v>1509</v>
      </c>
      <c r="AE30" s="1348">
        <v>239269.88800000001</v>
      </c>
      <c r="AF30" s="1303">
        <v>7478</v>
      </c>
      <c r="AG30" s="1303">
        <v>1280</v>
      </c>
      <c r="AH30" s="1431">
        <f t="shared" si="10"/>
        <v>233071.88800000001</v>
      </c>
      <c r="AI30" s="1431">
        <v>6460</v>
      </c>
      <c r="AJ30" s="1431">
        <v>-26733</v>
      </c>
      <c r="AK30" s="1433">
        <f t="shared" si="11"/>
        <v>36.079239628482974</v>
      </c>
      <c r="AL30" s="1433">
        <f t="shared" si="12"/>
        <v>-8.7185085100811737</v>
      </c>
    </row>
    <row r="31" spans="2:38" s="1321" customFormat="1" ht="14.85" customHeight="1">
      <c r="B31" s="1321" t="s">
        <v>1511</v>
      </c>
      <c r="C31" s="1340" t="s">
        <v>1512</v>
      </c>
      <c r="D31" s="1340" t="s">
        <v>1513</v>
      </c>
      <c r="E31" s="1342">
        <v>41836</v>
      </c>
      <c r="F31" s="1429">
        <v>12</v>
      </c>
      <c r="G31" s="1429">
        <v>14</v>
      </c>
      <c r="H31" s="1429">
        <v>16</v>
      </c>
      <c r="I31" s="1429">
        <v>124.8</v>
      </c>
      <c r="J31" s="1358">
        <f t="shared" si="0"/>
        <v>12631.596000000001</v>
      </c>
      <c r="K31" s="1358">
        <v>5000</v>
      </c>
      <c r="L31" s="1129">
        <v>17631.596000000001</v>
      </c>
      <c r="M31" s="1358">
        <f t="shared" si="13"/>
        <v>151579.152</v>
      </c>
      <c r="N31" s="1358">
        <v>60000</v>
      </c>
      <c r="O31" s="1358">
        <f t="shared" si="7"/>
        <v>211579.152</v>
      </c>
      <c r="P31" s="1353">
        <v>2744000</v>
      </c>
      <c r="Q31" s="1353">
        <v>5125110</v>
      </c>
      <c r="R31" s="1358">
        <f t="shared" si="2"/>
        <v>7.7106104956268226E-2</v>
      </c>
      <c r="S31" s="1358">
        <f t="shared" si="3"/>
        <v>4.1282850904663507E-2</v>
      </c>
      <c r="T31" s="1353">
        <f t="shared" si="14"/>
        <v>188605.152</v>
      </c>
      <c r="U31" s="1358">
        <f t="shared" si="16"/>
        <v>6.8733655976676383E-2</v>
      </c>
      <c r="V31" s="1358">
        <f t="shared" si="16"/>
        <v>3.680021541001071E-2</v>
      </c>
      <c r="W31" s="1353">
        <v>332946300</v>
      </c>
      <c r="X31" s="1358">
        <f t="shared" si="15"/>
        <v>121.33611516034985</v>
      </c>
      <c r="Y31" s="1358">
        <f t="shared" si="15"/>
        <v>64.963737363685851</v>
      </c>
      <c r="Z31" s="1358"/>
      <c r="AA31" s="1358">
        <f t="shared" si="17"/>
        <v>1576423.1808000002</v>
      </c>
      <c r="AB31" s="1430">
        <v>41838</v>
      </c>
      <c r="AC31" s="1430">
        <f t="shared" si="18"/>
        <v>41868</v>
      </c>
      <c r="AD31" s="1348" t="s">
        <v>1514</v>
      </c>
      <c r="AE31" s="1348">
        <v>211579.152</v>
      </c>
      <c r="AF31" s="1303">
        <v>32698.999999999996</v>
      </c>
      <c r="AG31" s="1303">
        <v>9725</v>
      </c>
      <c r="AH31" s="1431">
        <f t="shared" si="10"/>
        <v>188605.152</v>
      </c>
      <c r="AI31" s="1431">
        <v>35461.060000000005</v>
      </c>
      <c r="AJ31" s="1431">
        <v>13616.65</v>
      </c>
      <c r="AK31" s="1433">
        <f t="shared" si="11"/>
        <v>5.3186552235043161</v>
      </c>
      <c r="AL31" s="1433">
        <f t="shared" si="12"/>
        <v>13.85106850803979</v>
      </c>
    </row>
    <row r="32" spans="2:38" s="1321" customFormat="1" ht="14.85" customHeight="1">
      <c r="B32" s="1321" t="s">
        <v>1917</v>
      </c>
      <c r="C32" s="1340" t="s">
        <v>1918</v>
      </c>
      <c r="D32" s="1340" t="s">
        <v>1919</v>
      </c>
      <c r="E32" s="1342">
        <v>41835</v>
      </c>
      <c r="F32" s="1429">
        <v>6.25</v>
      </c>
      <c r="G32" s="1429">
        <v>0</v>
      </c>
      <c r="H32" s="1429">
        <v>0</v>
      </c>
      <c r="I32" s="1429">
        <v>10.75</v>
      </c>
      <c r="J32" s="1358">
        <f t="shared" si="0"/>
        <v>8400</v>
      </c>
      <c r="K32" s="1358">
        <v>2318.4</v>
      </c>
      <c r="L32" s="1129">
        <v>10718.4</v>
      </c>
      <c r="M32" s="1358">
        <f t="shared" si="13"/>
        <v>52500</v>
      </c>
      <c r="N32" s="1358">
        <v>12600</v>
      </c>
      <c r="O32" s="1358">
        <f t="shared" si="7"/>
        <v>65100</v>
      </c>
      <c r="P32" s="1353">
        <v>12056490</v>
      </c>
      <c r="Q32" s="1353">
        <v>15600000</v>
      </c>
      <c r="R32" s="1358">
        <f t="shared" si="2"/>
        <v>5.3995814702288971E-3</v>
      </c>
      <c r="S32" s="1358">
        <f t="shared" si="3"/>
        <v>4.1730769230769234E-3</v>
      </c>
      <c r="T32" s="1353">
        <f t="shared" si="14"/>
        <v>62191.360000000001</v>
      </c>
      <c r="U32" s="1358">
        <f t="shared" si="16"/>
        <v>5.1583304925397026E-3</v>
      </c>
      <c r="V32" s="1358">
        <f t="shared" si="16"/>
        <v>3.9866256410256411E-3</v>
      </c>
      <c r="W32" s="1353">
        <v>110703210</v>
      </c>
      <c r="X32" s="1358">
        <f t="shared" si="15"/>
        <v>9.1820430324248594</v>
      </c>
      <c r="Y32" s="1358">
        <f t="shared" si="15"/>
        <v>7.0963596153846158</v>
      </c>
      <c r="Z32" s="1358"/>
      <c r="AA32" s="1358">
        <f t="shared" si="17"/>
        <v>90300</v>
      </c>
      <c r="AB32" s="1430">
        <v>41836</v>
      </c>
      <c r="AC32" s="1430">
        <f t="shared" si="18"/>
        <v>41866</v>
      </c>
      <c r="AD32" s="1348" t="s">
        <v>1920</v>
      </c>
      <c r="AE32" s="1348">
        <v>65100</v>
      </c>
      <c r="AF32" s="1303">
        <v>2908.64</v>
      </c>
      <c r="AG32" s="1303">
        <v>0</v>
      </c>
      <c r="AH32" s="1431">
        <f t="shared" si="10"/>
        <v>62191.360000000001</v>
      </c>
      <c r="AI32" s="1431">
        <v>224262</v>
      </c>
      <c r="AJ32" s="1431">
        <v>-10153</v>
      </c>
      <c r="AK32" s="1433">
        <f t="shared" si="11"/>
        <v>0.27731563974280082</v>
      </c>
      <c r="AL32" s="1433">
        <f t="shared" si="12"/>
        <v>-6.1254171180931749</v>
      </c>
    </row>
    <row r="33" spans="2:38" s="1321" customFormat="1" ht="14.85" customHeight="1">
      <c r="B33" s="1321" t="s">
        <v>1921</v>
      </c>
      <c r="C33" s="1340" t="s">
        <v>1922</v>
      </c>
      <c r="D33" s="1340" t="s">
        <v>1923</v>
      </c>
      <c r="E33" s="1342">
        <v>41766</v>
      </c>
      <c r="F33" s="1429">
        <v>15</v>
      </c>
      <c r="G33" s="1429">
        <v>16</v>
      </c>
      <c r="H33" s="1429">
        <v>18</v>
      </c>
      <c r="I33" s="1429">
        <v>14.6</v>
      </c>
      <c r="J33" s="1358">
        <f t="shared" si="0"/>
        <v>29566.542000000001</v>
      </c>
      <c r="K33" s="1358">
        <v>9825</v>
      </c>
      <c r="L33" s="1129">
        <v>39391.542000000001</v>
      </c>
      <c r="M33" s="1358">
        <f t="shared" si="13"/>
        <v>443498.13</v>
      </c>
      <c r="N33" s="1358">
        <v>132375</v>
      </c>
      <c r="O33" s="1358">
        <f t="shared" si="7"/>
        <v>575873.13</v>
      </c>
      <c r="P33" s="1353">
        <v>155584000</v>
      </c>
      <c r="Q33" s="1353">
        <v>186350000</v>
      </c>
      <c r="R33" s="1358">
        <f t="shared" si="2"/>
        <v>3.701364729020979E-3</v>
      </c>
      <c r="S33" s="1358">
        <f t="shared" si="3"/>
        <v>3.0902770592970219E-3</v>
      </c>
      <c r="T33" s="1353">
        <f t="shared" si="14"/>
        <v>611604.13</v>
      </c>
      <c r="U33" s="1358">
        <f t="shared" si="16"/>
        <v>3.931022020259153E-3</v>
      </c>
      <c r="V33" s="1358">
        <f t="shared" si="16"/>
        <v>3.2820184062248457E-3</v>
      </c>
      <c r="W33" s="1353">
        <v>698421600</v>
      </c>
      <c r="X33" s="1358">
        <f t="shared" si="15"/>
        <v>4.4890322912381739</v>
      </c>
      <c r="Y33" s="1358">
        <f t="shared" si="15"/>
        <v>3.7479023343171454</v>
      </c>
      <c r="Z33" s="1358"/>
      <c r="AA33" s="1358">
        <f t="shared" si="17"/>
        <v>431671.51319999999</v>
      </c>
      <c r="AB33" s="1430">
        <v>41767</v>
      </c>
      <c r="AC33" s="1430">
        <f t="shared" si="18"/>
        <v>41797</v>
      </c>
      <c r="AD33" s="1348" t="s">
        <v>1924</v>
      </c>
      <c r="AE33" s="1348">
        <v>575873.13</v>
      </c>
      <c r="AF33" s="1303">
        <v>7419</v>
      </c>
      <c r="AG33" s="1303">
        <v>43150</v>
      </c>
      <c r="AH33" s="1431">
        <f t="shared" si="10"/>
        <v>611604.13</v>
      </c>
      <c r="AI33" s="1431" t="e">
        <v>#VALUE!</v>
      </c>
      <c r="AJ33" s="1431" t="e">
        <v>#VALUE!</v>
      </c>
      <c r="AK33" s="1433" t="str">
        <f t="shared" si="11"/>
        <v>n/a</v>
      </c>
      <c r="AL33" s="1433" t="str">
        <f t="shared" si="12"/>
        <v>n/a</v>
      </c>
    </row>
    <row r="34" spans="2:38" s="1321" customFormat="1" ht="14.85" customHeight="1">
      <c r="B34" s="1321" t="s">
        <v>1925</v>
      </c>
      <c r="C34" s="1340" t="s">
        <v>1926</v>
      </c>
      <c r="D34" s="1340" t="s">
        <v>1927</v>
      </c>
      <c r="E34" s="1342">
        <v>41753</v>
      </c>
      <c r="F34" s="1429">
        <v>11</v>
      </c>
      <c r="G34" s="1429">
        <v>15</v>
      </c>
      <c r="H34" s="1429">
        <v>18</v>
      </c>
      <c r="I34" s="1429">
        <v>8.3000000000000007</v>
      </c>
      <c r="J34" s="1358">
        <f t="shared" si="0"/>
        <v>11185.797</v>
      </c>
      <c r="K34" s="1358">
        <v>5000</v>
      </c>
      <c r="L34" s="1129">
        <v>16185.797</v>
      </c>
      <c r="M34" s="1358">
        <f t="shared" si="13"/>
        <v>123043.76700000001</v>
      </c>
      <c r="N34" s="1358">
        <v>55000</v>
      </c>
      <c r="O34" s="1358">
        <f t="shared" si="7"/>
        <v>178043.76699999999</v>
      </c>
      <c r="P34" s="1353">
        <v>6960000</v>
      </c>
      <c r="Q34" s="1353">
        <v>0</v>
      </c>
      <c r="R34" s="1358">
        <f t="shared" si="2"/>
        <v>2.5581001005747124E-2</v>
      </c>
      <c r="S34" s="1358" t="str">
        <f t="shared" si="3"/>
        <v>n/a</v>
      </c>
      <c r="T34" s="1353">
        <f t="shared" si="14"/>
        <v>139735.76699999999</v>
      </c>
      <c r="U34" s="1358">
        <f t="shared" si="16"/>
        <v>2.0076978017241377E-2</v>
      </c>
      <c r="V34" s="1358" t="str">
        <f t="shared" si="16"/>
        <v>n/a</v>
      </c>
      <c r="W34" s="1353">
        <v>96034120</v>
      </c>
      <c r="X34" s="1358">
        <f t="shared" si="15"/>
        <v>13.798005747126437</v>
      </c>
      <c r="Y34" s="1358" t="str">
        <f t="shared" si="15"/>
        <v>n/a</v>
      </c>
      <c r="Z34" s="1358"/>
      <c r="AA34" s="1358">
        <f t="shared" si="17"/>
        <v>92842.11510000001</v>
      </c>
      <c r="AB34" s="1430">
        <v>41754</v>
      </c>
      <c r="AC34" s="1430">
        <f t="shared" si="18"/>
        <v>41784</v>
      </c>
      <c r="AD34" s="1348" t="s">
        <v>1928</v>
      </c>
      <c r="AE34" s="1348">
        <v>178043.76699999999</v>
      </c>
      <c r="AF34" s="1303">
        <v>40866</v>
      </c>
      <c r="AG34" s="1303">
        <v>2558</v>
      </c>
      <c r="AH34" s="1431">
        <f t="shared" si="10"/>
        <v>139735.76699999999</v>
      </c>
      <c r="AI34" s="1431">
        <v>36301</v>
      </c>
      <c r="AJ34" s="1431">
        <v>-49816</v>
      </c>
      <c r="AK34" s="1433">
        <f t="shared" si="11"/>
        <v>3.8493641222004902</v>
      </c>
      <c r="AL34" s="1433">
        <f t="shared" si="12"/>
        <v>-2.8050378793961777</v>
      </c>
    </row>
    <row r="35" spans="2:38" s="1321" customFormat="1" ht="14.85" customHeight="1">
      <c r="B35" s="1321" t="s">
        <v>1929</v>
      </c>
      <c r="C35" s="1340" t="s">
        <v>1930</v>
      </c>
      <c r="D35" s="1340" t="s">
        <v>1931</v>
      </c>
      <c r="E35" s="1342">
        <v>41744</v>
      </c>
      <c r="F35" s="1429">
        <v>12</v>
      </c>
      <c r="G35" s="1429">
        <v>13</v>
      </c>
      <c r="H35" s="1429">
        <v>15</v>
      </c>
      <c r="I35" s="1429">
        <v>14.06</v>
      </c>
      <c r="J35" s="1358">
        <f t="shared" si="0"/>
        <v>12829.154999999999</v>
      </c>
      <c r="K35" s="1358">
        <v>7475</v>
      </c>
      <c r="L35" s="1129">
        <v>20304.154999999999</v>
      </c>
      <c r="M35" s="1358">
        <f t="shared" si="13"/>
        <v>153949.85999999999</v>
      </c>
      <c r="N35" s="1358">
        <v>78000</v>
      </c>
      <c r="O35" s="1358">
        <f t="shared" si="7"/>
        <v>231949.86</v>
      </c>
      <c r="P35" s="1353" t="s">
        <v>13</v>
      </c>
      <c r="Q35" s="1353" t="s">
        <v>13</v>
      </c>
      <c r="R35" s="1358" t="str">
        <f t="shared" si="2"/>
        <v>n/a</v>
      </c>
      <c r="S35" s="1358" t="str">
        <f t="shared" si="3"/>
        <v>n/a</v>
      </c>
      <c r="T35" s="1353" t="s">
        <v>13</v>
      </c>
      <c r="U35" s="1358" t="str">
        <f t="shared" si="16"/>
        <v>n/a</v>
      </c>
      <c r="V35" s="1358" t="str">
        <f t="shared" si="16"/>
        <v>n/a</v>
      </c>
      <c r="W35" s="1353" t="s">
        <v>13</v>
      </c>
      <c r="X35" s="1358" t="str">
        <f t="shared" si="15"/>
        <v>n/a</v>
      </c>
      <c r="Y35" s="1358" t="str">
        <f t="shared" si="15"/>
        <v>n/a</v>
      </c>
      <c r="Z35" s="1358"/>
      <c r="AA35" s="1434">
        <v>180377.91930000001</v>
      </c>
      <c r="AB35" s="1430">
        <v>41745</v>
      </c>
      <c r="AC35" s="1430">
        <v>41775</v>
      </c>
      <c r="AD35" s="1348" t="s">
        <v>1930</v>
      </c>
      <c r="AE35" s="1348">
        <v>231949.86</v>
      </c>
      <c r="AF35" s="1303">
        <v>38108</v>
      </c>
      <c r="AG35" s="1303">
        <v>44288</v>
      </c>
      <c r="AH35" s="1431">
        <f t="shared" si="10"/>
        <v>238129.86</v>
      </c>
      <c r="AI35" s="1431">
        <v>7632</v>
      </c>
      <c r="AJ35" s="1431">
        <v>-7146</v>
      </c>
      <c r="AK35" s="1433">
        <f t="shared" si="11"/>
        <v>31.201501572327043</v>
      </c>
      <c r="AL35" s="1433">
        <f t="shared" si="12"/>
        <v>-33.323518052057096</v>
      </c>
    </row>
    <row r="36" spans="2:38" s="1321" customFormat="1" ht="14.85" customHeight="1">
      <c r="B36" s="1321" t="s">
        <v>1932</v>
      </c>
      <c r="C36" s="1340" t="s">
        <v>1933</v>
      </c>
      <c r="D36" s="1340" t="s">
        <v>1934</v>
      </c>
      <c r="E36" s="1342">
        <v>41690</v>
      </c>
      <c r="F36" s="1429">
        <v>7</v>
      </c>
      <c r="G36" s="1429">
        <v>12</v>
      </c>
      <c r="H36" s="1429">
        <v>14</v>
      </c>
      <c r="I36" s="1429">
        <v>5.65</v>
      </c>
      <c r="J36" s="1358">
        <f t="shared" si="0"/>
        <v>3278.0169999999998</v>
      </c>
      <c r="K36" s="1358">
        <v>1430</v>
      </c>
      <c r="L36" s="1129">
        <v>4708.0169999999998</v>
      </c>
      <c r="M36" s="1358">
        <f t="shared" si="13"/>
        <v>22946.118999999999</v>
      </c>
      <c r="N36" s="1358">
        <v>10010</v>
      </c>
      <c r="O36" s="1358">
        <f t="shared" si="7"/>
        <v>32956.118999999999</v>
      </c>
      <c r="P36" s="1353" t="s">
        <v>13</v>
      </c>
      <c r="Q36" s="1353" t="s">
        <v>13</v>
      </c>
      <c r="R36" s="1358" t="str">
        <f t="shared" si="2"/>
        <v>n/a</v>
      </c>
      <c r="S36" s="1358" t="str">
        <f t="shared" si="3"/>
        <v>n/a</v>
      </c>
      <c r="T36" s="1353" t="s">
        <v>13</v>
      </c>
      <c r="U36" s="1358" t="str">
        <f t="shared" si="16"/>
        <v>n/a</v>
      </c>
      <c r="V36" s="1358" t="str">
        <f t="shared" si="16"/>
        <v>n/a</v>
      </c>
      <c r="W36" s="1353" t="s">
        <v>13</v>
      </c>
      <c r="X36" s="1358" t="str">
        <f t="shared" si="15"/>
        <v>n/a</v>
      </c>
      <c r="Y36" s="1358" t="str">
        <f t="shared" si="15"/>
        <v>n/a</v>
      </c>
      <c r="Z36" s="1358"/>
      <c r="AA36" s="1434">
        <v>18520.796050000001</v>
      </c>
      <c r="AB36" s="1430">
        <v>41691</v>
      </c>
      <c r="AC36" s="1430">
        <v>41721</v>
      </c>
      <c r="AD36" s="1348" t="s">
        <v>1933</v>
      </c>
      <c r="AE36" s="1348">
        <v>32956.118999999999</v>
      </c>
      <c r="AF36" s="1303">
        <v>734</v>
      </c>
      <c r="AG36" s="1303">
        <v>270</v>
      </c>
      <c r="AH36" s="1431">
        <f t="shared" si="10"/>
        <v>32492.118999999999</v>
      </c>
      <c r="AI36" s="1431">
        <v>178780</v>
      </c>
      <c r="AJ36" s="1431">
        <v>32462.000000000004</v>
      </c>
      <c r="AK36" s="1433">
        <f t="shared" si="11"/>
        <v>0.18174358988701197</v>
      </c>
      <c r="AL36" s="1433">
        <f t="shared" si="12"/>
        <v>1.0009278233010903</v>
      </c>
    </row>
    <row r="37" spans="2:38" s="1321" customFormat="1" ht="14.85" customHeight="1">
      <c r="B37" s="1321" t="s">
        <v>1935</v>
      </c>
      <c r="C37" s="1340" t="s">
        <v>1936</v>
      </c>
      <c r="D37" s="1340" t="s">
        <v>1937</v>
      </c>
      <c r="E37" s="1342">
        <v>41683</v>
      </c>
      <c r="F37" s="1429">
        <v>16</v>
      </c>
      <c r="G37" s="1429">
        <v>16</v>
      </c>
      <c r="H37" s="1429">
        <v>18</v>
      </c>
      <c r="I37" s="1429">
        <v>19.399999999999999</v>
      </c>
      <c r="J37" s="1358">
        <f t="shared" si="0"/>
        <v>13537.623000000001</v>
      </c>
      <c r="K37" s="1358">
        <v>4511.3130000000001</v>
      </c>
      <c r="L37" s="1129">
        <v>18048.936000000002</v>
      </c>
      <c r="M37" s="1358">
        <f t="shared" si="13"/>
        <v>216601.96800000002</v>
      </c>
      <c r="N37" s="1358">
        <v>70588.210000000006</v>
      </c>
      <c r="O37" s="1358">
        <f t="shared" si="7"/>
        <v>287190.17800000001</v>
      </c>
      <c r="P37" s="1353">
        <v>69522000</v>
      </c>
      <c r="Q37" s="1353">
        <v>109881000</v>
      </c>
      <c r="R37" s="1358">
        <f t="shared" si="2"/>
        <v>4.1309251459969512E-3</v>
      </c>
      <c r="S37" s="1358">
        <f t="shared" si="3"/>
        <v>2.6136472911604375E-3</v>
      </c>
      <c r="T37" s="1353">
        <f t="shared" si="14"/>
        <v>282158.17800000001</v>
      </c>
      <c r="U37" s="1358">
        <f t="shared" si="16"/>
        <v>4.0585451799430398E-3</v>
      </c>
      <c r="V37" s="1358">
        <f t="shared" si="16"/>
        <v>2.5678522947552352E-3</v>
      </c>
      <c r="W37" s="1353">
        <v>462310600</v>
      </c>
      <c r="X37" s="1358">
        <f t="shared" si="15"/>
        <v>6.6498460918845836</v>
      </c>
      <c r="Y37" s="1358">
        <f t="shared" si="15"/>
        <v>4.207375251408342</v>
      </c>
      <c r="Z37" s="1358"/>
      <c r="AA37" s="1358">
        <f t="shared" si="17"/>
        <v>262629.88620000001</v>
      </c>
      <c r="AB37" s="1430">
        <v>41684</v>
      </c>
      <c r="AC37" s="1430">
        <f t="shared" si="18"/>
        <v>41714</v>
      </c>
      <c r="AD37" s="1348" t="s">
        <v>1938</v>
      </c>
      <c r="AE37" s="1348">
        <v>287190.17800000001</v>
      </c>
      <c r="AF37" s="1303">
        <v>17059</v>
      </c>
      <c r="AG37" s="1303">
        <v>12027</v>
      </c>
      <c r="AH37" s="1431">
        <f t="shared" si="10"/>
        <v>282158.17800000001</v>
      </c>
      <c r="AI37" s="1431">
        <v>18126</v>
      </c>
      <c r="AJ37" s="1431">
        <v>-8340</v>
      </c>
      <c r="AK37" s="1433">
        <f t="shared" si="11"/>
        <v>15.566488910956638</v>
      </c>
      <c r="AL37" s="1433">
        <f t="shared" si="12"/>
        <v>-33.831915827338129</v>
      </c>
    </row>
    <row r="38" spans="2:38" s="1321" customFormat="1" ht="14.85" customHeight="1">
      <c r="B38" s="1321" t="s">
        <v>1939</v>
      </c>
      <c r="C38" s="1340" t="s">
        <v>1940</v>
      </c>
      <c r="D38" s="1340" t="s">
        <v>1941</v>
      </c>
      <c r="E38" s="1342">
        <v>41682</v>
      </c>
      <c r="F38" s="1429">
        <v>5.75</v>
      </c>
      <c r="G38" s="1429">
        <v>10</v>
      </c>
      <c r="H38" s="1429">
        <v>12</v>
      </c>
      <c r="I38" s="1429">
        <v>109.65011</v>
      </c>
      <c r="J38" s="1358">
        <f t="shared" si="0"/>
        <v>8444.5540000000001</v>
      </c>
      <c r="K38" s="1358">
        <v>3682.9</v>
      </c>
      <c r="L38" s="1129">
        <v>12127.454</v>
      </c>
      <c r="M38" s="1358">
        <f t="shared" si="13"/>
        <v>48556.1855</v>
      </c>
      <c r="N38" s="1358">
        <v>20125</v>
      </c>
      <c r="O38" s="1358">
        <f t="shared" si="7"/>
        <v>68681.185499999992</v>
      </c>
      <c r="P38" s="1353">
        <v>22242540</v>
      </c>
      <c r="Q38" s="1353">
        <v>23350000</v>
      </c>
      <c r="R38" s="1358">
        <f t="shared" si="2"/>
        <v>3.0878301443989756E-3</v>
      </c>
      <c r="S38" s="1358">
        <f t="shared" si="3"/>
        <v>2.9413783940042825E-3</v>
      </c>
      <c r="T38" s="1353">
        <f t="shared" si="14"/>
        <v>79035.395499999999</v>
      </c>
      <c r="U38" s="1358">
        <f t="shared" si="16"/>
        <v>3.5533439751035626E-3</v>
      </c>
      <c r="V38" s="1358">
        <f t="shared" si="16"/>
        <v>3.3848135117773019E-3</v>
      </c>
      <c r="W38" s="1353">
        <v>99002490</v>
      </c>
      <c r="X38" s="1358">
        <f t="shared" si="15"/>
        <v>4.4510424618771056</v>
      </c>
      <c r="Y38" s="1358">
        <f t="shared" si="15"/>
        <v>4.239935331905782</v>
      </c>
      <c r="Z38" s="1358"/>
      <c r="AA38" s="1358">
        <f t="shared" si="17"/>
        <v>925946.27500093996</v>
      </c>
      <c r="AB38" s="1430">
        <v>41684</v>
      </c>
      <c r="AC38" s="1430">
        <f t="shared" si="18"/>
        <v>41714</v>
      </c>
      <c r="AD38" s="1348" t="s">
        <v>1942</v>
      </c>
      <c r="AE38" s="1348">
        <v>68681.185499999992</v>
      </c>
      <c r="AF38" s="1303">
        <v>7562.4</v>
      </c>
      <c r="AG38" s="1303">
        <v>17916.61</v>
      </c>
      <c r="AH38" s="1431">
        <f t="shared" si="10"/>
        <v>79035.395499999999</v>
      </c>
      <c r="AI38" s="1431">
        <v>87879</v>
      </c>
      <c r="AJ38" s="1431">
        <v>-61080</v>
      </c>
      <c r="AK38" s="1433">
        <f t="shared" si="11"/>
        <v>0.89936612273694505</v>
      </c>
      <c r="AL38" s="1433">
        <f t="shared" si="12"/>
        <v>-1.2939652177472167</v>
      </c>
    </row>
    <row r="39" spans="2:38" s="1321" customFormat="1" ht="14.85" customHeight="1">
      <c r="B39" s="1321" t="s">
        <v>1943</v>
      </c>
      <c r="C39" s="1340" t="s">
        <v>1944</v>
      </c>
      <c r="D39" s="1340" t="s">
        <v>1945</v>
      </c>
      <c r="E39" s="1342">
        <v>41591</v>
      </c>
      <c r="F39" s="1429">
        <v>15</v>
      </c>
      <c r="G39" s="1429">
        <v>13</v>
      </c>
      <c r="H39" s="1429">
        <v>15</v>
      </c>
      <c r="I39" s="1429">
        <v>22.67</v>
      </c>
      <c r="J39" s="1358">
        <f t="shared" si="0"/>
        <v>12178.095000000001</v>
      </c>
      <c r="K39" s="1358">
        <v>9200</v>
      </c>
      <c r="L39" s="1129">
        <v>21378.095000000001</v>
      </c>
      <c r="M39" s="1358">
        <f t="shared" si="13"/>
        <v>182671.42500000002</v>
      </c>
      <c r="N39" s="1358">
        <v>120000</v>
      </c>
      <c r="O39" s="1358">
        <f t="shared" si="7"/>
        <v>302671.42500000005</v>
      </c>
      <c r="P39" s="1353">
        <v>21019270</v>
      </c>
      <c r="Q39" s="1353">
        <v>27458360</v>
      </c>
      <c r="R39" s="1358">
        <f t="shared" si="2"/>
        <v>1.4399711550401133E-2</v>
      </c>
      <c r="S39" s="1358">
        <f t="shared" si="3"/>
        <v>1.1022924347994565E-2</v>
      </c>
      <c r="T39" s="1353">
        <f t="shared" si="14"/>
        <v>316469.70500000002</v>
      </c>
      <c r="U39" s="1358">
        <f t="shared" si="16"/>
        <v>1.5056170123891079E-2</v>
      </c>
      <c r="V39" s="1358">
        <f t="shared" si="16"/>
        <v>1.1525440885763025E-2</v>
      </c>
      <c r="W39" s="1353">
        <v>498437530</v>
      </c>
      <c r="X39" s="1358">
        <f t="shared" si="15"/>
        <v>23.713360644779765</v>
      </c>
      <c r="Y39" s="1358">
        <f t="shared" si="15"/>
        <v>18.152487257068522</v>
      </c>
      <c r="Z39" s="1358"/>
      <c r="AA39" s="1358">
        <f t="shared" si="17"/>
        <v>276077.41365000006</v>
      </c>
      <c r="AB39" s="1430">
        <v>41592</v>
      </c>
      <c r="AC39" s="1430">
        <f t="shared" si="18"/>
        <v>41622</v>
      </c>
      <c r="AD39" s="1348" t="s">
        <v>1946</v>
      </c>
      <c r="AE39" s="1348">
        <v>302671.42500000005</v>
      </c>
      <c r="AF39" s="1303">
        <v>15550.02</v>
      </c>
      <c r="AG39" s="1303">
        <v>29348.3</v>
      </c>
      <c r="AH39" s="1431">
        <f t="shared" si="10"/>
        <v>316469.70500000002</v>
      </c>
      <c r="AI39" s="1431">
        <v>54602</v>
      </c>
      <c r="AJ39" s="1431">
        <v>-34860</v>
      </c>
      <c r="AK39" s="1433">
        <f t="shared" si="11"/>
        <v>5.7959361378704077</v>
      </c>
      <c r="AL39" s="1433">
        <f t="shared" si="12"/>
        <v>-9.078304790590936</v>
      </c>
    </row>
    <row r="40" spans="2:38" s="1321" customFormat="1" ht="14.85" customHeight="1">
      <c r="B40" s="1321" t="s">
        <v>1947</v>
      </c>
      <c r="C40" s="1340" t="s">
        <v>1948</v>
      </c>
      <c r="D40" s="1340" t="s">
        <v>1949</v>
      </c>
      <c r="E40" s="1342">
        <v>41577</v>
      </c>
      <c r="F40" s="1429">
        <v>13</v>
      </c>
      <c r="G40" s="1429">
        <v>13</v>
      </c>
      <c r="H40" s="1429">
        <v>15</v>
      </c>
      <c r="I40" s="1429">
        <v>12.98</v>
      </c>
      <c r="J40" s="1358">
        <f t="shared" si="0"/>
        <v>15989.89</v>
      </c>
      <c r="K40" s="1358">
        <v>5000</v>
      </c>
      <c r="L40" s="1129">
        <v>20989.89</v>
      </c>
      <c r="M40" s="1358">
        <f t="shared" si="13"/>
        <v>207868.57</v>
      </c>
      <c r="N40" s="1358">
        <v>65000</v>
      </c>
      <c r="O40" s="1358">
        <f t="shared" si="7"/>
        <v>272868.57</v>
      </c>
      <c r="P40" s="1353">
        <v>17133000</v>
      </c>
      <c r="Q40" s="1353">
        <v>21510330</v>
      </c>
      <c r="R40" s="1358">
        <f t="shared" si="2"/>
        <v>1.5926490982314832E-2</v>
      </c>
      <c r="S40" s="1358">
        <f t="shared" si="3"/>
        <v>1.2685466471225686E-2</v>
      </c>
      <c r="T40" s="1353">
        <f t="shared" si="14"/>
        <v>257011.57</v>
      </c>
      <c r="U40" s="1358">
        <f t="shared" si="16"/>
        <v>1.5000967139438512E-2</v>
      </c>
      <c r="V40" s="1358">
        <f t="shared" si="16"/>
        <v>1.1948285777112671E-2</v>
      </c>
      <c r="W40" s="1353">
        <v>341745300</v>
      </c>
      <c r="X40" s="1358">
        <f t="shared" si="15"/>
        <v>19.946611801786027</v>
      </c>
      <c r="Y40" s="1358">
        <f t="shared" si="15"/>
        <v>15.887496844539344</v>
      </c>
      <c r="Z40" s="1358"/>
      <c r="AA40" s="1358">
        <f t="shared" si="17"/>
        <v>207548.77220000001</v>
      </c>
      <c r="AB40" s="1430">
        <v>41577</v>
      </c>
      <c r="AC40" s="1430">
        <f t="shared" si="18"/>
        <v>41607</v>
      </c>
      <c r="AD40" s="1348" t="s">
        <v>1950</v>
      </c>
      <c r="AE40" s="1348">
        <v>272868.57</v>
      </c>
      <c r="AF40" s="1303">
        <v>20683</v>
      </c>
      <c r="AG40" s="1303">
        <v>4826</v>
      </c>
      <c r="AH40" s="1431">
        <f t="shared" si="10"/>
        <v>257011.57</v>
      </c>
      <c r="AI40" s="1431" t="e">
        <v>#VALUE!</v>
      </c>
      <c r="AJ40" s="1431" t="e">
        <v>#VALUE!</v>
      </c>
      <c r="AK40" s="1433" t="str">
        <f t="shared" si="11"/>
        <v>n/a</v>
      </c>
      <c r="AL40" s="1433" t="str">
        <f t="shared" si="12"/>
        <v>n/a</v>
      </c>
    </row>
    <row r="41" spans="2:38" s="1321" customFormat="1" ht="14.85" customHeight="1">
      <c r="B41" s="1435"/>
      <c r="C41" s="1435"/>
      <c r="D41" s="1435"/>
      <c r="E41" s="1436"/>
      <c r="F41" s="1436"/>
      <c r="G41" s="1436"/>
      <c r="H41" s="1436"/>
      <c r="I41" s="1436"/>
      <c r="J41" s="1436"/>
      <c r="K41" s="1436"/>
      <c r="L41" s="1436"/>
      <c r="M41" s="1436"/>
      <c r="N41" s="1436"/>
      <c r="O41" s="1401"/>
      <c r="P41" s="1436"/>
      <c r="Q41" s="1401"/>
      <c r="R41" s="1401"/>
      <c r="S41" s="1401"/>
      <c r="T41" s="1437"/>
      <c r="U41" s="930"/>
      <c r="V41" s="930"/>
      <c r="W41" s="1436"/>
      <c r="X41" s="1401"/>
      <c r="Y41" s="1436"/>
      <c r="Z41" s="1412"/>
      <c r="AA41" s="1436"/>
    </row>
    <row r="42" spans="2:38" s="1321" customFormat="1" ht="14.85" customHeight="1">
      <c r="B42" s="1438" t="s">
        <v>111</v>
      </c>
      <c r="C42" s="1439"/>
      <c r="D42" s="1439"/>
      <c r="E42" s="1440"/>
      <c r="F42" s="1440"/>
      <c r="G42" s="1440"/>
      <c r="H42" s="1440"/>
      <c r="I42" s="1440"/>
      <c r="J42" s="1440"/>
      <c r="K42" s="1440"/>
      <c r="L42" s="1440"/>
      <c r="M42" s="1441">
        <f>MAX(M12:M40)</f>
        <v>781159.11</v>
      </c>
      <c r="N42" s="1441"/>
      <c r="O42" s="1442">
        <f>MAX(O12:O40)</f>
        <v>901159.11</v>
      </c>
      <c r="P42" s="1443">
        <f t="shared" ref="P42:Y42" si="19">MIN(P12:P40)</f>
        <v>0</v>
      </c>
      <c r="Q42" s="1443">
        <f t="shared" si="19"/>
        <v>0</v>
      </c>
      <c r="R42" s="1444">
        <f t="shared" si="19"/>
        <v>2.5054577056778681E-3</v>
      </c>
      <c r="S42" s="1445">
        <f t="shared" si="19"/>
        <v>2.0229668286755771E-3</v>
      </c>
      <c r="T42" s="1443">
        <f t="shared" si="19"/>
        <v>46655.894</v>
      </c>
      <c r="U42" s="1444">
        <f t="shared" si="19"/>
        <v>2.4183709801206903E-3</v>
      </c>
      <c r="V42" s="1444">
        <f t="shared" si="19"/>
        <v>1.9526509113001213E-3</v>
      </c>
      <c r="W42" s="1443">
        <f t="shared" si="19"/>
        <v>51305110</v>
      </c>
      <c r="X42" s="1444">
        <f t="shared" si="19"/>
        <v>2.9992198762998301</v>
      </c>
      <c r="Y42" s="1445">
        <f t="shared" si="19"/>
        <v>2.421642284325638</v>
      </c>
      <c r="Z42" s="1412"/>
      <c r="AA42" s="1442">
        <f>MAX(AA12:AA40)</f>
        <v>996023842737.35803</v>
      </c>
    </row>
    <row r="43" spans="2:38" s="1321" customFormat="1" ht="14.85" customHeight="1">
      <c r="B43" s="1446" t="s">
        <v>115</v>
      </c>
      <c r="C43" s="1447"/>
      <c r="D43" s="1447"/>
      <c r="E43" s="1448"/>
      <c r="F43" s="1448"/>
      <c r="G43" s="1448"/>
      <c r="H43" s="1448"/>
      <c r="I43" s="1448"/>
      <c r="J43" s="1448"/>
      <c r="K43" s="1448"/>
      <c r="L43" s="1448"/>
      <c r="M43" s="1449">
        <f>QUARTILE(M12:M40,3)</f>
        <v>252092.77900000001</v>
      </c>
      <c r="N43" s="1449"/>
      <c r="O43" s="1450">
        <f>QUARTILE(O12:O40,3)</f>
        <v>311630.15699999995</v>
      </c>
      <c r="P43" s="1451">
        <f t="shared" ref="P43:Y43" si="20">QUARTILE(P12:P40,1)</f>
        <v>3043000</v>
      </c>
      <c r="Q43" s="1451">
        <f t="shared" si="20"/>
        <v>900000</v>
      </c>
      <c r="R43" s="1452">
        <f t="shared" si="20"/>
        <v>6.0427754978877486E-3</v>
      </c>
      <c r="S43" s="1453">
        <f t="shared" si="20"/>
        <v>4.7263298605705953E-3</v>
      </c>
      <c r="T43" s="1451">
        <f t="shared" si="20"/>
        <v>139735.76699999999</v>
      </c>
      <c r="U43" s="1452">
        <f t="shared" si="20"/>
        <v>5.7962523301817205E-3</v>
      </c>
      <c r="V43" s="1452">
        <f t="shared" si="20"/>
        <v>4.6328607842710031E-3</v>
      </c>
      <c r="W43" s="1451">
        <f t="shared" si="20"/>
        <v>137148000</v>
      </c>
      <c r="X43" s="1452">
        <f t="shared" si="20"/>
        <v>9.0521624519703341</v>
      </c>
      <c r="Y43" s="1453">
        <f t="shared" si="20"/>
        <v>6.9808931733011068</v>
      </c>
      <c r="Z43" s="1412"/>
      <c r="AA43" s="1450">
        <f>QUARTILE(AA12:AA40,3)</f>
        <v>593236.67766000004</v>
      </c>
    </row>
    <row r="44" spans="2:38" s="1321" customFormat="1" ht="14.85" customHeight="1">
      <c r="B44" s="1446" t="s">
        <v>113</v>
      </c>
      <c r="C44" s="1447"/>
      <c r="D44" s="1447"/>
      <c r="E44" s="1448"/>
      <c r="F44" s="1448"/>
      <c r="G44" s="1448"/>
      <c r="H44" s="1448"/>
      <c r="I44" s="1448"/>
      <c r="J44" s="1448"/>
      <c r="K44" s="1448"/>
      <c r="L44" s="1448"/>
      <c r="M44" s="1449">
        <f>AVERAGE(M12:M40)</f>
        <v>192995.24995492518</v>
      </c>
      <c r="N44" s="1449"/>
      <c r="O44" s="1450">
        <f>AVERAGE(O12:O40)</f>
        <v>257794.35133423554</v>
      </c>
      <c r="P44" s="1451">
        <f t="shared" ref="P44:Y44" si="21">MEDIAN(P12:P40)</f>
        <v>17133000</v>
      </c>
      <c r="Q44" s="1451">
        <f t="shared" si="21"/>
        <v>21510330</v>
      </c>
      <c r="R44" s="1452">
        <f t="shared" si="21"/>
        <v>1.0689326661901359E-2</v>
      </c>
      <c r="S44" s="1453">
        <f t="shared" si="21"/>
        <v>7.4848089649340813E-3</v>
      </c>
      <c r="T44" s="1451">
        <f t="shared" si="21"/>
        <v>233071.88800000001</v>
      </c>
      <c r="U44" s="1452">
        <f t="shared" si="21"/>
        <v>1.0857663987385585E-2</v>
      </c>
      <c r="V44" s="1452">
        <f t="shared" si="21"/>
        <v>7.3496312553917083E-3</v>
      </c>
      <c r="W44" s="1451">
        <f t="shared" si="21"/>
        <v>332946300</v>
      </c>
      <c r="X44" s="1452">
        <f t="shared" si="21"/>
        <v>15.666713724088634</v>
      </c>
      <c r="Y44" s="1453">
        <f t="shared" si="21"/>
        <v>12.374907779177853</v>
      </c>
      <c r="Z44" s="1412"/>
      <c r="AA44" s="1450">
        <f>AVERAGE(AA12:AA40)</f>
        <v>34346009682.663994</v>
      </c>
    </row>
    <row r="45" spans="2:38" s="1321" customFormat="1" ht="14.85" customHeight="1">
      <c r="B45" s="1446" t="s">
        <v>44</v>
      </c>
      <c r="C45" s="1447"/>
      <c r="D45" s="1447"/>
      <c r="E45" s="1448"/>
      <c r="F45" s="1448"/>
      <c r="G45" s="1448"/>
      <c r="H45" s="1448"/>
      <c r="I45" s="1448"/>
      <c r="J45" s="1448"/>
      <c r="K45" s="1448"/>
      <c r="L45" s="1448"/>
      <c r="M45" s="1449">
        <f>MEDIAN(M12:M40)</f>
        <v>153949.85999999999</v>
      </c>
      <c r="N45" s="1449"/>
      <c r="O45" s="1450">
        <f>MEDIAN(O12:O40)</f>
        <v>231949.86</v>
      </c>
      <c r="P45" s="1451">
        <f t="shared" ref="P45:Y45" si="22">AVERAGE(P12:P40)</f>
        <v>32199462.399999999</v>
      </c>
      <c r="Q45" s="1451">
        <f t="shared" si="22"/>
        <v>40656612.799999997</v>
      </c>
      <c r="R45" s="1452">
        <f t="shared" si="22"/>
        <v>2.2527930224811279E-2</v>
      </c>
      <c r="S45" s="1453">
        <f t="shared" si="22"/>
        <v>3.5453813600549257E-2</v>
      </c>
      <c r="T45" s="1451">
        <f t="shared" si="22"/>
        <v>271469.66002771322</v>
      </c>
      <c r="U45" s="1452">
        <f t="shared" si="22"/>
        <v>2.2725866060934595E-2</v>
      </c>
      <c r="V45" s="1452">
        <f t="shared" si="22"/>
        <v>3.8347302229559968E-2</v>
      </c>
      <c r="W45" s="1451">
        <f t="shared" si="22"/>
        <v>403201712.80000001</v>
      </c>
      <c r="X45" s="1452">
        <f t="shared" si="22"/>
        <v>30.057334553971014</v>
      </c>
      <c r="Y45" s="1453">
        <f t="shared" si="22"/>
        <v>43.635520031610007</v>
      </c>
      <c r="Z45" s="1412"/>
      <c r="AA45" s="1450">
        <f>MEDIAN(AA12:AA40)</f>
        <v>262629.88620000001</v>
      </c>
    </row>
    <row r="46" spans="2:38" s="1321" customFormat="1" ht="14.85" customHeight="1">
      <c r="B46" s="1446" t="s">
        <v>114</v>
      </c>
      <c r="C46" s="1447"/>
      <c r="D46" s="1447"/>
      <c r="E46" s="1448"/>
      <c r="F46" s="1448"/>
      <c r="G46" s="1448"/>
      <c r="H46" s="1448"/>
      <c r="I46" s="1448"/>
      <c r="J46" s="1448"/>
      <c r="K46" s="1448"/>
      <c r="L46" s="1448"/>
      <c r="M46" s="1449">
        <f>QUARTILE(M12:M40,1)</f>
        <v>73052.231999999989</v>
      </c>
      <c r="N46" s="1449"/>
      <c r="O46" s="1450">
        <f>QUARTILE(O12:O40,1)</f>
        <v>122552.23199999999</v>
      </c>
      <c r="P46" s="1451">
        <f t="shared" ref="P46:Y46" si="23">QUARTILE(P12:P40,3)</f>
        <v>48786000</v>
      </c>
      <c r="Q46" s="1451">
        <f t="shared" si="23"/>
        <v>62887920</v>
      </c>
      <c r="R46" s="1452">
        <f t="shared" si="23"/>
        <v>1.5941030619921758E-2</v>
      </c>
      <c r="S46" s="1453">
        <f t="shared" si="23"/>
        <v>1.373973814011231E-2</v>
      </c>
      <c r="T46" s="1451">
        <f t="shared" si="23"/>
        <v>335839.81699999992</v>
      </c>
      <c r="U46" s="1452">
        <f t="shared" si="23"/>
        <v>1.554027401178918E-2</v>
      </c>
      <c r="V46" s="1452">
        <f t="shared" si="23"/>
        <v>1.3794677636090671E-2</v>
      </c>
      <c r="W46" s="1451">
        <f t="shared" si="23"/>
        <v>498437530</v>
      </c>
      <c r="X46" s="1452">
        <f t="shared" si="23"/>
        <v>23.713360644779765</v>
      </c>
      <c r="Y46" s="1453">
        <f t="shared" si="23"/>
        <v>21.648384924479245</v>
      </c>
      <c r="Z46" s="1412"/>
      <c r="AA46" s="1450">
        <f>QUARTILE(AA12:AA40,1)</f>
        <v>92842.11510000001</v>
      </c>
    </row>
    <row r="47" spans="2:38" s="1321" customFormat="1" ht="14.85" customHeight="1">
      <c r="B47" s="1454" t="s">
        <v>112</v>
      </c>
      <c r="C47" s="1455"/>
      <c r="D47" s="1455"/>
      <c r="E47" s="1456"/>
      <c r="F47" s="1456"/>
      <c r="G47" s="1456"/>
      <c r="H47" s="1456"/>
      <c r="I47" s="1456"/>
      <c r="J47" s="1456"/>
      <c r="K47" s="1456"/>
      <c r="L47" s="1456"/>
      <c r="M47" s="1457">
        <f>MIN(M12:M40)</f>
        <v>22946.118999999999</v>
      </c>
      <c r="N47" s="1457"/>
      <c r="O47" s="1458">
        <f>MIN(O12:O40)</f>
        <v>32956.118999999999</v>
      </c>
      <c r="P47" s="1459">
        <f t="shared" ref="P47:Y47" si="24">MAX(P12:P40)</f>
        <v>155584000</v>
      </c>
      <c r="Q47" s="1459">
        <f t="shared" si="24"/>
        <v>186350000</v>
      </c>
      <c r="R47" s="1460">
        <f t="shared" si="24"/>
        <v>0.12765135913421755</v>
      </c>
      <c r="S47" s="1461">
        <f t="shared" si="24"/>
        <v>0.39154067731629388</v>
      </c>
      <c r="T47" s="1459">
        <f t="shared" si="24"/>
        <v>864395.11</v>
      </c>
      <c r="U47" s="1460">
        <f t="shared" si="24"/>
        <v>0.13756822993044573</v>
      </c>
      <c r="V47" s="1460">
        <f t="shared" si="24"/>
        <v>0.44892086900958461</v>
      </c>
      <c r="W47" s="1459">
        <f t="shared" si="24"/>
        <v>1300279390</v>
      </c>
      <c r="X47" s="1460">
        <f t="shared" si="24"/>
        <v>168.34637031696747</v>
      </c>
      <c r="Y47" s="1461">
        <f t="shared" si="24"/>
        <v>454.17456869009584</v>
      </c>
      <c r="Z47" s="1412"/>
      <c r="AA47" s="1458">
        <f>MIN(AA12:AA40)</f>
        <v>18520.796050000001</v>
      </c>
    </row>
    <row r="48" spans="2:38" s="1321" customFormat="1" ht="14.85" customHeight="1">
      <c r="B48" s="1462"/>
      <c r="C48" s="1462"/>
      <c r="D48" s="1462"/>
      <c r="E48" s="1463"/>
      <c r="F48" s="1463"/>
      <c r="G48" s="1463"/>
      <c r="H48" s="1463"/>
      <c r="I48" s="1463"/>
      <c r="J48" s="1463"/>
      <c r="K48" s="1463"/>
      <c r="L48" s="1463"/>
      <c r="M48" s="1463"/>
      <c r="N48" s="1463"/>
      <c r="O48" s="1401"/>
      <c r="P48" s="1401"/>
      <c r="Q48" s="1401"/>
      <c r="R48" s="1401"/>
      <c r="S48" s="1401"/>
      <c r="T48" s="1401"/>
      <c r="U48" s="1401"/>
      <c r="V48" s="1401"/>
      <c r="W48" s="1401"/>
      <c r="X48" s="1401"/>
      <c r="Y48" s="1401"/>
      <c r="Z48" s="1412"/>
      <c r="AA48" s="1463"/>
    </row>
    <row r="49" spans="2:27" s="1321" customFormat="1" ht="14.85" customHeight="1">
      <c r="B49" s="272" t="s">
        <v>116</v>
      </c>
      <c r="E49" s="1401"/>
      <c r="F49" s="1401"/>
      <c r="G49" s="1401"/>
      <c r="H49" s="1401"/>
      <c r="I49" s="1401"/>
      <c r="J49" s="1401"/>
      <c r="K49" s="1401"/>
      <c r="L49" s="1401"/>
      <c r="M49" s="1401"/>
      <c r="N49" s="1401"/>
      <c r="O49" s="1401"/>
      <c r="P49" s="1401"/>
      <c r="Q49" s="1401"/>
      <c r="R49" s="1401"/>
      <c r="S49" s="1401"/>
      <c r="T49" s="1401"/>
      <c r="U49" s="1401"/>
      <c r="V49" s="1401"/>
      <c r="W49" s="1401"/>
      <c r="X49" s="1401"/>
      <c r="Y49" s="1401"/>
      <c r="Z49" s="1401"/>
      <c r="AA49" s="1401"/>
    </row>
    <row r="50" spans="2:27" ht="14.85" customHeight="1"/>
    <row r="51" spans="2:27" ht="14.85" customHeight="1"/>
    <row r="52" spans="2:27" ht="14.85" customHeight="1"/>
    <row r="53" spans="2:27" ht="14.85" customHeight="1"/>
    <row r="54" spans="2:27" ht="14.85" customHeight="1"/>
    <row r="55" spans="2:27" ht="14.85" customHeight="1"/>
    <row r="56" spans="2:27" ht="14.85" customHeight="1"/>
    <row r="57" spans="2:27" ht="14.85" customHeight="1"/>
    <row r="58" spans="2:27" ht="14.85" customHeight="1"/>
    <row r="59" spans="2:27" ht="14.85" customHeight="1"/>
    <row r="60" spans="2:27" ht="14.85" customHeight="1"/>
    <row r="61" spans="2:27" ht="14.85" customHeight="1"/>
    <row r="62" spans="2:27" ht="14.85" customHeight="1"/>
    <row r="63" spans="2:27" ht="14.85" customHeight="1"/>
    <row r="64" spans="2:27"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0">
    <mergeCell ref="E9:E10"/>
    <mergeCell ref="J9:J10"/>
    <mergeCell ref="N9:N10"/>
    <mergeCell ref="O9:O10"/>
    <mergeCell ref="AC9:AC10"/>
    <mergeCell ref="AF9:AF10"/>
    <mergeCell ref="F9:F10"/>
    <mergeCell ref="G9:H9"/>
    <mergeCell ref="I9:I10"/>
    <mergeCell ref="K9:K10"/>
    <mergeCell ref="AA9:AA10"/>
    <mergeCell ref="AB9:AB10"/>
    <mergeCell ref="L9:L10"/>
    <mergeCell ref="M9:M10"/>
    <mergeCell ref="AE9:AE10"/>
    <mergeCell ref="AH9:AH10"/>
    <mergeCell ref="AI9:AI10"/>
    <mergeCell ref="AJ9:AJ10"/>
    <mergeCell ref="AK9:AK10"/>
    <mergeCell ref="AL9:AL10"/>
  </mergeCells>
  <conditionalFormatting sqref="C4:D4">
    <cfRule type="cellIs" dxfId="79" priority="8" stopIfTrue="1" operator="equal">
      <formula>"input"</formula>
    </cfRule>
  </conditionalFormatting>
  <conditionalFormatting sqref="E4:F4">
    <cfRule type="cellIs" dxfId="78" priority="7" stopIfTrue="1" operator="equal">
      <formula>"input"</formula>
    </cfRule>
  </conditionalFormatting>
  <conditionalFormatting sqref="G4:H5">
    <cfRule type="cellIs" dxfId="77" priority="6" stopIfTrue="1" operator="equal">
      <formula>"input"</formula>
    </cfRule>
  </conditionalFormatting>
  <conditionalFormatting sqref="I4:J5">
    <cfRule type="cellIs" dxfId="76" priority="5" stopIfTrue="1" operator="equal">
      <formula>"input"</formula>
    </cfRule>
  </conditionalFormatting>
  <conditionalFormatting sqref="K4:L5">
    <cfRule type="cellIs" dxfId="75" priority="4" stopIfTrue="1" operator="equal">
      <formula>"input"</formula>
    </cfRule>
  </conditionalFormatting>
  <conditionalFormatting sqref="M4:N5">
    <cfRule type="cellIs" dxfId="74" priority="3" stopIfTrue="1" operator="equal">
      <formula>"input"</formula>
    </cfRule>
  </conditionalFormatting>
  <conditionalFormatting sqref="O4:O5">
    <cfRule type="cellIs" dxfId="73" priority="2" stopIfTrue="1" operator="equal">
      <formula>"input"</formula>
    </cfRule>
  </conditionalFormatting>
  <conditionalFormatting sqref="B4">
    <cfRule type="cellIs" dxfId="72" priority="1" stopIfTrue="1" operator="equal">
      <formula>"input"</formula>
    </cfRule>
  </conditionalFormatting>
  <pageMargins left="0.5" right="0.5" top="0.5" bottom="0.5" header="0.5" footer="0.5"/>
  <pageSetup scale="92" fitToWidth="0" fitToHeight="0" orientation="landscape" r:id="rId1"/>
  <legacyDrawing r:id="rId2"/>
  <legacyDrawingHF r:id="rId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64"/>
  <dimension ref="A1:BM764"/>
  <sheetViews>
    <sheetView showGridLines="0" view="pageBreakPreview" zoomScale="80" zoomScaleNormal="100" zoomScaleSheetLayoutView="80" workbookViewId="0"/>
  </sheetViews>
  <sheetFormatPr defaultColWidth="10.6640625" defaultRowHeight="12.75" outlineLevelRow="1" outlineLevelCol="1"/>
  <cols>
    <col min="1" max="1" width="4.5" style="1303" customWidth="1"/>
    <col min="2" max="2" width="42.33203125" style="1303" customWidth="1"/>
    <col min="3" max="3" width="19.83203125" style="1303" hidden="1" customWidth="1" outlineLevel="1"/>
    <col min="4" max="4" width="18.6640625" style="1303" hidden="1" customWidth="1" outlineLevel="1" collapsed="1"/>
    <col min="5" max="5" width="15.5" style="1303" hidden="1" customWidth="1" outlineLevel="1"/>
    <col min="6" max="6" width="12.83203125" style="1305" bestFit="1" customWidth="1" collapsed="1"/>
    <col min="7" max="7" width="12" style="1305" customWidth="1"/>
    <col min="8" max="9" width="14" style="1305" hidden="1" customWidth="1" outlineLevel="1"/>
    <col min="10" max="10" width="15" style="1305" customWidth="1" collapsed="1"/>
    <col min="11" max="13" width="16.83203125" style="1305" customWidth="1"/>
    <col min="14" max="14" width="18.33203125" style="1305" customWidth="1"/>
    <col min="15" max="15" width="16.83203125" style="1305" customWidth="1"/>
    <col min="16" max="16" width="18.33203125" style="1305" customWidth="1"/>
    <col min="17" max="17" width="4.5" style="1305" customWidth="1"/>
    <col min="18" max="18" width="29.1640625" style="1305" bestFit="1" customWidth="1"/>
    <col min="19" max="19" width="16.33203125" style="1303" customWidth="1"/>
    <col min="20" max="20" width="13.6640625" style="1303" customWidth="1"/>
    <col min="21" max="21" width="14.83203125" style="1303" customWidth="1"/>
    <col min="22" max="22" width="13.5" style="1303" bestFit="1" customWidth="1"/>
    <col min="23" max="23" width="16.5" style="1303" bestFit="1" customWidth="1"/>
    <col min="24" max="24" width="12.5" style="1303" bestFit="1" customWidth="1"/>
    <col min="25" max="25" width="13.6640625" style="1303" bestFit="1" customWidth="1"/>
    <col min="26" max="26" width="13.6640625" style="1303" customWidth="1"/>
    <col min="27" max="27" width="12.5" style="1303" bestFit="1" customWidth="1"/>
    <col min="28" max="28" width="13.1640625" style="1303" bestFit="1" customWidth="1"/>
    <col min="29" max="29" width="13" style="1303" bestFit="1" customWidth="1"/>
    <col min="30" max="30" width="15.6640625" style="1303" bestFit="1" customWidth="1"/>
    <col min="31" max="31" width="11" style="1303" bestFit="1" customWidth="1"/>
    <col min="32" max="34" width="10.6640625" style="1303"/>
    <col min="35" max="36" width="12.5" style="1303" bestFit="1" customWidth="1"/>
    <col min="37" max="37" width="14" style="1303" bestFit="1" customWidth="1"/>
    <col min="38" max="38" width="10.6640625" style="1303"/>
    <col min="39" max="40" width="11" style="1303" bestFit="1" customWidth="1"/>
    <col min="41" max="41" width="12.5" style="1303" bestFit="1" customWidth="1"/>
    <col min="42" max="42" width="12.33203125" style="1303" bestFit="1" customWidth="1"/>
    <col min="43" max="43" width="14" style="1303" bestFit="1" customWidth="1"/>
    <col min="44" max="44" width="14.33203125" style="1303" bestFit="1" customWidth="1"/>
    <col min="45" max="45" width="11" style="1303" bestFit="1" customWidth="1"/>
    <col min="46" max="46" width="18" style="1303" bestFit="1" customWidth="1"/>
    <col min="47" max="47" width="14" style="1303" bestFit="1" customWidth="1"/>
    <col min="48" max="48" width="18" style="1303" bestFit="1" customWidth="1"/>
    <col min="49" max="51" width="11" style="1303" bestFit="1" customWidth="1"/>
    <col min="52" max="52" width="14" style="1303" bestFit="1" customWidth="1"/>
    <col min="53" max="53" width="11" style="1303" bestFit="1" customWidth="1"/>
    <col min="54" max="54" width="18.1640625" style="1303" bestFit="1" customWidth="1"/>
    <col min="55" max="55" width="10.6640625" style="1303"/>
    <col min="56" max="56" width="14" style="1303" bestFit="1" customWidth="1"/>
    <col min="57" max="57" width="11" style="1303" bestFit="1" customWidth="1"/>
    <col min="58" max="58" width="12" style="1303" bestFit="1" customWidth="1"/>
    <col min="59" max="59" width="15.5" style="1303" bestFit="1" customWidth="1"/>
    <col min="60" max="60" width="12" style="1303" bestFit="1" customWidth="1"/>
    <col min="61" max="64" width="10.6640625" style="1303"/>
    <col min="65" max="65" width="11" style="1303" bestFit="1" customWidth="1"/>
    <col min="66" max="16384" width="10.6640625" style="1303"/>
  </cols>
  <sheetData>
    <row r="1" spans="1:36" ht="11.25" customHeight="1" thickBot="1">
      <c r="A1" s="1302"/>
      <c r="F1" s="1304"/>
      <c r="G1" s="1304"/>
      <c r="H1" s="1304"/>
      <c r="I1" s="1304"/>
      <c r="J1" s="1304"/>
      <c r="K1" s="1304"/>
      <c r="L1" s="1304"/>
      <c r="M1" s="1304"/>
      <c r="N1" s="1304"/>
      <c r="R1" s="1303"/>
      <c r="S1" s="1306"/>
      <c r="T1" s="1307"/>
      <c r="W1" s="1303" t="s">
        <v>462</v>
      </c>
      <c r="X1" s="1303" t="s">
        <v>464</v>
      </c>
      <c r="AJ1" s="1308"/>
    </row>
    <row r="2" spans="1:36" ht="15" thickTop="1">
      <c r="A2" s="1309"/>
      <c r="B2" s="187" t="str">
        <f>'MASTER PubCo Inputs'!$C$5</f>
        <v>Decibel Therapeutics, Inc.</v>
      </c>
      <c r="C2" s="187"/>
      <c r="D2" s="187"/>
      <c r="E2" s="187"/>
      <c r="F2" s="187"/>
      <c r="G2" s="187"/>
      <c r="H2" s="187"/>
      <c r="I2" s="187"/>
      <c r="J2" s="187"/>
      <c r="K2" s="187"/>
      <c r="L2" s="187"/>
      <c r="M2" s="187"/>
      <c r="N2" s="187"/>
      <c r="O2" s="187"/>
      <c r="P2" s="187"/>
      <c r="Q2" s="1310"/>
      <c r="R2" s="1311"/>
      <c r="S2" s="1312" t="s">
        <v>1575</v>
      </c>
      <c r="T2" s="1313">
        <v>42837</v>
      </c>
      <c r="U2" s="1303" t="s">
        <v>1990</v>
      </c>
      <c r="W2" s="1303" t="s">
        <v>843</v>
      </c>
      <c r="X2" s="1303" t="s">
        <v>844</v>
      </c>
    </row>
    <row r="3" spans="1:36" ht="14.25">
      <c r="A3" s="1309"/>
      <c r="B3" s="188" t="str">
        <f>VLOOKUP(B4,Outline!$E$8:$G$75,COLUMNS(Outline!$E$8:$G$8),FALSE)</f>
        <v>Workpaper #15</v>
      </c>
      <c r="C3" s="188"/>
      <c r="D3" s="188"/>
      <c r="E3" s="188"/>
      <c r="F3" s="188"/>
      <c r="G3" s="188"/>
      <c r="H3" s="188"/>
      <c r="I3" s="188"/>
      <c r="J3" s="188"/>
      <c r="K3" s="188"/>
      <c r="L3" s="188"/>
      <c r="M3" s="188"/>
      <c r="N3" s="188"/>
      <c r="O3" s="188"/>
      <c r="P3" s="188"/>
      <c r="Q3" s="1310"/>
      <c r="R3" s="1311"/>
      <c r="S3" s="1407"/>
      <c r="T3" s="1315"/>
      <c r="W3" s="1303" t="s">
        <v>463</v>
      </c>
      <c r="X3" s="1303" t="s">
        <v>465</v>
      </c>
    </row>
    <row r="4" spans="1:36" ht="15" thickBot="1">
      <c r="B4" s="726" t="s">
        <v>1203</v>
      </c>
      <c r="C4" s="726"/>
      <c r="D4" s="726"/>
      <c r="E4" s="726"/>
      <c r="F4" s="726"/>
      <c r="G4" s="726"/>
      <c r="H4" s="726"/>
      <c r="I4" s="726"/>
      <c r="J4" s="726"/>
      <c r="K4" s="726"/>
      <c r="L4" s="726"/>
      <c r="M4" s="726"/>
      <c r="N4" s="726"/>
      <c r="O4" s="726"/>
      <c r="P4" s="727" t="str">
        <f>'MASTER PubCo Inputs'!C20</f>
        <v>(in thousands of USD and shares, except price per share)</v>
      </c>
      <c r="Q4" s="1310"/>
      <c r="R4" s="1303"/>
      <c r="W4" s="1303" t="s">
        <v>89</v>
      </c>
      <c r="X4" s="1303" t="s">
        <v>90</v>
      </c>
    </row>
    <row r="5" spans="1:36" ht="14.85" customHeight="1" thickTop="1">
      <c r="B5" s="1316" t="s">
        <v>2083</v>
      </c>
      <c r="C5" s="1316"/>
      <c r="D5" s="1316"/>
      <c r="E5" s="1316"/>
      <c r="F5" s="1317"/>
      <c r="G5" s="1317"/>
      <c r="H5" s="1317"/>
      <c r="I5" s="1317"/>
      <c r="J5" s="1317"/>
      <c r="K5" s="1304"/>
      <c r="L5" s="1304"/>
      <c r="M5" s="1304"/>
      <c r="N5" s="1304"/>
      <c r="Q5" s="1310"/>
      <c r="R5" s="1303"/>
    </row>
    <row r="6" spans="1:36" ht="14.85" customHeight="1">
      <c r="B6" s="1309"/>
      <c r="C6" s="1309"/>
      <c r="D6" s="1309"/>
      <c r="E6" s="1309"/>
      <c r="F6" s="1304"/>
      <c r="G6" s="1304"/>
      <c r="H6" s="1304"/>
      <c r="I6" s="1304"/>
      <c r="J6" s="1304"/>
      <c r="K6" s="1304"/>
      <c r="L6" s="1318"/>
      <c r="M6" s="1304"/>
      <c r="N6" s="1319"/>
      <c r="P6" s="1320"/>
    </row>
    <row r="7" spans="1:36" s="1321" customFormat="1" ht="14.85" customHeight="1">
      <c r="B7" s="964" t="s">
        <v>1953</v>
      </c>
      <c r="C7" s="1410"/>
      <c r="D7" s="1410"/>
      <c r="E7" s="1410"/>
      <c r="F7" s="1410"/>
      <c r="G7" s="1410"/>
      <c r="H7" s="1410"/>
      <c r="I7" s="1410"/>
      <c r="J7" s="1410"/>
      <c r="K7" s="1410"/>
      <c r="L7" s="1410"/>
      <c r="M7" s="1410"/>
      <c r="N7" s="1410"/>
      <c r="O7" s="1410"/>
      <c r="P7" s="1411"/>
      <c r="Q7" s="1325"/>
      <c r="R7" s="1326"/>
    </row>
    <row r="8" spans="1:36" s="1327" customFormat="1" ht="25.5">
      <c r="B8" s="1464"/>
      <c r="C8" s="1422"/>
      <c r="D8" s="1422" t="s">
        <v>1205</v>
      </c>
      <c r="E8" s="1422" t="s">
        <v>1206</v>
      </c>
      <c r="F8" s="2087" t="s">
        <v>1848</v>
      </c>
      <c r="G8" s="2086" t="s">
        <v>1207</v>
      </c>
      <c r="H8" s="2086" t="s">
        <v>1208</v>
      </c>
      <c r="I8" s="2086"/>
      <c r="J8" s="2086" t="s">
        <v>1209</v>
      </c>
      <c r="K8" s="2088" t="s">
        <v>2079</v>
      </c>
      <c r="L8" s="2086" t="s">
        <v>1210</v>
      </c>
      <c r="M8" s="2086" t="s">
        <v>1211</v>
      </c>
      <c r="N8" s="2086" t="s">
        <v>1212</v>
      </c>
      <c r="O8" s="2088" t="s">
        <v>2080</v>
      </c>
      <c r="P8" s="2089" t="s">
        <v>2082</v>
      </c>
      <c r="Q8" s="1325"/>
      <c r="R8" s="2065" t="s">
        <v>1213</v>
      </c>
      <c r="S8" s="2065" t="s">
        <v>1214</v>
      </c>
      <c r="T8" s="2065" t="s">
        <v>1215</v>
      </c>
      <c r="U8" s="2065" t="s">
        <v>1216</v>
      </c>
      <c r="W8" s="1335" t="s">
        <v>1217</v>
      </c>
      <c r="X8" s="2065" t="s">
        <v>824</v>
      </c>
      <c r="Z8" s="2066" t="s">
        <v>147</v>
      </c>
      <c r="AA8" s="2066" t="s">
        <v>2085</v>
      </c>
      <c r="AB8" s="2066" t="s">
        <v>2086</v>
      </c>
      <c r="AC8" s="2066" t="s">
        <v>2087</v>
      </c>
      <c r="AD8" s="2066" t="s">
        <v>2088</v>
      </c>
    </row>
    <row r="9" spans="1:36" s="1327" customFormat="1" ht="25.5">
      <c r="B9" s="1331" t="s">
        <v>1218</v>
      </c>
      <c r="C9" s="1332" t="s">
        <v>1219</v>
      </c>
      <c r="D9" s="1332" t="s">
        <v>602</v>
      </c>
      <c r="E9" s="1332" t="s">
        <v>1220</v>
      </c>
      <c r="F9" s="2068"/>
      <c r="G9" s="2070"/>
      <c r="H9" s="1333" t="s">
        <v>112</v>
      </c>
      <c r="I9" s="1333" t="s">
        <v>111</v>
      </c>
      <c r="J9" s="2070"/>
      <c r="K9" s="2070"/>
      <c r="L9" s="2070"/>
      <c r="M9" s="2070"/>
      <c r="N9" s="2070"/>
      <c r="O9" s="2070"/>
      <c r="P9" s="2072"/>
      <c r="Q9" s="1325"/>
      <c r="R9" s="2065"/>
      <c r="S9" s="2065"/>
      <c r="T9" s="2065"/>
      <c r="U9" s="2065"/>
      <c r="X9" s="2065"/>
      <c r="Y9" s="1335" t="s">
        <v>95</v>
      </c>
      <c r="Z9" s="2066"/>
      <c r="AA9" s="2066"/>
      <c r="AB9" s="2066"/>
      <c r="AC9" s="2066"/>
      <c r="AD9" s="2066"/>
    </row>
    <row r="10" spans="1:36" s="1327" customFormat="1" ht="14.85" customHeight="1">
      <c r="B10" s="1335"/>
      <c r="C10" s="1335"/>
      <c r="D10" s="1335"/>
      <c r="E10" s="1335"/>
      <c r="F10" s="1335"/>
      <c r="G10" s="1335"/>
      <c r="H10" s="1335"/>
      <c r="I10" s="1335"/>
      <c r="J10" s="1335"/>
      <c r="K10" s="1465"/>
      <c r="L10" s="1335"/>
      <c r="M10" s="1335"/>
      <c r="N10" s="1335"/>
      <c r="O10" s="1335"/>
      <c r="P10" s="1335"/>
      <c r="Q10" s="1325"/>
      <c r="R10" s="1336"/>
      <c r="S10" s="1336"/>
      <c r="T10" s="1336"/>
      <c r="AE10" s="1327" t="s">
        <v>110</v>
      </c>
    </row>
    <row r="11" spans="1:36" s="1327" customFormat="1" ht="14.85" customHeight="1">
      <c r="B11" s="1321" t="s">
        <v>1954</v>
      </c>
      <c r="C11" s="1340" t="s">
        <v>1955</v>
      </c>
      <c r="D11" s="1341" t="s">
        <v>13</v>
      </c>
      <c r="E11" s="1340" t="s">
        <v>1956</v>
      </c>
      <c r="F11" s="1342">
        <v>42641</v>
      </c>
      <c r="G11" s="1466">
        <v>9</v>
      </c>
      <c r="H11" s="1343">
        <v>12</v>
      </c>
      <c r="I11" s="1343">
        <v>14</v>
      </c>
      <c r="J11" s="1466">
        <v>9.09</v>
      </c>
      <c r="K11" s="1352">
        <f>M11-L11</f>
        <v>12846.256000000001</v>
      </c>
      <c r="L11" s="1434">
        <v>4200</v>
      </c>
      <c r="M11" s="698">
        <v>17046.256000000001</v>
      </c>
      <c r="N11" s="1358">
        <f>+K11*G11</f>
        <v>115616.304</v>
      </c>
      <c r="O11" s="1434">
        <v>37800</v>
      </c>
      <c r="P11" s="1358">
        <f>N11+O11</f>
        <v>153416.304</v>
      </c>
      <c r="Q11" s="1358"/>
      <c r="R11" s="1467">
        <f>M11*J11</f>
        <v>154950.46704000002</v>
      </c>
      <c r="S11" s="1468">
        <v>42642</v>
      </c>
      <c r="T11" s="1468">
        <v>42672</v>
      </c>
      <c r="U11" s="1348" t="s">
        <v>1957</v>
      </c>
      <c r="V11" s="1349" t="s">
        <v>1958</v>
      </c>
      <c r="W11" s="1350">
        <f>+N11+O11</f>
        <v>153416.304</v>
      </c>
      <c r="X11" s="1432">
        <v>16060</v>
      </c>
      <c r="Y11" s="1432">
        <v>0</v>
      </c>
      <c r="Z11" s="1432">
        <f>W11+Y11-X11</f>
        <v>137356.304</v>
      </c>
      <c r="AA11" s="1432">
        <v>13218</v>
      </c>
      <c r="AB11" s="1432">
        <v>-5000</v>
      </c>
      <c r="AC11" s="1432">
        <f>Z11/AA11</f>
        <v>10.391610228476321</v>
      </c>
      <c r="AD11" s="1432">
        <f>Z11/AB11</f>
        <v>-27.4712608</v>
      </c>
      <c r="AE11" s="1355">
        <f t="shared" ref="AE11:AE19" si="0">+P11-W11</f>
        <v>0</v>
      </c>
    </row>
    <row r="12" spans="1:36" s="1327" customFormat="1" ht="14.85" customHeight="1">
      <c r="B12" s="1321" t="s">
        <v>1959</v>
      </c>
      <c r="C12" s="1340" t="s">
        <v>1960</v>
      </c>
      <c r="D12" s="1341" t="s">
        <v>13</v>
      </c>
      <c r="E12" s="1340" t="s">
        <v>1961</v>
      </c>
      <c r="F12" s="1342">
        <v>42522</v>
      </c>
      <c r="G12" s="1466">
        <v>14</v>
      </c>
      <c r="H12" s="1343">
        <v>12.5</v>
      </c>
      <c r="I12" s="1343">
        <v>15.5</v>
      </c>
      <c r="J12" s="1466">
        <v>12.87</v>
      </c>
      <c r="K12" s="1352">
        <f t="shared" ref="K12:K19" si="1">M12-L12</f>
        <v>111345.825</v>
      </c>
      <c r="L12" s="1434">
        <v>6500</v>
      </c>
      <c r="M12" s="698">
        <v>117845.825</v>
      </c>
      <c r="N12" s="1358">
        <f t="shared" ref="N12:N19" si="2">+K12*G12</f>
        <v>1558841.55</v>
      </c>
      <c r="O12" s="1434">
        <v>91000</v>
      </c>
      <c r="P12" s="1358">
        <f t="shared" ref="P12:P19" si="3">N12+O12</f>
        <v>1649841.55</v>
      </c>
      <c r="Q12" s="1358"/>
      <c r="R12" s="1467">
        <f t="shared" ref="R12:R19" si="4">M12*J12</f>
        <v>1516675.7677499999</v>
      </c>
      <c r="S12" s="1468">
        <v>42523</v>
      </c>
      <c r="T12" s="1468">
        <v>42553</v>
      </c>
      <c r="U12" s="1348" t="s">
        <v>1962</v>
      </c>
      <c r="V12" s="1349" t="s">
        <v>1963</v>
      </c>
      <c r="W12" s="1350">
        <f t="shared" ref="W12:W19" si="5">+N12+O12</f>
        <v>1649841.55</v>
      </c>
      <c r="X12" s="1432">
        <v>24560</v>
      </c>
      <c r="Y12" s="1432">
        <v>152666</v>
      </c>
      <c r="Z12" s="1432">
        <f t="shared" ref="Z12:Z19" si="6">W12+Y12-X12</f>
        <v>1777947.55</v>
      </c>
      <c r="AA12" s="1432">
        <v>66012</v>
      </c>
      <c r="AB12" s="1432">
        <v>-81859</v>
      </c>
      <c r="AC12" s="1432">
        <f t="shared" ref="AC12:AC19" si="7">Z12/AA12</f>
        <v>26.933702205659579</v>
      </c>
      <c r="AD12" s="1432">
        <f t="shared" ref="AD12:AD19" si="8">Z12/AB12</f>
        <v>-21.719634371296987</v>
      </c>
      <c r="AE12" s="1355">
        <f t="shared" si="0"/>
        <v>0</v>
      </c>
    </row>
    <row r="13" spans="1:36" s="1327" customFormat="1" ht="14.85" customHeight="1">
      <c r="B13" s="1469" t="s">
        <v>1964</v>
      </c>
      <c r="C13" s="1340" t="s">
        <v>1965</v>
      </c>
      <c r="D13" s="1341" t="s">
        <v>13</v>
      </c>
      <c r="E13" s="1340" t="s">
        <v>1966</v>
      </c>
      <c r="F13" s="1342">
        <v>42129</v>
      </c>
      <c r="G13" s="1466">
        <v>14</v>
      </c>
      <c r="H13" s="1343">
        <v>13</v>
      </c>
      <c r="I13" s="1343">
        <v>15</v>
      </c>
      <c r="J13" s="1466">
        <v>15.61</v>
      </c>
      <c r="K13" s="1352">
        <f t="shared" si="1"/>
        <v>3164.6130000000003</v>
      </c>
      <c r="L13" s="1434">
        <v>3570</v>
      </c>
      <c r="M13" s="698">
        <v>6734.6130000000003</v>
      </c>
      <c r="N13" s="1358">
        <f t="shared" si="2"/>
        <v>44304.582000000002</v>
      </c>
      <c r="O13" s="1434">
        <v>49980</v>
      </c>
      <c r="P13" s="1358">
        <f t="shared" si="3"/>
        <v>94284.581999999995</v>
      </c>
      <c r="Q13" s="1358"/>
      <c r="R13" s="1467">
        <f t="shared" si="4"/>
        <v>105127.30893</v>
      </c>
      <c r="S13" s="1468">
        <v>42131</v>
      </c>
      <c r="T13" s="1468">
        <v>42161</v>
      </c>
      <c r="U13" s="1348" t="s">
        <v>1967</v>
      </c>
      <c r="V13" s="1349" t="s">
        <v>1968</v>
      </c>
      <c r="W13" s="1350">
        <f t="shared" si="5"/>
        <v>94284.581999999995</v>
      </c>
      <c r="X13" s="1432">
        <v>3613.39</v>
      </c>
      <c r="Y13" s="1432">
        <v>10519.37</v>
      </c>
      <c r="Z13" s="1432">
        <f t="shared" si="6"/>
        <v>101190.56199999999</v>
      </c>
      <c r="AA13" s="1432">
        <v>3328.96</v>
      </c>
      <c r="AB13" s="1432">
        <v>-12367.85</v>
      </c>
      <c r="AC13" s="1432">
        <f t="shared" si="7"/>
        <v>30.39704952898202</v>
      </c>
      <c r="AD13" s="1432">
        <f t="shared" si="8"/>
        <v>-8.1817423400186762</v>
      </c>
      <c r="AE13" s="1355">
        <f t="shared" si="0"/>
        <v>0</v>
      </c>
    </row>
    <row r="14" spans="1:36" s="1327" customFormat="1" ht="14.85" customHeight="1">
      <c r="B14" s="1321" t="s">
        <v>1969</v>
      </c>
      <c r="C14" s="1340" t="s">
        <v>1970</v>
      </c>
      <c r="D14" s="1341" t="s">
        <v>13</v>
      </c>
      <c r="E14" s="1340" t="s">
        <v>1971</v>
      </c>
      <c r="F14" s="1342">
        <v>41955</v>
      </c>
      <c r="G14" s="1466">
        <v>6.5</v>
      </c>
      <c r="H14" s="1343">
        <v>0</v>
      </c>
      <c r="I14" s="1343">
        <v>0</v>
      </c>
      <c r="J14" s="1466">
        <v>2.5</v>
      </c>
      <c r="K14" s="1352">
        <f t="shared" si="1"/>
        <v>4822.67</v>
      </c>
      <c r="L14" s="1434">
        <v>1550</v>
      </c>
      <c r="M14" s="698">
        <v>6372.67</v>
      </c>
      <c r="N14" s="1358">
        <f t="shared" si="2"/>
        <v>31347.355</v>
      </c>
      <c r="O14" s="1434">
        <v>10075</v>
      </c>
      <c r="P14" s="1358">
        <f t="shared" si="3"/>
        <v>41422.354999999996</v>
      </c>
      <c r="Q14" s="1358"/>
      <c r="R14" s="1467">
        <f t="shared" si="4"/>
        <v>15931.674999999999</v>
      </c>
      <c r="S14" s="1468">
        <v>41957</v>
      </c>
      <c r="T14" s="1468">
        <v>41987</v>
      </c>
      <c r="U14" s="1348" t="s">
        <v>1972</v>
      </c>
      <c r="V14" s="1349" t="s">
        <v>1973</v>
      </c>
      <c r="W14" s="1350">
        <f t="shared" si="5"/>
        <v>41422.354999999996</v>
      </c>
      <c r="X14" s="1432" t="e">
        <v>#VALUE!</v>
      </c>
      <c r="Y14" s="1432" t="e">
        <v>#VALUE!</v>
      </c>
      <c r="Z14" s="1432" t="e">
        <f t="shared" si="6"/>
        <v>#VALUE!</v>
      </c>
      <c r="AA14" s="1432" t="e">
        <v>#VALUE!</v>
      </c>
      <c r="AB14" s="1432" t="e">
        <v>#VALUE!</v>
      </c>
      <c r="AC14" s="1432" t="e">
        <f t="shared" si="7"/>
        <v>#VALUE!</v>
      </c>
      <c r="AD14" s="1432" t="e">
        <f t="shared" si="8"/>
        <v>#VALUE!</v>
      </c>
      <c r="AE14" s="1355">
        <f t="shared" si="0"/>
        <v>0</v>
      </c>
    </row>
    <row r="15" spans="1:36" s="1327" customFormat="1" ht="14.85" customHeight="1">
      <c r="B15" s="1321" t="s">
        <v>1974</v>
      </c>
      <c r="C15" s="1340" t="s">
        <v>1975</v>
      </c>
      <c r="D15" s="1341" t="s">
        <v>13</v>
      </c>
      <c r="E15" s="1340" t="s">
        <v>1976</v>
      </c>
      <c r="F15" s="1342">
        <v>41857</v>
      </c>
      <c r="G15" s="1466">
        <v>11</v>
      </c>
      <c r="H15" s="1343">
        <v>15</v>
      </c>
      <c r="I15" s="1343">
        <v>17</v>
      </c>
      <c r="J15" s="1466">
        <v>19.66</v>
      </c>
      <c r="K15" s="1352">
        <f t="shared" si="1"/>
        <v>14021.603999999999</v>
      </c>
      <c r="L15" s="1434">
        <v>4000</v>
      </c>
      <c r="M15" s="698">
        <v>18021.603999999999</v>
      </c>
      <c r="N15" s="1358">
        <f t="shared" si="2"/>
        <v>154237.644</v>
      </c>
      <c r="O15" s="1434">
        <v>44000</v>
      </c>
      <c r="P15" s="1358">
        <f>N15+O15</f>
        <v>198237.644</v>
      </c>
      <c r="Q15" s="1358"/>
      <c r="R15" s="1467">
        <f t="shared" si="4"/>
        <v>354304.73463999998</v>
      </c>
      <c r="S15" s="1468">
        <v>41858</v>
      </c>
      <c r="T15" s="1468">
        <v>41888</v>
      </c>
      <c r="U15" s="1348" t="s">
        <v>1977</v>
      </c>
      <c r="V15" s="1349" t="s">
        <v>1978</v>
      </c>
      <c r="W15" s="1350">
        <f t="shared" si="5"/>
        <v>198237.644</v>
      </c>
      <c r="X15" s="1432">
        <v>23698</v>
      </c>
      <c r="Y15" s="1432">
        <v>4619</v>
      </c>
      <c r="Z15" s="1432">
        <f t="shared" si="6"/>
        <v>179158.644</v>
      </c>
      <c r="AA15" s="1432">
        <v>266</v>
      </c>
      <c r="AB15" s="1432">
        <v>-21409</v>
      </c>
      <c r="AC15" s="1432">
        <f t="shared" si="7"/>
        <v>673.52873684210522</v>
      </c>
      <c r="AD15" s="1432">
        <f t="shared" si="8"/>
        <v>-8.3683798402540983</v>
      </c>
      <c r="AE15" s="1355">
        <f t="shared" si="0"/>
        <v>0</v>
      </c>
    </row>
    <row r="16" spans="1:36" s="1327" customFormat="1" ht="14.85" customHeight="1">
      <c r="B16" s="1321" t="s">
        <v>1515</v>
      </c>
      <c r="C16" s="1340" t="s">
        <v>1516</v>
      </c>
      <c r="D16" s="1341" t="s">
        <v>13</v>
      </c>
      <c r="E16" s="1340" t="s">
        <v>1517</v>
      </c>
      <c r="F16" s="1342">
        <v>41836</v>
      </c>
      <c r="G16" s="1466">
        <v>10</v>
      </c>
      <c r="H16" s="1343">
        <v>15</v>
      </c>
      <c r="I16" s="1343">
        <v>17</v>
      </c>
      <c r="J16" s="1466">
        <v>10.02</v>
      </c>
      <c r="K16" s="1352">
        <f t="shared" si="1"/>
        <v>7379.3019999999997</v>
      </c>
      <c r="L16" s="1434">
        <v>3125</v>
      </c>
      <c r="M16" s="698">
        <v>10504.302</v>
      </c>
      <c r="N16" s="1358">
        <f t="shared" si="2"/>
        <v>73793.01999999999</v>
      </c>
      <c r="O16" s="1434">
        <v>31250</v>
      </c>
      <c r="P16" s="1358">
        <f t="shared" si="3"/>
        <v>105043.01999999999</v>
      </c>
      <c r="Q16" s="1358"/>
      <c r="R16" s="1467">
        <f t="shared" si="4"/>
        <v>105253.10604</v>
      </c>
      <c r="S16" s="1468">
        <v>41838</v>
      </c>
      <c r="T16" s="1468">
        <v>41868</v>
      </c>
      <c r="U16" s="1348" t="s">
        <v>1518</v>
      </c>
      <c r="V16" s="1349" t="s">
        <v>1519</v>
      </c>
      <c r="W16" s="1350">
        <f t="shared" si="5"/>
        <v>105043.01999999999</v>
      </c>
      <c r="X16" s="1432">
        <v>4837</v>
      </c>
      <c r="Y16" s="1432">
        <v>15114</v>
      </c>
      <c r="Z16" s="1432">
        <f t="shared" si="6"/>
        <v>115320.01999999999</v>
      </c>
      <c r="AA16" s="1432">
        <v>23041</v>
      </c>
      <c r="AB16" s="1432">
        <v>59</v>
      </c>
      <c r="AC16" s="1432">
        <f t="shared" si="7"/>
        <v>5.0049919708345989</v>
      </c>
      <c r="AD16" s="1432">
        <f t="shared" si="8"/>
        <v>1954.5766101694915</v>
      </c>
      <c r="AE16" s="1355">
        <f t="shared" si="0"/>
        <v>0</v>
      </c>
    </row>
    <row r="17" spans="1:31" s="1327" customFormat="1" ht="14.85" customHeight="1">
      <c r="B17" s="1321" t="s">
        <v>1947</v>
      </c>
      <c r="C17" s="1340" t="s">
        <v>1948</v>
      </c>
      <c r="D17" s="1341" t="s">
        <v>13</v>
      </c>
      <c r="E17" s="1340" t="s">
        <v>1949</v>
      </c>
      <c r="F17" s="1342">
        <v>41577</v>
      </c>
      <c r="G17" s="1466">
        <v>13</v>
      </c>
      <c r="H17" s="1343">
        <v>13</v>
      </c>
      <c r="I17" s="1343">
        <v>15</v>
      </c>
      <c r="J17" s="1466">
        <v>12.98</v>
      </c>
      <c r="K17" s="1352">
        <f t="shared" si="1"/>
        <v>15989.89</v>
      </c>
      <c r="L17" s="1434">
        <v>4700</v>
      </c>
      <c r="M17" s="698">
        <v>20689.89</v>
      </c>
      <c r="N17" s="1358">
        <f t="shared" si="2"/>
        <v>207868.57</v>
      </c>
      <c r="O17" s="1434">
        <v>61100</v>
      </c>
      <c r="P17" s="1358">
        <f t="shared" si="3"/>
        <v>268968.57</v>
      </c>
      <c r="Q17" s="1358"/>
      <c r="R17" s="1467">
        <f t="shared" si="4"/>
        <v>268554.77220000001</v>
      </c>
      <c r="S17" s="1468">
        <v>41577</v>
      </c>
      <c r="T17" s="1468">
        <v>41607</v>
      </c>
      <c r="U17" s="1348" t="s">
        <v>1950</v>
      </c>
      <c r="V17" s="1349" t="s">
        <v>1979</v>
      </c>
      <c r="W17" s="1350">
        <f t="shared" si="5"/>
        <v>268968.57</v>
      </c>
      <c r="X17" s="1432">
        <v>20683</v>
      </c>
      <c r="Y17" s="1432">
        <v>4826</v>
      </c>
      <c r="Z17" s="1432">
        <f t="shared" si="6"/>
        <v>253111.57</v>
      </c>
      <c r="AA17" s="1432">
        <v>17133</v>
      </c>
      <c r="AB17" s="1432">
        <v>-20627</v>
      </c>
      <c r="AC17" s="1432">
        <f t="shared" si="7"/>
        <v>14.773336251678048</v>
      </c>
      <c r="AD17" s="1432">
        <f t="shared" si="8"/>
        <v>-12.2708862170941</v>
      </c>
      <c r="AE17" s="1355">
        <f t="shared" si="0"/>
        <v>0</v>
      </c>
    </row>
    <row r="18" spans="1:31" s="1327" customFormat="1" ht="14.85" customHeight="1">
      <c r="B18" s="1321" t="s">
        <v>1980</v>
      </c>
      <c r="C18" s="1340" t="s">
        <v>1981</v>
      </c>
      <c r="D18" s="1341" t="s">
        <v>13</v>
      </c>
      <c r="E18" s="1340" t="s">
        <v>1982</v>
      </c>
      <c r="F18" s="1342">
        <v>41541</v>
      </c>
      <c r="G18" s="1466">
        <v>18</v>
      </c>
      <c r="H18" s="1343">
        <v>14</v>
      </c>
      <c r="I18" s="1343">
        <v>16</v>
      </c>
      <c r="J18" s="1466">
        <v>30.87</v>
      </c>
      <c r="K18" s="1352">
        <f t="shared" si="1"/>
        <v>21283.454000000002</v>
      </c>
      <c r="L18" s="1434">
        <v>5000</v>
      </c>
      <c r="M18" s="698">
        <v>26283.454000000002</v>
      </c>
      <c r="N18" s="1358">
        <f t="shared" si="2"/>
        <v>383102.17200000002</v>
      </c>
      <c r="O18" s="1434">
        <v>90000</v>
      </c>
      <c r="P18" s="1358">
        <f t="shared" si="3"/>
        <v>473102.17200000002</v>
      </c>
      <c r="Q18" s="1358"/>
      <c r="R18" s="1467">
        <f>M18*J18</f>
        <v>811370.22498000006</v>
      </c>
      <c r="S18" s="1468">
        <v>41542</v>
      </c>
      <c r="T18" s="1468">
        <v>41572</v>
      </c>
      <c r="U18" s="1348" t="s">
        <v>1983</v>
      </c>
      <c r="V18" s="1349" t="s">
        <v>1984</v>
      </c>
      <c r="W18" s="1350">
        <f t="shared" si="5"/>
        <v>473102.17200000002</v>
      </c>
      <c r="X18" s="1432">
        <v>35965</v>
      </c>
      <c r="Y18" s="1432">
        <v>2346</v>
      </c>
      <c r="Z18" s="1432">
        <f t="shared" si="6"/>
        <v>439483.17200000002</v>
      </c>
      <c r="AA18" s="1432">
        <v>19336</v>
      </c>
      <c r="AB18" s="1432">
        <v>-24930</v>
      </c>
      <c r="AC18" s="1432">
        <f t="shared" si="7"/>
        <v>22.728753206454282</v>
      </c>
      <c r="AD18" s="1432">
        <f t="shared" si="8"/>
        <v>-17.62868720417168</v>
      </c>
      <c r="AE18" s="1355">
        <f t="shared" si="0"/>
        <v>0</v>
      </c>
    </row>
    <row r="19" spans="1:31" s="1327" customFormat="1" ht="14.85" customHeight="1">
      <c r="B19" s="1321" t="s">
        <v>1985</v>
      </c>
      <c r="C19" s="1340" t="s">
        <v>1986</v>
      </c>
      <c r="D19" s="1341" t="s">
        <v>13</v>
      </c>
      <c r="E19" s="1340" t="s">
        <v>1987</v>
      </c>
      <c r="F19" s="1342">
        <v>41493</v>
      </c>
      <c r="G19" s="1466">
        <v>16</v>
      </c>
      <c r="H19" s="1343">
        <v>14</v>
      </c>
      <c r="I19" s="1343">
        <v>16</v>
      </c>
      <c r="J19" s="1466">
        <v>25.54</v>
      </c>
      <c r="K19" s="1352">
        <f t="shared" si="1"/>
        <v>85486.074000000008</v>
      </c>
      <c r="L19" s="1434">
        <v>8333.3330000000005</v>
      </c>
      <c r="M19" s="698">
        <v>93819.407000000007</v>
      </c>
      <c r="N19" s="1358">
        <f t="shared" si="2"/>
        <v>1367777.1840000001</v>
      </c>
      <c r="O19" s="1434">
        <v>133333.32800000001</v>
      </c>
      <c r="P19" s="1358">
        <f t="shared" si="3"/>
        <v>1501110.5120000001</v>
      </c>
      <c r="Q19" s="1358"/>
      <c r="R19" s="1467">
        <f t="shared" si="4"/>
        <v>2396147.65478</v>
      </c>
      <c r="S19" s="1468">
        <v>41494</v>
      </c>
      <c r="T19" s="1468">
        <v>41524</v>
      </c>
      <c r="U19" s="1348" t="s">
        <v>1988</v>
      </c>
      <c r="V19" s="1349" t="s">
        <v>1989</v>
      </c>
      <c r="W19" s="1350">
        <f t="shared" si="5"/>
        <v>1501110.5120000001</v>
      </c>
      <c r="X19" s="1432">
        <v>59724</v>
      </c>
      <c r="Y19" s="1432">
        <v>2288</v>
      </c>
      <c r="Z19" s="1432">
        <f t="shared" si="6"/>
        <v>1443674.5120000001</v>
      </c>
      <c r="AA19" s="1432">
        <v>16283.000000000002</v>
      </c>
      <c r="AB19" s="1432">
        <v>-56078</v>
      </c>
      <c r="AC19" s="1432">
        <f t="shared" si="7"/>
        <v>88.661457470982</v>
      </c>
      <c r="AD19" s="1432">
        <f t="shared" si="8"/>
        <v>-25.744044224116411</v>
      </c>
      <c r="AE19" s="1355">
        <f t="shared" si="0"/>
        <v>0</v>
      </c>
    </row>
    <row r="20" spans="1:31" s="1327" customFormat="1" ht="14.85" customHeight="1">
      <c r="B20" s="1335"/>
      <c r="C20" s="1335"/>
      <c r="D20" s="1335"/>
      <c r="E20" s="1335"/>
      <c r="F20" s="1335"/>
      <c r="G20" s="1335"/>
      <c r="H20" s="1335"/>
      <c r="I20" s="1335"/>
      <c r="J20" s="1335"/>
      <c r="K20" s="1335"/>
      <c r="L20" s="1335"/>
      <c r="M20" s="1335"/>
      <c r="N20" s="1335"/>
      <c r="O20" s="1335"/>
      <c r="P20" s="1335"/>
      <c r="Q20" s="1325"/>
      <c r="R20" s="1336"/>
      <c r="S20" s="1336"/>
      <c r="T20" s="1336"/>
    </row>
    <row r="21" spans="1:31" s="1327" customFormat="1" ht="14.85" customHeight="1" outlineLevel="1">
      <c r="B21" s="1337" t="s">
        <v>1789</v>
      </c>
      <c r="C21" s="1335"/>
      <c r="D21" s="1335"/>
      <c r="E21" s="1335"/>
      <c r="F21" s="1335"/>
      <c r="G21" s="1335"/>
      <c r="H21" s="1335"/>
      <c r="I21" s="1335"/>
      <c r="J21" s="1335"/>
      <c r="K21" s="1335"/>
      <c r="L21" s="1339"/>
      <c r="M21" s="1335"/>
      <c r="N21" s="1335"/>
      <c r="O21" s="1335"/>
      <c r="P21" s="1335"/>
      <c r="Q21" s="1325"/>
      <c r="R21" s="1325"/>
      <c r="S21" s="1336"/>
      <c r="T21" s="1336"/>
    </row>
    <row r="22" spans="1:31" s="1327" customFormat="1" ht="14.85" customHeight="1" outlineLevel="1">
      <c r="B22" s="1337"/>
      <c r="C22" s="1335"/>
      <c r="D22" s="1335"/>
      <c r="E22" s="1335"/>
      <c r="F22" s="1335"/>
      <c r="G22" s="1335"/>
      <c r="H22" s="1335"/>
      <c r="I22" s="1335"/>
      <c r="J22" s="1335"/>
      <c r="K22" s="1335"/>
      <c r="L22" s="1339"/>
      <c r="M22" s="1335"/>
      <c r="N22" s="1335"/>
      <c r="O22" s="1335"/>
      <c r="P22" s="1335"/>
      <c r="Q22" s="1325"/>
      <c r="R22" s="1325"/>
      <c r="S22" s="1336"/>
      <c r="T22" s="1336"/>
    </row>
    <row r="23" spans="1:31" s="1327" customFormat="1" ht="14.85" customHeight="1" outlineLevel="1">
      <c r="B23" s="1321" t="s">
        <v>907</v>
      </c>
      <c r="C23" s="1340" t="s">
        <v>905</v>
      </c>
      <c r="D23" s="1341" t="s">
        <v>1048</v>
      </c>
      <c r="E23" s="1340" t="s">
        <v>1226</v>
      </c>
      <c r="F23" s="1342">
        <v>42661</v>
      </c>
      <c r="G23" s="1466">
        <v>14</v>
      </c>
      <c r="H23" s="1343">
        <v>15</v>
      </c>
      <c r="I23" s="1343">
        <v>17</v>
      </c>
      <c r="J23" s="1466">
        <v>20.5</v>
      </c>
      <c r="K23" s="1368">
        <f t="shared" ref="K23:K38" si="9">+M23-L23</f>
        <v>35360.633999999998</v>
      </c>
      <c r="L23" s="1339">
        <v>4000</v>
      </c>
      <c r="M23" s="1339">
        <v>39360.633999999998</v>
      </c>
      <c r="N23" s="1325">
        <f t="shared" ref="N23:N38" si="10">+G23*K23</f>
        <v>495048.87599999999</v>
      </c>
      <c r="O23" s="1345">
        <f t="shared" ref="O23:O38" si="11">+G23*L23</f>
        <v>56000</v>
      </c>
      <c r="P23" s="1325">
        <f t="shared" ref="P23:P38" si="12">+N23+O23</f>
        <v>551048.87599999993</v>
      </c>
      <c r="Q23" s="1325"/>
      <c r="R23" s="1343">
        <v>20.5</v>
      </c>
      <c r="S23" s="1346">
        <f t="shared" ref="S23:S38" si="13">R23*M23</f>
        <v>806892.99699999997</v>
      </c>
      <c r="T23" s="1347">
        <f t="shared" ref="T23:T38" si="14">S23/P23-1</f>
        <v>0.46428571428571441</v>
      </c>
      <c r="U23" s="1348" t="s">
        <v>906</v>
      </c>
      <c r="V23" s="1349" t="s">
        <v>908</v>
      </c>
      <c r="W23" s="1350">
        <f t="shared" ref="W23:W38" si="15">+N23+O23</f>
        <v>551048.87599999993</v>
      </c>
      <c r="X23" s="1355">
        <f t="shared" ref="X23:X38" si="16">+P23-W23</f>
        <v>0</v>
      </c>
    </row>
    <row r="24" spans="1:31" s="1327" customFormat="1" ht="14.85" customHeight="1" outlineLevel="1">
      <c r="B24" s="1321" t="s">
        <v>934</v>
      </c>
      <c r="C24" s="1340" t="s">
        <v>932</v>
      </c>
      <c r="D24" s="1341" t="s">
        <v>885</v>
      </c>
      <c r="E24" s="1340" t="s">
        <v>1252</v>
      </c>
      <c r="F24" s="1342">
        <v>42571</v>
      </c>
      <c r="G24" s="1367">
        <v>15</v>
      </c>
      <c r="H24" s="1356">
        <v>14</v>
      </c>
      <c r="I24" s="1356">
        <v>16</v>
      </c>
      <c r="J24" s="1367">
        <v>14.4</v>
      </c>
      <c r="K24" s="1368">
        <f t="shared" si="9"/>
        <v>16020.378000000001</v>
      </c>
      <c r="L24" s="1339">
        <v>5000</v>
      </c>
      <c r="M24" s="1339">
        <v>21020.378000000001</v>
      </c>
      <c r="N24" s="1325">
        <f t="shared" si="10"/>
        <v>240305.67</v>
      </c>
      <c r="O24" s="1345">
        <f t="shared" si="11"/>
        <v>75000</v>
      </c>
      <c r="P24" s="1325">
        <f t="shared" si="12"/>
        <v>315305.67000000004</v>
      </c>
      <c r="Q24" s="1325"/>
      <c r="R24" s="1343">
        <v>14.4</v>
      </c>
      <c r="S24" s="1346">
        <f t="shared" si="13"/>
        <v>302693.44320000004</v>
      </c>
      <c r="T24" s="1347">
        <f t="shared" si="14"/>
        <v>-4.0000000000000036E-2</v>
      </c>
      <c r="U24" s="1357" t="s">
        <v>933</v>
      </c>
      <c r="V24" s="1349" t="s">
        <v>935</v>
      </c>
      <c r="W24" s="1350">
        <f t="shared" si="15"/>
        <v>315305.67000000004</v>
      </c>
      <c r="X24" s="1355">
        <f t="shared" si="16"/>
        <v>0</v>
      </c>
      <c r="Y24" s="1359"/>
    </row>
    <row r="25" spans="1:31" s="1327" customFormat="1" ht="14.85" customHeight="1" outlineLevel="1">
      <c r="B25" s="1321" t="s">
        <v>1259</v>
      </c>
      <c r="C25" s="1340" t="s">
        <v>1260</v>
      </c>
      <c r="D25" s="1341" t="s">
        <v>885</v>
      </c>
      <c r="E25" s="1340" t="s">
        <v>1261</v>
      </c>
      <c r="F25" s="1342">
        <v>42522</v>
      </c>
      <c r="G25" s="1367">
        <v>6</v>
      </c>
      <c r="H25" s="1356">
        <v>5</v>
      </c>
      <c r="I25" s="1356">
        <v>6</v>
      </c>
      <c r="J25" s="1367">
        <v>7.0350000000000001</v>
      </c>
      <c r="K25" s="1368">
        <f t="shared" si="9"/>
        <v>6895.2960000000003</v>
      </c>
      <c r="L25" s="1339">
        <v>1540.0260000000001</v>
      </c>
      <c r="M25" s="1339">
        <v>8435.3220000000001</v>
      </c>
      <c r="N25" s="1325">
        <f t="shared" si="10"/>
        <v>41371.775999999998</v>
      </c>
      <c r="O25" s="1345">
        <f t="shared" si="11"/>
        <v>9240.1560000000009</v>
      </c>
      <c r="P25" s="1325">
        <f t="shared" si="12"/>
        <v>50611.932000000001</v>
      </c>
      <c r="Q25" s="1325"/>
      <c r="R25" s="1343">
        <v>7.0350000000000001</v>
      </c>
      <c r="S25" s="1346">
        <f t="shared" si="13"/>
        <v>59342.490270000002</v>
      </c>
      <c r="T25" s="1347">
        <f t="shared" si="14"/>
        <v>0.1725000000000001</v>
      </c>
      <c r="U25" s="1357" t="s">
        <v>1262</v>
      </c>
      <c r="V25" s="1349" t="s">
        <v>1263</v>
      </c>
      <c r="W25" s="1350">
        <f t="shared" si="15"/>
        <v>50611.932000000001</v>
      </c>
      <c r="X25" s="1355">
        <f t="shared" si="16"/>
        <v>0</v>
      </c>
      <c r="Y25" s="1359"/>
    </row>
    <row r="26" spans="1:31" s="1359" customFormat="1" ht="14.85" customHeight="1" outlineLevel="1">
      <c r="A26" s="1327"/>
      <c r="B26" s="1321" t="s">
        <v>943</v>
      </c>
      <c r="C26" s="1340" t="s">
        <v>941</v>
      </c>
      <c r="D26" s="1341" t="s">
        <v>885</v>
      </c>
      <c r="E26" s="1340" t="s">
        <v>1274</v>
      </c>
      <c r="F26" s="1342">
        <v>42507</v>
      </c>
      <c r="G26" s="1367">
        <v>5</v>
      </c>
      <c r="H26" s="1356">
        <v>0</v>
      </c>
      <c r="I26" s="1356">
        <v>0</v>
      </c>
      <c r="J26" s="1367">
        <v>5.18</v>
      </c>
      <c r="K26" s="1368">
        <f t="shared" si="9"/>
        <v>7883.2340000000004</v>
      </c>
      <c r="L26" s="1339">
        <v>3700</v>
      </c>
      <c r="M26" s="1339">
        <v>11583.234</v>
      </c>
      <c r="N26" s="1325">
        <f t="shared" si="10"/>
        <v>39416.17</v>
      </c>
      <c r="O26" s="1345">
        <f t="shared" si="11"/>
        <v>18500</v>
      </c>
      <c r="P26" s="1325">
        <f t="shared" si="12"/>
        <v>57916.17</v>
      </c>
      <c r="Q26" s="1325"/>
      <c r="R26" s="1343">
        <v>5.18</v>
      </c>
      <c r="S26" s="1346">
        <f t="shared" si="13"/>
        <v>60001.152119999999</v>
      </c>
      <c r="T26" s="1347">
        <f t="shared" si="14"/>
        <v>3.6000000000000032E-2</v>
      </c>
      <c r="U26" s="1357" t="s">
        <v>942</v>
      </c>
      <c r="V26" s="1349" t="s">
        <v>944</v>
      </c>
      <c r="W26" s="1350">
        <f t="shared" si="15"/>
        <v>57916.17</v>
      </c>
      <c r="X26" s="1355">
        <f t="shared" si="16"/>
        <v>0</v>
      </c>
      <c r="Y26" s="1327"/>
      <c r="AC26" s="1355"/>
      <c r="AD26" s="1360"/>
    </row>
    <row r="27" spans="1:31" s="1327" customFormat="1" ht="14.85" customHeight="1" outlineLevel="1">
      <c r="B27" s="1321" t="s">
        <v>927</v>
      </c>
      <c r="C27" s="1340" t="s">
        <v>925</v>
      </c>
      <c r="D27" s="1341" t="s">
        <v>1048</v>
      </c>
      <c r="E27" s="1340" t="s">
        <v>1280</v>
      </c>
      <c r="F27" s="1342">
        <v>42495</v>
      </c>
      <c r="G27" s="1367">
        <v>18</v>
      </c>
      <c r="H27" s="1356">
        <v>16</v>
      </c>
      <c r="I27" s="1356">
        <v>18</v>
      </c>
      <c r="J27" s="1367">
        <v>28.8</v>
      </c>
      <c r="K27" s="1368">
        <f t="shared" si="9"/>
        <v>29096.264999999999</v>
      </c>
      <c r="L27" s="1339">
        <v>6000</v>
      </c>
      <c r="M27" s="1339">
        <v>35096.264999999999</v>
      </c>
      <c r="N27" s="1325">
        <f t="shared" si="10"/>
        <v>523732.77</v>
      </c>
      <c r="O27" s="1345">
        <f t="shared" si="11"/>
        <v>108000</v>
      </c>
      <c r="P27" s="1325">
        <f t="shared" si="12"/>
        <v>631732.77</v>
      </c>
      <c r="Q27" s="1325"/>
      <c r="R27" s="1343">
        <v>28.8</v>
      </c>
      <c r="S27" s="1346">
        <f t="shared" si="13"/>
        <v>1010772.432</v>
      </c>
      <c r="T27" s="1347">
        <f t="shared" si="14"/>
        <v>0.60000000000000009</v>
      </c>
      <c r="U27" s="1357" t="s">
        <v>926</v>
      </c>
      <c r="V27" s="1349" t="s">
        <v>928</v>
      </c>
      <c r="W27" s="1350">
        <f t="shared" si="15"/>
        <v>631732.77</v>
      </c>
      <c r="X27" s="1355">
        <f t="shared" si="16"/>
        <v>0</v>
      </c>
      <c r="AC27" s="1355"/>
      <c r="AD27" s="1360"/>
      <c r="AE27" s="1359"/>
    </row>
    <row r="28" spans="1:31" s="1327" customFormat="1" ht="14.85" customHeight="1" outlineLevel="1">
      <c r="B28" s="1321" t="s">
        <v>1285</v>
      </c>
      <c r="C28" s="1340" t="s">
        <v>1286</v>
      </c>
      <c r="D28" s="1341" t="s">
        <v>1790</v>
      </c>
      <c r="E28" s="1340" t="s">
        <v>1287</v>
      </c>
      <c r="F28" s="1342">
        <v>42466</v>
      </c>
      <c r="G28" s="1367">
        <v>10</v>
      </c>
      <c r="H28" s="1356">
        <v>16</v>
      </c>
      <c r="I28" s="1356">
        <v>18</v>
      </c>
      <c r="J28" s="1367">
        <v>8.7100000000000009</v>
      </c>
      <c r="K28" s="1368">
        <f t="shared" si="9"/>
        <v>7929.8320000000003</v>
      </c>
      <c r="L28" s="1339">
        <v>5000</v>
      </c>
      <c r="M28" s="1339">
        <v>12929.832</v>
      </c>
      <c r="N28" s="1325">
        <f t="shared" si="10"/>
        <v>79298.320000000007</v>
      </c>
      <c r="O28" s="1345">
        <f t="shared" si="11"/>
        <v>50000</v>
      </c>
      <c r="P28" s="1325">
        <f t="shared" si="12"/>
        <v>129298.32</v>
      </c>
      <c r="Q28" s="1325"/>
      <c r="R28" s="1343">
        <v>8.7100000000000009</v>
      </c>
      <c r="S28" s="1346">
        <f t="shared" si="13"/>
        <v>112618.83672000002</v>
      </c>
      <c r="T28" s="1347">
        <f t="shared" si="14"/>
        <v>-0.12899999999999989</v>
      </c>
      <c r="U28" s="1348" t="s">
        <v>1288</v>
      </c>
      <c r="V28" s="1349" t="s">
        <v>1289</v>
      </c>
      <c r="W28" s="1350">
        <f t="shared" si="15"/>
        <v>129298.32</v>
      </c>
      <c r="X28" s="1355">
        <f t="shared" si="16"/>
        <v>0</v>
      </c>
      <c r="AC28" s="1345"/>
      <c r="AD28" s="1360"/>
      <c r="AE28" s="1359"/>
    </row>
    <row r="29" spans="1:31" s="1321" customFormat="1" ht="14.85" customHeight="1" outlineLevel="1">
      <c r="A29" s="1327"/>
      <c r="B29" s="1321" t="s">
        <v>1304</v>
      </c>
      <c r="C29" s="1340" t="s">
        <v>1305</v>
      </c>
      <c r="D29" s="1341" t="s">
        <v>1790</v>
      </c>
      <c r="E29" s="1340" t="s">
        <v>1306</v>
      </c>
      <c r="F29" s="1342">
        <v>42410</v>
      </c>
      <c r="G29" s="1367">
        <v>8</v>
      </c>
      <c r="H29" s="1356">
        <v>12</v>
      </c>
      <c r="I29" s="1356">
        <v>14</v>
      </c>
      <c r="J29" s="1367">
        <v>8.9600000000000009</v>
      </c>
      <c r="K29" s="1368">
        <f t="shared" si="9"/>
        <v>12861.478999999999</v>
      </c>
      <c r="L29" s="1339">
        <v>6250</v>
      </c>
      <c r="M29" s="1339">
        <v>19111.478999999999</v>
      </c>
      <c r="N29" s="1325">
        <f t="shared" si="10"/>
        <v>102891.83199999999</v>
      </c>
      <c r="O29" s="1345">
        <f t="shared" si="11"/>
        <v>50000</v>
      </c>
      <c r="P29" s="1325">
        <f t="shared" si="12"/>
        <v>152891.83199999999</v>
      </c>
      <c r="Q29" s="1325"/>
      <c r="R29" s="1343">
        <v>8.9600000000000009</v>
      </c>
      <c r="S29" s="1346">
        <f t="shared" si="13"/>
        <v>171238.85184000002</v>
      </c>
      <c r="T29" s="1347">
        <f t="shared" si="14"/>
        <v>0.12000000000000011</v>
      </c>
      <c r="U29" s="1348" t="s">
        <v>1307</v>
      </c>
      <c r="V29" s="1349" t="s">
        <v>1308</v>
      </c>
      <c r="W29" s="1350">
        <f t="shared" si="15"/>
        <v>152891.83199999999</v>
      </c>
      <c r="X29" s="1355">
        <f t="shared" si="16"/>
        <v>0</v>
      </c>
      <c r="Y29" s="1327"/>
      <c r="AC29" s="1345"/>
      <c r="AD29" s="1360"/>
      <c r="AE29" s="1359"/>
    </row>
    <row r="30" spans="1:31" s="1321" customFormat="1" ht="14.85" customHeight="1" outlineLevel="1">
      <c r="A30" s="1327"/>
      <c r="B30" s="1321" t="s">
        <v>919</v>
      </c>
      <c r="C30" s="1340" t="s">
        <v>917</v>
      </c>
      <c r="D30" s="1341" t="s">
        <v>885</v>
      </c>
      <c r="E30" s="1340" t="s">
        <v>1309</v>
      </c>
      <c r="F30" s="1342">
        <v>42402</v>
      </c>
      <c r="G30" s="1367">
        <v>16</v>
      </c>
      <c r="H30" s="1356">
        <v>16</v>
      </c>
      <c r="I30" s="1356">
        <v>18</v>
      </c>
      <c r="J30" s="1367">
        <v>35.56</v>
      </c>
      <c r="K30" s="1368">
        <f t="shared" si="9"/>
        <v>29799.538</v>
      </c>
      <c r="L30" s="1339">
        <v>5900</v>
      </c>
      <c r="M30" s="1339">
        <v>35699.538</v>
      </c>
      <c r="N30" s="1325">
        <f t="shared" si="10"/>
        <v>476792.60800000001</v>
      </c>
      <c r="O30" s="1345">
        <f t="shared" si="11"/>
        <v>94400</v>
      </c>
      <c r="P30" s="1325">
        <f t="shared" si="12"/>
        <v>571192.60800000001</v>
      </c>
      <c r="Q30" s="1325"/>
      <c r="R30" s="1343">
        <v>35.56</v>
      </c>
      <c r="S30" s="1346">
        <f t="shared" si="13"/>
        <v>1269475.57128</v>
      </c>
      <c r="T30" s="1347">
        <f t="shared" si="14"/>
        <v>1.2225000000000001</v>
      </c>
      <c r="U30" s="1348" t="s">
        <v>918</v>
      </c>
      <c r="V30" s="1349" t="s">
        <v>920</v>
      </c>
      <c r="W30" s="1350">
        <f t="shared" si="15"/>
        <v>571192.60800000001</v>
      </c>
      <c r="X30" s="1355">
        <f t="shared" si="16"/>
        <v>0</v>
      </c>
      <c r="Y30" s="1327"/>
      <c r="AC30" s="1345"/>
      <c r="AD30" s="1360"/>
      <c r="AE30" s="1359"/>
    </row>
    <row r="31" spans="1:31" s="1321" customFormat="1" ht="14.85" customHeight="1" outlineLevel="1">
      <c r="A31" s="1327"/>
      <c r="B31" s="1321" t="s">
        <v>911</v>
      </c>
      <c r="C31" s="1340" t="s">
        <v>909</v>
      </c>
      <c r="D31" s="1341" t="s">
        <v>885</v>
      </c>
      <c r="E31" s="1340" t="s">
        <v>1318</v>
      </c>
      <c r="F31" s="1342">
        <v>42318</v>
      </c>
      <c r="G31" s="1367">
        <v>16</v>
      </c>
      <c r="H31" s="1356">
        <v>15</v>
      </c>
      <c r="I31" s="1356">
        <v>17</v>
      </c>
      <c r="J31" s="1367">
        <v>13.785</v>
      </c>
      <c r="K31" s="1368">
        <f t="shared" si="9"/>
        <v>14558.296999999999</v>
      </c>
      <c r="L31" s="1339">
        <v>6375</v>
      </c>
      <c r="M31" s="1339">
        <v>20933.296999999999</v>
      </c>
      <c r="N31" s="1325">
        <f t="shared" si="10"/>
        <v>232932.75199999998</v>
      </c>
      <c r="O31" s="1345">
        <f t="shared" si="11"/>
        <v>102000</v>
      </c>
      <c r="P31" s="1325">
        <f t="shared" si="12"/>
        <v>334932.75199999998</v>
      </c>
      <c r="Q31" s="1325"/>
      <c r="R31" s="1343">
        <v>13.785</v>
      </c>
      <c r="S31" s="1346">
        <f t="shared" si="13"/>
        <v>288565.49914500001</v>
      </c>
      <c r="T31" s="1347">
        <f t="shared" si="14"/>
        <v>-0.13843749999999988</v>
      </c>
      <c r="U31" s="1348" t="s">
        <v>910</v>
      </c>
      <c r="V31" s="1349" t="s">
        <v>912</v>
      </c>
      <c r="W31" s="1350">
        <f t="shared" si="15"/>
        <v>334932.75199999998</v>
      </c>
      <c r="X31" s="1355">
        <f t="shared" si="16"/>
        <v>0</v>
      </c>
      <c r="Y31" s="1327"/>
      <c r="AC31" s="1345"/>
      <c r="AD31" s="1360"/>
      <c r="AE31" s="1359"/>
    </row>
    <row r="32" spans="1:31" s="1321" customFormat="1" ht="14.85" customHeight="1" outlineLevel="1">
      <c r="A32" s="1327"/>
      <c r="B32" s="1321" t="s">
        <v>1335</v>
      </c>
      <c r="C32" s="1340" t="s">
        <v>1336</v>
      </c>
      <c r="D32" s="1341" t="s">
        <v>885</v>
      </c>
      <c r="E32" s="1340" t="s">
        <v>1337</v>
      </c>
      <c r="F32" s="1342">
        <v>42284</v>
      </c>
      <c r="G32" s="1367">
        <v>12</v>
      </c>
      <c r="H32" s="1356">
        <v>14</v>
      </c>
      <c r="I32" s="1356">
        <v>16</v>
      </c>
      <c r="J32" s="1367">
        <v>11.42</v>
      </c>
      <c r="K32" s="1368">
        <f t="shared" si="9"/>
        <v>28253.925999999999</v>
      </c>
      <c r="L32" s="1339">
        <v>6666.6670000000004</v>
      </c>
      <c r="M32" s="1339">
        <v>34920.593000000001</v>
      </c>
      <c r="N32" s="1325">
        <f t="shared" si="10"/>
        <v>339047.11199999996</v>
      </c>
      <c r="O32" s="1345">
        <f t="shared" si="11"/>
        <v>80000.004000000001</v>
      </c>
      <c r="P32" s="1325">
        <f t="shared" si="12"/>
        <v>419047.11599999998</v>
      </c>
      <c r="Q32" s="1325"/>
      <c r="R32" s="1343">
        <v>11.42</v>
      </c>
      <c r="S32" s="1346">
        <f t="shared" si="13"/>
        <v>398793.17206000001</v>
      </c>
      <c r="T32" s="1347">
        <f t="shared" si="14"/>
        <v>-4.8333333333333228E-2</v>
      </c>
      <c r="U32" s="1348" t="s">
        <v>1338</v>
      </c>
      <c r="V32" s="1349" t="s">
        <v>1339</v>
      </c>
      <c r="W32" s="1350">
        <f t="shared" si="15"/>
        <v>419047.11599999998</v>
      </c>
      <c r="X32" s="1355">
        <f t="shared" si="16"/>
        <v>0</v>
      </c>
      <c r="Y32" s="1327"/>
      <c r="AC32" s="1345"/>
      <c r="AD32" s="1360"/>
      <c r="AE32" s="1359"/>
    </row>
    <row r="33" spans="1:34" s="1321" customFormat="1" ht="14.85" customHeight="1" outlineLevel="1">
      <c r="A33" s="1327"/>
      <c r="B33" s="1321" t="s">
        <v>915</v>
      </c>
      <c r="C33" s="1340" t="s">
        <v>913</v>
      </c>
      <c r="D33" s="1341" t="s">
        <v>885</v>
      </c>
      <c r="E33" s="1340" t="s">
        <v>1354</v>
      </c>
      <c r="F33" s="1342">
        <v>42263</v>
      </c>
      <c r="G33" s="1367">
        <v>22</v>
      </c>
      <c r="H33" s="1356">
        <v>17</v>
      </c>
      <c r="I33" s="1356">
        <v>19</v>
      </c>
      <c r="J33" s="1367">
        <v>18.55</v>
      </c>
      <c r="K33" s="1368">
        <f t="shared" si="9"/>
        <v>19050.707999999999</v>
      </c>
      <c r="L33" s="1339">
        <v>6300</v>
      </c>
      <c r="M33" s="1339">
        <v>25350.707999999999</v>
      </c>
      <c r="N33" s="1325">
        <f t="shared" si="10"/>
        <v>419115.576</v>
      </c>
      <c r="O33" s="1345">
        <f t="shared" si="11"/>
        <v>138600</v>
      </c>
      <c r="P33" s="1325">
        <f t="shared" si="12"/>
        <v>557715.576</v>
      </c>
      <c r="Q33" s="1325"/>
      <c r="R33" s="1343">
        <v>18.55</v>
      </c>
      <c r="S33" s="1346">
        <f t="shared" si="13"/>
        <v>470255.63339999999</v>
      </c>
      <c r="T33" s="1347">
        <f t="shared" si="14"/>
        <v>-0.15681818181818186</v>
      </c>
      <c r="U33" s="1361" t="s">
        <v>914</v>
      </c>
      <c r="V33" s="1349" t="s">
        <v>916</v>
      </c>
      <c r="W33" s="1350">
        <f t="shared" si="15"/>
        <v>557715.576</v>
      </c>
      <c r="X33" s="1355">
        <f t="shared" si="16"/>
        <v>0</v>
      </c>
      <c r="Y33" s="1362"/>
      <c r="Z33" s="1362"/>
      <c r="AA33" s="1362"/>
      <c r="AB33" s="1362"/>
      <c r="AC33" s="1363"/>
      <c r="AD33" s="1360"/>
      <c r="AE33" s="1359"/>
      <c r="AF33" s="1362"/>
      <c r="AG33" s="1362"/>
      <c r="AH33" s="1362"/>
    </row>
    <row r="34" spans="1:34" s="1321" customFormat="1" ht="14.85" customHeight="1" outlineLevel="1">
      <c r="A34" s="1327"/>
      <c r="B34" s="1321" t="s">
        <v>1365</v>
      </c>
      <c r="C34" s="1340" t="s">
        <v>1366</v>
      </c>
      <c r="D34" s="1341" t="s">
        <v>885</v>
      </c>
      <c r="E34" s="1340" t="s">
        <v>1367</v>
      </c>
      <c r="F34" s="1342">
        <v>42220</v>
      </c>
      <c r="G34" s="1367">
        <v>14</v>
      </c>
      <c r="H34" s="1356">
        <v>13</v>
      </c>
      <c r="I34" s="1356">
        <v>15</v>
      </c>
      <c r="J34" s="1367">
        <v>28.8</v>
      </c>
      <c r="K34" s="1368">
        <f t="shared" si="9"/>
        <v>5733.9629999999997</v>
      </c>
      <c r="L34" s="1339">
        <v>3000</v>
      </c>
      <c r="M34" s="1339">
        <v>8733.9629999999997</v>
      </c>
      <c r="N34" s="1325">
        <f t="shared" si="10"/>
        <v>80275.481999999989</v>
      </c>
      <c r="O34" s="1345">
        <f t="shared" si="11"/>
        <v>42000</v>
      </c>
      <c r="P34" s="1325">
        <f t="shared" si="12"/>
        <v>122275.48199999999</v>
      </c>
      <c r="Q34" s="1325"/>
      <c r="R34" s="1343">
        <v>28.8</v>
      </c>
      <c r="S34" s="1346">
        <f t="shared" si="13"/>
        <v>251538.13440000001</v>
      </c>
      <c r="T34" s="1347">
        <f t="shared" si="14"/>
        <v>1.0571428571428574</v>
      </c>
      <c r="U34" s="1361" t="s">
        <v>1368</v>
      </c>
      <c r="V34" s="1349" t="s">
        <v>1369</v>
      </c>
      <c r="W34" s="1350">
        <f t="shared" si="15"/>
        <v>122275.48199999999</v>
      </c>
      <c r="X34" s="1355">
        <f t="shared" si="16"/>
        <v>0</v>
      </c>
      <c r="Y34" s="1364"/>
      <c r="Z34" s="1363"/>
      <c r="AA34" s="1364"/>
      <c r="AB34" s="1365"/>
      <c r="AC34" s="1363"/>
      <c r="AD34" s="1360"/>
      <c r="AE34" s="1359"/>
      <c r="AF34" s="1361"/>
      <c r="AG34" s="1366"/>
      <c r="AH34" s="1366"/>
    </row>
    <row r="35" spans="1:34" s="1362" customFormat="1" ht="14.85" customHeight="1" outlineLevel="1">
      <c r="A35" s="1327"/>
      <c r="B35" s="1321" t="s">
        <v>1416</v>
      </c>
      <c r="C35" s="1340" t="s">
        <v>1417</v>
      </c>
      <c r="D35" s="1341" t="s">
        <v>885</v>
      </c>
      <c r="E35" s="1340" t="s">
        <v>1418</v>
      </c>
      <c r="F35" s="1342">
        <v>42125</v>
      </c>
      <c r="G35" s="1367">
        <v>3.0585200000000001</v>
      </c>
      <c r="H35" s="1356">
        <v>0</v>
      </c>
      <c r="I35" s="1356">
        <v>0</v>
      </c>
      <c r="J35" s="1367">
        <v>3.2423000000000002</v>
      </c>
      <c r="K35" s="1368">
        <f t="shared" si="9"/>
        <v>117170.86200000002</v>
      </c>
      <c r="L35" s="1339">
        <v>32569.046999999999</v>
      </c>
      <c r="M35" s="1339">
        <v>149739.90900000001</v>
      </c>
      <c r="N35" s="1325">
        <f t="shared" si="10"/>
        <v>358369.42484424007</v>
      </c>
      <c r="O35" s="1345">
        <f t="shared" si="11"/>
        <v>99613.081630440007</v>
      </c>
      <c r="P35" s="1325">
        <f t="shared" si="12"/>
        <v>457982.50647468009</v>
      </c>
      <c r="Q35" s="1325"/>
      <c r="R35" s="1343">
        <v>3.2423000000000002</v>
      </c>
      <c r="S35" s="1346">
        <f t="shared" si="13"/>
        <v>485501.70695070009</v>
      </c>
      <c r="T35" s="1347">
        <f t="shared" si="14"/>
        <v>6.0087885644036998E-2</v>
      </c>
      <c r="U35" s="1348" t="s">
        <v>1419</v>
      </c>
      <c r="V35" s="1349" t="s">
        <v>1420</v>
      </c>
      <c r="W35" s="1350">
        <f t="shared" si="15"/>
        <v>457982.50647468009</v>
      </c>
      <c r="X35" s="1355">
        <f t="shared" si="16"/>
        <v>0</v>
      </c>
      <c r="Y35" s="1327"/>
      <c r="Z35" s="1321"/>
      <c r="AA35" s="1321"/>
      <c r="AB35" s="1321"/>
      <c r="AC35" s="1345"/>
      <c r="AD35" s="1360"/>
      <c r="AE35" s="1359"/>
      <c r="AF35" s="1321"/>
      <c r="AG35" s="1321"/>
      <c r="AH35" s="1321"/>
    </row>
    <row r="36" spans="1:34" s="1362" customFormat="1" ht="14.85" customHeight="1" outlineLevel="1">
      <c r="A36" s="1327"/>
      <c r="B36" s="1321" t="s">
        <v>1186</v>
      </c>
      <c r="C36" s="1340" t="s">
        <v>1421</v>
      </c>
      <c r="D36" s="1341" t="s">
        <v>1791</v>
      </c>
      <c r="E36" s="1340" t="s">
        <v>1422</v>
      </c>
      <c r="F36" s="1342">
        <v>42123</v>
      </c>
      <c r="G36" s="1367">
        <v>18</v>
      </c>
      <c r="H36" s="1356">
        <v>15</v>
      </c>
      <c r="I36" s="1356">
        <v>17</v>
      </c>
      <c r="J36" s="1367">
        <v>28.69</v>
      </c>
      <c r="K36" s="1368">
        <f t="shared" si="9"/>
        <v>17686.131000000001</v>
      </c>
      <c r="L36" s="1339">
        <v>8145.8339999999998</v>
      </c>
      <c r="M36" s="1339">
        <v>25831.965</v>
      </c>
      <c r="N36" s="1325">
        <f t="shared" si="10"/>
        <v>318350.35800000001</v>
      </c>
      <c r="O36" s="1345">
        <f t="shared" si="11"/>
        <v>146625.01199999999</v>
      </c>
      <c r="P36" s="1325">
        <f t="shared" si="12"/>
        <v>464975.37</v>
      </c>
      <c r="Q36" s="1325"/>
      <c r="R36" s="1343">
        <v>28.69</v>
      </c>
      <c r="S36" s="1346">
        <f t="shared" si="13"/>
        <v>741119.07585000002</v>
      </c>
      <c r="T36" s="1347">
        <f t="shared" si="14"/>
        <v>0.59388888888888891</v>
      </c>
      <c r="U36" s="1361" t="s">
        <v>1423</v>
      </c>
      <c r="V36" s="1349" t="s">
        <v>1792</v>
      </c>
      <c r="W36" s="1350">
        <f t="shared" si="15"/>
        <v>464975.37</v>
      </c>
      <c r="X36" s="1355">
        <f t="shared" si="16"/>
        <v>0</v>
      </c>
      <c r="AC36" s="1363"/>
      <c r="AD36" s="1360"/>
      <c r="AE36" s="1359"/>
    </row>
    <row r="37" spans="1:34" s="1362" customFormat="1" ht="14.85" customHeight="1" outlineLevel="1">
      <c r="A37" s="1327"/>
      <c r="B37" s="1321" t="s">
        <v>1434</v>
      </c>
      <c r="C37" s="1340" t="s">
        <v>1435</v>
      </c>
      <c r="D37" s="1341" t="s">
        <v>885</v>
      </c>
      <c r="E37" s="1340" t="s">
        <v>1436</v>
      </c>
      <c r="F37" s="1342">
        <v>42108</v>
      </c>
      <c r="G37" s="1367">
        <v>16</v>
      </c>
      <c r="H37" s="1356">
        <v>14</v>
      </c>
      <c r="I37" s="1356">
        <v>16</v>
      </c>
      <c r="J37" s="1367">
        <v>16.32</v>
      </c>
      <c r="K37" s="1368">
        <f t="shared" si="9"/>
        <v>8694.1180000000004</v>
      </c>
      <c r="L37" s="1339">
        <v>4800</v>
      </c>
      <c r="M37" s="1339">
        <v>13494.118</v>
      </c>
      <c r="N37" s="1325">
        <f t="shared" si="10"/>
        <v>139105.88800000001</v>
      </c>
      <c r="O37" s="1345">
        <f t="shared" si="11"/>
        <v>76800</v>
      </c>
      <c r="P37" s="1325">
        <f t="shared" si="12"/>
        <v>215905.88800000001</v>
      </c>
      <c r="Q37" s="1325"/>
      <c r="R37" s="1343">
        <v>16.32</v>
      </c>
      <c r="S37" s="1346">
        <f t="shared" si="13"/>
        <v>220224.00576</v>
      </c>
      <c r="T37" s="1347">
        <f t="shared" si="14"/>
        <v>2.0000000000000018E-2</v>
      </c>
      <c r="U37" s="1349" t="s">
        <v>1437</v>
      </c>
      <c r="V37" s="1349" t="s">
        <v>1438</v>
      </c>
      <c r="W37" s="1350">
        <f t="shared" si="15"/>
        <v>215905.88800000001</v>
      </c>
      <c r="X37" s="1355">
        <f t="shared" si="16"/>
        <v>0</v>
      </c>
      <c r="Y37" s="1321"/>
      <c r="Z37" s="1321"/>
      <c r="AA37" s="1321"/>
      <c r="AB37" s="1345"/>
      <c r="AC37" s="1360"/>
      <c r="AD37" s="1359"/>
      <c r="AE37" s="1321"/>
      <c r="AF37" s="1321"/>
      <c r="AG37" s="1321"/>
    </row>
    <row r="38" spans="1:34" s="1362" customFormat="1" ht="14.85" customHeight="1" outlineLevel="1">
      <c r="A38" s="1327"/>
      <c r="B38" s="1321" t="s">
        <v>1468</v>
      </c>
      <c r="C38" s="1340" t="s">
        <v>1469</v>
      </c>
      <c r="D38" s="1341" t="s">
        <v>885</v>
      </c>
      <c r="E38" s="1340" t="s">
        <v>1470</v>
      </c>
      <c r="F38" s="1342">
        <v>42032</v>
      </c>
      <c r="G38" s="1367">
        <v>16</v>
      </c>
      <c r="H38" s="1356">
        <v>12</v>
      </c>
      <c r="I38" s="1356">
        <v>14</v>
      </c>
      <c r="J38" s="1367">
        <v>17.385000000000002</v>
      </c>
      <c r="K38" s="1368">
        <f t="shared" si="9"/>
        <v>12405.409</v>
      </c>
      <c r="L38" s="1339">
        <v>5400</v>
      </c>
      <c r="M38" s="1339">
        <v>17805.409</v>
      </c>
      <c r="N38" s="1325">
        <f t="shared" si="10"/>
        <v>198486.54399999999</v>
      </c>
      <c r="O38" s="1345">
        <f t="shared" si="11"/>
        <v>86400</v>
      </c>
      <c r="P38" s="1325">
        <f t="shared" si="12"/>
        <v>284886.54399999999</v>
      </c>
      <c r="Q38" s="1325"/>
      <c r="R38" s="1343">
        <v>17.385000000000002</v>
      </c>
      <c r="S38" s="1346">
        <f t="shared" si="13"/>
        <v>309547.03546500002</v>
      </c>
      <c r="T38" s="1347">
        <f t="shared" si="14"/>
        <v>8.6562500000000098E-2</v>
      </c>
      <c r="U38" s="1349" t="s">
        <v>1471</v>
      </c>
      <c r="V38" s="1349" t="s">
        <v>1793</v>
      </c>
      <c r="W38" s="1350">
        <f t="shared" si="15"/>
        <v>284886.54399999999</v>
      </c>
      <c r="X38" s="1355">
        <f t="shared" si="16"/>
        <v>0</v>
      </c>
      <c r="Y38" s="1321"/>
      <c r="Z38" s="1321"/>
      <c r="AA38" s="1321"/>
      <c r="AB38" s="1345"/>
      <c r="AC38" s="1360"/>
      <c r="AD38" s="1359"/>
      <c r="AE38" s="1321"/>
      <c r="AF38" s="1321"/>
      <c r="AG38" s="1321"/>
    </row>
    <row r="39" spans="1:34" s="1362" customFormat="1" ht="14.85" customHeight="1" outlineLevel="1">
      <c r="A39" s="1395"/>
      <c r="B39" s="1321" t="s">
        <v>1523</v>
      </c>
      <c r="C39" s="1340" t="s">
        <v>1524</v>
      </c>
      <c r="D39" s="1341" t="s">
        <v>587</v>
      </c>
      <c r="E39" s="1340" t="s">
        <v>1525</v>
      </c>
      <c r="F39" s="1342">
        <v>41810</v>
      </c>
      <c r="G39" s="1367">
        <v>17</v>
      </c>
      <c r="H39" s="1356">
        <v>12</v>
      </c>
      <c r="I39" s="1356">
        <v>14</v>
      </c>
      <c r="J39" s="1367">
        <v>22.84</v>
      </c>
      <c r="K39" s="1368">
        <f>+M39-L39</f>
        <v>29366.629000000001</v>
      </c>
      <c r="L39" s="1339">
        <v>8625</v>
      </c>
      <c r="M39" s="1339">
        <v>37991.629000000001</v>
      </c>
      <c r="N39" s="1325">
        <f>+G39*K39</f>
        <v>499232.69300000003</v>
      </c>
      <c r="O39" s="1345">
        <f>+G39*L39</f>
        <v>146625</v>
      </c>
      <c r="P39" s="1325">
        <f>+N39+O39</f>
        <v>645857.69299999997</v>
      </c>
      <c r="Q39" s="1325"/>
      <c r="R39" s="1367">
        <v>22.84</v>
      </c>
      <c r="S39" s="1346">
        <f>R39*M39</f>
        <v>867728.80636000005</v>
      </c>
      <c r="T39" s="1347">
        <f>S39/P39-1</f>
        <v>0.34352941176470608</v>
      </c>
      <c r="U39" s="1349" t="s">
        <v>1526</v>
      </c>
      <c r="V39" s="1349" t="s">
        <v>1527</v>
      </c>
      <c r="W39" s="1350">
        <f>+N39+O39</f>
        <v>645857.69299999997</v>
      </c>
      <c r="X39" s="1355">
        <f>+P39-W39</f>
        <v>0</v>
      </c>
      <c r="Y39" s="1321"/>
      <c r="Z39" s="1321"/>
      <c r="AA39" s="1321"/>
      <c r="AB39" s="1345"/>
      <c r="AC39" s="1360"/>
      <c r="AD39" s="1359"/>
      <c r="AE39" s="1321"/>
      <c r="AF39" s="1321"/>
      <c r="AG39" s="1321"/>
    </row>
    <row r="40" spans="1:34" s="1362" customFormat="1" ht="14.85" customHeight="1" outlineLevel="1">
      <c r="A40" s="1327"/>
      <c r="B40" s="1321"/>
      <c r="C40" s="1340"/>
      <c r="D40" s="1341"/>
      <c r="E40" s="1340"/>
      <c r="F40" s="1342"/>
      <c r="G40" s="1367"/>
      <c r="H40" s="1356"/>
      <c r="I40" s="1356"/>
      <c r="J40" s="1367"/>
      <c r="K40" s="1368"/>
      <c r="L40" s="1345"/>
      <c r="M40" s="1345"/>
      <c r="N40" s="1325"/>
      <c r="O40" s="1345"/>
      <c r="P40" s="1325"/>
      <c r="Q40" s="1325"/>
      <c r="R40" s="1343"/>
      <c r="S40" s="1346"/>
      <c r="T40" s="1347"/>
      <c r="U40" s="1349"/>
      <c r="V40" s="1349"/>
      <c r="W40" s="1350"/>
      <c r="X40" s="1355"/>
      <c r="Y40" s="1321"/>
      <c r="Z40" s="1321"/>
      <c r="AA40" s="1321"/>
      <c r="AB40" s="1345"/>
      <c r="AC40" s="1360"/>
      <c r="AD40" s="1359"/>
      <c r="AE40" s="1321"/>
      <c r="AF40" s="1321"/>
      <c r="AG40" s="1321"/>
    </row>
    <row r="41" spans="1:34" s="1362" customFormat="1" ht="14.85" customHeight="1" outlineLevel="1">
      <c r="A41" s="1327"/>
      <c r="B41" s="1470" t="s">
        <v>111</v>
      </c>
      <c r="C41" s="1471"/>
      <c r="D41" s="1471"/>
      <c r="E41" s="1471"/>
      <c r="F41" s="1471"/>
      <c r="G41" s="1471"/>
      <c r="H41" s="1471"/>
      <c r="I41" s="1471"/>
      <c r="J41" s="1471"/>
      <c r="K41" s="1471"/>
      <c r="L41" s="1471"/>
      <c r="M41" s="1471"/>
      <c r="N41" s="1472">
        <f>MAX(N23:N39)</f>
        <v>523732.77</v>
      </c>
      <c r="O41" s="1472"/>
      <c r="P41" s="1473">
        <f>MAX(P23:P39)</f>
        <v>645857.69299999997</v>
      </c>
      <c r="Q41" s="1325"/>
      <c r="R41" s="1474">
        <f>MAX(R23:R38)</f>
        <v>35.56</v>
      </c>
      <c r="S41" s="1346"/>
      <c r="T41" s="1347"/>
      <c r="U41" s="1349"/>
      <c r="V41" s="1349"/>
      <c r="W41" s="1350"/>
      <c r="X41" s="1355"/>
      <c r="Y41" s="1321"/>
      <c r="Z41" s="1321"/>
      <c r="AA41" s="1321"/>
      <c r="AB41" s="1345"/>
      <c r="AC41" s="1360"/>
      <c r="AD41" s="1359"/>
      <c r="AE41" s="1321"/>
      <c r="AF41" s="1321"/>
      <c r="AG41" s="1321"/>
    </row>
    <row r="42" spans="1:34" s="1362" customFormat="1" ht="14.85" customHeight="1" outlineLevel="1">
      <c r="A42" s="1327"/>
      <c r="B42" s="1374" t="s">
        <v>115</v>
      </c>
      <c r="C42" s="1375"/>
      <c r="D42" s="1375"/>
      <c r="E42" s="1375"/>
      <c r="F42" s="1375"/>
      <c r="G42" s="1375"/>
      <c r="H42" s="1375"/>
      <c r="I42" s="1375"/>
      <c r="J42" s="1375"/>
      <c r="K42" s="1375"/>
      <c r="L42" s="1375"/>
      <c r="M42" s="1375"/>
      <c r="N42" s="1299">
        <f>_xlfn.QUARTILE.INC(N23:N39,3)</f>
        <v>419115.576</v>
      </c>
      <c r="O42" s="1299"/>
      <c r="P42" s="1376">
        <f>_xlfn.QUARTILE.INC(P23:P39,3)</f>
        <v>551048.87599999993</v>
      </c>
      <c r="Q42" s="1325"/>
      <c r="R42" s="1377">
        <f>_xlfn.QUARTILE.INC(R23:R38,3)</f>
        <v>22.547499999999999</v>
      </c>
      <c r="S42" s="1346"/>
      <c r="T42" s="1347"/>
      <c r="U42" s="1349"/>
      <c r="V42" s="1349"/>
      <c r="W42" s="1350"/>
      <c r="X42" s="1355"/>
      <c r="Y42" s="1321"/>
      <c r="Z42" s="1321"/>
      <c r="AA42" s="1321"/>
      <c r="AB42" s="1345"/>
      <c r="AC42" s="1360"/>
      <c r="AD42" s="1359"/>
      <c r="AE42" s="1321"/>
      <c r="AF42" s="1321"/>
      <c r="AG42" s="1321"/>
    </row>
    <row r="43" spans="1:34" s="1362" customFormat="1" ht="14.85" customHeight="1" outlineLevel="1">
      <c r="A43" s="1327"/>
      <c r="B43" s="1374" t="s">
        <v>43</v>
      </c>
      <c r="C43" s="1375"/>
      <c r="D43" s="1375"/>
      <c r="E43" s="1375"/>
      <c r="F43" s="1375"/>
      <c r="G43" s="1375"/>
      <c r="H43" s="1375"/>
      <c r="I43" s="1375"/>
      <c r="J43" s="1375"/>
      <c r="K43" s="1375"/>
      <c r="L43" s="1375"/>
      <c r="M43" s="1375"/>
      <c r="N43" s="1299">
        <f>AVERAGE(N23:N39)</f>
        <v>269633.75599083764</v>
      </c>
      <c r="O43" s="1299"/>
      <c r="P43" s="1376">
        <f>AVERAGE(P23:P39)</f>
        <v>350798.65326321643</v>
      </c>
      <c r="Q43" s="1325"/>
      <c r="R43" s="1377">
        <f>AVERAGE(R23:R38)</f>
        <v>16.708581250000002</v>
      </c>
      <c r="S43" s="1346"/>
      <c r="T43" s="1347"/>
      <c r="U43" s="1349"/>
      <c r="V43" s="1349"/>
      <c r="W43" s="1350"/>
      <c r="X43" s="1355"/>
      <c r="Y43" s="1321"/>
      <c r="Z43" s="1321"/>
      <c r="AA43" s="1321"/>
      <c r="AB43" s="1345"/>
      <c r="AC43" s="1360"/>
      <c r="AD43" s="1359"/>
      <c r="AE43" s="1321"/>
      <c r="AF43" s="1321"/>
      <c r="AG43" s="1321"/>
    </row>
    <row r="44" spans="1:34" s="1362" customFormat="1" ht="14.85" customHeight="1" outlineLevel="1">
      <c r="A44" s="1327"/>
      <c r="B44" s="1374" t="s">
        <v>44</v>
      </c>
      <c r="C44" s="1375"/>
      <c r="D44" s="1375"/>
      <c r="E44" s="1375"/>
      <c r="F44" s="1375"/>
      <c r="G44" s="1375"/>
      <c r="H44" s="1375"/>
      <c r="I44" s="1375"/>
      <c r="J44" s="1375"/>
      <c r="K44" s="1375"/>
      <c r="L44" s="1375"/>
      <c r="M44" s="1375"/>
      <c r="N44" s="1299">
        <f>MEDIAN(N23:N39)</f>
        <v>240305.67</v>
      </c>
      <c r="O44" s="1299"/>
      <c r="P44" s="1376">
        <f>MEDIAN(P23:P39)</f>
        <v>334932.75199999998</v>
      </c>
      <c r="Q44" s="1325"/>
      <c r="R44" s="1377">
        <f>MEDIAN(R23:R38)</f>
        <v>15.36</v>
      </c>
      <c r="S44" s="1346"/>
      <c r="T44" s="1347"/>
      <c r="U44" s="1349"/>
      <c r="V44" s="1349"/>
      <c r="W44" s="1350"/>
      <c r="X44" s="1355"/>
      <c r="Y44" s="1321"/>
      <c r="Z44" s="1321"/>
      <c r="AA44" s="1321"/>
      <c r="AB44" s="1345"/>
      <c r="AC44" s="1360"/>
      <c r="AD44" s="1359"/>
      <c r="AE44" s="1321"/>
      <c r="AF44" s="1321"/>
      <c r="AG44" s="1321"/>
    </row>
    <row r="45" spans="1:34" s="1362" customFormat="1" ht="14.85" customHeight="1" outlineLevel="1">
      <c r="A45" s="1327"/>
      <c r="B45" s="1374" t="s">
        <v>114</v>
      </c>
      <c r="C45" s="1375"/>
      <c r="D45" s="1375"/>
      <c r="E45" s="1375"/>
      <c r="F45" s="1375"/>
      <c r="G45" s="1375"/>
      <c r="H45" s="1375"/>
      <c r="I45" s="1375"/>
      <c r="J45" s="1375"/>
      <c r="K45" s="1375"/>
      <c r="L45" s="1375"/>
      <c r="M45" s="1375"/>
      <c r="N45" s="1299">
        <f>_xlfn.QUARTILE.INC(N23:N39,1)</f>
        <v>102891.83199999999</v>
      </c>
      <c r="O45" s="1299"/>
      <c r="P45" s="1376">
        <f>_xlfn.QUARTILE.INC(P23:P39,1)</f>
        <v>152891.83199999999</v>
      </c>
      <c r="Q45" s="1325"/>
      <c r="R45" s="1377">
        <f>_xlfn.QUARTILE.INC(R23:R38,1)</f>
        <v>8.8975000000000009</v>
      </c>
      <c r="S45" s="1346"/>
      <c r="T45" s="1347"/>
      <c r="U45" s="1349"/>
      <c r="V45" s="1349"/>
      <c r="W45" s="1350"/>
      <c r="X45" s="1355"/>
      <c r="Y45" s="1321"/>
      <c r="Z45" s="1321"/>
      <c r="AA45" s="1321"/>
      <c r="AB45" s="1345"/>
      <c r="AC45" s="1360"/>
      <c r="AD45" s="1359"/>
      <c r="AE45" s="1321"/>
      <c r="AF45" s="1321"/>
      <c r="AG45" s="1321"/>
    </row>
    <row r="46" spans="1:34" s="1362" customFormat="1" ht="14.85" customHeight="1" outlineLevel="1">
      <c r="A46" s="1327"/>
      <c r="B46" s="1378" t="s">
        <v>112</v>
      </c>
      <c r="C46" s="1379"/>
      <c r="D46" s="1379"/>
      <c r="E46" s="1379"/>
      <c r="F46" s="1379"/>
      <c r="G46" s="1379"/>
      <c r="H46" s="1379"/>
      <c r="I46" s="1379"/>
      <c r="J46" s="1379"/>
      <c r="K46" s="1379"/>
      <c r="L46" s="1379"/>
      <c r="M46" s="1379"/>
      <c r="N46" s="1301">
        <f>MIN(N23:N39)</f>
        <v>39416.17</v>
      </c>
      <c r="O46" s="1301"/>
      <c r="P46" s="1380">
        <f>MIN(P23:P39)</f>
        <v>50611.932000000001</v>
      </c>
      <c r="Q46" s="1325"/>
      <c r="R46" s="1381">
        <f>MIN(R23:R38)</f>
        <v>3.2423000000000002</v>
      </c>
      <c r="S46" s="1346"/>
      <c r="T46" s="1347"/>
      <c r="U46" s="1349"/>
      <c r="V46" s="1349"/>
      <c r="W46" s="1350"/>
      <c r="X46" s="1355"/>
      <c r="Y46" s="1321"/>
      <c r="Z46" s="1321"/>
      <c r="AA46" s="1321"/>
      <c r="AB46" s="1345"/>
      <c r="AC46" s="1360"/>
      <c r="AD46" s="1359"/>
      <c r="AE46" s="1321"/>
      <c r="AF46" s="1321"/>
      <c r="AG46" s="1321"/>
    </row>
    <row r="47" spans="1:34" s="1362" customFormat="1" ht="14.85" customHeight="1" outlineLevel="1">
      <c r="A47" s="1327"/>
      <c r="B47" s="1321"/>
      <c r="C47" s="1340"/>
      <c r="D47" s="1341"/>
      <c r="E47" s="1340"/>
      <c r="F47" s="1342"/>
      <c r="G47" s="1367"/>
      <c r="H47" s="1356"/>
      <c r="I47" s="1356"/>
      <c r="J47" s="1367"/>
      <c r="K47" s="1368"/>
      <c r="L47" s="1345"/>
      <c r="M47" s="1345"/>
      <c r="N47" s="1325"/>
      <c r="O47" s="1345"/>
      <c r="P47" s="1325"/>
      <c r="Q47" s="1325"/>
      <c r="R47" s="1343"/>
      <c r="S47" s="1346"/>
      <c r="T47" s="1347"/>
      <c r="U47" s="1349"/>
      <c r="V47" s="1349"/>
      <c r="W47" s="1355"/>
      <c r="X47" s="1327"/>
      <c r="Y47" s="1321"/>
      <c r="Z47" s="1321"/>
      <c r="AA47" s="1321"/>
      <c r="AB47" s="1345"/>
      <c r="AC47" s="1360"/>
      <c r="AD47" s="1359"/>
      <c r="AE47" s="1321"/>
      <c r="AF47" s="1321"/>
      <c r="AG47" s="1321"/>
    </row>
    <row r="48" spans="1:34" s="1362" customFormat="1" ht="14.85" customHeight="1" outlineLevel="1">
      <c r="A48" s="1327"/>
      <c r="B48" s="1382" t="s">
        <v>1794</v>
      </c>
      <c r="C48" s="1340"/>
      <c r="D48" s="1341"/>
      <c r="E48" s="1340"/>
      <c r="F48" s="1342"/>
      <c r="G48" s="1367"/>
      <c r="H48" s="1356"/>
      <c r="I48" s="1356"/>
      <c r="J48" s="1367"/>
      <c r="K48" s="1368"/>
      <c r="L48" s="1345"/>
      <c r="M48" s="1345"/>
      <c r="N48" s="1325"/>
      <c r="O48" s="1345"/>
      <c r="P48" s="1325"/>
      <c r="Q48" s="1325"/>
      <c r="R48" s="1343"/>
      <c r="S48" s="1346"/>
      <c r="T48" s="1347"/>
      <c r="U48" s="1349"/>
      <c r="V48" s="1349"/>
      <c r="W48" s="1355"/>
      <c r="X48" s="1327"/>
      <c r="Y48" s="1321"/>
      <c r="Z48" s="1321"/>
      <c r="AA48" s="1321"/>
      <c r="AB48" s="1345"/>
      <c r="AC48" s="1360"/>
      <c r="AD48" s="1359"/>
      <c r="AE48" s="1321"/>
      <c r="AF48" s="1321"/>
      <c r="AG48" s="1321"/>
    </row>
    <row r="49" spans="1:34" s="1362" customFormat="1" ht="14.85" customHeight="1" outlineLevel="1">
      <c r="A49" s="1327"/>
      <c r="B49" s="1321" t="s">
        <v>1795</v>
      </c>
      <c r="C49" s="1340" t="s">
        <v>1796</v>
      </c>
      <c r="D49" s="1341" t="s">
        <v>1326</v>
      </c>
      <c r="E49" s="1340" t="s">
        <v>1797</v>
      </c>
      <c r="F49" s="1342">
        <v>42761</v>
      </c>
      <c r="G49" s="1367">
        <v>16</v>
      </c>
      <c r="H49" s="1356">
        <v>13</v>
      </c>
      <c r="I49" s="1356">
        <v>15</v>
      </c>
      <c r="J49" s="1367">
        <v>19.84</v>
      </c>
      <c r="K49" s="1368">
        <f t="shared" ref="K49:K67" si="17">+M49-L49</f>
        <v>24802.026000000002</v>
      </c>
      <c r="L49" s="1345">
        <f>5360000/1000</f>
        <v>5360</v>
      </c>
      <c r="M49" s="1345">
        <f>30162026/1000</f>
        <v>30162.026000000002</v>
      </c>
      <c r="N49" s="1325">
        <f t="shared" ref="N49:N67" si="18">+G49*K49</f>
        <v>396832.41600000003</v>
      </c>
      <c r="O49" s="1345">
        <f t="shared" ref="O49:O70" si="19">+G49*L49</f>
        <v>85760</v>
      </c>
      <c r="P49" s="1325">
        <f t="shared" ref="P49:P70" si="20">+N49+O49</f>
        <v>482592.41600000003</v>
      </c>
      <c r="Q49" s="1325"/>
      <c r="R49" s="1343">
        <v>19.84</v>
      </c>
      <c r="S49" s="1346">
        <f>598414595.84/1000</f>
        <v>598414.59584000008</v>
      </c>
      <c r="T49" s="1347">
        <v>0.24</v>
      </c>
      <c r="U49" s="1348" t="s">
        <v>1797</v>
      </c>
      <c r="V49" s="1349"/>
      <c r="W49" s="1350">
        <f t="shared" ref="W49:W70" si="21">+N49+O49</f>
        <v>482592.41600000003</v>
      </c>
      <c r="X49" s="1355">
        <f t="shared" ref="X49:X70" si="22">+P49-W49</f>
        <v>0</v>
      </c>
      <c r="Y49" s="1321"/>
      <c r="Z49" s="1321"/>
      <c r="AA49" s="1321"/>
      <c r="AB49" s="1345"/>
      <c r="AC49" s="1360"/>
      <c r="AD49" s="1359"/>
      <c r="AE49" s="1321"/>
      <c r="AF49" s="1321"/>
      <c r="AG49" s="1321"/>
    </row>
    <row r="50" spans="1:34" s="1327" customFormat="1" ht="14.85" customHeight="1" outlineLevel="1">
      <c r="B50" s="1321" t="s">
        <v>1798</v>
      </c>
      <c r="C50" s="1340" t="s">
        <v>1799</v>
      </c>
      <c r="D50" s="1341" t="s">
        <v>610</v>
      </c>
      <c r="E50" s="1340" t="s">
        <v>1800</v>
      </c>
      <c r="F50" s="1342">
        <v>42760</v>
      </c>
      <c r="G50" s="1466">
        <v>15</v>
      </c>
      <c r="H50" s="1343">
        <v>14</v>
      </c>
      <c r="I50" s="1343">
        <v>16</v>
      </c>
      <c r="J50" s="1466">
        <v>24.6</v>
      </c>
      <c r="K50" s="1368">
        <f t="shared" si="17"/>
        <v>14159.332999999999</v>
      </c>
      <c r="L50" s="1339">
        <f>4000000/1000</f>
        <v>4000</v>
      </c>
      <c r="M50" s="1339">
        <f>18159333/1000</f>
        <v>18159.332999999999</v>
      </c>
      <c r="N50" s="1325">
        <f t="shared" si="18"/>
        <v>212389.995</v>
      </c>
      <c r="O50" s="1345">
        <f t="shared" si="19"/>
        <v>60000</v>
      </c>
      <c r="P50" s="1325">
        <f t="shared" si="20"/>
        <v>272389.995</v>
      </c>
      <c r="Q50" s="1325"/>
      <c r="R50" s="1343">
        <v>24.6</v>
      </c>
      <c r="S50" s="1346">
        <f>446719591.8/1000</f>
        <v>446719.59179999999</v>
      </c>
      <c r="T50" s="1347">
        <v>0.64000000000000012</v>
      </c>
      <c r="U50" s="1348" t="s">
        <v>1801</v>
      </c>
      <c r="V50" s="1349"/>
      <c r="W50" s="1350">
        <f t="shared" si="21"/>
        <v>272389.995</v>
      </c>
      <c r="X50" s="1355">
        <f t="shared" si="22"/>
        <v>0</v>
      </c>
    </row>
    <row r="51" spans="1:34" s="1327" customFormat="1" ht="14.85" customHeight="1" outlineLevel="1">
      <c r="B51" s="1321" t="s">
        <v>1221</v>
      </c>
      <c r="C51" s="1340" t="s">
        <v>1222</v>
      </c>
      <c r="D51" s="1341" t="s">
        <v>610</v>
      </c>
      <c r="E51" s="1340" t="s">
        <v>1223</v>
      </c>
      <c r="F51" s="1342">
        <v>42668</v>
      </c>
      <c r="G51" s="1466">
        <v>13</v>
      </c>
      <c r="H51" s="1343">
        <v>12</v>
      </c>
      <c r="I51" s="1343">
        <v>14</v>
      </c>
      <c r="J51" s="1466">
        <v>13.14</v>
      </c>
      <c r="K51" s="1368">
        <f t="shared" si="17"/>
        <v>14439.55</v>
      </c>
      <c r="L51" s="1339">
        <v>7049.23</v>
      </c>
      <c r="M51" s="1339">
        <v>21488.78</v>
      </c>
      <c r="N51" s="1325">
        <f t="shared" si="18"/>
        <v>187714.15</v>
      </c>
      <c r="O51" s="1345">
        <f t="shared" si="19"/>
        <v>91639.989999999991</v>
      </c>
      <c r="P51" s="1325">
        <f t="shared" si="20"/>
        <v>279354.14</v>
      </c>
      <c r="Q51" s="1325"/>
      <c r="R51" s="1343">
        <v>13.14</v>
      </c>
      <c r="S51" s="1346">
        <f t="shared" ref="S51:S70" si="23">R51*M51</f>
        <v>282362.56919999997</v>
      </c>
      <c r="T51" s="1347">
        <f t="shared" ref="T51:T70" si="24">S51/P51-1</f>
        <v>1.0769230769230642E-2</v>
      </c>
      <c r="U51" s="1348" t="s">
        <v>1224</v>
      </c>
      <c r="V51" s="1349" t="s">
        <v>1225</v>
      </c>
      <c r="W51" s="1350">
        <f t="shared" si="21"/>
        <v>279354.14</v>
      </c>
      <c r="X51" s="1355">
        <f t="shared" si="22"/>
        <v>0</v>
      </c>
    </row>
    <row r="52" spans="1:34" s="1327" customFormat="1" ht="14.85" customHeight="1" outlineLevel="1">
      <c r="B52" s="1321" t="s">
        <v>1227</v>
      </c>
      <c r="C52" s="1340" t="s">
        <v>1228</v>
      </c>
      <c r="D52" s="1341" t="s">
        <v>1802</v>
      </c>
      <c r="E52" s="1340" t="s">
        <v>1229</v>
      </c>
      <c r="F52" s="1342">
        <v>42654</v>
      </c>
      <c r="G52" s="1466">
        <v>5.5</v>
      </c>
      <c r="H52" s="1343">
        <v>6</v>
      </c>
      <c r="I52" s="1343">
        <v>8</v>
      </c>
      <c r="J52" s="1466">
        <v>4.74</v>
      </c>
      <c r="K52" s="1368">
        <f t="shared" si="17"/>
        <v>8671.0879999999997</v>
      </c>
      <c r="L52" s="1339">
        <v>960</v>
      </c>
      <c r="M52" s="1339">
        <v>9631.0879999999997</v>
      </c>
      <c r="N52" s="1325">
        <f t="shared" si="18"/>
        <v>47690.983999999997</v>
      </c>
      <c r="O52" s="1345">
        <f t="shared" si="19"/>
        <v>5280</v>
      </c>
      <c r="P52" s="1325">
        <f t="shared" si="20"/>
        <v>52970.983999999997</v>
      </c>
      <c r="Q52" s="1325"/>
      <c r="R52" s="1343">
        <v>4.74</v>
      </c>
      <c r="S52" s="1346">
        <f t="shared" si="23"/>
        <v>45651.357120000001</v>
      </c>
      <c r="T52" s="1347">
        <f t="shared" si="24"/>
        <v>-0.13818181818181807</v>
      </c>
      <c r="U52" s="1348" t="s">
        <v>1230</v>
      </c>
      <c r="V52" s="1349" t="s">
        <v>1231</v>
      </c>
      <c r="W52" s="1350">
        <f t="shared" si="21"/>
        <v>52970.983999999997</v>
      </c>
      <c r="X52" s="1355">
        <f t="shared" si="22"/>
        <v>0</v>
      </c>
    </row>
    <row r="53" spans="1:34" s="1327" customFormat="1" ht="14.85" customHeight="1" outlineLevel="1">
      <c r="B53" s="1321" t="s">
        <v>1237</v>
      </c>
      <c r="C53" s="1340" t="s">
        <v>1238</v>
      </c>
      <c r="D53" s="1341" t="s">
        <v>610</v>
      </c>
      <c r="E53" s="1340" t="s">
        <v>1239</v>
      </c>
      <c r="F53" s="1342">
        <v>42592</v>
      </c>
      <c r="G53" s="1466">
        <v>12</v>
      </c>
      <c r="H53" s="1343">
        <v>11</v>
      </c>
      <c r="I53" s="1343">
        <v>13</v>
      </c>
      <c r="J53" s="1466">
        <v>12.4</v>
      </c>
      <c r="K53" s="1368">
        <f t="shared" si="17"/>
        <v>8823.5509999999995</v>
      </c>
      <c r="L53" s="1339">
        <v>7500</v>
      </c>
      <c r="M53" s="1339">
        <v>16323.550999999999</v>
      </c>
      <c r="N53" s="1325">
        <f t="shared" si="18"/>
        <v>105882.61199999999</v>
      </c>
      <c r="O53" s="1345">
        <f t="shared" si="19"/>
        <v>90000</v>
      </c>
      <c r="P53" s="1325">
        <f t="shared" si="20"/>
        <v>195882.61199999999</v>
      </c>
      <c r="Q53" s="1325"/>
      <c r="R53" s="1343">
        <v>12.4</v>
      </c>
      <c r="S53" s="1346">
        <f t="shared" si="23"/>
        <v>202412.0324</v>
      </c>
      <c r="T53" s="1347">
        <f t="shared" si="24"/>
        <v>3.3333333333333437E-2</v>
      </c>
      <c r="U53" s="1357" t="s">
        <v>1240</v>
      </c>
      <c r="V53" s="1349" t="s">
        <v>1241</v>
      </c>
      <c r="W53" s="1350">
        <f t="shared" si="21"/>
        <v>195882.61199999999</v>
      </c>
      <c r="X53" s="1355">
        <f t="shared" si="22"/>
        <v>0</v>
      </c>
      <c r="Y53" s="1359"/>
    </row>
    <row r="54" spans="1:34" s="1327" customFormat="1" ht="14.85" customHeight="1" outlineLevel="1">
      <c r="B54" s="1321" t="s">
        <v>938</v>
      </c>
      <c r="C54" s="1340" t="s">
        <v>936</v>
      </c>
      <c r="D54" s="1341" t="s">
        <v>610</v>
      </c>
      <c r="E54" s="1340" t="s">
        <v>1253</v>
      </c>
      <c r="F54" s="1342">
        <v>42550</v>
      </c>
      <c r="G54" s="1367">
        <v>12.5</v>
      </c>
      <c r="H54" s="1356">
        <v>14</v>
      </c>
      <c r="I54" s="1356">
        <v>16</v>
      </c>
      <c r="J54" s="1367">
        <v>11.58</v>
      </c>
      <c r="K54" s="1368">
        <f t="shared" si="17"/>
        <v>18760.161</v>
      </c>
      <c r="L54" s="1339">
        <v>4000</v>
      </c>
      <c r="M54" s="1339">
        <v>22760.161</v>
      </c>
      <c r="N54" s="1325">
        <f t="shared" si="18"/>
        <v>234502.01250000001</v>
      </c>
      <c r="O54" s="1345">
        <f t="shared" si="19"/>
        <v>50000</v>
      </c>
      <c r="P54" s="1325">
        <f t="shared" si="20"/>
        <v>284502.01250000001</v>
      </c>
      <c r="Q54" s="1325"/>
      <c r="R54" s="1343">
        <v>11.58</v>
      </c>
      <c r="S54" s="1346">
        <f t="shared" si="23"/>
        <v>263562.66438000003</v>
      </c>
      <c r="T54" s="1347">
        <f t="shared" si="24"/>
        <v>-7.3599999999999888E-2</v>
      </c>
      <c r="U54" s="1357" t="s">
        <v>937</v>
      </c>
      <c r="V54" s="1349" t="s">
        <v>939</v>
      </c>
      <c r="W54" s="1350">
        <f t="shared" si="21"/>
        <v>284502.01250000001</v>
      </c>
      <c r="X54" s="1355">
        <f t="shared" si="22"/>
        <v>0</v>
      </c>
      <c r="Y54" s="1359"/>
    </row>
    <row r="55" spans="1:34" s="1327" customFormat="1" ht="14.85" customHeight="1" outlineLevel="1">
      <c r="B55" s="1321" t="s">
        <v>1254</v>
      </c>
      <c r="C55" s="1340" t="s">
        <v>1255</v>
      </c>
      <c r="D55" s="1341" t="s">
        <v>610</v>
      </c>
      <c r="E55" s="1340" t="s">
        <v>1256</v>
      </c>
      <c r="F55" s="1342">
        <v>42542</v>
      </c>
      <c r="G55" s="1367">
        <v>14</v>
      </c>
      <c r="H55" s="1356">
        <v>14</v>
      </c>
      <c r="I55" s="1356">
        <v>16</v>
      </c>
      <c r="J55" s="1367">
        <v>13.77</v>
      </c>
      <c r="K55" s="1368">
        <f t="shared" si="17"/>
        <v>12899.585999999999</v>
      </c>
      <c r="L55" s="1339">
        <v>5000</v>
      </c>
      <c r="M55" s="1339">
        <v>17899.585999999999</v>
      </c>
      <c r="N55" s="1325">
        <f t="shared" si="18"/>
        <v>180594.204</v>
      </c>
      <c r="O55" s="1345">
        <f t="shared" si="19"/>
        <v>70000</v>
      </c>
      <c r="P55" s="1325">
        <f t="shared" si="20"/>
        <v>250594.204</v>
      </c>
      <c r="Q55" s="1325"/>
      <c r="R55" s="1343">
        <v>13.77</v>
      </c>
      <c r="S55" s="1346">
        <f t="shared" si="23"/>
        <v>246477.29921999999</v>
      </c>
      <c r="T55" s="1347">
        <f t="shared" si="24"/>
        <v>-1.6428571428571459E-2</v>
      </c>
      <c r="U55" s="1357" t="s">
        <v>1257</v>
      </c>
      <c r="V55" s="1349" t="s">
        <v>1258</v>
      </c>
      <c r="W55" s="1350">
        <f t="shared" si="21"/>
        <v>250594.204</v>
      </c>
      <c r="X55" s="1355">
        <f t="shared" si="22"/>
        <v>0</v>
      </c>
      <c r="Y55" s="1359"/>
    </row>
    <row r="56" spans="1:34" s="1327" customFormat="1" ht="14.85" customHeight="1" outlineLevel="1">
      <c r="B56" s="1321" t="s">
        <v>1269</v>
      </c>
      <c r="C56" s="1340" t="s">
        <v>1270</v>
      </c>
      <c r="D56" s="1341" t="s">
        <v>1326</v>
      </c>
      <c r="E56" s="1340" t="s">
        <v>1271</v>
      </c>
      <c r="F56" s="1342">
        <v>42508</v>
      </c>
      <c r="G56" s="1367">
        <v>10</v>
      </c>
      <c r="H56" s="1356">
        <v>14</v>
      </c>
      <c r="I56" s="1356">
        <v>16</v>
      </c>
      <c r="J56" s="1367">
        <v>9.1691500000000001</v>
      </c>
      <c r="K56" s="1368">
        <f t="shared" si="17"/>
        <v>8740.4410000000007</v>
      </c>
      <c r="L56" s="1339">
        <v>5500</v>
      </c>
      <c r="M56" s="1339">
        <v>14240.441000000001</v>
      </c>
      <c r="N56" s="1325">
        <f t="shared" si="18"/>
        <v>87404.41</v>
      </c>
      <c r="O56" s="1345">
        <f t="shared" si="19"/>
        <v>55000</v>
      </c>
      <c r="P56" s="1325">
        <f t="shared" si="20"/>
        <v>142404.41</v>
      </c>
      <c r="Q56" s="1325"/>
      <c r="R56" s="1343">
        <v>9.1691500000000001</v>
      </c>
      <c r="S56" s="1346">
        <f t="shared" si="23"/>
        <v>130572.73959515001</v>
      </c>
      <c r="T56" s="1347">
        <f t="shared" si="24"/>
        <v>-8.3084999999999964E-2</v>
      </c>
      <c r="U56" s="1357" t="s">
        <v>1272</v>
      </c>
      <c r="V56" s="1349" t="s">
        <v>1273</v>
      </c>
      <c r="W56" s="1350">
        <f t="shared" si="21"/>
        <v>142404.41</v>
      </c>
      <c r="X56" s="1355">
        <f t="shared" si="22"/>
        <v>0</v>
      </c>
      <c r="Y56" s="1359"/>
    </row>
    <row r="57" spans="1:34" s="1327" customFormat="1" ht="14.85" customHeight="1" outlineLevel="1">
      <c r="B57" s="1321" t="s">
        <v>1275</v>
      </c>
      <c r="C57" s="1340" t="s">
        <v>1276</v>
      </c>
      <c r="D57" s="1341" t="s">
        <v>610</v>
      </c>
      <c r="E57" s="1340" t="s">
        <v>1277</v>
      </c>
      <c r="F57" s="1342">
        <v>42502</v>
      </c>
      <c r="G57" s="1367">
        <v>6</v>
      </c>
      <c r="H57" s="1356">
        <v>11</v>
      </c>
      <c r="I57" s="1356">
        <v>13</v>
      </c>
      <c r="J57" s="1367">
        <v>3.35</v>
      </c>
      <c r="K57" s="1368">
        <f t="shared" si="17"/>
        <v>16969.444</v>
      </c>
      <c r="L57" s="1339">
        <v>5833.3339999999998</v>
      </c>
      <c r="M57" s="1339">
        <v>22802.777999999998</v>
      </c>
      <c r="N57" s="1325">
        <f t="shared" si="18"/>
        <v>101816.66399999999</v>
      </c>
      <c r="O57" s="1345">
        <f t="shared" si="19"/>
        <v>35000.004000000001</v>
      </c>
      <c r="P57" s="1325">
        <f t="shared" si="20"/>
        <v>136816.66800000001</v>
      </c>
      <c r="Q57" s="1325"/>
      <c r="R57" s="1343">
        <v>3.35</v>
      </c>
      <c r="S57" s="1346">
        <f t="shared" si="23"/>
        <v>76389.306299999997</v>
      </c>
      <c r="T57" s="1347">
        <f t="shared" si="24"/>
        <v>-0.44166666666666676</v>
      </c>
      <c r="U57" s="1357" t="s">
        <v>1278</v>
      </c>
      <c r="V57" s="1349" t="s">
        <v>1279</v>
      </c>
      <c r="W57" s="1350">
        <f t="shared" si="21"/>
        <v>136816.66800000001</v>
      </c>
      <c r="X57" s="1355">
        <f t="shared" si="22"/>
        <v>0</v>
      </c>
      <c r="AC57" s="1355"/>
      <c r="AD57" s="1360"/>
      <c r="AE57" s="1359"/>
    </row>
    <row r="58" spans="1:34" s="1321" customFormat="1" ht="14.85" customHeight="1" outlineLevel="1">
      <c r="A58" s="1327"/>
      <c r="B58" s="1321" t="s">
        <v>1116</v>
      </c>
      <c r="C58" s="1340" t="s">
        <v>1290</v>
      </c>
      <c r="D58" s="1341" t="s">
        <v>1291</v>
      </c>
      <c r="E58" s="1340" t="s">
        <v>1292</v>
      </c>
      <c r="F58" s="1342">
        <v>42451</v>
      </c>
      <c r="G58" s="1367">
        <v>15</v>
      </c>
      <c r="H58" s="1356">
        <v>15</v>
      </c>
      <c r="I58" s="1356">
        <v>17</v>
      </c>
      <c r="J58" s="1367">
        <v>15.13</v>
      </c>
      <c r="K58" s="1368">
        <f t="shared" si="17"/>
        <v>15706.356</v>
      </c>
      <c r="L58" s="1339">
        <v>4700</v>
      </c>
      <c r="M58" s="1339">
        <v>20406.356</v>
      </c>
      <c r="N58" s="1325">
        <f t="shared" si="18"/>
        <v>235595.34</v>
      </c>
      <c r="O58" s="1345">
        <f t="shared" si="19"/>
        <v>70500</v>
      </c>
      <c r="P58" s="1325">
        <f t="shared" si="20"/>
        <v>306095.33999999997</v>
      </c>
      <c r="Q58" s="1325"/>
      <c r="R58" s="1343">
        <v>15.13</v>
      </c>
      <c r="S58" s="1346">
        <f t="shared" si="23"/>
        <v>308748.16628</v>
      </c>
      <c r="T58" s="1347">
        <f t="shared" si="24"/>
        <v>8.6666666666668224E-3</v>
      </c>
      <c r="U58" s="1348" t="s">
        <v>1293</v>
      </c>
      <c r="V58" s="1349" t="s">
        <v>1294</v>
      </c>
      <c r="W58" s="1350">
        <f t="shared" si="21"/>
        <v>306095.33999999997</v>
      </c>
      <c r="X58" s="1355">
        <f t="shared" si="22"/>
        <v>0</v>
      </c>
      <c r="Y58" s="1327"/>
      <c r="AC58" s="1345"/>
      <c r="AD58" s="1360"/>
      <c r="AE58" s="1359"/>
    </row>
    <row r="59" spans="1:34" s="1321" customFormat="1" ht="14.85" customHeight="1" outlineLevel="1">
      <c r="A59" s="1327"/>
      <c r="B59" s="1321" t="s">
        <v>1120</v>
      </c>
      <c r="C59" s="1340" t="s">
        <v>1295</v>
      </c>
      <c r="D59" s="1341" t="s">
        <v>1402</v>
      </c>
      <c r="E59" s="1340" t="s">
        <v>1296</v>
      </c>
      <c r="F59" s="1342">
        <v>42431</v>
      </c>
      <c r="G59" s="1367">
        <v>12</v>
      </c>
      <c r="H59" s="1356">
        <v>14</v>
      </c>
      <c r="I59" s="1356">
        <v>16</v>
      </c>
      <c r="J59" s="1367">
        <v>13.11</v>
      </c>
      <c r="K59" s="1368">
        <f t="shared" si="17"/>
        <v>12972.674999999999</v>
      </c>
      <c r="L59" s="1339">
        <v>4400</v>
      </c>
      <c r="M59" s="1339">
        <v>17372.674999999999</v>
      </c>
      <c r="N59" s="1325">
        <f t="shared" si="18"/>
        <v>155672.09999999998</v>
      </c>
      <c r="O59" s="1345">
        <f t="shared" si="19"/>
        <v>52800</v>
      </c>
      <c r="P59" s="1325">
        <f t="shared" si="20"/>
        <v>208472.09999999998</v>
      </c>
      <c r="Q59" s="1325"/>
      <c r="R59" s="1343">
        <v>13.11</v>
      </c>
      <c r="S59" s="1346">
        <f t="shared" si="23"/>
        <v>227755.76924999998</v>
      </c>
      <c r="T59" s="1347">
        <f t="shared" si="24"/>
        <v>9.2500000000000027E-2</v>
      </c>
      <c r="U59" s="1348" t="s">
        <v>1297</v>
      </c>
      <c r="V59" s="1349" t="s">
        <v>1298</v>
      </c>
      <c r="W59" s="1350">
        <f t="shared" si="21"/>
        <v>208472.09999999998</v>
      </c>
      <c r="X59" s="1355">
        <f t="shared" si="22"/>
        <v>0</v>
      </c>
      <c r="Y59" s="1327"/>
      <c r="AC59" s="1345"/>
      <c r="AD59" s="1360"/>
      <c r="AE59" s="1359"/>
    </row>
    <row r="60" spans="1:34" s="1321" customFormat="1" ht="14.85" customHeight="1" outlineLevel="1">
      <c r="A60" s="1327"/>
      <c r="B60" s="1321" t="s">
        <v>1299</v>
      </c>
      <c r="C60" s="1340" t="s">
        <v>1300</v>
      </c>
      <c r="D60" s="1341" t="s">
        <v>610</v>
      </c>
      <c r="E60" s="1340" t="s">
        <v>1301</v>
      </c>
      <c r="F60" s="1342">
        <v>42410</v>
      </c>
      <c r="G60" s="1367">
        <v>20</v>
      </c>
      <c r="H60" s="1356">
        <v>19</v>
      </c>
      <c r="I60" s="1356">
        <v>21</v>
      </c>
      <c r="J60" s="1367">
        <v>21.15</v>
      </c>
      <c r="K60" s="1368">
        <f t="shared" si="17"/>
        <v>17650.57</v>
      </c>
      <c r="L60" s="1339">
        <v>4750</v>
      </c>
      <c r="M60" s="1339">
        <v>22400.57</v>
      </c>
      <c r="N60" s="1325">
        <f t="shared" si="18"/>
        <v>353011.4</v>
      </c>
      <c r="O60" s="1345">
        <f t="shared" si="19"/>
        <v>95000</v>
      </c>
      <c r="P60" s="1325">
        <f t="shared" si="20"/>
        <v>448011.4</v>
      </c>
      <c r="Q60" s="1325"/>
      <c r="R60" s="1343">
        <v>21.15</v>
      </c>
      <c r="S60" s="1346">
        <f t="shared" si="23"/>
        <v>473772.05549999996</v>
      </c>
      <c r="T60" s="1347">
        <f t="shared" si="24"/>
        <v>5.7499999999999885E-2</v>
      </c>
      <c r="U60" s="1348" t="s">
        <v>1302</v>
      </c>
      <c r="V60" s="1349" t="s">
        <v>1303</v>
      </c>
      <c r="W60" s="1350">
        <f t="shared" si="21"/>
        <v>448011.4</v>
      </c>
      <c r="X60" s="1355">
        <f t="shared" si="22"/>
        <v>0</v>
      </c>
      <c r="Y60" s="1327"/>
      <c r="AC60" s="1345"/>
      <c r="AD60" s="1360"/>
      <c r="AE60" s="1359"/>
    </row>
    <row r="61" spans="1:34" s="1321" customFormat="1" ht="14.85" customHeight="1" outlineLevel="1">
      <c r="A61" s="1327"/>
      <c r="B61" s="1321" t="s">
        <v>821</v>
      </c>
      <c r="C61" s="1340" t="s">
        <v>1315</v>
      </c>
      <c r="D61" s="1341" t="s">
        <v>586</v>
      </c>
      <c r="E61" s="1340" t="s">
        <v>1316</v>
      </c>
      <c r="F61" s="1342">
        <v>42318</v>
      </c>
      <c r="G61" s="1367">
        <v>14</v>
      </c>
      <c r="H61" s="1356">
        <v>15</v>
      </c>
      <c r="I61" s="1356">
        <v>17</v>
      </c>
      <c r="J61" s="1367">
        <v>23.72</v>
      </c>
      <c r="K61" s="1368">
        <f t="shared" si="17"/>
        <v>21034.71</v>
      </c>
      <c r="L61" s="1339">
        <v>5000</v>
      </c>
      <c r="M61" s="1339">
        <v>26034.71</v>
      </c>
      <c r="N61" s="1325">
        <f t="shared" si="18"/>
        <v>294485.94</v>
      </c>
      <c r="O61" s="1345">
        <f t="shared" si="19"/>
        <v>70000</v>
      </c>
      <c r="P61" s="1325">
        <f t="shared" si="20"/>
        <v>364485.94</v>
      </c>
      <c r="Q61" s="1325"/>
      <c r="R61" s="1343">
        <v>23.72</v>
      </c>
      <c r="S61" s="1346">
        <f t="shared" si="23"/>
        <v>617543.32120000001</v>
      </c>
      <c r="T61" s="1347">
        <f t="shared" si="24"/>
        <v>0.69428571428571439</v>
      </c>
      <c r="U61" s="1361" t="s">
        <v>1317</v>
      </c>
      <c r="V61" s="1349" t="s">
        <v>1803</v>
      </c>
      <c r="W61" s="1350">
        <f t="shared" si="21"/>
        <v>364485.94</v>
      </c>
      <c r="X61" s="1355">
        <f t="shared" si="22"/>
        <v>0</v>
      </c>
      <c r="Y61" s="1364"/>
      <c r="Z61" s="1363"/>
      <c r="AA61" s="1364"/>
      <c r="AB61" s="1364"/>
      <c r="AC61" s="1363"/>
      <c r="AD61" s="1360"/>
      <c r="AE61" s="1359"/>
      <c r="AF61" s="1361"/>
      <c r="AG61" s="1366"/>
      <c r="AH61" s="1366"/>
    </row>
    <row r="62" spans="1:34" s="1321" customFormat="1" ht="14.85" customHeight="1" outlineLevel="1">
      <c r="A62" s="1327"/>
      <c r="B62" s="1321" t="s">
        <v>1319</v>
      </c>
      <c r="C62" s="1340" t="s">
        <v>1320</v>
      </c>
      <c r="D62" s="1341" t="s">
        <v>610</v>
      </c>
      <c r="E62" s="1340" t="s">
        <v>1321</v>
      </c>
      <c r="F62" s="1342">
        <v>42305</v>
      </c>
      <c r="G62" s="1367">
        <v>10</v>
      </c>
      <c r="H62" s="1356">
        <v>15</v>
      </c>
      <c r="I62" s="1356">
        <v>17</v>
      </c>
      <c r="J62" s="1367">
        <v>12.4</v>
      </c>
      <c r="K62" s="1368">
        <f t="shared" si="17"/>
        <v>20805.473000000002</v>
      </c>
      <c r="L62" s="1339">
        <v>5437.5</v>
      </c>
      <c r="M62" s="1339">
        <v>26242.973000000002</v>
      </c>
      <c r="N62" s="1325">
        <f t="shared" si="18"/>
        <v>208054.73</v>
      </c>
      <c r="O62" s="1345">
        <f t="shared" si="19"/>
        <v>54375</v>
      </c>
      <c r="P62" s="1325">
        <f t="shared" si="20"/>
        <v>262429.73</v>
      </c>
      <c r="Q62" s="1325"/>
      <c r="R62" s="1343">
        <v>12.4</v>
      </c>
      <c r="S62" s="1346">
        <f t="shared" si="23"/>
        <v>325412.86520000006</v>
      </c>
      <c r="T62" s="1347">
        <f t="shared" si="24"/>
        <v>0.24000000000000021</v>
      </c>
      <c r="U62" s="1361" t="s">
        <v>1322</v>
      </c>
      <c r="V62" s="1349" t="s">
        <v>1323</v>
      </c>
      <c r="W62" s="1350">
        <f t="shared" si="21"/>
        <v>262429.73</v>
      </c>
      <c r="X62" s="1355">
        <f t="shared" si="22"/>
        <v>0</v>
      </c>
      <c r="Y62" s="1364"/>
      <c r="Z62" s="1363"/>
      <c r="AA62" s="1364"/>
      <c r="AB62" s="1364"/>
      <c r="AC62" s="1363"/>
      <c r="AD62" s="1360"/>
      <c r="AE62" s="1359"/>
      <c r="AF62" s="1361"/>
      <c r="AG62" s="1366"/>
      <c r="AH62" s="1366"/>
    </row>
    <row r="63" spans="1:34" s="1321" customFormat="1" ht="14.85" customHeight="1" outlineLevel="1">
      <c r="A63" s="1327"/>
      <c r="B63" s="1321" t="s">
        <v>1324</v>
      </c>
      <c r="C63" s="1340" t="s">
        <v>1325</v>
      </c>
      <c r="D63" s="1341" t="s">
        <v>610</v>
      </c>
      <c r="E63" s="1340" t="s">
        <v>1327</v>
      </c>
      <c r="F63" s="1342">
        <v>42298</v>
      </c>
      <c r="G63" s="1367">
        <v>13</v>
      </c>
      <c r="H63" s="1356">
        <v>14</v>
      </c>
      <c r="I63" s="1356">
        <v>16</v>
      </c>
      <c r="J63" s="1367">
        <v>13.45</v>
      </c>
      <c r="K63" s="1368">
        <f t="shared" si="17"/>
        <v>19379.574000000001</v>
      </c>
      <c r="L63" s="1339">
        <v>5500</v>
      </c>
      <c r="M63" s="1339">
        <v>24879.574000000001</v>
      </c>
      <c r="N63" s="1325">
        <f t="shared" si="18"/>
        <v>251934.462</v>
      </c>
      <c r="O63" s="1345">
        <f t="shared" si="19"/>
        <v>71500</v>
      </c>
      <c r="P63" s="1325">
        <f t="shared" si="20"/>
        <v>323434.462</v>
      </c>
      <c r="Q63" s="1325"/>
      <c r="R63" s="1343">
        <v>13.45</v>
      </c>
      <c r="S63" s="1346">
        <f t="shared" si="23"/>
        <v>334630.27029999997</v>
      </c>
      <c r="T63" s="1347">
        <f t="shared" si="24"/>
        <v>3.4615384615384492E-2</v>
      </c>
      <c r="U63" s="1348" t="s">
        <v>1328</v>
      </c>
      <c r="V63" s="1349" t="s">
        <v>1329</v>
      </c>
      <c r="W63" s="1350">
        <f t="shared" si="21"/>
        <v>323434.462</v>
      </c>
      <c r="X63" s="1355">
        <f t="shared" si="22"/>
        <v>0</v>
      </c>
      <c r="Y63" s="1327"/>
      <c r="AC63" s="1345"/>
      <c r="AD63" s="1360"/>
      <c r="AE63" s="1359"/>
    </row>
    <row r="64" spans="1:34" s="1321" customFormat="1" ht="14.85" customHeight="1" outlineLevel="1">
      <c r="A64" s="1327"/>
      <c r="B64" s="1321" t="s">
        <v>1345</v>
      </c>
      <c r="C64" s="1340" t="s">
        <v>1346</v>
      </c>
      <c r="D64" s="1341" t="s">
        <v>610</v>
      </c>
      <c r="E64" s="1340" t="s">
        <v>1347</v>
      </c>
      <c r="F64" s="1342">
        <v>42277</v>
      </c>
      <c r="G64" s="1367">
        <v>7</v>
      </c>
      <c r="H64" s="1356">
        <v>13</v>
      </c>
      <c r="I64" s="1356">
        <v>15</v>
      </c>
      <c r="J64" s="1367">
        <v>5.78</v>
      </c>
      <c r="K64" s="1368">
        <f t="shared" si="17"/>
        <v>13806.725999999999</v>
      </c>
      <c r="L64" s="1339">
        <v>6250</v>
      </c>
      <c r="M64" s="1339">
        <v>20056.725999999999</v>
      </c>
      <c r="N64" s="1325">
        <f t="shared" si="18"/>
        <v>96647.081999999995</v>
      </c>
      <c r="O64" s="1345">
        <f t="shared" si="19"/>
        <v>43750</v>
      </c>
      <c r="P64" s="1325">
        <f t="shared" si="20"/>
        <v>140397.08199999999</v>
      </c>
      <c r="Q64" s="1325"/>
      <c r="R64" s="1343">
        <v>5.78</v>
      </c>
      <c r="S64" s="1346">
        <f t="shared" si="23"/>
        <v>115927.87628</v>
      </c>
      <c r="T64" s="1347">
        <f t="shared" si="24"/>
        <v>-0.17428571428571427</v>
      </c>
      <c r="U64" s="1348" t="s">
        <v>1348</v>
      </c>
      <c r="V64" s="1349" t="s">
        <v>1804</v>
      </c>
      <c r="W64" s="1350">
        <f t="shared" si="21"/>
        <v>140397.08199999999</v>
      </c>
      <c r="X64" s="1355">
        <f t="shared" si="22"/>
        <v>0</v>
      </c>
      <c r="Y64" s="1327"/>
      <c r="AC64" s="1345"/>
      <c r="AD64" s="1360"/>
      <c r="AE64" s="1359"/>
    </row>
    <row r="65" spans="1:65" s="1321" customFormat="1" ht="14.85" customHeight="1" outlineLevel="1">
      <c r="A65" s="1327"/>
      <c r="B65" s="1321" t="s">
        <v>1386</v>
      </c>
      <c r="C65" s="1340" t="s">
        <v>1387</v>
      </c>
      <c r="D65" s="1341" t="s">
        <v>1326</v>
      </c>
      <c r="E65" s="1340" t="s">
        <v>1388</v>
      </c>
      <c r="F65" s="1342">
        <v>42179</v>
      </c>
      <c r="G65" s="1367">
        <v>12</v>
      </c>
      <c r="H65" s="1356">
        <v>13</v>
      </c>
      <c r="I65" s="1356">
        <v>15</v>
      </c>
      <c r="J65" s="1367">
        <v>13.9</v>
      </c>
      <c r="K65" s="1368">
        <f t="shared" si="17"/>
        <v>9547.7960000000003</v>
      </c>
      <c r="L65" s="1339">
        <v>5000</v>
      </c>
      <c r="M65" s="1339">
        <v>14547.796</v>
      </c>
      <c r="N65" s="1325">
        <f t="shared" si="18"/>
        <v>114573.552</v>
      </c>
      <c r="O65" s="1345">
        <f t="shared" si="19"/>
        <v>60000</v>
      </c>
      <c r="P65" s="1325">
        <f t="shared" si="20"/>
        <v>174573.552</v>
      </c>
      <c r="Q65" s="1325"/>
      <c r="R65" s="1343">
        <v>13.9</v>
      </c>
      <c r="S65" s="1346">
        <f t="shared" si="23"/>
        <v>202214.36440000002</v>
      </c>
      <c r="T65" s="1347">
        <f t="shared" si="24"/>
        <v>0.15833333333333344</v>
      </c>
      <c r="U65" s="1361" t="s">
        <v>1389</v>
      </c>
      <c r="V65" s="1349" t="s">
        <v>1805</v>
      </c>
      <c r="W65" s="1350">
        <f t="shared" si="21"/>
        <v>174573.552</v>
      </c>
      <c r="X65" s="1355">
        <f t="shared" si="22"/>
        <v>0</v>
      </c>
      <c r="Y65" s="1364"/>
      <c r="Z65" s="1363"/>
      <c r="AA65" s="1364"/>
      <c r="AB65" s="1365"/>
      <c r="AC65" s="1363"/>
      <c r="AD65" s="1360"/>
      <c r="AE65" s="1359"/>
      <c r="AF65" s="1361"/>
      <c r="AG65" s="1366"/>
      <c r="AH65" s="1366"/>
    </row>
    <row r="66" spans="1:65" s="1362" customFormat="1" ht="14.85" customHeight="1" outlineLevel="1">
      <c r="A66" s="1327"/>
      <c r="B66" s="1321" t="s">
        <v>1396</v>
      </c>
      <c r="C66" s="1340" t="s">
        <v>1397</v>
      </c>
      <c r="D66" s="1341" t="s">
        <v>586</v>
      </c>
      <c r="E66" s="1340" t="s">
        <v>1398</v>
      </c>
      <c r="F66" s="1342">
        <v>42171</v>
      </c>
      <c r="G66" s="1367">
        <v>14</v>
      </c>
      <c r="H66" s="1356">
        <v>13</v>
      </c>
      <c r="I66" s="1356">
        <v>15</v>
      </c>
      <c r="J66" s="1367">
        <v>19.010000000000002</v>
      </c>
      <c r="K66" s="1368">
        <f t="shared" si="17"/>
        <v>9126.6830000000009</v>
      </c>
      <c r="L66" s="1339">
        <v>5500</v>
      </c>
      <c r="M66" s="1339">
        <v>14626.683000000001</v>
      </c>
      <c r="N66" s="1325">
        <f t="shared" si="18"/>
        <v>127773.56200000001</v>
      </c>
      <c r="O66" s="1345">
        <f t="shared" si="19"/>
        <v>77000</v>
      </c>
      <c r="P66" s="1325">
        <f t="shared" si="20"/>
        <v>204773.56200000001</v>
      </c>
      <c r="Q66" s="1325"/>
      <c r="R66" s="1343">
        <v>19.010000000000002</v>
      </c>
      <c r="S66" s="1346">
        <f t="shared" si="23"/>
        <v>278053.24383000005</v>
      </c>
      <c r="T66" s="1347">
        <f t="shared" si="24"/>
        <v>0.3578571428571431</v>
      </c>
      <c r="U66" s="1348" t="s">
        <v>1399</v>
      </c>
      <c r="V66" s="1349" t="s">
        <v>1400</v>
      </c>
      <c r="W66" s="1350">
        <f t="shared" si="21"/>
        <v>204773.56200000001</v>
      </c>
      <c r="X66" s="1355">
        <f t="shared" si="22"/>
        <v>0</v>
      </c>
      <c r="Y66" s="1327"/>
      <c r="Z66" s="1321"/>
      <c r="AA66" s="1321"/>
      <c r="AB66" s="1321"/>
      <c r="AC66" s="1345"/>
      <c r="AD66" s="1360"/>
      <c r="AE66" s="1359"/>
      <c r="AF66" s="1321"/>
      <c r="AG66" s="1321"/>
      <c r="AH66" s="1321"/>
    </row>
    <row r="67" spans="1:65" s="1362" customFormat="1" ht="14.85" customHeight="1" outlineLevel="1">
      <c r="A67" s="1327"/>
      <c r="B67" s="1321" t="s">
        <v>1806</v>
      </c>
      <c r="C67" s="1340" t="s">
        <v>1401</v>
      </c>
      <c r="D67" s="1341" t="s">
        <v>1402</v>
      </c>
      <c r="E67" s="1340" t="s">
        <v>1403</v>
      </c>
      <c r="F67" s="1342">
        <v>42130</v>
      </c>
      <c r="G67" s="1367">
        <v>14</v>
      </c>
      <c r="H67" s="1356">
        <v>13</v>
      </c>
      <c r="I67" s="1356">
        <v>15</v>
      </c>
      <c r="J67" s="1367">
        <v>25.87</v>
      </c>
      <c r="K67" s="1368">
        <f t="shared" si="17"/>
        <v>17189.739000000001</v>
      </c>
      <c r="L67" s="1339">
        <v>5360</v>
      </c>
      <c r="M67" s="1339">
        <v>22549.739000000001</v>
      </c>
      <c r="N67" s="1325">
        <f t="shared" si="18"/>
        <v>240656.34600000002</v>
      </c>
      <c r="O67" s="1345">
        <f t="shared" si="19"/>
        <v>75040</v>
      </c>
      <c r="P67" s="1325">
        <f t="shared" si="20"/>
        <v>315696.34600000002</v>
      </c>
      <c r="Q67" s="1325"/>
      <c r="R67" s="1343">
        <v>25.87</v>
      </c>
      <c r="S67" s="1346">
        <f t="shared" si="23"/>
        <v>583361.74793000007</v>
      </c>
      <c r="T67" s="1347">
        <f t="shared" si="24"/>
        <v>0.84785714285714286</v>
      </c>
      <c r="U67" s="1348" t="s">
        <v>1404</v>
      </c>
      <c r="V67" s="1349" t="s">
        <v>1405</v>
      </c>
      <c r="W67" s="1350">
        <f t="shared" si="21"/>
        <v>315696.34600000002</v>
      </c>
      <c r="X67" s="1355">
        <f t="shared" si="22"/>
        <v>0</v>
      </c>
      <c r="Y67" s="1327"/>
      <c r="Z67" s="1321"/>
      <c r="AA67" s="1321"/>
      <c r="AB67" s="1321"/>
      <c r="AC67" s="1345"/>
      <c r="AD67" s="1360"/>
      <c r="AE67" s="1359"/>
      <c r="AF67" s="1321"/>
      <c r="AG67" s="1321"/>
      <c r="AH67" s="1321"/>
    </row>
    <row r="68" spans="1:65" s="1362" customFormat="1" ht="14.85" customHeight="1" outlineLevel="1">
      <c r="A68" s="1395"/>
      <c r="B68" s="1321" t="s">
        <v>1807</v>
      </c>
      <c r="C68" s="1340" t="s">
        <v>1808</v>
      </c>
      <c r="D68" s="1341" t="s">
        <v>1326</v>
      </c>
      <c r="E68" s="1340" t="s">
        <v>1809</v>
      </c>
      <c r="F68" s="1342">
        <v>42130</v>
      </c>
      <c r="G68" s="1367">
        <v>17</v>
      </c>
      <c r="H68" s="1356">
        <v>15</v>
      </c>
      <c r="I68" s="1356">
        <v>17</v>
      </c>
      <c r="J68" s="1367">
        <v>15.34</v>
      </c>
      <c r="K68" s="1368">
        <v>59535316.666666672</v>
      </c>
      <c r="L68" s="1339">
        <v>9375</v>
      </c>
      <c r="M68" s="1339">
        <v>68910.316666666695</v>
      </c>
      <c r="N68" s="1325">
        <v>1012100.38333333</v>
      </c>
      <c r="O68" s="1345">
        <f t="shared" si="19"/>
        <v>159375</v>
      </c>
      <c r="P68" s="1325">
        <f t="shared" si="20"/>
        <v>1171475.38333333</v>
      </c>
      <c r="Q68" s="1325"/>
      <c r="R68" s="1343">
        <v>15.34</v>
      </c>
      <c r="S68" s="1346">
        <f t="shared" si="23"/>
        <v>1057084.257666667</v>
      </c>
      <c r="T68" s="1347">
        <f t="shared" si="24"/>
        <v>-9.7647058823526645E-2</v>
      </c>
      <c r="U68" s="1348" t="s">
        <v>1810</v>
      </c>
      <c r="V68" s="1349" t="s">
        <v>1811</v>
      </c>
      <c r="W68" s="1350">
        <f t="shared" si="21"/>
        <v>1171475.38333333</v>
      </c>
      <c r="X68" s="1355">
        <f t="shared" si="22"/>
        <v>0</v>
      </c>
      <c r="Y68" s="1327"/>
      <c r="Z68" s="1321"/>
      <c r="AA68" s="1321"/>
      <c r="AB68" s="1321"/>
      <c r="AC68" s="1345"/>
      <c r="AD68" s="1360"/>
      <c r="AE68" s="1359"/>
      <c r="AF68" s="1321"/>
      <c r="AG68" s="1321"/>
      <c r="AH68" s="1321"/>
    </row>
    <row r="69" spans="1:65" s="1362" customFormat="1" ht="14.85" customHeight="1" outlineLevel="1">
      <c r="A69" s="1327"/>
      <c r="B69" s="1321" t="s">
        <v>1424</v>
      </c>
      <c r="C69" s="1340" t="s">
        <v>1425</v>
      </c>
      <c r="D69" s="1341" t="s">
        <v>610</v>
      </c>
      <c r="E69" s="1340" t="s">
        <v>1426</v>
      </c>
      <c r="F69" s="1342">
        <v>42122</v>
      </c>
      <c r="G69" s="1367">
        <v>8</v>
      </c>
      <c r="H69" s="1356">
        <v>10</v>
      </c>
      <c r="I69" s="1356">
        <v>12</v>
      </c>
      <c r="J69" s="1367">
        <v>8.23</v>
      </c>
      <c r="K69" s="1368">
        <f>+M69-L69</f>
        <v>6154.3289999999997</v>
      </c>
      <c r="L69" s="1339">
        <v>3000</v>
      </c>
      <c r="M69" s="1339">
        <v>9154.3289999999997</v>
      </c>
      <c r="N69" s="1325">
        <f>+G69*K69</f>
        <v>49234.631999999998</v>
      </c>
      <c r="O69" s="1345">
        <f t="shared" si="19"/>
        <v>24000</v>
      </c>
      <c r="P69" s="1325">
        <f t="shared" si="20"/>
        <v>73234.631999999998</v>
      </c>
      <c r="Q69" s="1325"/>
      <c r="R69" s="1343">
        <v>8.23</v>
      </c>
      <c r="S69" s="1346">
        <f t="shared" si="23"/>
        <v>75340.127670000002</v>
      </c>
      <c r="T69" s="1347">
        <f t="shared" si="24"/>
        <v>2.8750000000000053E-2</v>
      </c>
      <c r="U69" s="1361" t="s">
        <v>1427</v>
      </c>
      <c r="V69" s="1349" t="s">
        <v>1428</v>
      </c>
      <c r="W69" s="1350">
        <f t="shared" si="21"/>
        <v>73234.631999999998</v>
      </c>
      <c r="X69" s="1355">
        <f t="shared" si="22"/>
        <v>0</v>
      </c>
      <c r="AC69" s="1363"/>
      <c r="AD69" s="1360"/>
      <c r="AE69" s="1359"/>
    </row>
    <row r="70" spans="1:65" s="1362" customFormat="1" ht="14.85" customHeight="1" outlineLevel="1">
      <c r="A70" s="1395"/>
      <c r="B70" s="1321" t="s">
        <v>1482</v>
      </c>
      <c r="C70" s="1340" t="s">
        <v>1483</v>
      </c>
      <c r="D70" s="1341" t="s">
        <v>1326</v>
      </c>
      <c r="E70" s="1340" t="s">
        <v>1484</v>
      </c>
      <c r="F70" s="1342">
        <v>41991</v>
      </c>
      <c r="G70" s="1367">
        <v>24</v>
      </c>
      <c r="H70" s="1356">
        <v>15</v>
      </c>
      <c r="I70" s="1356">
        <v>18</v>
      </c>
      <c r="J70" s="1367">
        <v>50.14</v>
      </c>
      <c r="K70" s="1368">
        <f>+M70-L70</f>
        <v>65143.189000000006</v>
      </c>
      <c r="L70" s="1339">
        <v>12676.353999999999</v>
      </c>
      <c r="M70" s="1339">
        <v>77819.543000000005</v>
      </c>
      <c r="N70" s="1325">
        <f>+G70*K70</f>
        <v>1563436.5360000001</v>
      </c>
      <c r="O70" s="1345">
        <f t="shared" si="19"/>
        <v>304232.49599999998</v>
      </c>
      <c r="P70" s="1325">
        <f t="shared" si="20"/>
        <v>1867669.0320000001</v>
      </c>
      <c r="Q70" s="1325"/>
      <c r="R70" s="1367">
        <v>50.14</v>
      </c>
      <c r="S70" s="1397">
        <f t="shared" si="23"/>
        <v>3901871.8860200001</v>
      </c>
      <c r="T70" s="1347">
        <f t="shared" si="24"/>
        <v>1.0891666666666664</v>
      </c>
      <c r="U70" s="1349" t="s">
        <v>1485</v>
      </c>
      <c r="V70" s="1349" t="s">
        <v>1486</v>
      </c>
      <c r="W70" s="1350">
        <f t="shared" si="21"/>
        <v>1867669.0320000001</v>
      </c>
      <c r="X70" s="1355">
        <f t="shared" si="22"/>
        <v>0</v>
      </c>
      <c r="AC70" s="1363"/>
      <c r="AD70" s="1360"/>
      <c r="AE70" s="1359"/>
    </row>
    <row r="71" spans="1:65" s="1362" customFormat="1" ht="14.85" customHeight="1" outlineLevel="1">
      <c r="A71" s="1327"/>
      <c r="B71" s="1321"/>
      <c r="C71" s="1340"/>
      <c r="D71" s="1341"/>
      <c r="E71" s="1340"/>
      <c r="F71" s="1342"/>
      <c r="G71" s="1367"/>
      <c r="H71" s="1356"/>
      <c r="I71" s="1356"/>
      <c r="J71" s="1367"/>
      <c r="K71" s="1368"/>
      <c r="L71" s="1345"/>
      <c r="M71" s="1345"/>
      <c r="N71" s="1325"/>
      <c r="O71" s="1345"/>
      <c r="P71" s="1325"/>
      <c r="Q71" s="1325"/>
      <c r="R71" s="1343"/>
      <c r="S71" s="1346"/>
      <c r="T71" s="1347"/>
      <c r="U71" s="1361"/>
      <c r="V71" s="1349"/>
      <c r="W71" s="1350"/>
      <c r="X71" s="1355"/>
      <c r="AC71" s="1363"/>
      <c r="AD71" s="1360"/>
      <c r="AE71" s="1359"/>
    </row>
    <row r="72" spans="1:65" s="1362" customFormat="1" ht="14.85" customHeight="1" outlineLevel="1">
      <c r="A72" s="1327"/>
      <c r="B72" s="1470" t="s">
        <v>111</v>
      </c>
      <c r="C72" s="1471"/>
      <c r="D72" s="1471"/>
      <c r="E72" s="1471"/>
      <c r="F72" s="1471"/>
      <c r="G72" s="1471"/>
      <c r="H72" s="1471"/>
      <c r="I72" s="1471"/>
      <c r="J72" s="1471"/>
      <c r="K72" s="1471"/>
      <c r="L72" s="1471"/>
      <c r="M72" s="1471"/>
      <c r="N72" s="1472">
        <f>MAX(N49:N70)</f>
        <v>1563436.5360000001</v>
      </c>
      <c r="O72" s="1472"/>
      <c r="P72" s="1473">
        <f>MAX(P49:P70)</f>
        <v>1867669.0320000001</v>
      </c>
      <c r="Q72" s="1325"/>
      <c r="R72" s="1474">
        <f>MAX(R51:R69)</f>
        <v>25.87</v>
      </c>
      <c r="S72" s="1346"/>
      <c r="T72" s="1347"/>
      <c r="U72" s="1361"/>
      <c r="V72" s="1349"/>
      <c r="W72" s="1350"/>
      <c r="X72" s="1355"/>
      <c r="AC72" s="1363"/>
      <c r="AD72" s="1360"/>
      <c r="AE72" s="1359"/>
    </row>
    <row r="73" spans="1:65" s="1362" customFormat="1" ht="14.85" customHeight="1" outlineLevel="1">
      <c r="A73" s="1327"/>
      <c r="B73" s="1374" t="s">
        <v>115</v>
      </c>
      <c r="C73" s="1375"/>
      <c r="D73" s="1375"/>
      <c r="E73" s="1375"/>
      <c r="F73" s="1375"/>
      <c r="G73" s="1375"/>
      <c r="H73" s="1375"/>
      <c r="I73" s="1375"/>
      <c r="J73" s="1375"/>
      <c r="K73" s="1375"/>
      <c r="L73" s="1375"/>
      <c r="M73" s="1375"/>
      <c r="N73" s="1299">
        <f>_xlfn.QUARTILE.INC(N49:N70,3)</f>
        <v>249114.93300000002</v>
      </c>
      <c r="O73" s="1299"/>
      <c r="P73" s="1376">
        <f>_xlfn.QUARTILE.INC(P49:P70,3)</f>
        <v>321499.93300000002</v>
      </c>
      <c r="Q73" s="1325"/>
      <c r="R73" s="1377">
        <f>_xlfn.QUARTILE.INC(R51:R69,3)</f>
        <v>15.234999999999999</v>
      </c>
      <c r="S73" s="1346"/>
      <c r="T73" s="1347"/>
      <c r="U73" s="1361"/>
      <c r="V73" s="1349"/>
      <c r="W73" s="1350"/>
      <c r="X73" s="1355"/>
      <c r="AC73" s="1363"/>
      <c r="AD73" s="1360"/>
      <c r="AE73" s="1359"/>
    </row>
    <row r="74" spans="1:65" s="1362" customFormat="1" ht="14.85" customHeight="1" outlineLevel="1">
      <c r="A74" s="1327"/>
      <c r="B74" s="1374" t="s">
        <v>43</v>
      </c>
      <c r="C74" s="1375"/>
      <c r="D74" s="1375"/>
      <c r="E74" s="1375"/>
      <c r="F74" s="1375"/>
      <c r="G74" s="1375"/>
      <c r="H74" s="1375"/>
      <c r="I74" s="1375"/>
      <c r="J74" s="1375"/>
      <c r="K74" s="1375"/>
      <c r="L74" s="1375"/>
      <c r="M74" s="1375"/>
      <c r="N74" s="1299">
        <f>AVERAGE(N49:N70)</f>
        <v>284454.70512878773</v>
      </c>
      <c r="O74" s="1299"/>
      <c r="P74" s="1376">
        <f>AVERAGE(P49:P70)</f>
        <v>361738.90921969677</v>
      </c>
      <c r="Q74" s="1325"/>
      <c r="R74" s="1377">
        <f>AVERAGE(R51:R69)</f>
        <v>13.43363947368421</v>
      </c>
      <c r="S74" s="1346"/>
      <c r="T74" s="1347"/>
      <c r="U74" s="1361"/>
      <c r="V74" s="1349"/>
      <c r="W74" s="1350"/>
      <c r="X74" s="1355"/>
      <c r="AC74" s="1363"/>
      <c r="AD74" s="1360"/>
      <c r="AE74" s="1359"/>
    </row>
    <row r="75" spans="1:65" s="1362" customFormat="1" ht="14.85" customHeight="1" outlineLevel="1">
      <c r="A75" s="1327"/>
      <c r="B75" s="1374" t="s">
        <v>44</v>
      </c>
      <c r="C75" s="1375"/>
      <c r="D75" s="1375"/>
      <c r="E75" s="1375"/>
      <c r="F75" s="1375"/>
      <c r="G75" s="1375"/>
      <c r="H75" s="1375"/>
      <c r="I75" s="1375"/>
      <c r="J75" s="1375"/>
      <c r="K75" s="1375"/>
      <c r="L75" s="1375"/>
      <c r="M75" s="1375"/>
      <c r="N75" s="1299">
        <f>MEDIAN(N49:N70)</f>
        <v>197884.44</v>
      </c>
      <c r="O75" s="1299"/>
      <c r="P75" s="1376">
        <f>MEDIAN(P49:P70)</f>
        <v>267409.86249999999</v>
      </c>
      <c r="Q75" s="1325"/>
      <c r="R75" s="1377">
        <f>MEDIAN(R51:R69)</f>
        <v>13.14</v>
      </c>
      <c r="S75" s="1346"/>
      <c r="T75" s="1347"/>
      <c r="U75" s="1361"/>
      <c r="V75" s="1349"/>
      <c r="W75" s="1350"/>
      <c r="X75" s="1355"/>
      <c r="AC75" s="1363"/>
      <c r="AD75" s="1360"/>
      <c r="AE75" s="1359"/>
    </row>
    <row r="76" spans="1:65" s="1362" customFormat="1" ht="14.85" customHeight="1" outlineLevel="1">
      <c r="A76" s="1327"/>
      <c r="B76" s="1374" t="s">
        <v>114</v>
      </c>
      <c r="C76" s="1375"/>
      <c r="D76" s="1375"/>
      <c r="E76" s="1375"/>
      <c r="F76" s="1375"/>
      <c r="G76" s="1375"/>
      <c r="H76" s="1375"/>
      <c r="I76" s="1375"/>
      <c r="J76" s="1375"/>
      <c r="K76" s="1375"/>
      <c r="L76" s="1375"/>
      <c r="M76" s="1375"/>
      <c r="N76" s="1299">
        <f>_xlfn.QUARTILE.INC(N49:N70,1)</f>
        <v>108055.34699999999</v>
      </c>
      <c r="O76" s="1299"/>
      <c r="P76" s="1376">
        <f>_xlfn.QUARTILE.INC(P49:P70,1)</f>
        <v>179900.81699999998</v>
      </c>
      <c r="Q76" s="1325"/>
      <c r="R76" s="1377">
        <f>_xlfn.QUARTILE.INC(R51:R69,1)</f>
        <v>10.374575</v>
      </c>
      <c r="S76" s="1346"/>
      <c r="T76" s="1347"/>
      <c r="U76" s="1361"/>
      <c r="V76" s="1349"/>
      <c r="W76" s="1350"/>
      <c r="X76" s="1355"/>
      <c r="AC76" s="1363"/>
      <c r="AD76" s="1360"/>
      <c r="AE76" s="1359"/>
    </row>
    <row r="77" spans="1:65" s="1362" customFormat="1" ht="14.85" customHeight="1" outlineLevel="1">
      <c r="A77" s="1327"/>
      <c r="B77" s="1378" t="s">
        <v>112</v>
      </c>
      <c r="C77" s="1379"/>
      <c r="D77" s="1379"/>
      <c r="E77" s="1379"/>
      <c r="F77" s="1379"/>
      <c r="G77" s="1379"/>
      <c r="H77" s="1379"/>
      <c r="I77" s="1379"/>
      <c r="J77" s="1379"/>
      <c r="K77" s="1379"/>
      <c r="L77" s="1379"/>
      <c r="M77" s="1379"/>
      <c r="N77" s="1301">
        <f>MIN(N49:N70)</f>
        <v>47690.983999999997</v>
      </c>
      <c r="O77" s="1301"/>
      <c r="P77" s="1380">
        <f>MIN(P49:P70)</f>
        <v>52970.983999999997</v>
      </c>
      <c r="Q77" s="1325"/>
      <c r="R77" s="1381">
        <f>MIN(R51:R69)</f>
        <v>3.35</v>
      </c>
      <c r="S77" s="1346"/>
      <c r="T77" s="1347"/>
      <c r="U77" s="1361"/>
      <c r="V77" s="1349"/>
      <c r="W77" s="1350"/>
      <c r="X77" s="1355"/>
      <c r="AC77" s="1363"/>
      <c r="AD77" s="1360"/>
      <c r="AE77" s="1359"/>
    </row>
    <row r="78" spans="1:65" s="1362" customFormat="1" ht="14.85" customHeight="1" outlineLevel="1">
      <c r="A78" s="1327"/>
      <c r="B78" s="1321"/>
      <c r="C78" s="1340"/>
      <c r="D78" s="1341"/>
      <c r="E78" s="1340"/>
      <c r="F78" s="1342"/>
      <c r="G78" s="1367"/>
      <c r="H78" s="1356"/>
      <c r="I78" s="1356"/>
      <c r="J78" s="1367"/>
      <c r="K78" s="1368"/>
      <c r="L78" s="1345"/>
      <c r="M78" s="1345"/>
      <c r="N78" s="1325"/>
      <c r="O78" s="1345"/>
      <c r="P78" s="1325"/>
      <c r="Q78" s="1325"/>
      <c r="R78" s="1343"/>
      <c r="S78" s="1346"/>
      <c r="T78" s="1347"/>
      <c r="U78" s="1361"/>
      <c r="V78" s="1349"/>
      <c r="W78" s="1350"/>
      <c r="X78" s="1355"/>
      <c r="AC78" s="1363"/>
      <c r="AD78" s="1360"/>
      <c r="AE78" s="1359"/>
    </row>
    <row r="79" spans="1:65" s="1362" customFormat="1" ht="14.85" customHeight="1" outlineLevel="1">
      <c r="A79" s="1327"/>
      <c r="B79" s="1382" t="s">
        <v>1812</v>
      </c>
      <c r="C79" s="1340"/>
      <c r="D79" s="1341"/>
      <c r="E79" s="1340"/>
      <c r="F79" s="1342"/>
      <c r="G79" s="1367"/>
      <c r="H79" s="1356"/>
      <c r="I79" s="1356"/>
      <c r="J79" s="1367"/>
      <c r="K79" s="1368"/>
      <c r="L79" s="1345"/>
      <c r="M79" s="1345"/>
      <c r="N79" s="1325"/>
      <c r="O79" s="1345"/>
      <c r="P79" s="1325"/>
      <c r="Q79" s="1325"/>
      <c r="R79" s="1343"/>
      <c r="S79" s="1346"/>
      <c r="T79" s="1347"/>
      <c r="U79" s="1361"/>
      <c r="V79" s="1349"/>
      <c r="W79" s="1350"/>
      <c r="X79" s="1355"/>
      <c r="AC79" s="1363"/>
      <c r="AD79" s="1360"/>
      <c r="AE79" s="1359"/>
    </row>
    <row r="80" spans="1:65" s="1327" customFormat="1" ht="14.85" customHeight="1" outlineLevel="1">
      <c r="B80" s="1321" t="s">
        <v>1819</v>
      </c>
      <c r="C80" s="1340" t="s">
        <v>1820</v>
      </c>
      <c r="D80" s="1341" t="s">
        <v>1392</v>
      </c>
      <c r="E80" s="1340" t="s">
        <v>1821</v>
      </c>
      <c r="F80" s="1342">
        <v>42760</v>
      </c>
      <c r="G80" s="1466">
        <v>15</v>
      </c>
      <c r="H80" s="1343">
        <v>14</v>
      </c>
      <c r="I80" s="1343">
        <v>16</v>
      </c>
      <c r="J80" s="1466">
        <v>13.99</v>
      </c>
      <c r="K80" s="1368">
        <f t="shared" ref="K80:K98" si="25">+M80-L80</f>
        <v>23181.261999999999</v>
      </c>
      <c r="L80" s="1339">
        <f>6450000/1000</f>
        <v>6450</v>
      </c>
      <c r="M80" s="1339">
        <f>29631262/1000</f>
        <v>29631.261999999999</v>
      </c>
      <c r="N80" s="1325">
        <f t="shared" ref="N80:N98" si="26">+G80*K80</f>
        <v>347718.93</v>
      </c>
      <c r="O80" s="1345">
        <f>96750000/1000</f>
        <v>96750</v>
      </c>
      <c r="P80" s="1325">
        <f t="shared" ref="P80:P99" si="27">+N80+O80</f>
        <v>444468.93</v>
      </c>
      <c r="Q80" s="1325"/>
      <c r="R80" s="1343">
        <v>13.99</v>
      </c>
      <c r="S80" s="1346">
        <f>414541355.38/1000</f>
        <v>414541.35538000002</v>
      </c>
      <c r="T80" s="1347">
        <v>-6.7333333333333356E-2</v>
      </c>
      <c r="U80" s="1357" t="s">
        <v>1821</v>
      </c>
      <c r="V80" s="1349"/>
      <c r="W80" s="1350">
        <f t="shared" ref="W80:W99" si="28">+N80+O80</f>
        <v>444468.93</v>
      </c>
      <c r="X80" s="1355">
        <f t="shared" ref="X80:X99" si="29">+P80-W80</f>
        <v>0</v>
      </c>
      <c r="Y80" s="1359"/>
      <c r="AE80" s="1327" t="s">
        <v>1823</v>
      </c>
      <c r="AF80" s="1327" t="s">
        <v>1824</v>
      </c>
      <c r="AG80" s="1327" t="s">
        <v>1825</v>
      </c>
      <c r="AI80" s="1327">
        <v>6450000</v>
      </c>
      <c r="AJ80" s="1327">
        <v>6450000</v>
      </c>
      <c r="AK80" s="1327">
        <v>29631262</v>
      </c>
      <c r="AM80" s="1327">
        <f>AI80-AO80</f>
        <v>0</v>
      </c>
      <c r="AN80" s="1327">
        <f>AK80-AQ80</f>
        <v>0</v>
      </c>
      <c r="AO80" s="1327">
        <v>6450000</v>
      </c>
      <c r="AP80" s="1327">
        <f>AO80+AS80</f>
        <v>7417500</v>
      </c>
      <c r="AQ80" s="1327">
        <v>29631262</v>
      </c>
      <c r="AR80" s="1327">
        <f>AQ80+AS80</f>
        <v>30598762</v>
      </c>
      <c r="AS80" s="1327">
        <v>967500</v>
      </c>
      <c r="AT80" s="1327">
        <f>AU80*J80</f>
        <v>414541327.40000004</v>
      </c>
      <c r="AU80" s="1327">
        <v>29631260</v>
      </c>
      <c r="AV80" s="1327">
        <f>+J80*M80</f>
        <v>414541.35537999996</v>
      </c>
      <c r="AW80" s="1327">
        <v>42761</v>
      </c>
      <c r="AX80" s="1327">
        <f>+AW80+30</f>
        <v>42791</v>
      </c>
      <c r="AY80" s="1327">
        <f>AW80+90</f>
        <v>42851</v>
      </c>
      <c r="AZ80" s="1327">
        <v>29631260</v>
      </c>
      <c r="BA80" s="1327">
        <v>13.62</v>
      </c>
      <c r="BB80" s="1327">
        <f>BA80*AZ80</f>
        <v>403577761.19999999</v>
      </c>
      <c r="BC80" s="1327" t="s">
        <v>1826</v>
      </c>
      <c r="BD80" s="1327">
        <v>38910000</v>
      </c>
      <c r="BE80" s="1327">
        <v>0</v>
      </c>
      <c r="BF80" s="1327" t="e">
        <f ca="1">_xll.ciqfunctions.udf.CIQ(C80, "IQ_MARKETCAP", $BF$1)*1000000</f>
        <v>#NAME?</v>
      </c>
      <c r="BG80" s="1327">
        <v>123139750</v>
      </c>
      <c r="BH80" s="1327" t="e">
        <f ca="1">(BF80-BG80)/BF80</f>
        <v>#NAME?</v>
      </c>
      <c r="BJ80" s="1327" t="s">
        <v>1827</v>
      </c>
      <c r="BM80" s="1327" t="b">
        <f>IF(ABS(O80-P80)&lt;100,TRUE,FALSE)</f>
        <v>0</v>
      </c>
    </row>
    <row r="81" spans="1:34" s="1327" customFormat="1" ht="14.85" customHeight="1" outlineLevel="1">
      <c r="B81" s="1321" t="s">
        <v>1242</v>
      </c>
      <c r="C81" s="1340" t="s">
        <v>1243</v>
      </c>
      <c r="D81" s="1341" t="s">
        <v>587</v>
      </c>
      <c r="E81" s="1340" t="s">
        <v>1244</v>
      </c>
      <c r="F81" s="1342">
        <v>42586</v>
      </c>
      <c r="G81" s="1466">
        <v>10</v>
      </c>
      <c r="H81" s="1343">
        <v>11</v>
      </c>
      <c r="I81" s="1343">
        <v>13</v>
      </c>
      <c r="J81" s="1466">
        <v>13.23</v>
      </c>
      <c r="K81" s="1368">
        <f t="shared" si="25"/>
        <v>5431.6149999999998</v>
      </c>
      <c r="L81" s="1339">
        <v>3000</v>
      </c>
      <c r="M81" s="1339">
        <v>8431.6149999999998</v>
      </c>
      <c r="N81" s="1325">
        <f t="shared" si="26"/>
        <v>54316.149999999994</v>
      </c>
      <c r="O81" s="1345">
        <f t="shared" ref="O81:O99" si="30">+G81*L81</f>
        <v>30000</v>
      </c>
      <c r="P81" s="1325">
        <f t="shared" si="27"/>
        <v>84316.15</v>
      </c>
      <c r="Q81" s="1325"/>
      <c r="R81" s="1343">
        <v>13.23</v>
      </c>
      <c r="S81" s="1346">
        <f t="shared" ref="S81:S99" si="31">R81*M81</f>
        <v>111550.26645</v>
      </c>
      <c r="T81" s="1347">
        <f t="shared" ref="T81:T99" si="32">S81/P81-1</f>
        <v>0.32299999999999995</v>
      </c>
      <c r="U81" s="1357" t="s">
        <v>1245</v>
      </c>
      <c r="V81" s="1349" t="s">
        <v>1246</v>
      </c>
      <c r="W81" s="1350">
        <f t="shared" si="28"/>
        <v>84316.15</v>
      </c>
      <c r="X81" s="1355">
        <f t="shared" si="29"/>
        <v>0</v>
      </c>
      <c r="Y81" s="1359"/>
    </row>
    <row r="82" spans="1:34" s="1327" customFormat="1" ht="14.85" customHeight="1" outlineLevel="1">
      <c r="B82" s="1321" t="s">
        <v>1247</v>
      </c>
      <c r="C82" s="1340" t="s">
        <v>1248</v>
      </c>
      <c r="D82" s="1341" t="s">
        <v>587</v>
      </c>
      <c r="E82" s="1340" t="s">
        <v>1249</v>
      </c>
      <c r="F82" s="1342">
        <v>42577</v>
      </c>
      <c r="G82" s="1367">
        <v>12</v>
      </c>
      <c r="H82" s="1356">
        <v>0</v>
      </c>
      <c r="I82" s="1356">
        <v>0</v>
      </c>
      <c r="J82" s="1367">
        <v>10.06</v>
      </c>
      <c r="K82" s="1368">
        <f t="shared" si="25"/>
        <v>38620.332000000002</v>
      </c>
      <c r="L82" s="1339">
        <v>6250</v>
      </c>
      <c r="M82" s="1339">
        <v>44870.332000000002</v>
      </c>
      <c r="N82" s="1325">
        <f t="shared" si="26"/>
        <v>463443.98400000005</v>
      </c>
      <c r="O82" s="1345">
        <f t="shared" si="30"/>
        <v>75000</v>
      </c>
      <c r="P82" s="1325">
        <f t="shared" si="27"/>
        <v>538443.98400000005</v>
      </c>
      <c r="Q82" s="1325"/>
      <c r="R82" s="1343">
        <v>10.06</v>
      </c>
      <c r="S82" s="1346">
        <f t="shared" si="31"/>
        <v>451395.53992000007</v>
      </c>
      <c r="T82" s="1347">
        <f t="shared" si="32"/>
        <v>-0.16166666666666663</v>
      </c>
      <c r="U82" s="1357" t="s">
        <v>1250</v>
      </c>
      <c r="V82" s="1349" t="s">
        <v>1251</v>
      </c>
      <c r="W82" s="1350">
        <f t="shared" si="28"/>
        <v>538443.98400000005</v>
      </c>
      <c r="X82" s="1355">
        <f t="shared" si="29"/>
        <v>0</v>
      </c>
      <c r="Y82" s="1359"/>
    </row>
    <row r="83" spans="1:34" s="1327" customFormat="1" ht="14.85" customHeight="1" outlineLevel="1">
      <c r="B83" s="1396" t="s">
        <v>1281</v>
      </c>
      <c r="C83" s="1340" t="s">
        <v>1282</v>
      </c>
      <c r="D83" s="1341" t="s">
        <v>587</v>
      </c>
      <c r="E83" s="1340" t="s">
        <v>1283</v>
      </c>
      <c r="F83" s="1342">
        <v>42495</v>
      </c>
      <c r="G83" s="1367">
        <v>12</v>
      </c>
      <c r="H83" s="1356">
        <v>13</v>
      </c>
      <c r="I83" s="1356">
        <v>15</v>
      </c>
      <c r="J83" s="1367">
        <v>11.2</v>
      </c>
      <c r="K83" s="1368">
        <f t="shared" si="25"/>
        <v>6171.0910000000003</v>
      </c>
      <c r="L83" s="1339">
        <v>920</v>
      </c>
      <c r="M83" s="1339">
        <v>7091.0910000000003</v>
      </c>
      <c r="N83" s="1325">
        <f t="shared" si="26"/>
        <v>74053.092000000004</v>
      </c>
      <c r="O83" s="1345">
        <f t="shared" si="30"/>
        <v>11040</v>
      </c>
      <c r="P83" s="1325">
        <f t="shared" si="27"/>
        <v>85093.092000000004</v>
      </c>
      <c r="Q83" s="1325"/>
      <c r="R83" s="1343">
        <v>11.2</v>
      </c>
      <c r="S83" s="1346">
        <f t="shared" si="31"/>
        <v>79420.219199999992</v>
      </c>
      <c r="T83" s="1347">
        <f t="shared" si="32"/>
        <v>-6.6666666666666763E-2</v>
      </c>
      <c r="U83" s="1348" t="s">
        <v>1284</v>
      </c>
      <c r="V83" s="1349" t="s">
        <v>1828</v>
      </c>
      <c r="W83" s="1350">
        <f t="shared" si="28"/>
        <v>85093.092000000004</v>
      </c>
      <c r="X83" s="1355">
        <f t="shared" si="29"/>
        <v>0</v>
      </c>
      <c r="AC83" s="1345"/>
      <c r="AD83" s="1360"/>
      <c r="AE83" s="1359"/>
    </row>
    <row r="84" spans="1:34" s="1321" customFormat="1" ht="14.85" customHeight="1" outlineLevel="1">
      <c r="A84" s="1327"/>
      <c r="B84" s="1321" t="s">
        <v>1330</v>
      </c>
      <c r="C84" s="1340" t="s">
        <v>1331</v>
      </c>
      <c r="D84" s="1341" t="s">
        <v>587</v>
      </c>
      <c r="E84" s="1340" t="s">
        <v>1332</v>
      </c>
      <c r="F84" s="1342">
        <v>42291</v>
      </c>
      <c r="G84" s="1367">
        <v>6.5</v>
      </c>
      <c r="H84" s="1356">
        <v>6</v>
      </c>
      <c r="I84" s="1356">
        <v>7</v>
      </c>
      <c r="J84" s="1367">
        <v>3.13</v>
      </c>
      <c r="K84" s="1368">
        <f t="shared" si="25"/>
        <v>4630.143</v>
      </c>
      <c r="L84" s="1339">
        <v>4000</v>
      </c>
      <c r="M84" s="1339">
        <v>8630.143</v>
      </c>
      <c r="N84" s="1325">
        <f t="shared" si="26"/>
        <v>30095.929499999998</v>
      </c>
      <c r="O84" s="1345">
        <f t="shared" si="30"/>
        <v>26000</v>
      </c>
      <c r="P84" s="1325">
        <f t="shared" si="27"/>
        <v>56095.929499999998</v>
      </c>
      <c r="Q84" s="1325"/>
      <c r="R84" s="1343">
        <v>3.13</v>
      </c>
      <c r="S84" s="1346">
        <f t="shared" si="31"/>
        <v>27012.347589999998</v>
      </c>
      <c r="T84" s="1347">
        <f t="shared" si="32"/>
        <v>-0.51846153846153853</v>
      </c>
      <c r="U84" s="1348" t="s">
        <v>1333</v>
      </c>
      <c r="V84" s="1349" t="s">
        <v>1334</v>
      </c>
      <c r="W84" s="1350">
        <f t="shared" si="28"/>
        <v>56095.929499999998</v>
      </c>
      <c r="X84" s="1355">
        <f t="shared" si="29"/>
        <v>0</v>
      </c>
      <c r="Y84" s="1327"/>
      <c r="AC84" s="1345"/>
      <c r="AD84" s="1360"/>
      <c r="AE84" s="1359"/>
    </row>
    <row r="85" spans="1:34" s="1321" customFormat="1" ht="14.85" customHeight="1" outlineLevel="1">
      <c r="A85" s="1327"/>
      <c r="B85" s="1321" t="s">
        <v>1340</v>
      </c>
      <c r="C85" s="1340" t="s">
        <v>1341</v>
      </c>
      <c r="D85" s="1341" t="s">
        <v>587</v>
      </c>
      <c r="E85" s="1340" t="s">
        <v>1342</v>
      </c>
      <c r="F85" s="1342">
        <v>42283</v>
      </c>
      <c r="G85" s="1367">
        <v>11</v>
      </c>
      <c r="H85" s="1356">
        <v>14</v>
      </c>
      <c r="I85" s="1356">
        <v>16</v>
      </c>
      <c r="J85" s="1367">
        <v>14.67</v>
      </c>
      <c r="K85" s="1368">
        <f t="shared" si="25"/>
        <v>14407.503000000001</v>
      </c>
      <c r="L85" s="1339">
        <v>5000</v>
      </c>
      <c r="M85" s="1339">
        <v>19407.503000000001</v>
      </c>
      <c r="N85" s="1325">
        <f t="shared" si="26"/>
        <v>158482.533</v>
      </c>
      <c r="O85" s="1345">
        <f t="shared" si="30"/>
        <v>55000</v>
      </c>
      <c r="P85" s="1325">
        <f t="shared" si="27"/>
        <v>213482.533</v>
      </c>
      <c r="Q85" s="1325"/>
      <c r="R85" s="1343">
        <v>14.67</v>
      </c>
      <c r="S85" s="1346">
        <f t="shared" si="31"/>
        <v>284708.06901000004</v>
      </c>
      <c r="T85" s="1347">
        <f t="shared" si="32"/>
        <v>0.33363636363636373</v>
      </c>
      <c r="U85" s="1348" t="s">
        <v>1343</v>
      </c>
      <c r="V85" s="1349" t="s">
        <v>1344</v>
      </c>
      <c r="W85" s="1350">
        <f t="shared" si="28"/>
        <v>213482.533</v>
      </c>
      <c r="X85" s="1355">
        <f t="shared" si="29"/>
        <v>0</v>
      </c>
      <c r="Y85" s="1327"/>
      <c r="AC85" s="1345"/>
      <c r="AD85" s="1360"/>
      <c r="AE85" s="1359"/>
    </row>
    <row r="86" spans="1:34" s="1321" customFormat="1" ht="14.85" customHeight="1" outlineLevel="1">
      <c r="A86" s="1327"/>
      <c r="B86" s="1321" t="s">
        <v>1349</v>
      </c>
      <c r="C86" s="1340" t="s">
        <v>1350</v>
      </c>
      <c r="D86" s="1341" t="s">
        <v>587</v>
      </c>
      <c r="E86" s="1340" t="s">
        <v>1351</v>
      </c>
      <c r="F86" s="1342">
        <v>42277</v>
      </c>
      <c r="G86" s="1367">
        <v>11</v>
      </c>
      <c r="H86" s="1356">
        <v>14</v>
      </c>
      <c r="I86" s="1356">
        <v>16</v>
      </c>
      <c r="J86" s="1367">
        <v>17.88</v>
      </c>
      <c r="K86" s="1368">
        <f t="shared" si="25"/>
        <v>20181.25</v>
      </c>
      <c r="L86" s="1339">
        <v>7315.1509999999998</v>
      </c>
      <c r="M86" s="1339">
        <v>27496.401000000002</v>
      </c>
      <c r="N86" s="1325">
        <f t="shared" si="26"/>
        <v>221993.75</v>
      </c>
      <c r="O86" s="1345">
        <f t="shared" si="30"/>
        <v>80466.660999999993</v>
      </c>
      <c r="P86" s="1325">
        <f t="shared" si="27"/>
        <v>302460.41099999996</v>
      </c>
      <c r="Q86" s="1325"/>
      <c r="R86" s="1343">
        <v>17.88</v>
      </c>
      <c r="S86" s="1346">
        <f t="shared" si="31"/>
        <v>491635.64987999998</v>
      </c>
      <c r="T86" s="1347">
        <f t="shared" si="32"/>
        <v>0.62545454545454549</v>
      </c>
      <c r="U86" s="1348" t="s">
        <v>1352</v>
      </c>
      <c r="V86" s="1349" t="s">
        <v>1353</v>
      </c>
      <c r="W86" s="1350">
        <f t="shared" si="28"/>
        <v>302460.41099999996</v>
      </c>
      <c r="X86" s="1355">
        <f t="shared" si="29"/>
        <v>0</v>
      </c>
      <c r="Y86" s="1327"/>
      <c r="AC86" s="1345"/>
      <c r="AD86" s="1360"/>
      <c r="AE86" s="1359"/>
    </row>
    <row r="87" spans="1:34" s="1321" customFormat="1" ht="14.85" customHeight="1" outlineLevel="1">
      <c r="A87" s="1327"/>
      <c r="B87" s="1321" t="s">
        <v>1355</v>
      </c>
      <c r="C87" s="1340" t="s">
        <v>1356</v>
      </c>
      <c r="D87" s="1341" t="s">
        <v>587</v>
      </c>
      <c r="E87" s="1340" t="s">
        <v>1357</v>
      </c>
      <c r="F87" s="1342">
        <v>42227</v>
      </c>
      <c r="G87" s="1367">
        <v>20</v>
      </c>
      <c r="H87" s="1356">
        <v>16</v>
      </c>
      <c r="I87" s="1356">
        <v>18</v>
      </c>
      <c r="J87" s="1367">
        <v>52.72</v>
      </c>
      <c r="K87" s="1368">
        <f t="shared" si="25"/>
        <v>21808.456999999999</v>
      </c>
      <c r="L87" s="1339">
        <v>6000</v>
      </c>
      <c r="M87" s="1339">
        <v>27808.456999999999</v>
      </c>
      <c r="N87" s="1325">
        <f t="shared" si="26"/>
        <v>436169.13999999996</v>
      </c>
      <c r="O87" s="1345">
        <f t="shared" si="30"/>
        <v>120000</v>
      </c>
      <c r="P87" s="1325">
        <f t="shared" si="27"/>
        <v>556169.1399999999</v>
      </c>
      <c r="Q87" s="1325"/>
      <c r="R87" s="1343">
        <v>52.72</v>
      </c>
      <c r="S87" s="1346">
        <f t="shared" si="31"/>
        <v>1466061.85304</v>
      </c>
      <c r="T87" s="1347">
        <f t="shared" si="32"/>
        <v>1.6360000000000006</v>
      </c>
      <c r="U87" s="1361" t="s">
        <v>1358</v>
      </c>
      <c r="V87" s="1349" t="s">
        <v>1359</v>
      </c>
      <c r="W87" s="1350">
        <f t="shared" si="28"/>
        <v>556169.1399999999</v>
      </c>
      <c r="X87" s="1355">
        <f t="shared" si="29"/>
        <v>0</v>
      </c>
      <c r="Y87" s="1364"/>
      <c r="Z87" s="1363"/>
      <c r="AA87" s="1364"/>
      <c r="AB87" s="1364"/>
      <c r="AC87" s="1363"/>
      <c r="AD87" s="1360"/>
      <c r="AE87" s="1359"/>
      <c r="AF87" s="1361"/>
      <c r="AG87" s="1366"/>
      <c r="AH87" s="1366"/>
    </row>
    <row r="88" spans="1:34" s="1321" customFormat="1" ht="14.85" customHeight="1" outlineLevel="1">
      <c r="A88" s="1327"/>
      <c r="B88" s="1321" t="s">
        <v>1360</v>
      </c>
      <c r="C88" s="1340" t="s">
        <v>1361</v>
      </c>
      <c r="D88" s="1341" t="s">
        <v>587</v>
      </c>
      <c r="E88" s="1340" t="s">
        <v>1362</v>
      </c>
      <c r="F88" s="1342">
        <v>42221</v>
      </c>
      <c r="G88" s="1367">
        <v>16</v>
      </c>
      <c r="H88" s="1356">
        <v>14</v>
      </c>
      <c r="I88" s="1356">
        <v>16</v>
      </c>
      <c r="J88" s="1367">
        <v>22.59</v>
      </c>
      <c r="K88" s="1368">
        <f t="shared" si="25"/>
        <v>30679.538</v>
      </c>
      <c r="L88" s="1339">
        <v>10000</v>
      </c>
      <c r="M88" s="1339">
        <v>40679.538</v>
      </c>
      <c r="N88" s="1325">
        <f t="shared" si="26"/>
        <v>490872.60800000001</v>
      </c>
      <c r="O88" s="1345">
        <f t="shared" si="30"/>
        <v>160000</v>
      </c>
      <c r="P88" s="1325">
        <f t="shared" si="27"/>
        <v>650872.60800000001</v>
      </c>
      <c r="Q88" s="1325"/>
      <c r="R88" s="1343">
        <v>22.59</v>
      </c>
      <c r="S88" s="1346">
        <f t="shared" si="31"/>
        <v>918950.76341999997</v>
      </c>
      <c r="T88" s="1347">
        <f t="shared" si="32"/>
        <v>0.41187499999999999</v>
      </c>
      <c r="U88" s="1348" t="s">
        <v>1363</v>
      </c>
      <c r="V88" s="1349" t="s">
        <v>1364</v>
      </c>
      <c r="W88" s="1350">
        <f t="shared" si="28"/>
        <v>650872.60800000001</v>
      </c>
      <c r="X88" s="1355">
        <f t="shared" si="29"/>
        <v>0</v>
      </c>
      <c r="Y88" s="1327"/>
      <c r="AC88" s="1345"/>
      <c r="AD88" s="1360"/>
      <c r="AE88" s="1359"/>
    </row>
    <row r="89" spans="1:34" s="1321" customFormat="1" ht="14.85" customHeight="1" outlineLevel="1">
      <c r="A89" s="1395"/>
      <c r="B89" s="1321" t="s">
        <v>923</v>
      </c>
      <c r="C89" s="1340" t="s">
        <v>921</v>
      </c>
      <c r="D89" s="1341" t="s">
        <v>587</v>
      </c>
      <c r="E89" s="1340" t="s">
        <v>1370</v>
      </c>
      <c r="F89" s="1342">
        <v>42213</v>
      </c>
      <c r="G89" s="1367">
        <v>25</v>
      </c>
      <c r="H89" s="1356">
        <v>20</v>
      </c>
      <c r="I89" s="1356">
        <v>23</v>
      </c>
      <c r="J89" s="1367">
        <v>19.510000000000002</v>
      </c>
      <c r="K89" s="1368">
        <f t="shared" si="25"/>
        <v>70643.631999999998</v>
      </c>
      <c r="L89" s="1339">
        <v>8288</v>
      </c>
      <c r="M89" s="1339">
        <v>78931.631999999998</v>
      </c>
      <c r="N89" s="1325">
        <f t="shared" si="26"/>
        <v>1766090.8</v>
      </c>
      <c r="O89" s="1345">
        <f t="shared" si="30"/>
        <v>207200</v>
      </c>
      <c r="P89" s="1325">
        <f t="shared" si="27"/>
        <v>1973290.8</v>
      </c>
      <c r="Q89" s="1325"/>
      <c r="R89" s="1343">
        <v>19.510000000000002</v>
      </c>
      <c r="S89" s="1346">
        <f t="shared" si="31"/>
        <v>1539956.14032</v>
      </c>
      <c r="T89" s="1347">
        <f t="shared" si="32"/>
        <v>-0.21960000000000002</v>
      </c>
      <c r="U89" s="1348" t="s">
        <v>922</v>
      </c>
      <c r="V89" s="1349" t="s">
        <v>924</v>
      </c>
      <c r="W89" s="1350">
        <f t="shared" si="28"/>
        <v>1973290.8</v>
      </c>
      <c r="X89" s="1355">
        <f t="shared" si="29"/>
        <v>0</v>
      </c>
      <c r="Y89" s="1327"/>
      <c r="AC89" s="1345"/>
      <c r="AD89" s="1360"/>
      <c r="AE89" s="1359"/>
    </row>
    <row r="90" spans="1:34" s="1321" customFormat="1" ht="14.85" customHeight="1" outlineLevel="1">
      <c r="A90" s="1327"/>
      <c r="B90" s="1321" t="s">
        <v>1381</v>
      </c>
      <c r="C90" s="1340" t="s">
        <v>1382</v>
      </c>
      <c r="D90" s="1341" t="s">
        <v>587</v>
      </c>
      <c r="E90" s="1340" t="s">
        <v>1383</v>
      </c>
      <c r="F90" s="1342">
        <v>42180</v>
      </c>
      <c r="G90" s="1367">
        <v>18</v>
      </c>
      <c r="H90" s="1356">
        <v>15</v>
      </c>
      <c r="I90" s="1356">
        <v>17</v>
      </c>
      <c r="J90" s="1367">
        <v>38.200000000000003</v>
      </c>
      <c r="K90" s="1368">
        <f t="shared" si="25"/>
        <v>30403.502</v>
      </c>
      <c r="L90" s="1339">
        <v>7430.5550000000003</v>
      </c>
      <c r="M90" s="1339">
        <v>37834.057000000001</v>
      </c>
      <c r="N90" s="1325">
        <f t="shared" si="26"/>
        <v>547263.03599999996</v>
      </c>
      <c r="O90" s="1345">
        <f t="shared" si="30"/>
        <v>133749.99</v>
      </c>
      <c r="P90" s="1325">
        <f t="shared" si="27"/>
        <v>681013.02599999995</v>
      </c>
      <c r="Q90" s="1325"/>
      <c r="R90" s="1343">
        <v>38.200000000000003</v>
      </c>
      <c r="S90" s="1346">
        <f t="shared" si="31"/>
        <v>1445260.9774000002</v>
      </c>
      <c r="T90" s="1347">
        <f t="shared" si="32"/>
        <v>1.1222222222222227</v>
      </c>
      <c r="U90" s="1361" t="s">
        <v>1384</v>
      </c>
      <c r="V90" s="1349" t="s">
        <v>1385</v>
      </c>
      <c r="W90" s="1350">
        <f t="shared" si="28"/>
        <v>681013.02599999995</v>
      </c>
      <c r="X90" s="1355">
        <f t="shared" si="29"/>
        <v>0</v>
      </c>
      <c r="Y90" s="1364"/>
      <c r="Z90" s="1363"/>
      <c r="AA90" s="1364"/>
      <c r="AB90" s="1365"/>
      <c r="AC90" s="1363"/>
      <c r="AD90" s="1360"/>
      <c r="AE90" s="1359"/>
      <c r="AF90" s="1361"/>
      <c r="AG90" s="1366"/>
      <c r="AH90" s="1366"/>
    </row>
    <row r="91" spans="1:34" s="1321" customFormat="1" ht="14.85" customHeight="1" outlineLevel="1">
      <c r="A91" s="1327"/>
      <c r="B91" s="1321" t="s">
        <v>1390</v>
      </c>
      <c r="C91" s="1340" t="s">
        <v>1391</v>
      </c>
      <c r="D91" s="1341" t="s">
        <v>1487</v>
      </c>
      <c r="E91" s="1340" t="s">
        <v>1393</v>
      </c>
      <c r="F91" s="1342">
        <v>42179</v>
      </c>
      <c r="G91" s="1367">
        <v>5</v>
      </c>
      <c r="H91" s="1356">
        <v>0</v>
      </c>
      <c r="I91" s="1356">
        <v>0</v>
      </c>
      <c r="J91" s="1367">
        <v>4.1599000000000004</v>
      </c>
      <c r="K91" s="1368">
        <f t="shared" si="25"/>
        <v>3788.0600000000004</v>
      </c>
      <c r="L91" s="1339">
        <v>4000</v>
      </c>
      <c r="M91" s="1339">
        <v>7788.06</v>
      </c>
      <c r="N91" s="1325">
        <f t="shared" si="26"/>
        <v>18940.300000000003</v>
      </c>
      <c r="O91" s="1345">
        <f t="shared" si="30"/>
        <v>20000</v>
      </c>
      <c r="P91" s="1325">
        <f t="shared" si="27"/>
        <v>38940.300000000003</v>
      </c>
      <c r="Q91" s="1325"/>
      <c r="R91" s="1343">
        <v>4.1599000000000004</v>
      </c>
      <c r="S91" s="1346">
        <f t="shared" si="31"/>
        <v>32397.550794000006</v>
      </c>
      <c r="T91" s="1347">
        <f t="shared" si="32"/>
        <v>-0.16801999999999995</v>
      </c>
      <c r="U91" s="1348" t="s">
        <v>1394</v>
      </c>
      <c r="V91" s="1349" t="s">
        <v>1395</v>
      </c>
      <c r="W91" s="1350">
        <f t="shared" si="28"/>
        <v>38940.300000000003</v>
      </c>
      <c r="X91" s="1355">
        <f t="shared" si="29"/>
        <v>0</v>
      </c>
      <c r="Y91" s="1327"/>
      <c r="AC91" s="1345"/>
      <c r="AD91" s="1360"/>
      <c r="AE91" s="1359"/>
    </row>
    <row r="92" spans="1:34" s="1362" customFormat="1" ht="14.85" customHeight="1" outlineLevel="1">
      <c r="A92" s="1327"/>
      <c r="B92" s="1321" t="s">
        <v>1429</v>
      </c>
      <c r="C92" s="1340" t="s">
        <v>1430</v>
      </c>
      <c r="D92" s="1341" t="s">
        <v>587</v>
      </c>
      <c r="E92" s="1340" t="s">
        <v>1431</v>
      </c>
      <c r="F92" s="1342">
        <v>42109</v>
      </c>
      <c r="G92" s="1367">
        <v>11</v>
      </c>
      <c r="H92" s="1356">
        <v>12</v>
      </c>
      <c r="I92" s="1356">
        <v>14</v>
      </c>
      <c r="J92" s="1367">
        <v>12.5</v>
      </c>
      <c r="K92" s="1368">
        <f t="shared" si="25"/>
        <v>8371.7650000000012</v>
      </c>
      <c r="L92" s="1339">
        <v>5090.9089999999997</v>
      </c>
      <c r="M92" s="1339">
        <v>13462.674000000001</v>
      </c>
      <c r="N92" s="1325">
        <f t="shared" si="26"/>
        <v>92089.415000000008</v>
      </c>
      <c r="O92" s="1345">
        <f t="shared" si="30"/>
        <v>55999.998999999996</v>
      </c>
      <c r="P92" s="1325">
        <f t="shared" si="27"/>
        <v>148089.41399999999</v>
      </c>
      <c r="Q92" s="1325"/>
      <c r="R92" s="1343">
        <v>12.5</v>
      </c>
      <c r="S92" s="1346">
        <f t="shared" si="31"/>
        <v>168283.42500000002</v>
      </c>
      <c r="T92" s="1347">
        <f t="shared" si="32"/>
        <v>0.13636363636363646</v>
      </c>
      <c r="U92" s="1361" t="s">
        <v>1432</v>
      </c>
      <c r="V92" s="1349" t="s">
        <v>1433</v>
      </c>
      <c r="W92" s="1350">
        <f t="shared" si="28"/>
        <v>148089.41399999999</v>
      </c>
      <c r="X92" s="1355">
        <f t="shared" si="29"/>
        <v>0</v>
      </c>
      <c r="AC92" s="1363"/>
      <c r="AD92" s="1360"/>
      <c r="AE92" s="1359"/>
    </row>
    <row r="93" spans="1:34" s="1362" customFormat="1" ht="14.85" customHeight="1" outlineLevel="1">
      <c r="A93" s="1327"/>
      <c r="B93" s="1321" t="s">
        <v>1439</v>
      </c>
      <c r="C93" s="1340" t="s">
        <v>1440</v>
      </c>
      <c r="D93" s="1341" t="s">
        <v>1392</v>
      </c>
      <c r="E93" s="1340" t="s">
        <v>1441</v>
      </c>
      <c r="F93" s="1342">
        <v>42108</v>
      </c>
      <c r="G93" s="1367">
        <v>17</v>
      </c>
      <c r="H93" s="1356">
        <v>14</v>
      </c>
      <c r="I93" s="1356">
        <v>16</v>
      </c>
      <c r="J93" s="1367">
        <v>31.47</v>
      </c>
      <c r="K93" s="1368">
        <f t="shared" si="25"/>
        <v>51950.504000000001</v>
      </c>
      <c r="L93" s="1339">
        <v>7000</v>
      </c>
      <c r="M93" s="1339">
        <v>58950.504000000001</v>
      </c>
      <c r="N93" s="1325">
        <f t="shared" si="26"/>
        <v>883158.56799999997</v>
      </c>
      <c r="O93" s="1345">
        <f t="shared" si="30"/>
        <v>119000</v>
      </c>
      <c r="P93" s="1325">
        <f t="shared" si="27"/>
        <v>1002158.568</v>
      </c>
      <c r="Q93" s="1325"/>
      <c r="R93" s="1343">
        <v>31.47</v>
      </c>
      <c r="S93" s="1346">
        <f t="shared" si="31"/>
        <v>1855172.3608800001</v>
      </c>
      <c r="T93" s="1347">
        <f t="shared" si="32"/>
        <v>0.85117647058823542</v>
      </c>
      <c r="U93" s="1349" t="s">
        <v>1442</v>
      </c>
      <c r="V93" s="1349" t="s">
        <v>1829</v>
      </c>
      <c r="W93" s="1350">
        <f t="shared" si="28"/>
        <v>1002158.568</v>
      </c>
      <c r="X93" s="1355">
        <f t="shared" si="29"/>
        <v>0</v>
      </c>
      <c r="Y93" s="1321"/>
      <c r="Z93" s="1321"/>
      <c r="AA93" s="1321"/>
      <c r="AB93" s="1345"/>
      <c r="AC93" s="1360"/>
      <c r="AD93" s="1359"/>
      <c r="AE93" s="1321"/>
      <c r="AF93" s="1321"/>
      <c r="AG93" s="1321"/>
    </row>
    <row r="94" spans="1:34" s="1362" customFormat="1" ht="14.85" customHeight="1" outlineLevel="1">
      <c r="A94" s="1327"/>
      <c r="B94" s="1321" t="s">
        <v>1448</v>
      </c>
      <c r="C94" s="1340" t="s">
        <v>1449</v>
      </c>
      <c r="D94" s="1341" t="s">
        <v>587</v>
      </c>
      <c r="E94" s="1340" t="s">
        <v>1450</v>
      </c>
      <c r="F94" s="1342">
        <v>42053</v>
      </c>
      <c r="G94" s="1367">
        <v>6</v>
      </c>
      <c r="H94" s="1356">
        <v>13</v>
      </c>
      <c r="I94" s="1356">
        <v>15</v>
      </c>
      <c r="J94" s="1367">
        <v>5.75</v>
      </c>
      <c r="K94" s="1368">
        <f t="shared" si="25"/>
        <v>9210.49</v>
      </c>
      <c r="L94" s="1339">
        <v>6667</v>
      </c>
      <c r="M94" s="1339">
        <v>15877.49</v>
      </c>
      <c r="N94" s="1325">
        <f t="shared" si="26"/>
        <v>55262.94</v>
      </c>
      <c r="O94" s="1345">
        <f t="shared" si="30"/>
        <v>40002</v>
      </c>
      <c r="P94" s="1325">
        <f t="shared" si="27"/>
        <v>95264.94</v>
      </c>
      <c r="Q94" s="1325"/>
      <c r="R94" s="1343">
        <v>5.75</v>
      </c>
      <c r="S94" s="1346">
        <f t="shared" si="31"/>
        <v>91295.567500000005</v>
      </c>
      <c r="T94" s="1347">
        <f t="shared" si="32"/>
        <v>-4.166666666666663E-2</v>
      </c>
      <c r="U94" s="1349" t="s">
        <v>1451</v>
      </c>
      <c r="V94" s="1349" t="s">
        <v>1452</v>
      </c>
      <c r="W94" s="1350">
        <f t="shared" si="28"/>
        <v>95264.94</v>
      </c>
      <c r="X94" s="1355">
        <f t="shared" si="29"/>
        <v>0</v>
      </c>
      <c r="Y94" s="1321"/>
      <c r="Z94" s="1321"/>
      <c r="AA94" s="1321"/>
      <c r="AB94" s="1345"/>
      <c r="AC94" s="1360"/>
      <c r="AD94" s="1359"/>
      <c r="AE94" s="1321"/>
      <c r="AF94" s="1321"/>
      <c r="AG94" s="1321"/>
    </row>
    <row r="95" spans="1:34" s="1362" customFormat="1" ht="14.85" customHeight="1" outlineLevel="1">
      <c r="A95" s="1327"/>
      <c r="B95" s="1321" t="s">
        <v>1453</v>
      </c>
      <c r="C95" s="1340" t="s">
        <v>1454</v>
      </c>
      <c r="D95" s="1341" t="s">
        <v>587</v>
      </c>
      <c r="E95" s="1340" t="s">
        <v>1455</v>
      </c>
      <c r="F95" s="1342">
        <v>42048</v>
      </c>
      <c r="G95" s="1367">
        <v>12</v>
      </c>
      <c r="H95" s="1356">
        <v>14</v>
      </c>
      <c r="I95" s="1356">
        <v>16</v>
      </c>
      <c r="J95" s="1367">
        <v>9.75</v>
      </c>
      <c r="K95" s="1368">
        <f t="shared" si="25"/>
        <v>7905.3259999999991</v>
      </c>
      <c r="L95" s="1339">
        <v>5000</v>
      </c>
      <c r="M95" s="1339">
        <v>12905.325999999999</v>
      </c>
      <c r="N95" s="1325">
        <f t="shared" si="26"/>
        <v>94863.911999999982</v>
      </c>
      <c r="O95" s="1345">
        <f t="shared" si="30"/>
        <v>60000</v>
      </c>
      <c r="P95" s="1325">
        <f t="shared" si="27"/>
        <v>154863.91199999998</v>
      </c>
      <c r="Q95" s="1325"/>
      <c r="R95" s="1343">
        <v>9.75</v>
      </c>
      <c r="S95" s="1346">
        <f t="shared" si="31"/>
        <v>125826.92849999999</v>
      </c>
      <c r="T95" s="1347">
        <f t="shared" si="32"/>
        <v>-0.18749999999999989</v>
      </c>
      <c r="U95" s="1349" t="s">
        <v>1456</v>
      </c>
      <c r="V95" s="1349" t="s">
        <v>1457</v>
      </c>
      <c r="W95" s="1350">
        <f t="shared" si="28"/>
        <v>154863.91199999998</v>
      </c>
      <c r="X95" s="1355">
        <f t="shared" si="29"/>
        <v>0</v>
      </c>
      <c r="Y95" s="1321"/>
      <c r="Z95" s="1321"/>
      <c r="AA95" s="1321"/>
      <c r="AB95" s="1345"/>
      <c r="AC95" s="1360"/>
      <c r="AD95" s="1359"/>
      <c r="AE95" s="1321"/>
      <c r="AF95" s="1321"/>
      <c r="AG95" s="1321"/>
    </row>
    <row r="96" spans="1:34" s="1362" customFormat="1" ht="14.85" customHeight="1" outlineLevel="1">
      <c r="A96" s="1327"/>
      <c r="B96" s="1321" t="s">
        <v>985</v>
      </c>
      <c r="C96" s="1340" t="s">
        <v>1464</v>
      </c>
      <c r="D96" s="1341" t="s">
        <v>587</v>
      </c>
      <c r="E96" s="1340" t="s">
        <v>1465</v>
      </c>
      <c r="F96" s="1342">
        <v>42033</v>
      </c>
      <c r="G96" s="1367">
        <v>10</v>
      </c>
      <c r="H96" s="1356">
        <v>12</v>
      </c>
      <c r="I96" s="1356">
        <v>14</v>
      </c>
      <c r="J96" s="1367">
        <v>13.43</v>
      </c>
      <c r="K96" s="1368">
        <f t="shared" si="25"/>
        <v>8492.8060000000005</v>
      </c>
      <c r="L96" s="1339">
        <v>3600</v>
      </c>
      <c r="M96" s="1339">
        <v>12092.806</v>
      </c>
      <c r="N96" s="1325">
        <f t="shared" si="26"/>
        <v>84928.06</v>
      </c>
      <c r="O96" s="1345">
        <f t="shared" si="30"/>
        <v>36000</v>
      </c>
      <c r="P96" s="1325">
        <f t="shared" si="27"/>
        <v>120928.06</v>
      </c>
      <c r="Q96" s="1325"/>
      <c r="R96" s="1343">
        <v>13.43</v>
      </c>
      <c r="S96" s="1346">
        <f t="shared" si="31"/>
        <v>162406.38458000001</v>
      </c>
      <c r="T96" s="1347">
        <f t="shared" si="32"/>
        <v>0.34300000000000019</v>
      </c>
      <c r="U96" s="1349" t="s">
        <v>1466</v>
      </c>
      <c r="V96" s="1349" t="s">
        <v>1467</v>
      </c>
      <c r="W96" s="1350">
        <f t="shared" si="28"/>
        <v>120928.06</v>
      </c>
      <c r="X96" s="1355">
        <f t="shared" si="29"/>
        <v>0</v>
      </c>
      <c r="AB96" s="1363"/>
      <c r="AC96" s="1360"/>
      <c r="AD96" s="1359"/>
    </row>
    <row r="97" spans="1:33" s="1362" customFormat="1" ht="14.85" customHeight="1" outlineLevel="1">
      <c r="A97" s="1327"/>
      <c r="B97" s="1321" t="s">
        <v>1472</v>
      </c>
      <c r="C97" s="1340" t="s">
        <v>1473</v>
      </c>
      <c r="D97" s="1341" t="s">
        <v>587</v>
      </c>
      <c r="E97" s="1340" t="s">
        <v>1474</v>
      </c>
      <c r="F97" s="1342">
        <v>42030</v>
      </c>
      <c r="G97" s="1367">
        <v>11</v>
      </c>
      <c r="H97" s="1356">
        <v>10</v>
      </c>
      <c r="I97" s="1356">
        <v>12</v>
      </c>
      <c r="J97" s="1367">
        <v>11.04</v>
      </c>
      <c r="K97" s="1368">
        <f t="shared" si="25"/>
        <v>7316.1119999999992</v>
      </c>
      <c r="L97" s="1339">
        <v>4500</v>
      </c>
      <c r="M97" s="1339">
        <v>11816.111999999999</v>
      </c>
      <c r="N97" s="1325">
        <f t="shared" si="26"/>
        <v>80477.231999999989</v>
      </c>
      <c r="O97" s="1345">
        <f t="shared" si="30"/>
        <v>49500</v>
      </c>
      <c r="P97" s="1325">
        <f t="shared" si="27"/>
        <v>129977.23199999999</v>
      </c>
      <c r="Q97" s="1325"/>
      <c r="R97" s="1343">
        <v>11.04</v>
      </c>
      <c r="S97" s="1346">
        <f t="shared" si="31"/>
        <v>130449.87647999998</v>
      </c>
      <c r="T97" s="1347">
        <f t="shared" si="32"/>
        <v>3.6363636363634377E-3</v>
      </c>
      <c r="U97" s="1349" t="s">
        <v>1475</v>
      </c>
      <c r="V97" s="1349" t="s">
        <v>1476</v>
      </c>
      <c r="W97" s="1350">
        <f t="shared" si="28"/>
        <v>129977.23199999999</v>
      </c>
      <c r="X97" s="1355">
        <f t="shared" si="29"/>
        <v>0</v>
      </c>
      <c r="Y97" s="1321"/>
      <c r="Z97" s="1321"/>
      <c r="AA97" s="1321"/>
      <c r="AB97" s="1345"/>
      <c r="AC97" s="1360"/>
      <c r="AD97" s="1359"/>
      <c r="AE97" s="1321"/>
      <c r="AF97" s="1321"/>
      <c r="AG97" s="1321"/>
    </row>
    <row r="98" spans="1:33" s="1362" customFormat="1" ht="14.85" customHeight="1" outlineLevel="1">
      <c r="A98" s="1395"/>
      <c r="B98" s="1321" t="s">
        <v>1477</v>
      </c>
      <c r="C98" s="1340" t="s">
        <v>1478</v>
      </c>
      <c r="D98" s="1341" t="s">
        <v>587</v>
      </c>
      <c r="E98" s="1340" t="s">
        <v>1479</v>
      </c>
      <c r="F98" s="1342">
        <v>41991</v>
      </c>
      <c r="G98" s="1367">
        <v>19</v>
      </c>
      <c r="H98" s="1356">
        <v>15</v>
      </c>
      <c r="I98" s="1356">
        <v>17</v>
      </c>
      <c r="J98" s="1367">
        <v>29.13</v>
      </c>
      <c r="K98" s="1368">
        <f t="shared" si="25"/>
        <v>18499.571</v>
      </c>
      <c r="L98" s="1339">
        <v>8452.5</v>
      </c>
      <c r="M98" s="1339">
        <v>26952.071</v>
      </c>
      <c r="N98" s="1325">
        <f t="shared" si="26"/>
        <v>351491.84899999999</v>
      </c>
      <c r="O98" s="1345">
        <f t="shared" si="30"/>
        <v>160597.5</v>
      </c>
      <c r="P98" s="1325">
        <f t="shared" si="27"/>
        <v>512089.34899999999</v>
      </c>
      <c r="Q98" s="1325"/>
      <c r="R98" s="1343">
        <v>29.13</v>
      </c>
      <c r="S98" s="1346">
        <f t="shared" si="31"/>
        <v>785113.82822999998</v>
      </c>
      <c r="T98" s="1347">
        <f t="shared" si="32"/>
        <v>0.53315789473684205</v>
      </c>
      <c r="U98" s="1349" t="s">
        <v>1480</v>
      </c>
      <c r="V98" s="1349" t="s">
        <v>1481</v>
      </c>
      <c r="W98" s="1350">
        <f t="shared" si="28"/>
        <v>512089.34899999999</v>
      </c>
      <c r="X98" s="1355">
        <f t="shared" si="29"/>
        <v>0</v>
      </c>
      <c r="Y98" s="1321"/>
      <c r="Z98" s="1321"/>
      <c r="AA98" s="1321"/>
      <c r="AB98" s="1345"/>
      <c r="AC98" s="1360"/>
      <c r="AD98" s="1359"/>
      <c r="AE98" s="1321"/>
      <c r="AF98" s="1321"/>
      <c r="AG98" s="1321"/>
    </row>
    <row r="99" spans="1:33" s="1362" customFormat="1" ht="14.85" customHeight="1" outlineLevel="1">
      <c r="A99" s="1395"/>
      <c r="B99" s="1321" t="s">
        <v>820</v>
      </c>
      <c r="C99" s="1340" t="s">
        <v>1830</v>
      </c>
      <c r="D99" s="1341" t="s">
        <v>1815</v>
      </c>
      <c r="E99" s="1340" t="s">
        <v>1831</v>
      </c>
      <c r="F99" s="1342">
        <v>41443</v>
      </c>
      <c r="G99" s="1367">
        <v>17</v>
      </c>
      <c r="H99" s="1356">
        <v>14</v>
      </c>
      <c r="I99" s="1356">
        <v>16</v>
      </c>
      <c r="J99" s="1367">
        <v>33.99</v>
      </c>
      <c r="K99" s="1368">
        <v>16869488</v>
      </c>
      <c r="L99" s="1339">
        <v>5000</v>
      </c>
      <c r="M99" s="1339">
        <v>21869.488000000001</v>
      </c>
      <c r="N99" s="1325">
        <v>286781.29599999997</v>
      </c>
      <c r="O99" s="1345">
        <f t="shared" si="30"/>
        <v>85000</v>
      </c>
      <c r="P99" s="1325">
        <f t="shared" si="27"/>
        <v>371781.29599999997</v>
      </c>
      <c r="Q99" s="1325"/>
      <c r="R99" s="1343">
        <v>33.99</v>
      </c>
      <c r="S99" s="1346">
        <f t="shared" si="31"/>
        <v>743343.8971200001</v>
      </c>
      <c r="T99" s="1347">
        <f t="shared" si="32"/>
        <v>0.99941176470588267</v>
      </c>
      <c r="U99" s="1349" t="s">
        <v>1832</v>
      </c>
      <c r="V99" s="1349" t="s">
        <v>1833</v>
      </c>
      <c r="W99" s="1350">
        <f t="shared" si="28"/>
        <v>371781.29599999997</v>
      </c>
      <c r="X99" s="1355">
        <f t="shared" si="29"/>
        <v>0</v>
      </c>
      <c r="Y99" s="1321"/>
      <c r="Z99" s="1321"/>
      <c r="AA99" s="1321"/>
      <c r="AB99" s="1345"/>
      <c r="AC99" s="1360"/>
      <c r="AD99" s="1359"/>
      <c r="AE99" s="1321"/>
      <c r="AF99" s="1321"/>
      <c r="AG99" s="1321"/>
    </row>
    <row r="100" spans="1:33" s="1321" customFormat="1" ht="14.85" customHeight="1" outlineLevel="1">
      <c r="A100" s="1327"/>
      <c r="C100" s="1340"/>
      <c r="D100" s="1341"/>
      <c r="E100" s="1340"/>
      <c r="F100" s="1342"/>
      <c r="G100" s="1367"/>
      <c r="H100" s="1356"/>
      <c r="I100" s="1356"/>
      <c r="J100" s="1367"/>
      <c r="K100" s="1368"/>
      <c r="L100" s="1345"/>
      <c r="M100" s="1345"/>
      <c r="N100" s="1325"/>
      <c r="O100" s="1345"/>
      <c r="P100" s="1325"/>
      <c r="Q100" s="1325"/>
      <c r="R100" s="1343"/>
      <c r="S100" s="1397"/>
      <c r="T100" s="1398"/>
      <c r="U100" s="1349"/>
      <c r="V100" s="1349"/>
      <c r="W100" s="1345"/>
      <c r="X100" s="1327"/>
      <c r="AB100" s="1345"/>
      <c r="AC100" s="1340"/>
      <c r="AD100" s="1327"/>
    </row>
    <row r="101" spans="1:33" s="1362" customFormat="1" ht="14.85" customHeight="1" outlineLevel="1">
      <c r="A101" s="1327"/>
      <c r="B101" s="1470" t="s">
        <v>111</v>
      </c>
      <c r="C101" s="1471"/>
      <c r="D101" s="1471"/>
      <c r="E101" s="1471"/>
      <c r="F101" s="1471"/>
      <c r="G101" s="1471"/>
      <c r="H101" s="1471"/>
      <c r="I101" s="1471"/>
      <c r="J101" s="1471"/>
      <c r="K101" s="1471"/>
      <c r="L101" s="1471"/>
      <c r="M101" s="1471"/>
      <c r="N101" s="1472">
        <f>MAX(N80:N99)</f>
        <v>1766090.8</v>
      </c>
      <c r="O101" s="1472"/>
      <c r="P101" s="1473">
        <f>MAX(P80:P99)</f>
        <v>1973290.8</v>
      </c>
      <c r="Q101" s="1325"/>
      <c r="R101" s="1474">
        <f>MAX(R81:R97)</f>
        <v>52.72</v>
      </c>
      <c r="S101" s="1346"/>
      <c r="T101" s="1347"/>
      <c r="U101" s="1361"/>
      <c r="V101" s="1349"/>
      <c r="W101" s="1350"/>
      <c r="X101" s="1355"/>
      <c r="AC101" s="1363"/>
      <c r="AD101" s="1360"/>
      <c r="AE101" s="1359"/>
    </row>
    <row r="102" spans="1:33" s="1362" customFormat="1" ht="14.85" customHeight="1" outlineLevel="1">
      <c r="A102" s="1327"/>
      <c r="B102" s="1374" t="s">
        <v>115</v>
      </c>
      <c r="C102" s="1375"/>
      <c r="D102" s="1375"/>
      <c r="E102" s="1375"/>
      <c r="F102" s="1375"/>
      <c r="G102" s="1375"/>
      <c r="H102" s="1375"/>
      <c r="I102" s="1375"/>
      <c r="J102" s="1375"/>
      <c r="K102" s="1375"/>
      <c r="L102" s="1375"/>
      <c r="M102" s="1375"/>
      <c r="N102" s="1299">
        <f>_xlfn.QUARTILE.INC(N80:N99,3)</f>
        <v>442987.85099999997</v>
      </c>
      <c r="O102" s="1299"/>
      <c r="P102" s="1376">
        <f>_xlfn.QUARTILE.INC(P80:P99,3)</f>
        <v>542875.27300000004</v>
      </c>
      <c r="Q102" s="1325"/>
      <c r="R102" s="1377">
        <f>_xlfn.QUARTILE.INC(R81:R97,3)</f>
        <v>19.510000000000002</v>
      </c>
      <c r="S102" s="1346"/>
      <c r="T102" s="1347"/>
      <c r="U102" s="1361"/>
      <c r="V102" s="1349"/>
      <c r="W102" s="1350"/>
      <c r="X102" s="1355"/>
      <c r="AC102" s="1363"/>
      <c r="AD102" s="1360"/>
      <c r="AE102" s="1359"/>
    </row>
    <row r="103" spans="1:33" s="1362" customFormat="1" ht="14.85" customHeight="1" outlineLevel="1">
      <c r="A103" s="1327"/>
      <c r="B103" s="1374" t="s">
        <v>43</v>
      </c>
      <c r="C103" s="1375"/>
      <c r="D103" s="1375"/>
      <c r="E103" s="1375"/>
      <c r="F103" s="1375"/>
      <c r="G103" s="1375"/>
      <c r="H103" s="1375"/>
      <c r="I103" s="1375"/>
      <c r="J103" s="1375"/>
      <c r="K103" s="1375"/>
      <c r="L103" s="1375"/>
      <c r="M103" s="1375"/>
      <c r="N103" s="1299">
        <f>AVERAGE(N80:N99)</f>
        <v>326924.67622499994</v>
      </c>
      <c r="O103" s="1299"/>
      <c r="P103" s="1376">
        <f>AVERAGE(P80:P99)</f>
        <v>407989.98372499994</v>
      </c>
      <c r="Q103" s="1325"/>
      <c r="R103" s="1377">
        <f>AVERAGE(R81:R97)</f>
        <v>17.134699999999999</v>
      </c>
      <c r="S103" s="1346"/>
      <c r="T103" s="1347"/>
      <c r="U103" s="1361"/>
      <c r="V103" s="1349"/>
      <c r="W103" s="1350"/>
      <c r="X103" s="1355"/>
      <c r="AC103" s="1363"/>
      <c r="AD103" s="1360"/>
      <c r="AE103" s="1359"/>
    </row>
    <row r="104" spans="1:33" s="1362" customFormat="1" ht="14.85" customHeight="1" outlineLevel="1">
      <c r="A104" s="1327"/>
      <c r="B104" s="1374" t="s">
        <v>44</v>
      </c>
      <c r="C104" s="1375"/>
      <c r="D104" s="1375"/>
      <c r="E104" s="1375"/>
      <c r="F104" s="1375"/>
      <c r="G104" s="1375"/>
      <c r="H104" s="1375"/>
      <c r="I104" s="1375"/>
      <c r="J104" s="1375"/>
      <c r="K104" s="1375"/>
      <c r="L104" s="1375"/>
      <c r="M104" s="1375"/>
      <c r="N104" s="1299">
        <f>MEDIAN(N80:N99)</f>
        <v>190238.1415</v>
      </c>
      <c r="O104" s="1299"/>
      <c r="P104" s="1376">
        <f>MEDIAN(P80:P99)</f>
        <v>257971.47199999998</v>
      </c>
      <c r="Q104" s="1325"/>
      <c r="R104" s="1377">
        <f>MEDIAN(R81:R97)</f>
        <v>13.23</v>
      </c>
      <c r="S104" s="1346"/>
      <c r="T104" s="1347"/>
      <c r="U104" s="1361"/>
      <c r="V104" s="1349"/>
      <c r="W104" s="1350"/>
      <c r="X104" s="1355"/>
      <c r="AC104" s="1363"/>
      <c r="AD104" s="1360"/>
      <c r="AE104" s="1359"/>
    </row>
    <row r="105" spans="1:33" s="1362" customFormat="1" ht="14.85" customHeight="1" outlineLevel="1">
      <c r="A105" s="1327"/>
      <c r="B105" s="1374" t="s">
        <v>114</v>
      </c>
      <c r="C105" s="1375"/>
      <c r="D105" s="1375"/>
      <c r="E105" s="1375"/>
      <c r="F105" s="1375"/>
      <c r="G105" s="1375"/>
      <c r="H105" s="1375"/>
      <c r="I105" s="1375"/>
      <c r="J105" s="1375"/>
      <c r="K105" s="1375"/>
      <c r="L105" s="1375"/>
      <c r="M105" s="1375"/>
      <c r="N105" s="1299">
        <f>_xlfn.QUARTILE.INC(N80:N99,1)</f>
        <v>78871.196999999986</v>
      </c>
      <c r="O105" s="1299"/>
      <c r="P105" s="1376">
        <f>_xlfn.QUARTILE.INC(P80:P99,1)</f>
        <v>114512.28</v>
      </c>
      <c r="Q105" s="1325"/>
      <c r="R105" s="1377">
        <f>_xlfn.QUARTILE.INC(R81:R97,1)</f>
        <v>10.06</v>
      </c>
      <c r="S105" s="1346"/>
      <c r="T105" s="1347"/>
      <c r="U105" s="1361"/>
      <c r="V105" s="1349"/>
      <c r="W105" s="1350"/>
      <c r="X105" s="1355"/>
      <c r="AC105" s="1363"/>
      <c r="AD105" s="1360"/>
      <c r="AE105" s="1359"/>
    </row>
    <row r="106" spans="1:33" s="1362" customFormat="1" ht="14.85" customHeight="1" outlineLevel="1">
      <c r="A106" s="1327"/>
      <c r="B106" s="1378" t="s">
        <v>112</v>
      </c>
      <c r="C106" s="1379"/>
      <c r="D106" s="1379"/>
      <c r="E106" s="1379"/>
      <c r="F106" s="1379"/>
      <c r="G106" s="1379"/>
      <c r="H106" s="1379"/>
      <c r="I106" s="1379"/>
      <c r="J106" s="1379"/>
      <c r="K106" s="1379"/>
      <c r="L106" s="1379"/>
      <c r="M106" s="1379"/>
      <c r="N106" s="1301">
        <f>MIN(N80:N99)</f>
        <v>18940.300000000003</v>
      </c>
      <c r="O106" s="1301"/>
      <c r="P106" s="1380">
        <f>MIN(P80:P99)</f>
        <v>38940.300000000003</v>
      </c>
      <c r="Q106" s="1325"/>
      <c r="R106" s="1381">
        <f>MIN(R81:R97)</f>
        <v>3.13</v>
      </c>
      <c r="S106" s="1346"/>
      <c r="T106" s="1347"/>
      <c r="U106" s="1361"/>
      <c r="V106" s="1349"/>
      <c r="W106" s="1350"/>
      <c r="X106" s="1355"/>
      <c r="AC106" s="1363"/>
      <c r="AD106" s="1360"/>
      <c r="AE106" s="1359"/>
    </row>
    <row r="107" spans="1:33" s="1362" customFormat="1" ht="14.85" customHeight="1" outlineLevel="1">
      <c r="A107" s="1327"/>
      <c r="B107" s="1321"/>
      <c r="C107" s="1340"/>
      <c r="D107" s="1341"/>
      <c r="E107" s="1340"/>
      <c r="F107" s="1342"/>
      <c r="G107" s="1367"/>
      <c r="H107" s="1356"/>
      <c r="I107" s="1356"/>
      <c r="J107" s="1367"/>
      <c r="K107" s="1368"/>
      <c r="L107" s="1345"/>
      <c r="M107" s="1345"/>
      <c r="N107" s="1325"/>
      <c r="O107" s="1345"/>
      <c r="P107" s="1325"/>
      <c r="Q107" s="1325"/>
      <c r="R107" s="1343"/>
      <c r="S107" s="1346"/>
      <c r="T107" s="1347"/>
      <c r="U107" s="1361"/>
      <c r="V107" s="1349"/>
      <c r="W107" s="1350"/>
      <c r="X107" s="1355"/>
      <c r="AC107" s="1363"/>
      <c r="AD107" s="1360"/>
      <c r="AE107" s="1359"/>
    </row>
    <row r="108" spans="1:33" s="1362" customFormat="1" ht="14.85" customHeight="1" outlineLevel="1">
      <c r="A108" s="1327"/>
      <c r="B108" s="1382" t="s">
        <v>1834</v>
      </c>
      <c r="C108" s="1340"/>
      <c r="D108" s="1341"/>
      <c r="E108" s="1340"/>
      <c r="F108" s="1342"/>
      <c r="G108" s="1367"/>
      <c r="H108" s="1356"/>
      <c r="I108" s="1356"/>
      <c r="J108" s="1367"/>
      <c r="K108" s="1368"/>
      <c r="L108" s="1345"/>
      <c r="M108" s="1345"/>
      <c r="N108" s="1325"/>
      <c r="O108" s="1345"/>
      <c r="P108" s="1325"/>
      <c r="Q108" s="1325"/>
      <c r="R108" s="1343"/>
      <c r="S108" s="1346"/>
      <c r="T108" s="1347"/>
      <c r="U108" s="1349"/>
      <c r="V108" s="1349"/>
      <c r="W108" s="1355"/>
      <c r="X108" s="1327"/>
      <c r="Y108" s="1321"/>
      <c r="Z108" s="1321"/>
      <c r="AA108" s="1321"/>
      <c r="AB108" s="1345"/>
      <c r="AC108" s="1360"/>
      <c r="AD108" s="1359"/>
      <c r="AE108" s="1321"/>
      <c r="AF108" s="1321"/>
      <c r="AG108" s="1321"/>
    </row>
    <row r="109" spans="1:33" s="1327" customFormat="1" ht="14.85" customHeight="1" outlineLevel="1">
      <c r="B109" s="1321" t="s">
        <v>1835</v>
      </c>
      <c r="C109" s="1340" t="s">
        <v>1836</v>
      </c>
      <c r="D109" s="1341" t="s">
        <v>611</v>
      </c>
      <c r="E109" s="1340" t="s">
        <v>1837</v>
      </c>
      <c r="F109" s="1342">
        <v>42802</v>
      </c>
      <c r="G109" s="1466">
        <v>20</v>
      </c>
      <c r="H109" s="1343">
        <v>20</v>
      </c>
      <c r="I109" s="1343">
        <v>22</v>
      </c>
      <c r="J109" s="1343" t="s">
        <v>13</v>
      </c>
      <c r="K109" s="1368">
        <f t="shared" ref="K109:K120" si="33">+M109-L109</f>
        <v>21381.206999999999</v>
      </c>
      <c r="L109" s="1339">
        <v>174.286</v>
      </c>
      <c r="M109" s="1339">
        <v>21555.492999999999</v>
      </c>
      <c r="N109" s="1325">
        <f t="shared" ref="N109:N120" si="34">+G109*K109</f>
        <v>427624.13999999996</v>
      </c>
      <c r="O109" s="1345">
        <f t="shared" ref="O109:O120" si="35">+G109*L109</f>
        <v>3485.7200000000003</v>
      </c>
      <c r="P109" s="1325">
        <f t="shared" ref="P109:P120" si="36">+N109+O109</f>
        <v>431109.85999999993</v>
      </c>
      <c r="Q109" s="1325"/>
      <c r="R109" s="1343" t="s">
        <v>13</v>
      </c>
      <c r="S109" s="1346" t="s">
        <v>13</v>
      </c>
      <c r="T109" s="1347" t="str">
        <f>IFERROR(S109/P109-1,"n/a")</f>
        <v>n/a</v>
      </c>
      <c r="U109" s="1348" t="s">
        <v>1838</v>
      </c>
      <c r="V109" s="1349" t="s">
        <v>1839</v>
      </c>
      <c r="W109" s="1350">
        <f>+N109+O109</f>
        <v>431109.85999999993</v>
      </c>
      <c r="X109" s="1355"/>
      <c r="Z109" s="1399" t="s">
        <v>1840</v>
      </c>
    </row>
    <row r="110" spans="1:33" s="1327" customFormat="1" ht="14.85" customHeight="1" outlineLevel="1">
      <c r="B110" s="1321" t="s">
        <v>1232</v>
      </c>
      <c r="C110" s="1340" t="s">
        <v>1233</v>
      </c>
      <c r="D110" s="1341" t="s">
        <v>611</v>
      </c>
      <c r="E110" s="1340" t="s">
        <v>1234</v>
      </c>
      <c r="F110" s="1342">
        <v>42633</v>
      </c>
      <c r="G110" s="1466">
        <v>11</v>
      </c>
      <c r="H110" s="1343">
        <v>11</v>
      </c>
      <c r="I110" s="1343">
        <v>13</v>
      </c>
      <c r="J110" s="1466">
        <v>20.59</v>
      </c>
      <c r="K110" s="1368">
        <f t="shared" si="33"/>
        <v>11223.659</v>
      </c>
      <c r="L110" s="1339">
        <v>4100</v>
      </c>
      <c r="M110" s="1339">
        <v>15323.659</v>
      </c>
      <c r="N110" s="1325">
        <f t="shared" si="34"/>
        <v>123460.249</v>
      </c>
      <c r="O110" s="1345">
        <f t="shared" si="35"/>
        <v>45100</v>
      </c>
      <c r="P110" s="1325">
        <f t="shared" si="36"/>
        <v>168560.24900000001</v>
      </c>
      <c r="Q110" s="1325"/>
      <c r="R110" s="1343">
        <v>20.59</v>
      </c>
      <c r="S110" s="1346">
        <f>R110*M110</f>
        <v>315514.13880999997</v>
      </c>
      <c r="T110" s="1347">
        <f>S110/P110-1</f>
        <v>0.8718181818181816</v>
      </c>
      <c r="U110" s="1348" t="s">
        <v>1235</v>
      </c>
      <c r="V110" s="1349" t="s">
        <v>1236</v>
      </c>
      <c r="W110" s="1350">
        <f>+N110+O110</f>
        <v>168560.24900000001</v>
      </c>
      <c r="X110" s="1355">
        <f>+P110-W110</f>
        <v>0</v>
      </c>
    </row>
    <row r="111" spans="1:33" s="1327" customFormat="1" ht="14.85" customHeight="1" outlineLevel="1">
      <c r="B111" s="1321" t="s">
        <v>1841</v>
      </c>
      <c r="C111" s="1340" t="s">
        <v>1842</v>
      </c>
      <c r="D111" s="1341" t="s">
        <v>611</v>
      </c>
      <c r="E111" s="1340" t="s">
        <v>1843</v>
      </c>
      <c r="F111" s="1342">
        <v>42522</v>
      </c>
      <c r="G111" s="1466">
        <v>7</v>
      </c>
      <c r="H111" s="1343">
        <v>14</v>
      </c>
      <c r="I111" s="1343">
        <v>16</v>
      </c>
      <c r="J111" s="1466">
        <v>6.78</v>
      </c>
      <c r="K111" s="1368">
        <f t="shared" si="33"/>
        <v>12251.079</v>
      </c>
      <c r="L111" s="1339">
        <f>4000000/1000</f>
        <v>4000</v>
      </c>
      <c r="M111" s="1339">
        <f>16251079/1000</f>
        <v>16251.079</v>
      </c>
      <c r="N111" s="1325">
        <f t="shared" si="34"/>
        <v>85757.553</v>
      </c>
      <c r="O111" s="1345">
        <f t="shared" si="35"/>
        <v>28000</v>
      </c>
      <c r="P111" s="1325">
        <f t="shared" si="36"/>
        <v>113757.553</v>
      </c>
      <c r="Q111" s="1325"/>
      <c r="R111" s="1343">
        <v>6.78</v>
      </c>
      <c r="S111" s="1397">
        <v>110182315.62</v>
      </c>
      <c r="T111" s="1398">
        <v>-3.1428571428571361E-2</v>
      </c>
      <c r="U111" s="1348" t="s">
        <v>1843</v>
      </c>
      <c r="V111" s="1349" t="s">
        <v>1844</v>
      </c>
      <c r="W111" s="1350">
        <f>+N111+O111</f>
        <v>113757.553</v>
      </c>
      <c r="X111" s="1345"/>
    </row>
    <row r="112" spans="1:33" s="1327" customFormat="1" ht="14.85" customHeight="1" outlineLevel="1">
      <c r="B112" s="1321" t="s">
        <v>1264</v>
      </c>
      <c r="C112" s="1340" t="s">
        <v>1265</v>
      </c>
      <c r="D112" s="1341" t="s">
        <v>611</v>
      </c>
      <c r="E112" s="1340" t="s">
        <v>1266</v>
      </c>
      <c r="F112" s="1342">
        <v>42515</v>
      </c>
      <c r="G112" s="1367">
        <v>11</v>
      </c>
      <c r="H112" s="1356">
        <v>14</v>
      </c>
      <c r="I112" s="1356">
        <v>16</v>
      </c>
      <c r="J112" s="1367">
        <v>20.14</v>
      </c>
      <c r="K112" s="1368">
        <f t="shared" si="33"/>
        <v>15998.106</v>
      </c>
      <c r="L112" s="1339">
        <v>5500</v>
      </c>
      <c r="M112" s="1339">
        <v>21498.106</v>
      </c>
      <c r="N112" s="1325">
        <f t="shared" si="34"/>
        <v>175979.166</v>
      </c>
      <c r="O112" s="1345">
        <f t="shared" si="35"/>
        <v>60500</v>
      </c>
      <c r="P112" s="1325">
        <f t="shared" si="36"/>
        <v>236479.166</v>
      </c>
      <c r="Q112" s="1325"/>
      <c r="R112" s="1343">
        <v>20.14</v>
      </c>
      <c r="S112" s="1346">
        <f t="shared" ref="S112:S120" si="37">R112*M112</f>
        <v>432971.85483999999</v>
      </c>
      <c r="T112" s="1347">
        <f t="shared" ref="T112:T120" si="38">S112/P112-1</f>
        <v>0.83090909090909082</v>
      </c>
      <c r="U112" s="1357" t="s">
        <v>1267</v>
      </c>
      <c r="V112" s="1349" t="s">
        <v>1268</v>
      </c>
      <c r="W112" s="1350">
        <f t="shared" ref="W112:W120" si="39">+N112+O112</f>
        <v>236479.166</v>
      </c>
      <c r="X112" s="1355">
        <f t="shared" ref="X112:X120" si="40">+P112-W112</f>
        <v>0</v>
      </c>
      <c r="Y112" s="1359"/>
    </row>
    <row r="113" spans="1:34" s="1321" customFormat="1" ht="14.85" customHeight="1" outlineLevel="1">
      <c r="A113" s="1327"/>
      <c r="B113" s="1321" t="s">
        <v>1310</v>
      </c>
      <c r="C113" s="1340" t="s">
        <v>1311</v>
      </c>
      <c r="D113" s="1341" t="s">
        <v>611</v>
      </c>
      <c r="E113" s="1340" t="s">
        <v>1312</v>
      </c>
      <c r="F113" s="1342">
        <v>42327</v>
      </c>
      <c r="G113" s="1367">
        <v>9</v>
      </c>
      <c r="H113" s="1356">
        <v>11</v>
      </c>
      <c r="I113" s="1356">
        <v>13</v>
      </c>
      <c r="J113" s="1367">
        <v>9.11</v>
      </c>
      <c r="K113" s="1368">
        <f t="shared" si="33"/>
        <v>13470.476999999999</v>
      </c>
      <c r="L113" s="1339">
        <v>5666.6670000000004</v>
      </c>
      <c r="M113" s="1339">
        <v>19137.144</v>
      </c>
      <c r="N113" s="1325">
        <f t="shared" si="34"/>
        <v>121234.29299999999</v>
      </c>
      <c r="O113" s="1345">
        <f t="shared" si="35"/>
        <v>51000.003000000004</v>
      </c>
      <c r="P113" s="1325">
        <f t="shared" si="36"/>
        <v>172234.296</v>
      </c>
      <c r="Q113" s="1325"/>
      <c r="R113" s="1343">
        <v>9.11</v>
      </c>
      <c r="S113" s="1346">
        <f t="shared" si="37"/>
        <v>174339.38183999999</v>
      </c>
      <c r="T113" s="1347">
        <f t="shared" si="38"/>
        <v>1.2222222222222134E-2</v>
      </c>
      <c r="U113" s="1361" t="s">
        <v>1313</v>
      </c>
      <c r="V113" s="1349" t="s">
        <v>1314</v>
      </c>
      <c r="W113" s="1350">
        <f t="shared" si="39"/>
        <v>172234.296</v>
      </c>
      <c r="X113" s="1355">
        <f t="shared" si="40"/>
        <v>0</v>
      </c>
      <c r="Y113" s="1362"/>
      <c r="Z113" s="1362"/>
      <c r="AA113" s="1362"/>
      <c r="AB113" s="1362"/>
      <c r="AC113" s="1363"/>
      <c r="AD113" s="1360"/>
      <c r="AE113" s="1359"/>
      <c r="AF113" s="1362"/>
      <c r="AG113" s="1362"/>
      <c r="AH113" s="1362"/>
    </row>
    <row r="114" spans="1:34" s="1321" customFormat="1" ht="14.85" customHeight="1" outlineLevel="1">
      <c r="A114" s="1327"/>
      <c r="B114" s="1321" t="s">
        <v>1371</v>
      </c>
      <c r="C114" s="1340" t="s">
        <v>1372</v>
      </c>
      <c r="D114" s="1341" t="s">
        <v>611</v>
      </c>
      <c r="E114" s="1340" t="s">
        <v>1373</v>
      </c>
      <c r="F114" s="1342">
        <v>42208</v>
      </c>
      <c r="G114" s="1367">
        <v>15</v>
      </c>
      <c r="H114" s="1356">
        <v>14</v>
      </c>
      <c r="I114" s="1356">
        <v>16</v>
      </c>
      <c r="J114" s="1367">
        <v>24.9</v>
      </c>
      <c r="K114" s="1368">
        <f t="shared" si="33"/>
        <v>9688.7160000000003</v>
      </c>
      <c r="L114" s="1339">
        <v>4800</v>
      </c>
      <c r="M114" s="1339">
        <v>14488.716</v>
      </c>
      <c r="N114" s="1325">
        <f t="shared" si="34"/>
        <v>145330.74</v>
      </c>
      <c r="O114" s="1345">
        <f t="shared" si="35"/>
        <v>72000</v>
      </c>
      <c r="P114" s="1325">
        <f t="shared" si="36"/>
        <v>217330.74</v>
      </c>
      <c r="Q114" s="1325"/>
      <c r="R114" s="1343">
        <v>24.9</v>
      </c>
      <c r="S114" s="1346">
        <f t="shared" si="37"/>
        <v>360769.02840000001</v>
      </c>
      <c r="T114" s="1347">
        <f t="shared" si="38"/>
        <v>0.66000000000000014</v>
      </c>
      <c r="U114" s="1348" t="s">
        <v>1374</v>
      </c>
      <c r="V114" s="1349" t="s">
        <v>1375</v>
      </c>
      <c r="W114" s="1350">
        <f t="shared" si="39"/>
        <v>217330.74</v>
      </c>
      <c r="X114" s="1355">
        <f t="shared" si="40"/>
        <v>0</v>
      </c>
      <c r="Y114" s="1327"/>
      <c r="AC114" s="1345"/>
      <c r="AD114" s="1360"/>
      <c r="AE114" s="1359"/>
    </row>
    <row r="115" spans="1:34" s="1362" customFormat="1" ht="14.85" customHeight="1" outlineLevel="1">
      <c r="A115" s="1327"/>
      <c r="B115" s="1321" t="s">
        <v>1411</v>
      </c>
      <c r="C115" s="1340" t="s">
        <v>1412</v>
      </c>
      <c r="D115" s="1341" t="s">
        <v>611</v>
      </c>
      <c r="E115" s="1340" t="s">
        <v>1413</v>
      </c>
      <c r="F115" s="1342">
        <v>42129</v>
      </c>
      <c r="G115" s="1367">
        <v>10</v>
      </c>
      <c r="H115" s="1356">
        <v>13</v>
      </c>
      <c r="I115" s="1356">
        <v>15</v>
      </c>
      <c r="J115" s="1367">
        <v>8.4499999999999993</v>
      </c>
      <c r="K115" s="1368">
        <f t="shared" si="33"/>
        <v>9638.9889999999996</v>
      </c>
      <c r="L115" s="1339">
        <v>5500</v>
      </c>
      <c r="M115" s="1339">
        <v>15138.989</v>
      </c>
      <c r="N115" s="1325">
        <f t="shared" si="34"/>
        <v>96389.89</v>
      </c>
      <c r="O115" s="1345">
        <f t="shared" si="35"/>
        <v>55000</v>
      </c>
      <c r="P115" s="1325">
        <f t="shared" si="36"/>
        <v>151389.89000000001</v>
      </c>
      <c r="Q115" s="1325"/>
      <c r="R115" s="1343">
        <v>8.4499999999999993</v>
      </c>
      <c r="S115" s="1346">
        <f t="shared" si="37"/>
        <v>127924.45704999998</v>
      </c>
      <c r="T115" s="1347">
        <f t="shared" si="38"/>
        <v>-0.15500000000000014</v>
      </c>
      <c r="U115" s="1361" t="s">
        <v>1414</v>
      </c>
      <c r="V115" s="1349" t="s">
        <v>1415</v>
      </c>
      <c r="W115" s="1350">
        <f t="shared" si="39"/>
        <v>151389.89000000001</v>
      </c>
      <c r="X115" s="1355">
        <f t="shared" si="40"/>
        <v>0</v>
      </c>
      <c r="AC115" s="1400"/>
      <c r="AD115" s="1360"/>
      <c r="AE115" s="1359"/>
    </row>
    <row r="116" spans="1:34" s="1362" customFormat="1" ht="14.85" customHeight="1" outlineLevel="1">
      <c r="A116" s="1327"/>
      <c r="B116" s="1321" t="s">
        <v>1443</v>
      </c>
      <c r="C116" s="1340" t="s">
        <v>1444</v>
      </c>
      <c r="D116" s="1341" t="s">
        <v>611</v>
      </c>
      <c r="E116" s="1340" t="s">
        <v>1445</v>
      </c>
      <c r="F116" s="1342">
        <v>42108</v>
      </c>
      <c r="G116" s="1367">
        <v>19</v>
      </c>
      <c r="H116" s="1356">
        <v>18</v>
      </c>
      <c r="I116" s="1356">
        <v>20</v>
      </c>
      <c r="J116" s="1367">
        <v>19.93</v>
      </c>
      <c r="K116" s="1368">
        <f t="shared" si="33"/>
        <v>27716.631000000001</v>
      </c>
      <c r="L116" s="1339">
        <v>4000</v>
      </c>
      <c r="M116" s="1339">
        <v>31716.631000000001</v>
      </c>
      <c r="N116" s="1325">
        <f t="shared" si="34"/>
        <v>526615.98900000006</v>
      </c>
      <c r="O116" s="1345">
        <f t="shared" si="35"/>
        <v>76000</v>
      </c>
      <c r="P116" s="1325">
        <f t="shared" si="36"/>
        <v>602615.98900000006</v>
      </c>
      <c r="Q116" s="1325"/>
      <c r="R116" s="1343">
        <v>19.93</v>
      </c>
      <c r="S116" s="1346">
        <f t="shared" si="37"/>
        <v>632112.45582999999</v>
      </c>
      <c r="T116" s="1347">
        <f t="shared" si="38"/>
        <v>4.8947368421052406E-2</v>
      </c>
      <c r="U116" s="1349" t="s">
        <v>1446</v>
      </c>
      <c r="V116" s="1349" t="s">
        <v>1447</v>
      </c>
      <c r="W116" s="1350">
        <f t="shared" si="39"/>
        <v>602615.98900000006</v>
      </c>
      <c r="X116" s="1355">
        <f t="shared" si="40"/>
        <v>0</v>
      </c>
      <c r="Y116" s="1321"/>
      <c r="Z116" s="1321"/>
      <c r="AA116" s="1321"/>
      <c r="AB116" s="1345"/>
      <c r="AC116" s="1360"/>
      <c r="AD116" s="1359"/>
      <c r="AE116" s="1321"/>
      <c r="AF116" s="1321"/>
      <c r="AG116" s="1321"/>
    </row>
    <row r="117" spans="1:34" s="1362" customFormat="1" ht="14.85" customHeight="1" outlineLevel="1">
      <c r="A117" s="1327"/>
      <c r="B117" s="1321" t="s">
        <v>1458</v>
      </c>
      <c r="C117" s="1340" t="s">
        <v>1459</v>
      </c>
      <c r="D117" s="1341" t="s">
        <v>611</v>
      </c>
      <c r="E117" s="1340" t="s">
        <v>1460</v>
      </c>
      <c r="F117" s="1342">
        <v>42047</v>
      </c>
      <c r="G117" s="1367">
        <v>6</v>
      </c>
      <c r="H117" s="1356">
        <v>12</v>
      </c>
      <c r="I117" s="1356">
        <v>14</v>
      </c>
      <c r="J117" s="1367">
        <v>3.1</v>
      </c>
      <c r="K117" s="1368">
        <f t="shared" si="33"/>
        <v>5645.3540000000003</v>
      </c>
      <c r="L117" s="1339">
        <v>683.25</v>
      </c>
      <c r="M117" s="1339">
        <v>6328.6040000000003</v>
      </c>
      <c r="N117" s="1325">
        <f t="shared" si="34"/>
        <v>33872.124000000003</v>
      </c>
      <c r="O117" s="1345">
        <f t="shared" si="35"/>
        <v>4099.5</v>
      </c>
      <c r="P117" s="1325">
        <f t="shared" si="36"/>
        <v>37971.624000000003</v>
      </c>
      <c r="Q117" s="1325"/>
      <c r="R117" s="1343">
        <v>3.1</v>
      </c>
      <c r="S117" s="1346">
        <f t="shared" si="37"/>
        <v>19618.672400000003</v>
      </c>
      <c r="T117" s="1347">
        <f t="shared" si="38"/>
        <v>-0.48333333333333328</v>
      </c>
      <c r="U117" s="1349" t="s">
        <v>1461</v>
      </c>
      <c r="V117" s="1349" t="s">
        <v>1462</v>
      </c>
      <c r="W117" s="1350">
        <f t="shared" si="39"/>
        <v>37971.624000000003</v>
      </c>
      <c r="X117" s="1355">
        <f t="shared" si="40"/>
        <v>0</v>
      </c>
      <c r="AB117" s="1363"/>
      <c r="AC117" s="1360"/>
      <c r="AD117" s="1359"/>
    </row>
    <row r="118" spans="1:34" s="1362" customFormat="1" ht="14.85" customHeight="1" outlineLevel="1">
      <c r="A118" s="1327"/>
      <c r="B118" s="1321" t="s">
        <v>903</v>
      </c>
      <c r="C118" s="1340" t="s">
        <v>901</v>
      </c>
      <c r="D118" s="1341" t="s">
        <v>611</v>
      </c>
      <c r="E118" s="1340" t="s">
        <v>1463</v>
      </c>
      <c r="F118" s="1342">
        <v>42033</v>
      </c>
      <c r="G118" s="1367">
        <v>23</v>
      </c>
      <c r="H118" s="1356">
        <v>15</v>
      </c>
      <c r="I118" s="1356">
        <v>17</v>
      </c>
      <c r="J118" s="1367">
        <v>57.59</v>
      </c>
      <c r="K118" s="1368">
        <f t="shared" si="33"/>
        <v>16490.366999999998</v>
      </c>
      <c r="L118" s="1339">
        <v>7000</v>
      </c>
      <c r="M118" s="1339">
        <v>23490.366999999998</v>
      </c>
      <c r="N118" s="1325">
        <f t="shared" si="34"/>
        <v>379278.44099999999</v>
      </c>
      <c r="O118" s="1345">
        <f t="shared" si="35"/>
        <v>161000</v>
      </c>
      <c r="P118" s="1325">
        <f t="shared" si="36"/>
        <v>540278.44099999999</v>
      </c>
      <c r="Q118" s="1325"/>
      <c r="R118" s="1343">
        <v>57.59</v>
      </c>
      <c r="S118" s="1346">
        <f t="shared" si="37"/>
        <v>1352810.2355299999</v>
      </c>
      <c r="T118" s="1347">
        <f t="shared" si="38"/>
        <v>1.5039130434782608</v>
      </c>
      <c r="U118" s="1349" t="s">
        <v>902</v>
      </c>
      <c r="V118" s="1349" t="s">
        <v>904</v>
      </c>
      <c r="W118" s="1350">
        <f t="shared" si="39"/>
        <v>540278.44099999999</v>
      </c>
      <c r="X118" s="1355">
        <f t="shared" si="40"/>
        <v>0</v>
      </c>
      <c r="Y118" s="1321"/>
      <c r="Z118" s="1321"/>
      <c r="AA118" s="1321"/>
      <c r="AB118" s="1345"/>
      <c r="AC118" s="1360"/>
      <c r="AD118" s="1359"/>
      <c r="AE118" s="1321"/>
      <c r="AF118" s="1321"/>
      <c r="AG118" s="1321"/>
    </row>
    <row r="119" spans="1:34" s="1321" customFormat="1" ht="14.85" customHeight="1" outlineLevel="1">
      <c r="A119" s="1327"/>
      <c r="B119" s="1321" t="s">
        <v>1376</v>
      </c>
      <c r="C119" s="1340" t="s">
        <v>1377</v>
      </c>
      <c r="D119" s="1341" t="s">
        <v>1845</v>
      </c>
      <c r="E119" s="1340" t="s">
        <v>1378</v>
      </c>
      <c r="F119" s="1342">
        <v>42200</v>
      </c>
      <c r="G119" s="1367">
        <v>16</v>
      </c>
      <c r="H119" s="1356">
        <v>13</v>
      </c>
      <c r="I119" s="1356">
        <v>15</v>
      </c>
      <c r="J119" s="1367">
        <v>28.27</v>
      </c>
      <c r="K119" s="1368">
        <f t="shared" si="33"/>
        <v>16609.642</v>
      </c>
      <c r="L119" s="1339">
        <v>6365</v>
      </c>
      <c r="M119" s="1339">
        <v>22974.642</v>
      </c>
      <c r="N119" s="1325">
        <f t="shared" si="34"/>
        <v>265754.272</v>
      </c>
      <c r="O119" s="1345">
        <f t="shared" si="35"/>
        <v>101840</v>
      </c>
      <c r="P119" s="1325">
        <f t="shared" si="36"/>
        <v>367594.272</v>
      </c>
      <c r="Q119" s="1325"/>
      <c r="R119" s="1343">
        <v>28.27</v>
      </c>
      <c r="S119" s="1346">
        <f t="shared" si="37"/>
        <v>649493.12933999998</v>
      </c>
      <c r="T119" s="1347">
        <f t="shared" si="38"/>
        <v>0.76687499999999997</v>
      </c>
      <c r="U119" s="1361" t="s">
        <v>1379</v>
      </c>
      <c r="V119" s="1349" t="s">
        <v>1380</v>
      </c>
      <c r="W119" s="1350">
        <f t="shared" si="39"/>
        <v>367594.272</v>
      </c>
      <c r="X119" s="1355">
        <f t="shared" si="40"/>
        <v>0</v>
      </c>
      <c r="Y119" s="1364"/>
      <c r="Z119" s="1363"/>
      <c r="AA119" s="1364"/>
      <c r="AB119" s="1365"/>
      <c r="AC119" s="1363"/>
      <c r="AD119" s="1360"/>
      <c r="AE119" s="1359"/>
      <c r="AF119" s="1361"/>
      <c r="AG119" s="1366"/>
      <c r="AH119" s="1366"/>
    </row>
    <row r="120" spans="1:34" s="1362" customFormat="1" ht="14.85" customHeight="1" outlineLevel="1">
      <c r="A120" s="1327"/>
      <c r="B120" s="1321" t="s">
        <v>1406</v>
      </c>
      <c r="C120" s="1340" t="s">
        <v>1407</v>
      </c>
      <c r="D120" s="1341" t="s">
        <v>1845</v>
      </c>
      <c r="E120" s="1340" t="s">
        <v>1408</v>
      </c>
      <c r="F120" s="1342">
        <v>42130</v>
      </c>
      <c r="G120" s="1367">
        <v>12</v>
      </c>
      <c r="H120" s="1356">
        <v>12</v>
      </c>
      <c r="I120" s="1356">
        <v>14</v>
      </c>
      <c r="J120" s="1367">
        <v>19.079999999999998</v>
      </c>
      <c r="K120" s="1368">
        <f t="shared" si="33"/>
        <v>13907.935000000001</v>
      </c>
      <c r="L120" s="1339">
        <v>5800</v>
      </c>
      <c r="M120" s="1339">
        <v>19707.935000000001</v>
      </c>
      <c r="N120" s="1325">
        <f t="shared" si="34"/>
        <v>166895.22000000003</v>
      </c>
      <c r="O120" s="1345">
        <f t="shared" si="35"/>
        <v>69600</v>
      </c>
      <c r="P120" s="1325">
        <f t="shared" si="36"/>
        <v>236495.22000000003</v>
      </c>
      <c r="Q120" s="1325"/>
      <c r="R120" s="1343">
        <v>19.079999999999998</v>
      </c>
      <c r="S120" s="1346">
        <f t="shared" si="37"/>
        <v>376027.39980000001</v>
      </c>
      <c r="T120" s="1347">
        <f t="shared" si="38"/>
        <v>0.58999999999999986</v>
      </c>
      <c r="U120" s="1348" t="s">
        <v>1409</v>
      </c>
      <c r="V120" s="1349" t="s">
        <v>1410</v>
      </c>
      <c r="W120" s="1350">
        <f t="shared" si="39"/>
        <v>236495.22000000003</v>
      </c>
      <c r="X120" s="1355">
        <f t="shared" si="40"/>
        <v>0</v>
      </c>
      <c r="Y120" s="1327"/>
      <c r="Z120" s="1321"/>
      <c r="AA120" s="1321"/>
      <c r="AB120" s="1321"/>
      <c r="AC120" s="1345"/>
      <c r="AD120" s="1360"/>
      <c r="AE120" s="1359"/>
      <c r="AF120" s="1321"/>
      <c r="AG120" s="1321"/>
      <c r="AH120" s="1321"/>
    </row>
    <row r="121" spans="1:34" s="1321" customFormat="1" ht="14.85" customHeight="1" outlineLevel="1">
      <c r="F121" s="1401"/>
      <c r="G121" s="1401"/>
      <c r="H121" s="1401"/>
      <c r="I121" s="1401"/>
      <c r="J121" s="1401"/>
      <c r="K121" s="1401"/>
      <c r="L121" s="1401"/>
      <c r="M121" s="1401"/>
      <c r="N121" s="1401"/>
      <c r="O121" s="1401"/>
      <c r="P121" s="1401"/>
      <c r="Q121" s="1325"/>
      <c r="R121" s="1401"/>
    </row>
    <row r="122" spans="1:34" s="1321" customFormat="1" ht="14.85" customHeight="1" outlineLevel="1">
      <c r="B122" s="1470" t="s">
        <v>111</v>
      </c>
      <c r="C122" s="1471"/>
      <c r="D122" s="1471"/>
      <c r="E122" s="1471"/>
      <c r="F122" s="1471"/>
      <c r="G122" s="1471"/>
      <c r="H122" s="1471"/>
      <c r="I122" s="1471"/>
      <c r="J122" s="1471"/>
      <c r="K122" s="1471"/>
      <c r="L122" s="1471"/>
      <c r="M122" s="1471"/>
      <c r="N122" s="1472">
        <f>MAX(N109:N120)</f>
        <v>526615.98900000006</v>
      </c>
      <c r="O122" s="1472"/>
      <c r="P122" s="1473">
        <f>MAX(P109:P120)</f>
        <v>602615.98900000006</v>
      </c>
      <c r="Q122" s="1325"/>
      <c r="R122" s="1475">
        <f>MAX(R110:R120)</f>
        <v>57.59</v>
      </c>
    </row>
    <row r="123" spans="1:34" s="1321" customFormat="1" ht="14.85" customHeight="1" outlineLevel="1">
      <c r="B123" s="1374" t="s">
        <v>115</v>
      </c>
      <c r="C123" s="1375"/>
      <c r="D123" s="1375"/>
      <c r="E123" s="1375"/>
      <c r="F123" s="1375"/>
      <c r="G123" s="1375"/>
      <c r="H123" s="1375"/>
      <c r="I123" s="1375"/>
      <c r="J123" s="1375"/>
      <c r="K123" s="1375"/>
      <c r="L123" s="1375"/>
      <c r="M123" s="1375"/>
      <c r="N123" s="1299">
        <f>QUARTILE(N109:N120,3)</f>
        <v>294135.31425</v>
      </c>
      <c r="O123" s="1299"/>
      <c r="P123" s="1376">
        <f>QUARTILE(P109:P120,3)</f>
        <v>383473.16899999999</v>
      </c>
      <c r="Q123" s="1325"/>
      <c r="R123" s="1403">
        <f>QUARTILE(R110:R120,3)</f>
        <v>22.744999999999997</v>
      </c>
    </row>
    <row r="124" spans="1:34" s="1321" customFormat="1" ht="14.85" customHeight="1" outlineLevel="1">
      <c r="B124" s="1374" t="s">
        <v>43</v>
      </c>
      <c r="C124" s="1375"/>
      <c r="D124" s="1375"/>
      <c r="E124" s="1375"/>
      <c r="F124" s="1375"/>
      <c r="G124" s="1375"/>
      <c r="H124" s="1375"/>
      <c r="I124" s="1375"/>
      <c r="J124" s="1375"/>
      <c r="K124" s="1375"/>
      <c r="L124" s="1375"/>
      <c r="M124" s="1375"/>
      <c r="N124" s="1299">
        <f>AVERAGE(N109:N120)</f>
        <v>212349.33975000001</v>
      </c>
      <c r="O124" s="1299"/>
      <c r="P124" s="1376">
        <f>AVERAGE(P109:P120)</f>
        <v>272984.77499999997</v>
      </c>
      <c r="Q124" s="1325"/>
      <c r="R124" s="1403">
        <f>AVERAGE(R110:R120)</f>
        <v>19.812727272727273</v>
      </c>
    </row>
    <row r="125" spans="1:34" s="1321" customFormat="1" ht="14.85" customHeight="1" outlineLevel="1">
      <c r="B125" s="1374" t="s">
        <v>44</v>
      </c>
      <c r="C125" s="1375"/>
      <c r="D125" s="1375"/>
      <c r="E125" s="1375"/>
      <c r="F125" s="1375"/>
      <c r="G125" s="1375"/>
      <c r="H125" s="1375"/>
      <c r="I125" s="1375"/>
      <c r="J125" s="1375"/>
      <c r="K125" s="1375"/>
      <c r="L125" s="1375"/>
      <c r="M125" s="1375"/>
      <c r="N125" s="1299">
        <f>MEDIAN(N109:N120)</f>
        <v>156112.98000000001</v>
      </c>
      <c r="O125" s="1299"/>
      <c r="P125" s="1376">
        <f>MEDIAN(P109:P120)</f>
        <v>226904.95299999998</v>
      </c>
      <c r="Q125" s="1325"/>
      <c r="R125" s="1403">
        <f>MEDIAN(R110:R120)</f>
        <v>19.93</v>
      </c>
    </row>
    <row r="126" spans="1:34" s="1321" customFormat="1" ht="14.85" customHeight="1" outlineLevel="1">
      <c r="B126" s="1374" t="s">
        <v>114</v>
      </c>
      <c r="C126" s="1375"/>
      <c r="D126" s="1375"/>
      <c r="E126" s="1375"/>
      <c r="F126" s="1375"/>
      <c r="G126" s="1375"/>
      <c r="H126" s="1375"/>
      <c r="I126" s="1375"/>
      <c r="J126" s="1375"/>
      <c r="K126" s="1375"/>
      <c r="L126" s="1375"/>
      <c r="M126" s="1375"/>
      <c r="N126" s="1299">
        <f>QUARTILE(N109:N120,1)</f>
        <v>115023.19224999999</v>
      </c>
      <c r="O126" s="1299"/>
      <c r="P126" s="1376">
        <f>QUARTILE(P109:P120,1)</f>
        <v>164267.65925000003</v>
      </c>
      <c r="Q126" s="1325"/>
      <c r="R126" s="1403">
        <f>QUARTILE(R110:R120,1)</f>
        <v>8.7799999999999994</v>
      </c>
    </row>
    <row r="127" spans="1:34" s="1321" customFormat="1" ht="14.85" customHeight="1" outlineLevel="1">
      <c r="B127" s="1378" t="s">
        <v>112</v>
      </c>
      <c r="C127" s="1379"/>
      <c r="D127" s="1379"/>
      <c r="E127" s="1379"/>
      <c r="F127" s="1379"/>
      <c r="G127" s="1379"/>
      <c r="H127" s="1379"/>
      <c r="I127" s="1379"/>
      <c r="J127" s="1379"/>
      <c r="K127" s="1379"/>
      <c r="L127" s="1379"/>
      <c r="M127" s="1379"/>
      <c r="N127" s="1301">
        <f>MIN(N109:N120)</f>
        <v>33872.124000000003</v>
      </c>
      <c r="O127" s="1301"/>
      <c r="P127" s="1380">
        <f>MIN(P109:P120)</f>
        <v>37971.624000000003</v>
      </c>
      <c r="Q127" s="1325"/>
      <c r="R127" s="1404">
        <f>MIN(R110:R120)</f>
        <v>3.1</v>
      </c>
    </row>
    <row r="128" spans="1:34" s="1321" customFormat="1" ht="14.85" customHeight="1" outlineLevel="1">
      <c r="F128" s="1401"/>
      <c r="G128" s="1401"/>
      <c r="H128" s="1401"/>
      <c r="I128" s="1401"/>
      <c r="J128" s="1401"/>
      <c r="K128" s="1401"/>
      <c r="L128" s="1401"/>
      <c r="M128" s="1401"/>
      <c r="N128" s="1401"/>
      <c r="O128" s="1401"/>
      <c r="P128" s="1401"/>
      <c r="Q128" s="1325"/>
      <c r="R128" s="1401"/>
    </row>
    <row r="129" spans="2:18" s="1321" customFormat="1" ht="14.85" customHeight="1" outlineLevel="1">
      <c r="B129" s="1382" t="s">
        <v>1846</v>
      </c>
      <c r="F129" s="1401"/>
      <c r="G129" s="1401"/>
      <c r="H129" s="1401"/>
      <c r="I129" s="1401"/>
      <c r="J129" s="1401"/>
      <c r="K129" s="1401"/>
      <c r="L129" s="1401"/>
      <c r="M129" s="1401"/>
      <c r="N129" s="1401"/>
      <c r="O129" s="1401"/>
      <c r="P129" s="1401"/>
      <c r="Q129" s="1325"/>
      <c r="R129" s="1401"/>
    </row>
    <row r="130" spans="2:18" s="1321" customFormat="1" ht="14.85" customHeight="1">
      <c r="B130" s="1470" t="s">
        <v>111</v>
      </c>
      <c r="C130" s="1471"/>
      <c r="D130" s="1471"/>
      <c r="E130" s="1471"/>
      <c r="F130" s="1471"/>
      <c r="G130" s="1471"/>
      <c r="H130" s="1471"/>
      <c r="I130" s="1471"/>
      <c r="J130" s="1471"/>
      <c r="K130" s="1471"/>
      <c r="L130" s="1471"/>
      <c r="M130" s="1471"/>
      <c r="N130" s="1476">
        <f>MAX(N11:N19)</f>
        <v>1558841.55</v>
      </c>
      <c r="O130" s="1476"/>
      <c r="P130" s="1477">
        <f>MAX(P11:P19)</f>
        <v>1649841.55</v>
      </c>
      <c r="Q130" s="1325"/>
      <c r="R130" s="1478">
        <f>MAX(R11:R19)</f>
        <v>2396147.65478</v>
      </c>
    </row>
    <row r="131" spans="2:18" s="1321" customFormat="1" ht="14.85" customHeight="1">
      <c r="B131" s="1374" t="s">
        <v>115</v>
      </c>
      <c r="C131" s="1375"/>
      <c r="D131" s="1375"/>
      <c r="E131" s="1375"/>
      <c r="F131" s="1375"/>
      <c r="G131" s="1375"/>
      <c r="H131" s="1375"/>
      <c r="I131" s="1375"/>
      <c r="J131" s="1375"/>
      <c r="K131" s="1375"/>
      <c r="L131" s="1375"/>
      <c r="M131" s="1375"/>
      <c r="N131" s="1479">
        <f>QUARTILE(N11:N19,3)</f>
        <v>383102.17200000002</v>
      </c>
      <c r="O131" s="1479"/>
      <c r="P131" s="1480">
        <f>QUARTILE(P11:P19,3)</f>
        <v>473102.17200000002</v>
      </c>
      <c r="Q131" s="1325"/>
      <c r="R131" s="1481">
        <f>QUARTILE(R11:R19,3)</f>
        <v>811370.22498000006</v>
      </c>
    </row>
    <row r="132" spans="2:18" s="1321" customFormat="1" ht="14.85" customHeight="1">
      <c r="B132" s="1374" t="s">
        <v>43</v>
      </c>
      <c r="C132" s="1375"/>
      <c r="D132" s="1375"/>
      <c r="E132" s="1375"/>
      <c r="F132" s="1375"/>
      <c r="G132" s="1375"/>
      <c r="H132" s="1375"/>
      <c r="I132" s="1375"/>
      <c r="J132" s="1375"/>
      <c r="K132" s="1375"/>
      <c r="L132" s="1375"/>
      <c r="M132" s="1375"/>
      <c r="N132" s="1479">
        <f>AVERAGE(N11:N19)</f>
        <v>437432.04233333335</v>
      </c>
      <c r="O132" s="1479"/>
      <c r="P132" s="1480">
        <f>AVERAGE(P11:P19)</f>
        <v>498380.74544444442</v>
      </c>
      <c r="Q132" s="1325"/>
      <c r="R132" s="1481">
        <f>AVERAGE(R11:R19)</f>
        <v>636479.52348444448</v>
      </c>
    </row>
    <row r="133" spans="2:18" s="1321" customFormat="1" ht="14.85" customHeight="1">
      <c r="B133" s="1374" t="s">
        <v>44</v>
      </c>
      <c r="C133" s="1375"/>
      <c r="D133" s="1375"/>
      <c r="E133" s="1375"/>
      <c r="F133" s="1375"/>
      <c r="G133" s="1375"/>
      <c r="H133" s="1375"/>
      <c r="I133" s="1375"/>
      <c r="J133" s="1375"/>
      <c r="K133" s="1375"/>
      <c r="L133" s="1375"/>
      <c r="M133" s="1375"/>
      <c r="N133" s="1479">
        <f>MEDIAN(N11:N19)</f>
        <v>154237.644</v>
      </c>
      <c r="O133" s="1479"/>
      <c r="P133" s="1480">
        <f>MEDIAN(P11:P19)</f>
        <v>198237.644</v>
      </c>
      <c r="Q133" s="1325"/>
      <c r="R133" s="1481">
        <f>MEDIAN(R11:R19)</f>
        <v>268554.77220000001</v>
      </c>
    </row>
    <row r="134" spans="2:18" s="1321" customFormat="1" ht="14.85" customHeight="1">
      <c r="B134" s="1374" t="s">
        <v>114</v>
      </c>
      <c r="C134" s="1375"/>
      <c r="D134" s="1375"/>
      <c r="E134" s="1375"/>
      <c r="F134" s="1375"/>
      <c r="G134" s="1375"/>
      <c r="H134" s="1375"/>
      <c r="I134" s="1375"/>
      <c r="J134" s="1375"/>
      <c r="K134" s="1375"/>
      <c r="L134" s="1375"/>
      <c r="M134" s="1375"/>
      <c r="N134" s="1479">
        <f>QUARTILE(N11:N19,1)</f>
        <v>73793.01999999999</v>
      </c>
      <c r="O134" s="1479"/>
      <c r="P134" s="1480">
        <f>QUARTILE(P11:P19,1)</f>
        <v>105043.01999999999</v>
      </c>
      <c r="Q134" s="1325"/>
      <c r="R134" s="1481">
        <f>QUARTILE(R11:R19,1)</f>
        <v>105253.10604</v>
      </c>
    </row>
    <row r="135" spans="2:18" s="1321" customFormat="1" ht="14.85" customHeight="1">
      <c r="B135" s="1378" t="s">
        <v>112</v>
      </c>
      <c r="C135" s="1379"/>
      <c r="D135" s="1379"/>
      <c r="E135" s="1379"/>
      <c r="F135" s="1379"/>
      <c r="G135" s="1379"/>
      <c r="H135" s="1379"/>
      <c r="I135" s="1379"/>
      <c r="J135" s="1379"/>
      <c r="K135" s="1379"/>
      <c r="L135" s="1379"/>
      <c r="M135" s="1379"/>
      <c r="N135" s="1482">
        <f>MIN(N11:N19)</f>
        <v>31347.355</v>
      </c>
      <c r="O135" s="1482"/>
      <c r="P135" s="1483">
        <f>MIN(P11:P19)</f>
        <v>41422.354999999996</v>
      </c>
      <c r="Q135" s="1325"/>
      <c r="R135" s="1484">
        <f>MIN(R11:R19)</f>
        <v>15931.674999999999</v>
      </c>
    </row>
    <row r="136" spans="2:18" ht="14.85" customHeight="1">
      <c r="Q136" s="1310"/>
      <c r="R136" s="1485"/>
    </row>
    <row r="137" spans="2:18" ht="14.85" customHeight="1">
      <c r="B137" s="272" t="s">
        <v>116</v>
      </c>
    </row>
    <row r="138" spans="2:18" ht="14.85" customHeight="1">
      <c r="C138" s="1303" t="s">
        <v>1488</v>
      </c>
    </row>
    <row r="139" spans="2:18" ht="14.85" customHeight="1">
      <c r="C139" s="1303" t="s">
        <v>1489</v>
      </c>
    </row>
    <row r="140" spans="2:18" ht="14.85" customHeight="1">
      <c r="C140" s="1303" t="s">
        <v>1490</v>
      </c>
    </row>
    <row r="141" spans="2:18" ht="14.85" customHeight="1">
      <c r="C141" s="1303" t="s">
        <v>1491</v>
      </c>
    </row>
    <row r="142" spans="2:18" ht="14.85" customHeight="1">
      <c r="C142" s="1303" t="s">
        <v>1492</v>
      </c>
    </row>
    <row r="143" spans="2:18" ht="14.85" customHeight="1">
      <c r="C143" s="1303" t="s">
        <v>1493</v>
      </c>
    </row>
    <row r="144" spans="2:18" ht="14.85" customHeight="1">
      <c r="C144" s="1303" t="s">
        <v>1546</v>
      </c>
    </row>
    <row r="145" spans="3:3" ht="14.85" customHeight="1">
      <c r="C145" s="1303" t="s">
        <v>1494</v>
      </c>
    </row>
    <row r="146" spans="3:3" ht="14.85" customHeight="1">
      <c r="C146" s="1303" t="s">
        <v>1495</v>
      </c>
    </row>
    <row r="147" spans="3:3" ht="14.85" customHeight="1">
      <c r="C147" s="1303" t="s">
        <v>1496</v>
      </c>
    </row>
    <row r="148" spans="3:3" ht="14.85" customHeight="1">
      <c r="C148" s="1303" t="s">
        <v>1497</v>
      </c>
    </row>
    <row r="149" spans="3:3" ht="14.85" customHeight="1">
      <c r="C149" s="1303" t="s">
        <v>1498</v>
      </c>
    </row>
    <row r="150" spans="3:3" ht="14.85" customHeight="1">
      <c r="C150" s="1303" t="s">
        <v>1499</v>
      </c>
    </row>
    <row r="151" spans="3:3" ht="14.85" customHeight="1">
      <c r="C151" s="1303" t="s">
        <v>1500</v>
      </c>
    </row>
    <row r="152" spans="3:3" ht="14.85" customHeight="1">
      <c r="C152" s="1303" t="s">
        <v>1501</v>
      </c>
    </row>
    <row r="153" spans="3:3" ht="14.85" customHeight="1">
      <c r="C153" s="1303" t="s">
        <v>1502</v>
      </c>
    </row>
    <row r="154" spans="3:3" ht="14.85" customHeight="1">
      <c r="C154" s="1303" t="s">
        <v>1547</v>
      </c>
    </row>
    <row r="155" spans="3:3" ht="14.85" customHeight="1">
      <c r="C155" s="1303" t="s">
        <v>1548</v>
      </c>
    </row>
    <row r="156" spans="3:3" ht="14.85" customHeight="1">
      <c r="C156" s="1303" t="s">
        <v>1503</v>
      </c>
    </row>
    <row r="157" spans="3:3" ht="14.85" customHeight="1">
      <c r="C157" s="1303" t="s">
        <v>940</v>
      </c>
    </row>
    <row r="158" spans="3:3" ht="14.85" customHeight="1">
      <c r="C158" s="1303" t="s">
        <v>1504</v>
      </c>
    </row>
    <row r="159" spans="3:3" ht="14.85" customHeight="1">
      <c r="C159" s="1303" t="s">
        <v>1505</v>
      </c>
    </row>
    <row r="160" spans="3:3" ht="14.85" customHeight="1">
      <c r="C160" s="1303" t="s">
        <v>1507</v>
      </c>
    </row>
    <row r="161" spans="3:3" ht="14.85" customHeight="1">
      <c r="C161" s="1303" t="s">
        <v>1510</v>
      </c>
    </row>
    <row r="162" spans="3:3" ht="14.85" customHeight="1">
      <c r="C162" s="1303" t="s">
        <v>1512</v>
      </c>
    </row>
    <row r="163" spans="3:3" ht="14.85" customHeight="1">
      <c r="C163" s="1303" t="s">
        <v>1516</v>
      </c>
    </row>
    <row r="164" spans="3:3" ht="14.85" customHeight="1">
      <c r="C164" s="1303" t="s">
        <v>1520</v>
      </c>
    </row>
    <row r="165" spans="3:3" ht="14.85" customHeight="1">
      <c r="C165" s="1303" t="s">
        <v>1521</v>
      </c>
    </row>
    <row r="166" spans="3:3" ht="14.85" customHeight="1">
      <c r="C166" s="1303" t="s">
        <v>1522</v>
      </c>
    </row>
    <row r="167" spans="3:3" ht="14.85" customHeight="1">
      <c r="C167" s="1303" t="s">
        <v>1524</v>
      </c>
    </row>
    <row r="168" spans="3:3" ht="14.85" customHeight="1">
      <c r="C168" s="1303" t="s">
        <v>1528</v>
      </c>
    </row>
    <row r="169" spans="3:3" ht="14.85" customHeight="1">
      <c r="C169" s="1303" t="s">
        <v>1529</v>
      </c>
    </row>
    <row r="170" spans="3:3" ht="14.85" customHeight="1">
      <c r="C170" s="1303" t="s">
        <v>1530</v>
      </c>
    </row>
    <row r="171" spans="3:3" ht="14.85" customHeight="1">
      <c r="C171" s="1303" t="s">
        <v>1549</v>
      </c>
    </row>
    <row r="172" spans="3:3" ht="14.85" customHeight="1">
      <c r="C172" s="1303" t="s">
        <v>1531</v>
      </c>
    </row>
    <row r="173" spans="3:3" ht="14.85" customHeight="1">
      <c r="C173" s="1303" t="s">
        <v>1532</v>
      </c>
    </row>
    <row r="174" spans="3:3" ht="14.85" customHeight="1">
      <c r="C174" s="1303" t="s">
        <v>1533</v>
      </c>
    </row>
    <row r="175" spans="3:3" ht="14.85" customHeight="1">
      <c r="C175" s="1303" t="s">
        <v>1534</v>
      </c>
    </row>
    <row r="176" spans="3:3" ht="14.85" customHeight="1">
      <c r="C176" s="1303" t="s">
        <v>1535</v>
      </c>
    </row>
    <row r="177" spans="3:3" ht="14.85" customHeight="1">
      <c r="C177" s="1303" t="s">
        <v>1536</v>
      </c>
    </row>
    <row r="178" spans="3:3" ht="14.85" customHeight="1">
      <c r="C178" s="1303" t="s">
        <v>1537</v>
      </c>
    </row>
    <row r="179" spans="3:3" ht="14.85" customHeight="1">
      <c r="C179" s="1303" t="s">
        <v>1538</v>
      </c>
    </row>
    <row r="180" spans="3:3" ht="14.85" customHeight="1">
      <c r="C180" s="1303" t="s">
        <v>1539</v>
      </c>
    </row>
    <row r="181" spans="3:3" ht="14.85" customHeight="1">
      <c r="C181" s="1303" t="s">
        <v>1540</v>
      </c>
    </row>
    <row r="182" spans="3:3" ht="14.85" customHeight="1">
      <c r="C182" s="1303" t="s">
        <v>1541</v>
      </c>
    </row>
    <row r="183" spans="3:3" ht="14.85" customHeight="1">
      <c r="C183" s="1303" t="s">
        <v>1542</v>
      </c>
    </row>
    <row r="184" spans="3:3" ht="14.85" customHeight="1">
      <c r="C184" s="1303" t="s">
        <v>1543</v>
      </c>
    </row>
    <row r="185" spans="3:3" ht="14.85" customHeight="1">
      <c r="C185" s="1303" t="s">
        <v>1544</v>
      </c>
    </row>
    <row r="186" spans="3:3" ht="14.85" customHeight="1">
      <c r="C186" s="1303" t="s">
        <v>1545</v>
      </c>
    </row>
    <row r="187" spans="3:3" ht="14.85" customHeight="1"/>
    <row r="188" spans="3:3" ht="14.85" customHeight="1"/>
    <row r="189" spans="3:3" ht="14.85" customHeight="1"/>
    <row r="190" spans="3:3" ht="14.85" customHeight="1"/>
    <row r="191" spans="3:3" ht="14.85" customHeight="1"/>
    <row r="192" spans="3:3"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0">
    <mergeCell ref="F8:F9"/>
    <mergeCell ref="K8:K9"/>
    <mergeCell ref="O8:O9"/>
    <mergeCell ref="P8:P9"/>
    <mergeCell ref="R8:R9"/>
    <mergeCell ref="S8:S9"/>
    <mergeCell ref="T8:T9"/>
    <mergeCell ref="U8:U9"/>
    <mergeCell ref="G8:G9"/>
    <mergeCell ref="H8:I8"/>
    <mergeCell ref="J8:J9"/>
    <mergeCell ref="L8:L9"/>
    <mergeCell ref="M8:M9"/>
    <mergeCell ref="N8:N9"/>
    <mergeCell ref="AD8:AD9"/>
    <mergeCell ref="X8:X9"/>
    <mergeCell ref="Z8:Z9"/>
    <mergeCell ref="AA8:AA9"/>
    <mergeCell ref="AB8:AB9"/>
    <mergeCell ref="AC8:AC9"/>
  </mergeCells>
  <conditionalFormatting sqref="C4:E4">
    <cfRule type="cellIs" dxfId="71" priority="8" stopIfTrue="1" operator="equal">
      <formula>"input"</formula>
    </cfRule>
  </conditionalFormatting>
  <conditionalFormatting sqref="F4:G4">
    <cfRule type="cellIs" dxfId="70" priority="7" stopIfTrue="1" operator="equal">
      <formula>"input"</formula>
    </cfRule>
  </conditionalFormatting>
  <conditionalFormatting sqref="H4:I4">
    <cfRule type="cellIs" dxfId="69" priority="6" stopIfTrue="1" operator="equal">
      <formula>"input"</formula>
    </cfRule>
  </conditionalFormatting>
  <conditionalFormatting sqref="J4:K4">
    <cfRule type="cellIs" dxfId="68" priority="5" stopIfTrue="1" operator="equal">
      <formula>"input"</formula>
    </cfRule>
  </conditionalFormatting>
  <conditionalFormatting sqref="L4:M4">
    <cfRule type="cellIs" dxfId="67" priority="4" stopIfTrue="1" operator="equal">
      <formula>"input"</formula>
    </cfRule>
  </conditionalFormatting>
  <conditionalFormatting sqref="N4:O4">
    <cfRule type="cellIs" dxfId="66" priority="3" stopIfTrue="1" operator="equal">
      <formula>"input"</formula>
    </cfRule>
  </conditionalFormatting>
  <conditionalFormatting sqref="P4">
    <cfRule type="cellIs" dxfId="65" priority="2" stopIfTrue="1" operator="equal">
      <formula>"input"</formula>
    </cfRule>
  </conditionalFormatting>
  <conditionalFormatting sqref="B4">
    <cfRule type="cellIs" dxfId="64" priority="1" stopIfTrue="1" operator="equal">
      <formula>"input"</formula>
    </cfRule>
  </conditionalFormatting>
  <pageMargins left="0.5" right="0.5" top="0.5" bottom="0.5" header="0.5" footer="0.5"/>
  <pageSetup scale="78" fitToWidth="0" fitToHeight="0" orientation="landscape" r:id="rId1"/>
  <rowBreaks count="3" manualBreakCount="3">
    <brk id="46" max="16" man="1"/>
    <brk id="77" max="16" man="1"/>
    <brk id="107" max="16" man="1"/>
  </rowBreaks>
  <legacyDrawing r:id="rId2"/>
  <legacyDrawingHF r:id="rId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57"/>
  <dimension ref="B1:K764"/>
  <sheetViews>
    <sheetView showGridLines="0" view="pageBreakPreview" zoomScale="80" zoomScaleNormal="100" zoomScaleSheetLayoutView="80" workbookViewId="0"/>
  </sheetViews>
  <sheetFormatPr defaultRowHeight="12.75" outlineLevelRow="1"/>
  <cols>
    <col min="1" max="1" width="2.83203125" style="179" customWidth="1"/>
    <col min="2" max="2" width="47.5" style="179" customWidth="1"/>
    <col min="3" max="3" width="18.6640625" style="179" customWidth="1"/>
    <col min="4" max="4" width="2.83203125" style="179" customWidth="1"/>
    <col min="5" max="5" width="33.83203125" style="179" customWidth="1"/>
    <col min="6" max="6" width="2.83203125" style="179" customWidth="1"/>
    <col min="7" max="8" width="26" style="179" customWidth="1"/>
    <col min="9" max="9" width="2.83203125" style="179" customWidth="1"/>
    <col min="10" max="10" width="1.83203125" style="179" customWidth="1"/>
    <col min="11" max="16384" width="9.33203125" style="179"/>
  </cols>
  <sheetData>
    <row r="1" spans="2:11" ht="10.7" customHeight="1" thickBot="1"/>
    <row r="2" spans="2:11" ht="16.5" customHeight="1" thickTop="1">
      <c r="B2" s="187" t="str">
        <f>'MASTER PubCo Inputs'!$C$5</f>
        <v>Decibel Therapeutics, Inc.</v>
      </c>
      <c r="C2" s="187"/>
      <c r="D2" s="187"/>
      <c r="E2" s="187"/>
      <c r="F2" s="187"/>
      <c r="G2" s="187"/>
      <c r="H2" s="187"/>
    </row>
    <row r="3" spans="2:11" ht="15.75" customHeight="1">
      <c r="B3" s="188" t="e">
        <f>VLOOKUP(B4,Outline!$E$8:$G$75,COLUMNS(Outline!$E$8:$G$8),FALSE)</f>
        <v>#N/A</v>
      </c>
      <c r="C3" s="188"/>
      <c r="D3" s="188"/>
      <c r="E3" s="188"/>
      <c r="F3" s="188"/>
      <c r="G3" s="188"/>
      <c r="H3" s="188"/>
    </row>
    <row r="4" spans="2:11" ht="16.5" customHeight="1" thickBot="1">
      <c r="B4" s="726" t="s">
        <v>635</v>
      </c>
      <c r="C4" s="726"/>
      <c r="D4" s="726"/>
      <c r="E4" s="726"/>
      <c r="F4" s="726"/>
      <c r="G4" s="726"/>
      <c r="H4" s="726"/>
    </row>
    <row r="5" spans="2:11" ht="14.85" customHeight="1" thickTop="1"/>
    <row r="6" spans="2:11" ht="14.85" customHeight="1">
      <c r="B6" s="326" t="s">
        <v>730</v>
      </c>
      <c r="C6" s="326"/>
      <c r="G6" s="326" t="s">
        <v>730</v>
      </c>
    </row>
    <row r="7" spans="2:11" ht="14.85" customHeight="1">
      <c r="B7" s="1486" t="s">
        <v>3231</v>
      </c>
      <c r="C7" s="1486"/>
      <c r="D7" s="635"/>
      <c r="E7" s="635"/>
      <c r="F7" s="635"/>
      <c r="G7" s="1487" t="s">
        <v>3232</v>
      </c>
      <c r="H7" s="1487"/>
    </row>
    <row r="8" spans="2:11" s="200" customFormat="1" ht="14.85" customHeight="1">
      <c r="B8" s="1488" t="s">
        <v>731</v>
      </c>
      <c r="C8" s="1127"/>
      <c r="E8" s="1489" t="s">
        <v>714</v>
      </c>
      <c r="F8" s="1490"/>
      <c r="G8" s="1491" t="s">
        <v>714</v>
      </c>
      <c r="H8" s="1492"/>
      <c r="K8" s="1493"/>
    </row>
    <row r="9" spans="2:11" ht="14.85" customHeight="1">
      <c r="K9" s="1493"/>
    </row>
    <row r="10" spans="2:11" ht="14.85" customHeight="1" thickBot="1">
      <c r="B10" s="1494" t="s">
        <v>715</v>
      </c>
      <c r="C10" s="1494"/>
      <c r="D10" s="1494"/>
      <c r="E10" s="1495"/>
      <c r="F10" s="325"/>
      <c r="G10" s="1496" t="s">
        <v>364</v>
      </c>
      <c r="H10" s="1496" t="s">
        <v>365</v>
      </c>
      <c r="K10" s="1493"/>
    </row>
    <row r="11" spans="2:11" ht="14.85" customHeight="1">
      <c r="B11" s="179" t="s">
        <v>716</v>
      </c>
      <c r="E11" s="256">
        <v>0.41499999999999998</v>
      </c>
      <c r="F11" s="256"/>
      <c r="G11" s="874">
        <f>Trans.1!AI45</f>
        <v>1.7566499999999999E-2</v>
      </c>
      <c r="H11" s="874">
        <f>Trans.1!AJ45</f>
        <v>0.25005575000000002</v>
      </c>
      <c r="K11" s="1493"/>
    </row>
    <row r="12" spans="2:11" ht="14.85" customHeight="1">
      <c r="B12" s="179" t="s">
        <v>44</v>
      </c>
      <c r="E12" s="256">
        <v>0.28100000000000003</v>
      </c>
      <c r="F12" s="256"/>
      <c r="G12" s="874">
        <f>Trans.1!AI46</f>
        <v>0</v>
      </c>
      <c r="H12" s="874">
        <f>Trans.1!AJ46</f>
        <v>0</v>
      </c>
      <c r="K12" s="1493"/>
    </row>
    <row r="13" spans="2:11" ht="14.85" customHeight="1">
      <c r="E13" s="325"/>
      <c r="F13" s="325"/>
      <c r="G13" s="325"/>
      <c r="H13" s="325"/>
      <c r="K13" s="1493"/>
    </row>
    <row r="14" spans="2:11" ht="14.85" customHeight="1" thickBot="1">
      <c r="B14" s="1497" t="s">
        <v>717</v>
      </c>
      <c r="C14" s="1497"/>
      <c r="D14" s="1494"/>
      <c r="E14" s="1495"/>
      <c r="F14" s="325"/>
      <c r="G14" s="325"/>
      <c r="H14" s="325"/>
      <c r="K14" s="1493"/>
    </row>
    <row r="15" spans="2:11" ht="14.85" customHeight="1">
      <c r="B15" s="179" t="s">
        <v>716</v>
      </c>
      <c r="E15" s="256">
        <v>0.43099999999999999</v>
      </c>
      <c r="F15" s="256"/>
      <c r="G15" s="256"/>
      <c r="H15" s="256"/>
      <c r="K15" s="1493"/>
    </row>
    <row r="16" spans="2:11" ht="14.85" customHeight="1">
      <c r="B16" s="179" t="s">
        <v>44</v>
      </c>
      <c r="E16" s="256">
        <v>0.28899999999999998</v>
      </c>
      <c r="F16" s="256"/>
      <c r="G16" s="256"/>
      <c r="H16" s="256"/>
      <c r="K16" s="1493"/>
    </row>
    <row r="17" spans="2:11" ht="14.85" customHeight="1">
      <c r="E17" s="325"/>
      <c r="F17" s="325"/>
      <c r="G17" s="325"/>
      <c r="H17" s="325"/>
      <c r="K17" s="1493"/>
    </row>
    <row r="18" spans="2:11" ht="14.85" customHeight="1">
      <c r="B18" s="1488" t="s">
        <v>718</v>
      </c>
      <c r="C18" s="1127"/>
      <c r="D18" s="200"/>
      <c r="E18" s="1489" t="s">
        <v>714</v>
      </c>
      <c r="F18" s="1490"/>
      <c r="G18" s="1490"/>
      <c r="H18" s="1490"/>
      <c r="K18" s="1493"/>
    </row>
    <row r="19" spans="2:11" ht="14.85" customHeight="1">
      <c r="K19" s="1493"/>
    </row>
    <row r="20" spans="2:11" ht="14.85" customHeight="1" thickBot="1">
      <c r="B20" s="1494" t="s">
        <v>715</v>
      </c>
      <c r="C20" s="1494"/>
      <c r="D20" s="1494"/>
      <c r="E20" s="1495"/>
      <c r="F20" s="325"/>
      <c r="G20" s="325"/>
      <c r="H20" s="325"/>
      <c r="K20" s="1493"/>
    </row>
    <row r="21" spans="2:11" ht="14.85" customHeight="1">
      <c r="B21" s="179" t="s">
        <v>716</v>
      </c>
      <c r="E21" s="1498">
        <v>0.40600000000000003</v>
      </c>
      <c r="F21" s="1498"/>
      <c r="G21" s="1498"/>
      <c r="H21" s="1498"/>
      <c r="K21" s="1493"/>
    </row>
    <row r="22" spans="2:11" ht="14.85" customHeight="1">
      <c r="B22" s="179" t="s">
        <v>44</v>
      </c>
      <c r="E22" s="1498">
        <v>0.27800000000000002</v>
      </c>
      <c r="F22" s="1498"/>
      <c r="G22" s="1498"/>
      <c r="H22" s="1498"/>
    </row>
    <row r="23" spans="2:11" ht="14.85" customHeight="1">
      <c r="E23" s="1499"/>
      <c r="F23" s="1499"/>
      <c r="G23" s="1499"/>
      <c r="H23" s="1499"/>
    </row>
    <row r="24" spans="2:11" ht="14.85" customHeight="1" thickBot="1">
      <c r="B24" s="1497" t="s">
        <v>717</v>
      </c>
      <c r="C24" s="1497"/>
      <c r="D24" s="1494"/>
      <c r="E24" s="1500"/>
      <c r="F24" s="1499"/>
      <c r="G24" s="1499"/>
      <c r="H24" s="1499"/>
    </row>
    <row r="25" spans="2:11" ht="14.85" customHeight="1">
      <c r="B25" s="179" t="s">
        <v>716</v>
      </c>
      <c r="E25" s="1498">
        <v>0.31644285714285714</v>
      </c>
      <c r="F25" s="1498"/>
      <c r="G25" s="1498"/>
      <c r="H25" s="1498"/>
    </row>
    <row r="26" spans="2:11" ht="14.85" customHeight="1">
      <c r="B26" s="179" t="s">
        <v>44</v>
      </c>
      <c r="E26" s="1498">
        <v>0.26500000000000001</v>
      </c>
      <c r="F26" s="1498"/>
      <c r="G26" s="1498"/>
      <c r="H26" s="1498"/>
    </row>
    <row r="27" spans="2:11" ht="14.85" customHeight="1">
      <c r="E27" s="1498"/>
      <c r="F27" s="1498"/>
      <c r="G27" s="1498"/>
      <c r="H27" s="1498"/>
    </row>
    <row r="28" spans="2:11" ht="14.85" customHeight="1">
      <c r="B28" s="1501" t="s">
        <v>719</v>
      </c>
      <c r="C28" s="1502"/>
      <c r="G28" s="1503" t="str">
        <f>'MASTER PubCo Inputs'!C5</f>
        <v>Decibel Therapeutics, Inc.</v>
      </c>
      <c r="H28" s="367" t="s">
        <v>714</v>
      </c>
    </row>
    <row r="29" spans="2:11" ht="14.85" customHeight="1">
      <c r="B29" s="1490"/>
      <c r="C29" s="1490"/>
      <c r="H29" s="1498"/>
    </row>
    <row r="30" spans="2:11" ht="14.85" customHeight="1">
      <c r="B30" s="179" t="s">
        <v>1576</v>
      </c>
      <c r="G30" s="275" t="s">
        <v>720</v>
      </c>
      <c r="H30" s="1498" t="s">
        <v>721</v>
      </c>
    </row>
    <row r="31" spans="2:11" ht="14.85" customHeight="1">
      <c r="B31" s="179" t="s">
        <v>1577</v>
      </c>
      <c r="G31" s="275" t="s">
        <v>111</v>
      </c>
      <c r="H31" s="1498" t="s">
        <v>722</v>
      </c>
    </row>
    <row r="32" spans="2:11" ht="14.85" customHeight="1">
      <c r="B32" s="179" t="s">
        <v>1578</v>
      </c>
      <c r="G32" s="275" t="s">
        <v>111</v>
      </c>
      <c r="H32" s="1498" t="s">
        <v>722</v>
      </c>
    </row>
    <row r="33" spans="2:8" ht="14.85" customHeight="1">
      <c r="B33" s="179" t="s">
        <v>1579</v>
      </c>
      <c r="G33" s="275" t="s">
        <v>720</v>
      </c>
      <c r="H33" s="1498" t="s">
        <v>721</v>
      </c>
    </row>
    <row r="34" spans="2:8" ht="14.85" customHeight="1">
      <c r="B34" s="179" t="s">
        <v>723</v>
      </c>
      <c r="G34" s="275" t="s">
        <v>720</v>
      </c>
      <c r="H34" s="1498" t="s">
        <v>721</v>
      </c>
    </row>
    <row r="35" spans="2:8" ht="14.85" customHeight="1">
      <c r="B35" s="179" t="s">
        <v>1580</v>
      </c>
      <c r="G35" s="275" t="s">
        <v>724</v>
      </c>
      <c r="H35" s="1498" t="s">
        <v>725</v>
      </c>
    </row>
    <row r="36" spans="2:8" ht="14.85" customHeight="1">
      <c r="B36" s="179" t="s">
        <v>1581</v>
      </c>
      <c r="G36" s="275" t="s">
        <v>112</v>
      </c>
      <c r="H36" s="1498" t="s">
        <v>725</v>
      </c>
    </row>
    <row r="37" spans="2:8" ht="14.85" customHeight="1">
      <c r="E37" s="1498"/>
      <c r="F37" s="1498"/>
      <c r="G37" s="1498"/>
      <c r="H37" s="1498"/>
    </row>
    <row r="38" spans="2:8" ht="14.85" hidden="1" customHeight="1" outlineLevel="1">
      <c r="B38" s="1504" t="s">
        <v>726</v>
      </c>
      <c r="C38" s="1505"/>
      <c r="D38" s="1506"/>
      <c r="E38" s="1507"/>
      <c r="F38" s="1508" t="s">
        <v>299</v>
      </c>
      <c r="G38" s="1507"/>
      <c r="H38" s="1509">
        <v>0.18</v>
      </c>
    </row>
    <row r="39" spans="2:8" ht="14.85" customHeight="1" collapsed="1">
      <c r="B39" s="1504" t="s">
        <v>727</v>
      </c>
      <c r="C39" s="1505"/>
      <c r="D39" s="1506"/>
      <c r="E39" s="1506"/>
      <c r="F39" s="1510" t="s">
        <v>299</v>
      </c>
      <c r="G39" s="1506"/>
      <c r="H39" s="1509">
        <v>0.25</v>
      </c>
    </row>
    <row r="40" spans="2:8" ht="14.85" hidden="1" customHeight="1" outlineLevel="1">
      <c r="B40" s="941" t="s">
        <v>728</v>
      </c>
      <c r="C40" s="942"/>
      <c r="D40" s="942"/>
      <c r="E40" s="942"/>
      <c r="F40" s="942"/>
      <c r="G40" s="940"/>
      <c r="H40" s="1047">
        <v>0.15</v>
      </c>
    </row>
    <row r="41" spans="2:8" ht="14.85" customHeight="1" collapsed="1">
      <c r="B41" s="946" t="s">
        <v>1582</v>
      </c>
      <c r="C41" s="663"/>
      <c r="D41" s="663"/>
      <c r="E41" s="663"/>
      <c r="F41" s="663"/>
      <c r="G41" s="1511"/>
      <c r="H41" s="1049">
        <v>0.2</v>
      </c>
    </row>
    <row r="42" spans="2:8" ht="14.85" customHeight="1">
      <c r="B42" s="182"/>
      <c r="C42" s="182"/>
    </row>
    <row r="43" spans="2:8" ht="14.85" customHeight="1">
      <c r="B43" s="272" t="s">
        <v>86</v>
      </c>
      <c r="C43" s="272"/>
    </row>
    <row r="44" spans="2:8" ht="14.85" customHeight="1">
      <c r="B44" s="179" t="s">
        <v>729</v>
      </c>
    </row>
    <row r="45" spans="2:8" ht="14.85" customHeight="1">
      <c r="B45" s="512" t="e">
        <f>"(2) Source: Capital IQ, refer to "&amp;Trans.1!B3&amp;"."</f>
        <v>#N/A</v>
      </c>
      <c r="C45" s="512"/>
    </row>
    <row r="46" spans="2:8" ht="14.85" customHeight="1">
      <c r="B46" s="2090" t="s">
        <v>881</v>
      </c>
      <c r="C46" s="2090"/>
      <c r="D46" s="2090"/>
      <c r="E46" s="2090"/>
      <c r="F46" s="2090"/>
      <c r="G46" s="2090"/>
      <c r="H46" s="2090"/>
    </row>
    <row r="47" spans="2:8" ht="14.85" customHeight="1">
      <c r="B47" s="2090"/>
      <c r="C47" s="2090"/>
      <c r="D47" s="2090"/>
      <c r="E47" s="2090"/>
      <c r="F47" s="2090"/>
      <c r="G47" s="2090"/>
      <c r="H47" s="2090"/>
    </row>
    <row r="48" spans="2:8" ht="14.85" customHeight="1">
      <c r="B48" s="512"/>
      <c r="C48" s="512"/>
    </row>
    <row r="49" spans="2:3" ht="14.85" customHeight="1">
      <c r="B49" s="512"/>
      <c r="C49" s="512"/>
    </row>
    <row r="50" spans="2:3" ht="14.85" customHeight="1"/>
    <row r="51" spans="2:3" ht="14.85" customHeight="1"/>
    <row r="52" spans="2:3" ht="14.85" customHeight="1"/>
    <row r="53" spans="2:3" ht="14.85" customHeight="1"/>
    <row r="54" spans="2:3" ht="14.85" customHeight="1"/>
    <row r="55" spans="2:3" ht="14.85" customHeight="1"/>
    <row r="56" spans="2:3" ht="14.85" customHeight="1"/>
    <row r="57" spans="2:3" ht="14.85" customHeight="1"/>
    <row r="58" spans="2:3" ht="14.85" customHeight="1"/>
    <row r="59" spans="2:3" ht="14.85" customHeight="1"/>
    <row r="60" spans="2:3" ht="14.85" customHeight="1"/>
    <row r="61" spans="2:3" ht="14.85" customHeight="1"/>
    <row r="62" spans="2:3" ht="14.85" customHeight="1"/>
    <row r="63" spans="2:3" ht="14.85" customHeight="1"/>
    <row r="64" spans="2:3"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46:H47"/>
  </mergeCells>
  <conditionalFormatting sqref="D4:H4">
    <cfRule type="cellIs" dxfId="63" priority="3" stopIfTrue="1" operator="equal">
      <formula>"input"</formula>
    </cfRule>
  </conditionalFormatting>
  <conditionalFormatting sqref="B4:C4">
    <cfRule type="cellIs" dxfId="62" priority="1" stopIfTrue="1" operator="equal">
      <formula>"input"</formula>
    </cfRule>
  </conditionalFormatting>
  <pageMargins left="0.7" right="0.7" top="0.75" bottom="0.75" header="0.3" footer="0.3"/>
  <pageSetup scale="78" orientation="landscape"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4"/>
  <dimension ref="B1:I764"/>
  <sheetViews>
    <sheetView showGridLines="0" view="pageBreakPreview" topLeftCell="A4" zoomScale="80" zoomScaleNormal="100" zoomScaleSheetLayoutView="80" workbookViewId="0">
      <selection activeCell="F9" sqref="F9"/>
    </sheetView>
  </sheetViews>
  <sheetFormatPr defaultRowHeight="12.75"/>
  <cols>
    <col min="1" max="1" width="4.5" style="179" customWidth="1"/>
    <col min="2" max="2" width="92.33203125" style="179" customWidth="1"/>
    <col min="3" max="3" width="2.83203125" style="179" customWidth="1"/>
    <col min="4" max="7" width="20.83203125" style="179" customWidth="1"/>
    <col min="8" max="8" width="2.83203125" style="179" customWidth="1"/>
    <col min="9" max="9" width="25.83203125" style="179" customWidth="1"/>
    <col min="10" max="10" width="4.5" style="179" customWidth="1"/>
    <col min="11" max="16384" width="9.33203125" style="179"/>
  </cols>
  <sheetData>
    <row r="1" spans="2:9" ht="10.7" customHeight="1" thickBot="1"/>
    <row r="2" spans="2:9" ht="16.5" customHeight="1" thickTop="1">
      <c r="B2" s="187" t="str">
        <f>'MASTER PubCo Inputs'!$C$5</f>
        <v>Decibel Therapeutics, Inc.</v>
      </c>
      <c r="C2" s="187"/>
      <c r="D2" s="187"/>
      <c r="E2" s="187"/>
      <c r="F2" s="187"/>
      <c r="G2" s="187"/>
      <c r="H2" s="187"/>
      <c r="I2" s="187"/>
    </row>
    <row r="3" spans="2:9" ht="15.75" customHeight="1">
      <c r="B3" s="188" t="e">
        <f>VLOOKUP(B4,Outline!$E$8:$G$75,COLUMNS(Outline!$E$8:$G$8),FALSE)</f>
        <v>#N/A</v>
      </c>
      <c r="C3" s="188"/>
      <c r="D3" s="188"/>
      <c r="E3" s="188"/>
      <c r="F3" s="188"/>
      <c r="G3" s="188"/>
      <c r="H3" s="188"/>
      <c r="I3" s="188"/>
    </row>
    <row r="4" spans="2:9" ht="16.5" customHeight="1" thickBot="1">
      <c r="B4" s="726" t="s">
        <v>2006</v>
      </c>
      <c r="C4" s="726"/>
      <c r="D4" s="726"/>
      <c r="E4" s="726"/>
      <c r="F4" s="726"/>
      <c r="G4" s="726"/>
      <c r="H4" s="726"/>
      <c r="I4" s="727"/>
    </row>
    <row r="5" spans="2:9" ht="14.85" customHeight="1" thickTop="1"/>
    <row r="6" spans="2:9" ht="14.85" customHeight="1"/>
    <row r="7" spans="2:9" ht="14.85" customHeight="1">
      <c r="B7" s="1169" t="s">
        <v>474</v>
      </c>
      <c r="C7" s="1170"/>
      <c r="D7" s="1073" t="str">
        <f t="array" ref="D7:F7">TRANSPOSE('Class Vol'!B15:B17)</f>
        <v>Series A</v>
      </c>
      <c r="E7" s="1073" t="str">
        <v>Series B</v>
      </c>
      <c r="F7" s="1073" t="str">
        <v>Series C</v>
      </c>
      <c r="G7" s="1234" t="s">
        <v>571</v>
      </c>
      <c r="I7" s="1140" t="s">
        <v>70</v>
      </c>
    </row>
    <row r="8" spans="2:9" ht="14.85" customHeight="1"/>
    <row r="9" spans="2:9" ht="14.85" customHeight="1">
      <c r="B9" s="1145" t="s">
        <v>71</v>
      </c>
      <c r="C9" s="691"/>
      <c r="D9" s="1535">
        <f>'OPM 1 Hybrid'!$D$10</f>
        <v>2.5</v>
      </c>
      <c r="E9" s="1535">
        <f>'OPM 1 Hybrid'!$D$10</f>
        <v>2.5</v>
      </c>
      <c r="F9" s="1535">
        <f>'OPM 1 Hybrid'!$D$10</f>
        <v>2.5</v>
      </c>
      <c r="G9" s="1536">
        <f>'OPM 1 Hybrid'!$D$10</f>
        <v>2.5</v>
      </c>
      <c r="I9" s="1537" t="str">
        <f>'OPM 1 Hybrid'!B3</f>
        <v>Workpaper #4</v>
      </c>
    </row>
    <row r="10" spans="2:9" ht="14.85" customHeight="1">
      <c r="B10" s="338" t="s">
        <v>72</v>
      </c>
      <c r="D10" s="554">
        <f>'Risk-Free Rates_Hybrid'!$E$51</f>
        <v>2.64E-2</v>
      </c>
      <c r="E10" s="554">
        <f>'Risk-Free Rates_Hybrid'!$E$51</f>
        <v>2.64E-2</v>
      </c>
      <c r="F10" s="554">
        <f>'Risk-Free Rates_Hybrid'!$E$51</f>
        <v>2.64E-2</v>
      </c>
      <c r="G10" s="1538">
        <f>'Risk-Free Rates_Hybrid'!$E$51</f>
        <v>2.64E-2</v>
      </c>
      <c r="I10" s="606" t="str">
        <f>'Risk-Free Rates_Hybrid'!B3</f>
        <v>Workpaper #11</v>
      </c>
    </row>
    <row r="11" spans="2:9" ht="14.85" customHeight="1">
      <c r="B11" s="338" t="s">
        <v>73</v>
      </c>
      <c r="D11" s="887">
        <v>0</v>
      </c>
      <c r="E11" s="887">
        <v>0</v>
      </c>
      <c r="F11" s="887">
        <v>0</v>
      </c>
      <c r="G11" s="1148">
        <v>0</v>
      </c>
      <c r="I11" s="549"/>
    </row>
    <row r="12" spans="2:9" ht="14.85" customHeight="1">
      <c r="B12" s="338" t="s">
        <v>74</v>
      </c>
      <c r="D12" s="919">
        <f t="array" ref="D12:F12">TRANSPOSE('Class Vol'!F15:F17)</f>
        <v>0.98456041302918851</v>
      </c>
      <c r="E12" s="919">
        <v>0.20480438506395182</v>
      </c>
      <c r="F12" s="919">
        <v>0.44612606672463723</v>
      </c>
      <c r="G12" s="1539">
        <f>'Class Vol'!F19</f>
        <v>1.1137397925016648</v>
      </c>
      <c r="I12" s="1540" t="e">
        <f>'Class Vol'!B3</f>
        <v>#N/A</v>
      </c>
    </row>
    <row r="13" spans="2:9" ht="14.85" customHeight="1">
      <c r="B13" s="338"/>
      <c r="G13" s="339"/>
    </row>
    <row r="14" spans="2:9" ht="14.85" customHeight="1">
      <c r="B14" s="338" t="s">
        <v>75</v>
      </c>
      <c r="D14" s="325">
        <f>D12^2*D9</f>
        <v>2.4233980172605158</v>
      </c>
      <c r="E14" s="325">
        <f>E12^2*E9</f>
        <v>0.10486209035355862</v>
      </c>
      <c r="F14" s="325">
        <f>F12^2*F9</f>
        <v>0.49757116852798872</v>
      </c>
      <c r="G14" s="1149">
        <f>G12^2*G9</f>
        <v>3.1010408135041283</v>
      </c>
    </row>
    <row r="15" spans="2:9" ht="14.85" customHeight="1">
      <c r="B15" s="338" t="s">
        <v>76</v>
      </c>
      <c r="D15" s="325">
        <f>(D12^2*D9+LN(2*(EXP(D14)-D12^2*D9-1))-2*LN(EXP(D14)-1))^0.5</f>
        <v>0.71918045924889362</v>
      </c>
      <c r="E15" s="325">
        <f>(E12^2*E9+LN(2*(EXP(E14)-E12^2*E9-1))-2*LN(EXP(E14)-1))^0.5</f>
        <v>0.18532305843199506</v>
      </c>
      <c r="F15" s="325">
        <f>(F12^2*F9+LN(2*(EXP(F14)-F12^2*F9-1))-2*LN(EXP(F14)-1))^0.5</f>
        <v>0.39024617737157036</v>
      </c>
      <c r="G15" s="1149">
        <f>(G12^2*G9+LN(2*(EXP(G14)-G12^2*G9-1))-2*LN(EXP(G14)-1))^0.5</f>
        <v>0.76237582678315663</v>
      </c>
    </row>
    <row r="16" spans="2:9" ht="14.85" customHeight="1">
      <c r="B16" s="338" t="s">
        <v>77</v>
      </c>
      <c r="D16" s="325">
        <f>((D10-D11)*D9)/D15+0.5*D15</f>
        <v>0.45136135487016038</v>
      </c>
      <c r="E16" s="325">
        <f>((E10-E11)*E9)/E15+0.5*E15</f>
        <v>0.44879638128686883</v>
      </c>
      <c r="F16" s="325">
        <f>((F10-F11)*F9)/F15+0.5*F15</f>
        <v>0.36424710277486755</v>
      </c>
      <c r="G16" s="1149">
        <f>((G10-G11)*G9)/G15+0.5*G15</f>
        <v>0.46775938861592647</v>
      </c>
    </row>
    <row r="17" spans="2:9" ht="14.85" customHeight="1">
      <c r="B17" s="338" t="s">
        <v>78</v>
      </c>
      <c r="D17" s="325">
        <f>((D10-D11)*D9)/D15-0.5*D15</f>
        <v>-0.26781910437873324</v>
      </c>
      <c r="E17" s="325">
        <f>((E10-E11)*E9)/E15-0.5*E15</f>
        <v>0.26347332285487379</v>
      </c>
      <c r="F17" s="325">
        <f>((F10-F11)*F9)/F15-0.5*F15</f>
        <v>-2.5999074596702809E-2</v>
      </c>
      <c r="G17" s="1149">
        <f>((G10-G11)*G9)/G15-0.5*G15</f>
        <v>-0.29461643816723015</v>
      </c>
    </row>
    <row r="18" spans="2:9" ht="14.85" customHeight="1">
      <c r="B18" s="338"/>
      <c r="D18" s="1150"/>
      <c r="E18" s="1150"/>
      <c r="F18" s="1150"/>
      <c r="G18" s="1151"/>
    </row>
    <row r="19" spans="2:9" ht="14.85" customHeight="1">
      <c r="B19" s="1152" t="s">
        <v>79</v>
      </c>
      <c r="C19" s="1153"/>
      <c r="D19" s="1154">
        <f>EXP((D10-D11)*D9)*NORMSDIST(D16)-NORMSDIST(D17)</f>
        <v>0.32571019971401016</v>
      </c>
      <c r="E19" s="1154">
        <f>EXP((E10-E11)*E9)*NORMSDIST(E16)-NORMSDIST(E17)</f>
        <v>0.11523457434803053</v>
      </c>
      <c r="F19" s="1154">
        <f>EXP((F10-F11)*F9)*NORMSDIST(F16)-NORMSDIST(F17)</f>
        <v>0.19634690408990696</v>
      </c>
      <c r="G19" s="1155">
        <f>EXP((G10-G11)*G9)*NORMSDIST(G16)-NORMSDIST(G17)</f>
        <v>0.34227386140403626</v>
      </c>
    </row>
    <row r="20" spans="2:9" ht="14.85" customHeight="1"/>
    <row r="21" spans="2:9" ht="14.85" customHeight="1">
      <c r="B21" s="1233" t="s">
        <v>80</v>
      </c>
      <c r="C21" s="1073"/>
      <c r="D21" s="1073" t="str">
        <f>D7</f>
        <v>Series A</v>
      </c>
      <c r="E21" s="1073" t="str">
        <f>E7</f>
        <v>Series B</v>
      </c>
      <c r="F21" s="1073" t="str">
        <f>F7</f>
        <v>Series C</v>
      </c>
      <c r="G21" s="1234" t="str">
        <f>G7</f>
        <v>OPM</v>
      </c>
    </row>
    <row r="22" spans="2:9" ht="14.85" customHeight="1"/>
    <row r="23" spans="2:9" ht="14.85" customHeight="1">
      <c r="B23" s="1145" t="s">
        <v>81</v>
      </c>
      <c r="C23" s="691"/>
      <c r="D23" s="1541">
        <v>1</v>
      </c>
      <c r="E23" s="1541">
        <v>1</v>
      </c>
      <c r="F23" s="1541">
        <v>1</v>
      </c>
      <c r="G23" s="1542">
        <v>1</v>
      </c>
    </row>
    <row r="24" spans="2:9" ht="14.85" customHeight="1">
      <c r="B24" s="338" t="s">
        <v>82</v>
      </c>
      <c r="D24" s="349">
        <v>1</v>
      </c>
      <c r="E24" s="349">
        <v>1</v>
      </c>
      <c r="F24" s="349">
        <v>1</v>
      </c>
      <c r="G24" s="593">
        <v>1</v>
      </c>
    </row>
    <row r="25" spans="2:9" ht="14.85" customHeight="1">
      <c r="B25" s="338" t="s">
        <v>83</v>
      </c>
      <c r="D25" s="255">
        <f t="shared" ref="D25:F26" si="0">D9</f>
        <v>2.5</v>
      </c>
      <c r="E25" s="255">
        <f t="shared" si="0"/>
        <v>2.5</v>
      </c>
      <c r="F25" s="255">
        <f t="shared" si="0"/>
        <v>2.5</v>
      </c>
      <c r="G25" s="653">
        <f>G9</f>
        <v>2.5</v>
      </c>
      <c r="I25" s="606"/>
    </row>
    <row r="26" spans="2:9" ht="14.85" customHeight="1">
      <c r="B26" s="338" t="s">
        <v>72</v>
      </c>
      <c r="D26" s="360">
        <f t="shared" si="0"/>
        <v>2.64E-2</v>
      </c>
      <c r="E26" s="360">
        <f t="shared" si="0"/>
        <v>2.64E-2</v>
      </c>
      <c r="F26" s="360">
        <f t="shared" si="0"/>
        <v>2.64E-2</v>
      </c>
      <c r="G26" s="1156">
        <f>G10</f>
        <v>2.64E-2</v>
      </c>
      <c r="I26" s="606" t="str">
        <f>+I10</f>
        <v>Workpaper #11</v>
      </c>
    </row>
    <row r="27" spans="2:9" ht="14.85" customHeight="1">
      <c r="B27" s="338" t="s">
        <v>74</v>
      </c>
      <c r="D27" s="257">
        <f>D12</f>
        <v>0.98456041302918851</v>
      </c>
      <c r="E27" s="257">
        <f>E12</f>
        <v>0.20480438506395182</v>
      </c>
      <c r="F27" s="257">
        <f>F12</f>
        <v>0.44612606672463723</v>
      </c>
      <c r="G27" s="494">
        <f>G12</f>
        <v>1.1137397925016648</v>
      </c>
      <c r="I27" s="606" t="e">
        <f>+I12</f>
        <v>#N/A</v>
      </c>
    </row>
    <row r="28" spans="2:9" ht="14.85" customHeight="1">
      <c r="B28" s="338"/>
      <c r="G28" s="339"/>
    </row>
    <row r="29" spans="2:9" ht="14.85" customHeight="1">
      <c r="B29" s="338" t="s">
        <v>84</v>
      </c>
      <c r="D29" s="325">
        <f>(LN(D23/D24)+(D26+D27^2/2)*D25)/(D27*SQRT(D25))</f>
        <v>0.82076000171072594</v>
      </c>
      <c r="E29" s="325">
        <f>(LN(E23/E24)+(E26+E27^2/2)*E25)/(E27*SQRT(E25))</f>
        <v>0.36572639625462799</v>
      </c>
      <c r="F29" s="325">
        <f>(LN(F23/F24)+(F26+F27^2/2)*F25)/(F27*SQRT(F25))</f>
        <v>0.44625925051606369</v>
      </c>
      <c r="G29" s="1149">
        <f>(LN(G23/G24)+(G26+G27^2/2)*G25)/(G27*SQRT(G25))</f>
        <v>0.9179678061059694</v>
      </c>
    </row>
    <row r="30" spans="2:9" ht="14.85" customHeight="1">
      <c r="B30" s="338" t="s">
        <v>85</v>
      </c>
      <c r="D30" s="325">
        <f>D29-D27*SQRT(D25)</f>
        <v>-0.73596669789345182</v>
      </c>
      <c r="E30" s="325">
        <f>E29-E27*SQRT(E25)</f>
        <v>4.1902230458499279E-2</v>
      </c>
      <c r="F30" s="325">
        <f>F29-F27*SQRT(F25)</f>
        <v>-0.25912799669499037</v>
      </c>
      <c r="G30" s="1149">
        <f>G29-G27*SQRT(G25)</f>
        <v>-0.84300942642832111</v>
      </c>
    </row>
    <row r="31" spans="2:9" ht="14.85" customHeight="1">
      <c r="B31" s="338"/>
      <c r="G31" s="339"/>
    </row>
    <row r="32" spans="2:9" ht="14.85" customHeight="1">
      <c r="B32" s="1152" t="s">
        <v>79</v>
      </c>
      <c r="C32" s="264"/>
      <c r="D32" s="1154">
        <f>D24*EXP(-D26*D25)*NORMSDIST(-D30)-D23*NORMSDIST(-D29)</f>
        <v>0.51410970644360499</v>
      </c>
      <c r="E32" s="1154">
        <f>E24*EXP(-E26*E25)*NORMSDIST(-E30)-E23*NORMSDIST(-E29)</f>
        <v>9.5136488250114393E-2</v>
      </c>
      <c r="F32" s="1154">
        <f>F24*EXP(-F26*F25)*NORMSDIST(-F30)-F23*NORMSDIST(-F29)</f>
        <v>0.23606274213433021</v>
      </c>
      <c r="G32" s="1155">
        <f>G24*EXP(-G26*G25)*NORMSDIST(-G30)-G23*NORMSDIST(-G29)</f>
        <v>0.56995043747966512</v>
      </c>
    </row>
    <row r="33" spans="2:9" ht="14.85" customHeight="1"/>
    <row r="34" spans="2:9" ht="14.85" customHeight="1">
      <c r="B34" s="1233" t="s">
        <v>470</v>
      </c>
      <c r="C34" s="1073"/>
      <c r="D34" s="1073" t="str">
        <f>D7</f>
        <v>Series A</v>
      </c>
      <c r="E34" s="1073" t="str">
        <f>E7</f>
        <v>Series B</v>
      </c>
      <c r="F34" s="1073" t="str">
        <f>F7</f>
        <v>Series C</v>
      </c>
      <c r="G34" s="1234" t="str">
        <f>G7</f>
        <v>OPM</v>
      </c>
    </row>
    <row r="35" spans="2:9" ht="14.85" customHeight="1"/>
    <row r="36" spans="2:9" ht="14.85" customHeight="1">
      <c r="B36" s="1145" t="s">
        <v>83</v>
      </c>
      <c r="C36" s="691"/>
      <c r="D36" s="1543">
        <f>+D25</f>
        <v>2.5</v>
      </c>
      <c r="E36" s="1543">
        <f>+E25</f>
        <v>2.5</v>
      </c>
      <c r="F36" s="1543">
        <f>+F25</f>
        <v>2.5</v>
      </c>
      <c r="G36" s="1544">
        <f>+G25</f>
        <v>2.5</v>
      </c>
      <c r="I36" s="606"/>
    </row>
    <row r="37" spans="2:9" ht="14.85" customHeight="1">
      <c r="B37" s="338" t="s">
        <v>81</v>
      </c>
      <c r="D37" s="349">
        <f t="shared" ref="D37:F38" si="1">+D23</f>
        <v>1</v>
      </c>
      <c r="E37" s="349">
        <f t="shared" si="1"/>
        <v>1</v>
      </c>
      <c r="F37" s="349">
        <f t="shared" si="1"/>
        <v>1</v>
      </c>
      <c r="G37" s="593">
        <f>+G23</f>
        <v>1</v>
      </c>
    </row>
    <row r="38" spans="2:9" ht="14.85" customHeight="1">
      <c r="B38" s="338" t="s">
        <v>82</v>
      </c>
      <c r="D38" s="349">
        <f t="shared" si="1"/>
        <v>1</v>
      </c>
      <c r="E38" s="349">
        <f t="shared" si="1"/>
        <v>1</v>
      </c>
      <c r="F38" s="349">
        <f t="shared" si="1"/>
        <v>1</v>
      </c>
      <c r="G38" s="593">
        <f>+G24</f>
        <v>1</v>
      </c>
    </row>
    <row r="39" spans="2:9" ht="14.85" customHeight="1">
      <c r="B39" s="338" t="s">
        <v>73</v>
      </c>
      <c r="D39" s="360">
        <f t="shared" ref="D39:F40" si="2">+D11</f>
        <v>0</v>
      </c>
      <c r="E39" s="360">
        <f t="shared" si="2"/>
        <v>0</v>
      </c>
      <c r="F39" s="360">
        <f t="shared" si="2"/>
        <v>0</v>
      </c>
      <c r="G39" s="1156">
        <f>+G11</f>
        <v>0</v>
      </c>
    </row>
    <row r="40" spans="2:9" ht="14.85" customHeight="1">
      <c r="B40" s="338" t="s">
        <v>74</v>
      </c>
      <c r="D40" s="257">
        <f t="shared" si="2"/>
        <v>0.98456041302918851</v>
      </c>
      <c r="E40" s="257">
        <f t="shared" si="2"/>
        <v>0.20480438506395182</v>
      </c>
      <c r="F40" s="257">
        <f t="shared" si="2"/>
        <v>0.44612606672463723</v>
      </c>
      <c r="G40" s="494">
        <f>+G12</f>
        <v>1.1137397925016648</v>
      </c>
      <c r="I40" s="606" t="e">
        <f>+I27</f>
        <v>#N/A</v>
      </c>
    </row>
    <row r="41" spans="2:9" ht="14.85" customHeight="1">
      <c r="B41" s="338"/>
      <c r="G41" s="339"/>
    </row>
    <row r="42" spans="2:9" ht="14.85" customHeight="1">
      <c r="B42" s="338" t="s">
        <v>472</v>
      </c>
      <c r="D42" s="325">
        <f>LN(2*(EXP((D40^2)*D36)-((D40^2)*D36)-1))-2*(LN((D40^2)*D36))</f>
        <v>0.98468653074519508</v>
      </c>
      <c r="E42" s="325">
        <f>LN(2*(EXP((E40^2)*E36)-((E40^2)*E36)-1))-2*(LN((E40^2)*E36))</f>
        <v>3.5260890199785955E-2</v>
      </c>
      <c r="F42" s="325">
        <f>LN(2*(EXP((F40^2)*F36)-((F40^2)*F36)-1))-2*(LN((F40^2)*F36))</f>
        <v>0.17288110220825947</v>
      </c>
      <c r="G42" s="1149">
        <f>LN(2*(EXP((G40^2)*G36)-((G40^2)*G36)-1))-2*(LN((G40^2)*G36))</f>
        <v>1.3266893365319268</v>
      </c>
    </row>
    <row r="43" spans="2:9" ht="14.85" customHeight="1">
      <c r="B43" s="338" t="s">
        <v>473</v>
      </c>
      <c r="D43" s="325">
        <f>SQRT(D42)</f>
        <v>0.99231372596835277</v>
      </c>
      <c r="E43" s="325">
        <f>SQRT(E42)</f>
        <v>0.18777883320487951</v>
      </c>
      <c r="F43" s="325">
        <f>SQRT(F42)</f>
        <v>0.41578973316841228</v>
      </c>
      <c r="G43" s="1149">
        <f>SQRT(G42)</f>
        <v>1.1518200104755634</v>
      </c>
    </row>
    <row r="44" spans="2:9" ht="14.85" customHeight="1">
      <c r="B44" s="338"/>
      <c r="G44" s="339"/>
    </row>
    <row r="45" spans="2:9" ht="14.85" customHeight="1">
      <c r="B45" s="1152" t="s">
        <v>79</v>
      </c>
      <c r="C45" s="264"/>
      <c r="D45" s="1154">
        <f>EXP(-D39*D36)*D38*(2*NORMSDIST(D43/2)-1)</f>
        <v>0.38021625702424711</v>
      </c>
      <c r="E45" s="1154">
        <f>EXP(-E39*E36)*E38*(2*NORMSDIST(E43/2)-1)</f>
        <v>7.4802998973247048E-2</v>
      </c>
      <c r="F45" s="1154">
        <f>EXP(-F39*F36)*F38*(2*NORMSDIST(F43/2)-1)</f>
        <v>0.16468894251981658</v>
      </c>
      <c r="G45" s="1155">
        <f>EXP(-G39*G36)*G38*(2*NORMSDIST(G43/2)-1)</f>
        <v>0.43532398749765555</v>
      </c>
    </row>
    <row r="46" spans="2:9" ht="14.85" customHeight="1"/>
    <row r="47" spans="2:9" ht="14.85" customHeight="1">
      <c r="B47" s="1163" t="s">
        <v>475</v>
      </c>
      <c r="C47" s="1164"/>
      <c r="D47" s="1165">
        <f>AVERAGE(D45,D32,D19)</f>
        <v>0.4066787210606207</v>
      </c>
      <c r="E47" s="1165">
        <f>AVERAGE(E45,E32,E19)</f>
        <v>9.5058020523797318E-2</v>
      </c>
      <c r="F47" s="1165">
        <f>AVERAGE(F45,F32,F19)</f>
        <v>0.19903286291468458</v>
      </c>
      <c r="G47" s="1166">
        <f>AVERAGE(G45,G32,G19)</f>
        <v>0.449182762127119</v>
      </c>
    </row>
    <row r="48" spans="2:9" ht="14.85" customHeight="1"/>
    <row r="49" spans="2:2" ht="14.85" customHeight="1">
      <c r="B49" s="272" t="s">
        <v>86</v>
      </c>
    </row>
    <row r="50" spans="2:2" ht="14.85" customHeight="1">
      <c r="B50" s="398" t="s">
        <v>261</v>
      </c>
    </row>
    <row r="51" spans="2:2" ht="14.85" customHeight="1"/>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H4">
    <cfRule type="cellIs" dxfId="61" priority="3" stopIfTrue="1" operator="equal">
      <formula>"input"</formula>
    </cfRule>
  </conditionalFormatting>
  <conditionalFormatting sqref="I4">
    <cfRule type="cellIs" dxfId="60" priority="1" stopIfTrue="1" operator="equal">
      <formula>"input"</formula>
    </cfRule>
  </conditionalFormatting>
  <conditionalFormatting sqref="I4">
    <cfRule type="cellIs" dxfId="59" priority="2" stopIfTrue="1" operator="equal">
      <formula>"input"</formula>
    </cfRule>
  </conditionalFormatting>
  <pageMargins left="0.5" right="0.5" top="0.5" bottom="0.5" header="0.5" footer="0.5"/>
  <pageSetup scale="65" fitToWidth="0" fitToHeight="0" orientation="landscape" r:id="rId1"/>
  <legacyDrawingHF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51"/>
  <dimension ref="B1:AQ764"/>
  <sheetViews>
    <sheetView showGridLines="0" view="pageBreakPreview" zoomScale="80" zoomScaleNormal="100" zoomScaleSheetLayoutView="80" workbookViewId="0"/>
  </sheetViews>
  <sheetFormatPr defaultRowHeight="12.75" outlineLevelCol="1"/>
  <cols>
    <col min="1" max="1" width="4.5" style="179" customWidth="1"/>
    <col min="2" max="2" width="45.5" style="179" customWidth="1"/>
    <col min="3" max="3" width="14.83203125" style="179" customWidth="1"/>
    <col min="4" max="4" width="2.83203125" style="179" customWidth="1"/>
    <col min="5" max="6" width="14.83203125" style="179" hidden="1" customWidth="1" outlineLevel="1"/>
    <col min="7" max="7" width="14.83203125" style="179" customWidth="1" collapsed="1"/>
    <col min="8" max="8" width="2.83203125" style="179" hidden="1" customWidth="1" outlineLevel="1"/>
    <col min="9" max="9" width="14.83203125" style="179" customWidth="1" collapsed="1"/>
    <col min="10" max="10" width="17.1640625" style="179" customWidth="1"/>
    <col min="11" max="11" width="2.83203125" style="179" customWidth="1"/>
    <col min="12" max="13" width="14.83203125" style="179" hidden="1" customWidth="1" outlineLevel="1"/>
    <col min="14" max="14" width="14.83203125" style="179" customWidth="1" collapsed="1"/>
    <col min="15" max="15" width="2.83203125" style="179" hidden="1" customWidth="1" outlineLevel="1"/>
    <col min="16" max="16" width="14.83203125" style="179" customWidth="1" collapsed="1"/>
    <col min="17" max="17" width="14.83203125" style="179" customWidth="1"/>
    <col min="18" max="18" width="4.5" style="179" customWidth="1"/>
    <col min="19" max="19" width="21.5" style="179" bestFit="1" customWidth="1"/>
    <col min="20" max="21" width="12.83203125" style="179" customWidth="1"/>
    <col min="22" max="22" width="5.83203125" style="179" customWidth="1"/>
    <col min="23" max="23" width="16.33203125" style="179" customWidth="1"/>
    <col min="24" max="26" width="12.83203125" style="179" customWidth="1"/>
    <col min="27" max="27" width="19.83203125" style="179" bestFit="1" customWidth="1"/>
    <col min="28" max="28" width="15.33203125" style="179" bestFit="1" customWidth="1"/>
    <col min="29" max="29" width="5.83203125" style="179" customWidth="1"/>
    <col min="30" max="30" width="17.83203125" style="179" bestFit="1" customWidth="1"/>
    <col min="31" max="31" width="10.6640625" style="179" bestFit="1" customWidth="1"/>
    <col min="32" max="32" width="9.33203125" style="179"/>
    <col min="33" max="39" width="14.83203125" style="179" customWidth="1"/>
    <col min="40" max="40" width="19.1640625" style="179" customWidth="1"/>
    <col min="41" max="41" width="9.33203125" style="179"/>
    <col min="42" max="42" width="14.5" style="179" customWidth="1"/>
    <col min="43" max="43" width="19.5" style="179" customWidth="1"/>
    <col min="44" max="16384" width="9.33203125" style="179"/>
  </cols>
  <sheetData>
    <row r="1" spans="2:43" ht="10.7" customHeight="1" thickBot="1"/>
    <row r="2" spans="2:43" ht="16.5" customHeight="1" thickTop="1">
      <c r="B2" s="187" t="str">
        <f>'MASTER PubCo Inputs'!$C$5</f>
        <v>Decibel Therapeutics, Inc.</v>
      </c>
      <c r="C2" s="187"/>
      <c r="D2" s="187"/>
      <c r="E2" s="187"/>
      <c r="F2" s="187"/>
      <c r="G2" s="187"/>
      <c r="H2" s="187"/>
      <c r="I2" s="187"/>
      <c r="J2" s="187"/>
      <c r="K2" s="187"/>
      <c r="L2" s="187"/>
      <c r="M2" s="187"/>
      <c r="N2" s="187"/>
      <c r="O2" s="187"/>
      <c r="P2" s="187"/>
      <c r="Q2" s="187"/>
      <c r="AO2" s="909" t="s">
        <v>87</v>
      </c>
      <c r="AP2" s="910">
        <f>'MASTER PubCo Inputs'!$C$6</f>
        <v>43245</v>
      </c>
    </row>
    <row r="3" spans="2:43" ht="15.75" customHeight="1">
      <c r="B3" s="188" t="e">
        <f>VLOOKUP(B4,Outline!$E$8:$G$75,COLUMNS(Outline!$E$8:$G$8),FALSE)</f>
        <v>#N/A</v>
      </c>
      <c r="C3" s="188"/>
      <c r="D3" s="188"/>
      <c r="E3" s="188"/>
      <c r="F3" s="188"/>
      <c r="G3" s="188"/>
      <c r="H3" s="188"/>
      <c r="I3" s="188"/>
      <c r="J3" s="188"/>
      <c r="K3" s="188"/>
      <c r="L3" s="188"/>
      <c r="M3" s="188"/>
      <c r="N3" s="188"/>
      <c r="O3" s="188"/>
      <c r="P3" s="188"/>
      <c r="Q3" s="188"/>
      <c r="AO3" s="911" t="s">
        <v>462</v>
      </c>
      <c r="AP3" s="994" t="s">
        <v>464</v>
      </c>
    </row>
    <row r="4" spans="2:43" ht="16.5" customHeight="1" thickBot="1">
      <c r="B4" s="726" t="s">
        <v>740</v>
      </c>
      <c r="C4" s="726"/>
      <c r="D4" s="1633"/>
      <c r="E4" s="726"/>
      <c r="F4" s="726"/>
      <c r="G4" s="726"/>
      <c r="H4" s="726"/>
      <c r="I4" s="726"/>
      <c r="J4" s="727"/>
      <c r="K4" s="727"/>
      <c r="L4" s="727"/>
      <c r="M4" s="727"/>
      <c r="N4" s="727"/>
      <c r="O4" s="727"/>
      <c r="P4" s="727"/>
      <c r="Q4" s="727" t="str">
        <f>+'MASTER PubCo Inputs'!$C$24</f>
        <v>(in millions of USD)</v>
      </c>
      <c r="AO4" s="911" t="s">
        <v>463</v>
      </c>
      <c r="AP4" s="994" t="s">
        <v>465</v>
      </c>
    </row>
    <row r="5" spans="2:43" ht="14.85" customHeight="1" thickTop="1">
      <c r="B5" s="963"/>
      <c r="C5" s="963"/>
      <c r="AO5" s="378" t="s">
        <v>89</v>
      </c>
      <c r="AP5" s="997" t="s">
        <v>90</v>
      </c>
    </row>
    <row r="6" spans="2:43" ht="14.85" customHeight="1"/>
    <row r="7" spans="2:43" ht="14.85" customHeight="1">
      <c r="I7" s="998" t="s">
        <v>331</v>
      </c>
      <c r="J7" s="1001"/>
      <c r="P7" s="998" t="s">
        <v>331</v>
      </c>
      <c r="Q7" s="1001"/>
    </row>
    <row r="8" spans="2:43" ht="14.85" customHeight="1">
      <c r="E8" s="1007" t="s">
        <v>713</v>
      </c>
      <c r="F8" s="841"/>
      <c r="G8" s="1008" t="s">
        <v>712</v>
      </c>
      <c r="H8" s="842"/>
      <c r="I8" s="1007" t="s">
        <v>712</v>
      </c>
      <c r="J8" s="841"/>
      <c r="L8" s="1007" t="s">
        <v>332</v>
      </c>
      <c r="M8" s="841"/>
      <c r="N8" s="1008" t="s">
        <v>712</v>
      </c>
      <c r="O8" s="842"/>
      <c r="P8" s="1007" t="s">
        <v>332</v>
      </c>
      <c r="Q8" s="841"/>
      <c r="AG8" s="972" t="s">
        <v>91</v>
      </c>
      <c r="AH8" s="973"/>
      <c r="AI8" s="973"/>
      <c r="AJ8" s="973"/>
      <c r="AK8" s="973"/>
      <c r="AL8" s="973"/>
      <c r="AM8" s="973"/>
      <c r="AN8" s="974"/>
    </row>
    <row r="9" spans="2:43" s="200" customFormat="1" ht="14.85" customHeight="1">
      <c r="B9" s="1010" t="s">
        <v>733</v>
      </c>
      <c r="C9" s="924" t="s">
        <v>149</v>
      </c>
      <c r="D9" s="265"/>
      <c r="E9" s="1013" t="s">
        <v>353</v>
      </c>
      <c r="F9" s="1038" t="s">
        <v>329</v>
      </c>
      <c r="G9" s="1015" t="s">
        <v>330</v>
      </c>
      <c r="H9" s="1016"/>
      <c r="I9" s="1017">
        <f>J9-1</f>
        <v>2016</v>
      </c>
      <c r="J9" s="1597">
        <f>YEAR($AP$2)-1</f>
        <v>2017</v>
      </c>
      <c r="K9" s="265"/>
      <c r="L9" s="1013" t="str">
        <f>E9</f>
        <v>LTM-2</v>
      </c>
      <c r="M9" s="1038" t="str">
        <f>F9</f>
        <v>LTM-1</v>
      </c>
      <c r="N9" s="980" t="str">
        <f>G9</f>
        <v>LTM</v>
      </c>
      <c r="O9" s="1016"/>
      <c r="P9" s="1017">
        <f>I9</f>
        <v>2016</v>
      </c>
      <c r="Q9" s="1019">
        <f>J9</f>
        <v>2017</v>
      </c>
      <c r="AG9" s="1020" t="s">
        <v>94</v>
      </c>
      <c r="AH9" s="1021" t="s">
        <v>95</v>
      </c>
      <c r="AI9" s="1021" t="s">
        <v>96</v>
      </c>
      <c r="AJ9" s="1021" t="s">
        <v>97</v>
      </c>
      <c r="AK9" s="1021" t="s">
        <v>98</v>
      </c>
      <c r="AL9" s="1021" t="s">
        <v>99</v>
      </c>
      <c r="AM9" s="1021" t="s">
        <v>100</v>
      </c>
      <c r="AN9" s="1023" t="s">
        <v>101</v>
      </c>
      <c r="AP9" s="562" t="s">
        <v>108</v>
      </c>
    </row>
    <row r="10" spans="2:43" ht="14.85" customHeight="1"/>
    <row r="11" spans="2:43" ht="14.85" customHeight="1">
      <c r="C11" s="309"/>
      <c r="D11" s="182"/>
      <c r="E11" s="1598" t="s">
        <v>552</v>
      </c>
      <c r="F11" s="1599"/>
      <c r="G11" s="1598" t="s">
        <v>552</v>
      </c>
      <c r="H11" s="1599"/>
      <c r="I11" s="1600"/>
      <c r="J11" s="1601"/>
      <c r="L11" s="1598" t="s">
        <v>623</v>
      </c>
      <c r="M11" s="1599"/>
      <c r="N11" s="1598" t="s">
        <v>623</v>
      </c>
      <c r="O11" s="1599"/>
      <c r="P11" s="1600"/>
      <c r="Q11" s="1601"/>
      <c r="S11" s="976" t="s">
        <v>624</v>
      </c>
      <c r="T11" s="976"/>
      <c r="U11" s="976"/>
      <c r="V11" s="976"/>
      <c r="W11" s="976"/>
      <c r="X11" s="976"/>
      <c r="Z11" s="976" t="s">
        <v>625</v>
      </c>
      <c r="AA11" s="976"/>
      <c r="AB11" s="976"/>
      <c r="AC11" s="976"/>
      <c r="AD11" s="976"/>
      <c r="AE11" s="976"/>
      <c r="AP11" s="934"/>
    </row>
    <row r="12" spans="2:43" s="549" customFormat="1" ht="14.85" customHeight="1">
      <c r="B12" s="548"/>
      <c r="C12" s="857"/>
      <c r="D12" s="548"/>
      <c r="E12" s="857"/>
      <c r="F12" s="857"/>
      <c r="G12" s="857"/>
      <c r="H12" s="857"/>
      <c r="I12" s="857"/>
      <c r="J12" s="857"/>
      <c r="L12" s="857"/>
      <c r="M12" s="857"/>
      <c r="N12" s="857"/>
      <c r="O12" s="548"/>
      <c r="P12" s="548"/>
      <c r="Q12" s="548"/>
      <c r="S12" s="203" t="str">
        <f>+E9</f>
        <v>LTM-2</v>
      </c>
      <c r="T12" s="203" t="str">
        <f>+F9</f>
        <v>LTM-1</v>
      </c>
      <c r="U12" s="203" t="str">
        <f>+G9</f>
        <v>LTM</v>
      </c>
      <c r="V12" s="550"/>
      <c r="W12" s="203">
        <f>+I9</f>
        <v>2016</v>
      </c>
      <c r="X12" s="203">
        <f>+J9</f>
        <v>2017</v>
      </c>
      <c r="Z12" s="203" t="str">
        <f>+L9</f>
        <v>LTM-2</v>
      </c>
      <c r="AA12" s="203" t="str">
        <f>+M9</f>
        <v>LTM-1</v>
      </c>
      <c r="AB12" s="203" t="str">
        <f>+N9</f>
        <v>LTM</v>
      </c>
      <c r="AC12" s="550"/>
      <c r="AD12" s="203">
        <f>+P9</f>
        <v>2016</v>
      </c>
      <c r="AE12" s="203">
        <f>+Q9</f>
        <v>2017</v>
      </c>
      <c r="AG12" s="179"/>
      <c r="AH12" s="179"/>
      <c r="AI12" s="179"/>
      <c r="AJ12" s="179"/>
      <c r="AK12" s="179"/>
      <c r="AL12" s="179"/>
      <c r="AM12" s="179"/>
      <c r="AN12" s="179"/>
    </row>
    <row r="13" spans="2:43" ht="14.85" customHeight="1">
      <c r="B13" s="179" t="str">
        <f>'Comp.1'!B12</f>
        <v>Editas Medicine, Inc.</v>
      </c>
      <c r="C13" s="576">
        <f>AG13</f>
        <v>1705.3104800000001</v>
      </c>
      <c r="E13" s="930" t="str">
        <f>IF(IF(ISERROR($AG13/S13),"n/a",$AG$13/S13)&lt;0,"n/a",IF(ISERROR($AG$13/S13),"n/a",$AG$13/S13))</f>
        <v>n/a</v>
      </c>
      <c r="F13" s="930" t="str">
        <f>IF(IF(ISERROR($AG13/T13),"n/a",$AG$13/T13)&lt;0,"n/a",IF(ISERROR($AG$13/T13),"n/a",$AG$13/T13))</f>
        <v>n/a</v>
      </c>
      <c r="G13" s="930" t="str">
        <f>IF(IF(ISERROR($AG13/U13),"n/a",$AG$13/U13)&lt;0,"n/a",IF(ISERROR($AG$13/U13),"n/a",$AG$13/U13))</f>
        <v>n/a</v>
      </c>
      <c r="H13" s="255"/>
      <c r="I13" s="930" t="str">
        <f>IF(IF(ISERROR($AG13/W13),"n/a",$AG$13/W13)&lt;0,"n/a",IF(ISERROR($AG$13/W13),"n/a",$AG$13/W13))</f>
        <v>n/a</v>
      </c>
      <c r="J13" s="930" t="str">
        <f>IF(IF(ISERROR($AG13/X13),"n/a",$AG$13/X13)&lt;0,"n/a",IF(ISERROR($AG$13/X13),"n/a",$AG$13/X13))</f>
        <v>n/a</v>
      </c>
      <c r="L13" s="930">
        <f>IF(IF(ISERROR($AG13/Z13),"n/a",$AG$13/Z13)&lt;0,"n/a",IF(ISERROR($AG$13/Z13),"n/a",$AG$13/Z13))</f>
        <v>8.4688372739778419</v>
      </c>
      <c r="M13" s="930">
        <f>IF(IF(ISERROR($AG13/AA13),"n/a",$AG$13/AA13)&lt;0,"n/a",IF(ISERROR($AG$13/AA13),"n/a",$AG$13/AA13))</f>
        <v>8.2597220782617544</v>
      </c>
      <c r="N13" s="930">
        <f>IF(IF(ISERROR($AG13/AB13),"n/a",$AG$13/AB13)&lt;0,"n/a",IF(ISERROR($AG$13/AB13),"n/a",$AG$13/AB13))</f>
        <v>6.8897257943963002</v>
      </c>
      <c r="P13" s="930">
        <f>IF(IF(ISERROR($AG13/AD13),"n/a",$AG$13/AD13)&lt;0,"n/a",IF(ISERROR($AG$13/AD13),"n/a",$AG$13/AD13))</f>
        <v>12.668809794438626</v>
      </c>
      <c r="Q13" s="930">
        <f>IF(IF(ISERROR($AG13/AE13),"n/a",$AG$13/AE13)&lt;0,"n/a",IF(ISERROR($AG$13/AE13),"n/a",$AG$13/AE13))</f>
        <v>8.1954559784698198</v>
      </c>
      <c r="S13" s="1602">
        <f>'Capital IQ Sheet-GPC'!AU13</f>
        <v>-85.353999999999999</v>
      </c>
      <c r="T13" s="1602">
        <f>'Capital IQ Sheet-GPC'!AV13</f>
        <v>-110.535</v>
      </c>
      <c r="U13" s="1602">
        <f>'Capital IQ Sheet-GPC'!AW13</f>
        <v>-120.166</v>
      </c>
      <c r="V13" s="1602"/>
      <c r="W13" s="1602">
        <f>'Capital IQ Sheet-GPC'!AX13</f>
        <v>-97.183000000000007</v>
      </c>
      <c r="X13" s="1602">
        <f>'Capital IQ Sheet-GPC'!AY13</f>
        <v>-120.324</v>
      </c>
      <c r="Z13" s="1602">
        <f>'Capital IQ Sheet-GPC'!AZ13</f>
        <v>201.363</v>
      </c>
      <c r="AA13" s="1602">
        <f>'Capital IQ Sheet-GPC'!BA13</f>
        <v>206.46100000000001</v>
      </c>
      <c r="AB13" s="1602">
        <f>'Capital IQ Sheet-GPC'!BB13</f>
        <v>247.51499999999999</v>
      </c>
      <c r="AD13" s="1602">
        <f>'Capital IQ Sheet-GPC'!BC13</f>
        <v>134.607</v>
      </c>
      <c r="AE13" s="1602">
        <f>'Capital IQ Sheet-GPC'!BD13</f>
        <v>208.08</v>
      </c>
      <c r="AG13" s="255">
        <f>'Beta Calc'!K10</f>
        <v>1705.3104800000001</v>
      </c>
      <c r="AH13" s="255">
        <f>'Beta Calc'!L10</f>
        <v>33.19</v>
      </c>
      <c r="AI13" s="255" t="str">
        <f>'Beta Calc'!M10</f>
        <v>n/a</v>
      </c>
      <c r="AJ13" s="255" t="str">
        <f>'Beta Calc'!N10</f>
        <v>n/a</v>
      </c>
      <c r="AK13" s="255">
        <f>SUM(AH13:AJ13)</f>
        <v>33.19</v>
      </c>
      <c r="AL13" s="255">
        <f>SUM(AG13:AJ13)</f>
        <v>1738.5004800000002</v>
      </c>
      <c r="AM13" s="255">
        <f>'Beta Calc'!Q10</f>
        <v>358.82100000000003</v>
      </c>
      <c r="AN13" s="576">
        <f>IF(ISERROR(AL13-AM13), "n/a", AL13-AM13)</f>
        <v>1379.6794800000002</v>
      </c>
      <c r="AP13" s="932" t="str">
        <f>IF('MASTER PubCo Inputs'!C28="","",'MASTER PubCo Inputs'!C28)</f>
        <v>IQ252050056</v>
      </c>
      <c r="AQ13" s="1576" t="str">
        <f>'Comp.1'!AL12</f>
        <v>Editas Medicine, Inc. operates as a genome editing company. It focuses on treating patients with genetically defined diseases by correcting their disease causing genes. The company develops a proprietary genome editing platform based on CRISPR technology to target genetically defined diseases with an initial focus on debilitating illnesses where there are no approved treatments. It develops EDIT-101 for Leber Congenital Amaurosis type 10, a genetic form of vision loss that leads to blindness in childhood. The company also develops other therapies for eye diseases, such as Herpes Simplex Virus 1 that causes lifelong infections primarily leading to ocular and oral disease; and Usher Syndrome 2A, which is a form of retinitis pigmentosa that also includes hearing loss. In addition, it develops hematopoietic stem cells for treating sickle cell disease and beta thalassemia. Editas Medicine, Inc. has a collaboration and license agreement with Juno Therapeutics, Inc. for the research and development of engineered T cells with chimeric antigen receptors and T cell receptors; and strategic alliance and option agreement with Allergan Pharmaceuticals International Limited for the research and development of medicines for ocular diseases. The company was formerly known as Gengine, Inc. and changed its name to Editas Medicine Inc. in November 2013. Editas Medicine, Inc. was founded in 2013 and is based in Cambridge, Massachusetts.</v>
      </c>
    </row>
    <row r="14" spans="2:43" ht="14.85" customHeight="1">
      <c r="B14" s="179" t="str">
        <f>'Comp.1'!B13</f>
        <v>Oxford BioMedica plc</v>
      </c>
      <c r="C14" s="576">
        <f t="shared" ref="C14:C42" si="0">AG14</f>
        <v>655.68985999999995</v>
      </c>
      <c r="E14" s="930" t="str">
        <f t="shared" ref="E14:E42" si="1">IF(IF(ISERROR($AG14/S14),"n/a",$AG$13/S14)&lt;0,"n/a",IF(ISERROR($AG$13/S14),"n/a",$AG$13/S14))</f>
        <v>n/a</v>
      </c>
      <c r="F14" s="930" t="str">
        <f t="shared" ref="F14:F42" si="2">IF(IF(ISERROR($AG14/T14),"n/a",$AG$13/T14)&lt;0,"n/a",IF(ISERROR($AG$13/T14),"n/a",$AG$13/T14))</f>
        <v>n/a</v>
      </c>
      <c r="G14" s="930" t="str">
        <f t="shared" ref="G14:G42" si="3">IF(IF(ISERROR($AG14/U14),"n/a",$AG$13/U14)&lt;0,"n/a",IF(ISERROR($AG$13/U14),"n/a",$AG$13/U14))</f>
        <v>n/a</v>
      </c>
      <c r="H14" s="255"/>
      <c r="I14" s="930" t="str">
        <f t="shared" ref="I14:I42" si="4">IF(IF(ISERROR($AG14/W14),"n/a",$AG$13/W14)&lt;0,"n/a",IF(ISERROR($AG$13/W14),"n/a",$AG$13/W14))</f>
        <v>n/a</v>
      </c>
      <c r="J14" s="930" t="str">
        <f t="shared" ref="J14:J42" si="5">IF(IF(ISERROR($AG14/X14),"n/a",$AG$13/X14)&lt;0,"n/a",IF(ISERROR($AG$13/X14),"n/a",$AG$13/X14))</f>
        <v>n/a</v>
      </c>
      <c r="L14" s="930">
        <f t="shared" ref="L14:L42" si="6">IF(IF(ISERROR($AG14/Z14),"n/a",$AG$13/Z14)&lt;0,"n/a",IF(ISERROR($AG$13/Z14),"n/a",$AG$13/Z14))</f>
        <v>106.14749637110127</v>
      </c>
      <c r="M14" s="930">
        <f t="shared" ref="M14:M42" si="7">IF(IF(ISERROR($AG14/AA14),"n/a",$AG$13/AA14)&lt;0,"n/a",IF(ISERROR($AG$13/AA14),"n/a",$AG$13/AA14))</f>
        <v>109.48595143304181</v>
      </c>
      <c r="N14" s="930">
        <f t="shared" ref="N14:N42" si="8">IF(IF(ISERROR($AG14/AB14),"n/a",$AG$13/AB14)&lt;0,"n/a",IF(ISERROR($AG$13/AB14),"n/a",$AG$13/AB14))</f>
        <v>205.28373714501708</v>
      </c>
      <c r="P14" s="930">
        <f t="shared" ref="P14:P42" si="9">IF(IF(ISERROR($AG14/AD14),"n/a",$AG$13/AD14)&lt;0,"n/a",IF(ISERROR($AG$13/AD14),"n/a",$AG$13/AD14))</f>
        <v>109.48595143304181</v>
      </c>
      <c r="Q14" s="930">
        <f t="shared" ref="Q14:Q42" si="10">IF(IF(ISERROR($AG14/AE14),"n/a",$AG$13/AE14)&lt;0,"n/a",IF(ISERROR($AG$13/AE14),"n/a",$AG$13/AE14))</f>
        <v>205.28373714501708</v>
      </c>
      <c r="S14" s="1602">
        <f>'Capital IQ Sheet-GPC'!AU14</f>
        <v>-19.19923</v>
      </c>
      <c r="T14" s="1602">
        <f>'Capital IQ Sheet-GPC'!AV14</f>
        <v>-20.546469999999999</v>
      </c>
      <c r="U14" s="1602">
        <f>'Capital IQ Sheet-GPC'!AW14</f>
        <v>-12.187609999999999</v>
      </c>
      <c r="V14" s="1602"/>
      <c r="W14" s="1602">
        <f>'Capital IQ Sheet-GPC'!AX14</f>
        <v>-20.546469999999999</v>
      </c>
      <c r="X14" s="1602">
        <f>'Capital IQ Sheet-GPC'!AY14</f>
        <v>-12.187609999999999</v>
      </c>
      <c r="Z14" s="1602">
        <f>'Capital IQ Sheet-GPC'!AZ14</f>
        <v>16.065480000000001</v>
      </c>
      <c r="AA14" s="1602">
        <f>'Capital IQ Sheet-GPC'!BA14</f>
        <v>15.575609999999999</v>
      </c>
      <c r="AB14" s="1602">
        <f>'Capital IQ Sheet-GPC'!BB14</f>
        <v>8.3070900000000005</v>
      </c>
      <c r="AD14" s="1602">
        <f>'Capital IQ Sheet-GPC'!BC14</f>
        <v>15.575609999999999</v>
      </c>
      <c r="AE14" s="1602">
        <f>'Capital IQ Sheet-GPC'!BD14</f>
        <v>8.3070900000000005</v>
      </c>
      <c r="AG14" s="255">
        <f>'Beta Calc'!K11</f>
        <v>655.68985999999995</v>
      </c>
      <c r="AH14" s="255">
        <f>'Beta Calc'!L11</f>
        <v>49.826320000000003</v>
      </c>
      <c r="AI14" s="255" t="str">
        <f>'Beta Calc'!M11</f>
        <v>n/a</v>
      </c>
      <c r="AJ14" s="255" t="str">
        <f>'Beta Calc'!N11</f>
        <v>n/a</v>
      </c>
      <c r="AK14" s="255">
        <f t="shared" ref="AK14:AK42" si="11">SUM(AH14:AJ14)</f>
        <v>49.826320000000003</v>
      </c>
      <c r="AL14" s="255">
        <f t="shared" ref="AL14:AL42" si="12">SUM(AG14:AJ14)</f>
        <v>705.51617999999996</v>
      </c>
      <c r="AM14" s="255">
        <f>'Beta Calc'!Q11</f>
        <v>19.367439999999998</v>
      </c>
      <c r="AN14" s="576">
        <f t="shared" ref="AN14:AN42" si="13">IF(ISERROR(AL14-AM14), "n/a", AL14-AM14)</f>
        <v>686.14873999999998</v>
      </c>
      <c r="AP14" s="932" t="str">
        <f>IF('MASTER PubCo Inputs'!C29="","",'MASTER PubCo Inputs'!C29)</f>
        <v>IQ613227</v>
      </c>
      <c r="AQ14" s="1576" t="str">
        <f>'Comp.1'!AL13</f>
        <v>Oxford BioMedica plc, a biopharmaceutical company, engages in the research, development, and bioprocessing of lentiviral vector and cell therapy products for the treatment of various cancers, Parkinson’s, central nervous system disorders, and ocular conditions in Europe and internationally. The company operates through Platform and Product segments. Its LentiVector platform technology integrates genes into non-dividing cells in the brain and retinal cells in the eye, as well as accommodates multiple therapeutic genes. The company’s products under development include OXB-102 that is in Phase I/IIa study preparation for the treatment of Parkinson's disease; OXB-202, which is in a Phase I/IIa trial preparation for the prevention of corneal graft rejection; and OXB-302, a gene-based cancer immunotherapy product that has completed pre-clinical development for use in the treatment of a range of cancers, as well as OXB-201 that has completed Phase I trial for the treatment of wet age-related macular degeneration and diabetic retinopathy. It is also developing gene-based therapies, such as SAR 422459 that is in a Phase II trial for the treatment of Stargardt disease; and SAR 421869, which is in Phase I/II trial for the treatment of Usher syndrome 1B. The company has partnerships with Novartis, Sanofi, GlaxoSmithKline, Bioverativ, Orchard Therapeutics, GC LabCell, the UK Cystic Fibrosis Gene Therapy Consortium, Imperial Innovations, and Immune Design. Oxford BioMedica plc was founded in 1995 and is headquartered in Oxford, the United Kingdom.</v>
      </c>
    </row>
    <row r="15" spans="2:43" ht="14.85" customHeight="1">
      <c r="B15" s="179" t="str">
        <f>'Comp.1'!B14</f>
        <v>Fennec Pharmaceuticals Inc.</v>
      </c>
      <c r="C15" s="576">
        <f t="shared" si="0"/>
        <v>205.66506000000001</v>
      </c>
      <c r="E15" s="930" t="str">
        <f t="shared" si="1"/>
        <v>n/a</v>
      </c>
      <c r="F15" s="930" t="str">
        <f t="shared" si="2"/>
        <v>n/a</v>
      </c>
      <c r="G15" s="930" t="str">
        <f t="shared" si="3"/>
        <v>n/a</v>
      </c>
      <c r="H15" s="255"/>
      <c r="I15" s="930" t="str">
        <f t="shared" si="4"/>
        <v>n/a</v>
      </c>
      <c r="J15" s="930" t="str">
        <f t="shared" si="5"/>
        <v>n/a</v>
      </c>
      <c r="L15" s="930">
        <f t="shared" si="6"/>
        <v>7017.738600823046</v>
      </c>
      <c r="M15" s="930">
        <f t="shared" si="7"/>
        <v>596.05399510660607</v>
      </c>
      <c r="N15" s="930">
        <f t="shared" si="8"/>
        <v>66.450160932081204</v>
      </c>
      <c r="P15" s="930">
        <f t="shared" si="9"/>
        <v>477.67800560224094</v>
      </c>
      <c r="Q15" s="930">
        <f t="shared" si="10"/>
        <v>63.733246627050868</v>
      </c>
      <c r="S15" s="1602">
        <f>'Capital IQ Sheet-GPC'!AU15</f>
        <v>-1.256</v>
      </c>
      <c r="T15" s="1602">
        <f>'Capital IQ Sheet-GPC'!AV15</f>
        <v>-3.1749999999999998</v>
      </c>
      <c r="U15" s="1602">
        <f>'Capital IQ Sheet-GPC'!AW15</f>
        <v>-7.8079999999999998</v>
      </c>
      <c r="V15" s="1602"/>
      <c r="W15" s="1602">
        <f>'Capital IQ Sheet-GPC'!AX15</f>
        <v>-2.7890000000000001</v>
      </c>
      <c r="X15" s="1602">
        <f>'Capital IQ Sheet-GPC'!AY15</f>
        <v>-7.0460000000000003</v>
      </c>
      <c r="Z15" s="1602">
        <f>'Capital IQ Sheet-GPC'!AZ15</f>
        <v>0.24299999999999999</v>
      </c>
      <c r="AA15" s="1602">
        <f>'Capital IQ Sheet-GPC'!BA15</f>
        <v>2.8610000000000002</v>
      </c>
      <c r="AB15" s="1602">
        <f>'Capital IQ Sheet-GPC'!BB15</f>
        <v>25.663</v>
      </c>
      <c r="AD15" s="1602">
        <f>'Capital IQ Sheet-GPC'!BC15</f>
        <v>3.57</v>
      </c>
      <c r="AE15" s="1602">
        <f>'Capital IQ Sheet-GPC'!BD15</f>
        <v>26.757000000000001</v>
      </c>
      <c r="AG15" s="255">
        <f>'Beta Calc'!K12</f>
        <v>205.66506000000001</v>
      </c>
      <c r="AH15" s="255">
        <f>'Beta Calc'!L12</f>
        <v>0</v>
      </c>
      <c r="AI15" s="255" t="str">
        <f>'Beta Calc'!M12</f>
        <v>n/a</v>
      </c>
      <c r="AJ15" s="255" t="str">
        <f>'Beta Calc'!N12</f>
        <v>n/a</v>
      </c>
      <c r="AK15" s="255">
        <f t="shared" si="11"/>
        <v>0</v>
      </c>
      <c r="AL15" s="255">
        <f t="shared" si="12"/>
        <v>205.66506000000001</v>
      </c>
      <c r="AM15" s="255">
        <f>'Beta Calc'!Q12</f>
        <v>26.719000000000001</v>
      </c>
      <c r="AN15" s="576">
        <f t="shared" si="13"/>
        <v>178.94606000000002</v>
      </c>
      <c r="AP15" s="932" t="str">
        <f>IF('MASTER PubCo Inputs'!C30="","",'MASTER PubCo Inputs'!C30)</f>
        <v>IQ1455350</v>
      </c>
      <c r="AQ15" s="1576" t="str">
        <f>'Comp.1'!AL14</f>
        <v>Fennec Pharmaceuticals Inc., a biopharmaceutical company, develops product candidates for use in the treatment of cancer in the United States. Its lead product candidate is the Sodium Thiosulfate, which has completed the Phase III clinical trial for the prevention of cisplatin induced hearing loss or ototoxicity in children. The company was formerly known as Adherex Technologies Inc. and changed its name to Fennec Pharmaceuticals Inc. in September 2014. Fennec Pharmaceuticals Inc. was founded in 1996 and is based in Research Triangle Park, North Carolina.</v>
      </c>
    </row>
    <row r="16" spans="2:43" ht="14.85" customHeight="1">
      <c r="B16" s="179" t="str">
        <f>'Comp.1'!B15</f>
        <v>ProQR Therapeutics N.V.</v>
      </c>
      <c r="C16" s="576">
        <f t="shared" si="0"/>
        <v>188.339</v>
      </c>
      <c r="E16" s="930" t="str">
        <f t="shared" si="1"/>
        <v>n/a</v>
      </c>
      <c r="F16" s="930" t="str">
        <f t="shared" si="2"/>
        <v>n/a</v>
      </c>
      <c r="G16" s="930" t="str">
        <f t="shared" si="3"/>
        <v>n/a</v>
      </c>
      <c r="H16" s="255"/>
      <c r="I16" s="930" t="str">
        <f t="shared" si="4"/>
        <v>n/a</v>
      </c>
      <c r="J16" s="930" t="str">
        <f t="shared" si="5"/>
        <v>n/a</v>
      </c>
      <c r="L16" s="930">
        <f t="shared" si="6"/>
        <v>17.485324537235936</v>
      </c>
      <c r="M16" s="930">
        <f t="shared" si="7"/>
        <v>30.401999570349098</v>
      </c>
      <c r="N16" s="930">
        <f t="shared" si="8"/>
        <v>36.11398845663998</v>
      </c>
      <c r="P16" s="930">
        <f t="shared" si="9"/>
        <v>30.401999570349098</v>
      </c>
      <c r="Q16" s="930">
        <f t="shared" si="10"/>
        <v>36.11398845663998</v>
      </c>
      <c r="S16" s="1602">
        <f>'Capital IQ Sheet-GPC'!AU16</f>
        <v>-22.625029999999999</v>
      </c>
      <c r="T16" s="1602">
        <f>'Capital IQ Sheet-GPC'!AV16</f>
        <v>-41.278370000000002</v>
      </c>
      <c r="U16" s="1602">
        <f>'Capital IQ Sheet-GPC'!AW16</f>
        <v>-52.443559999999998</v>
      </c>
      <c r="V16" s="1602"/>
      <c r="W16" s="1602">
        <f>'Capital IQ Sheet-GPC'!AX16</f>
        <v>-41.278370000000002</v>
      </c>
      <c r="X16" s="1602">
        <f>'Capital IQ Sheet-GPC'!AY16</f>
        <v>-52.443559999999998</v>
      </c>
      <c r="Z16" s="1602">
        <f>'Capital IQ Sheet-GPC'!AZ16</f>
        <v>97.528099999999995</v>
      </c>
      <c r="AA16" s="1602">
        <f>'Capital IQ Sheet-GPC'!BA16</f>
        <v>56.09205</v>
      </c>
      <c r="AB16" s="1602">
        <f>'Capital IQ Sheet-GPC'!BB16</f>
        <v>47.220219999999998</v>
      </c>
      <c r="AD16" s="1602">
        <f>'Capital IQ Sheet-GPC'!BC16</f>
        <v>56.09205</v>
      </c>
      <c r="AE16" s="1602">
        <f>'Capital IQ Sheet-GPC'!BD16</f>
        <v>47.220219999999998</v>
      </c>
      <c r="AG16" s="255">
        <f>'Beta Calc'!K13</f>
        <v>188.339</v>
      </c>
      <c r="AH16" s="255">
        <f>'Beta Calc'!L13</f>
        <v>8.6983700000000006</v>
      </c>
      <c r="AI16" s="255" t="str">
        <f>'Beta Calc'!M13</f>
        <v>n/a</v>
      </c>
      <c r="AJ16" s="255">
        <f>'Beta Calc'!N13</f>
        <v>-4.5629999999999997E-2</v>
      </c>
      <c r="AK16" s="255">
        <f t="shared" si="11"/>
        <v>8.6527400000000014</v>
      </c>
      <c r="AL16" s="255">
        <f t="shared" si="12"/>
        <v>196.99174000000002</v>
      </c>
      <c r="AM16" s="255">
        <f>'Beta Calc'!Q13</f>
        <v>57.755760000000002</v>
      </c>
      <c r="AN16" s="576">
        <f t="shared" si="13"/>
        <v>139.23598000000001</v>
      </c>
      <c r="AP16" s="932" t="str">
        <f>IF('MASTER PubCo Inputs'!C31="","",'MASTER PubCo Inputs'!C31)</f>
        <v>IQ224193775</v>
      </c>
      <c r="AQ16" s="1576" t="str">
        <f>'Comp.1'!AL15</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17" spans="2:43" ht="14.85" customHeight="1">
      <c r="B17" s="179" t="str">
        <f>'Comp.1'!B16</f>
        <v>Genkyotex SA</v>
      </c>
      <c r="C17" s="576">
        <f t="shared" si="0"/>
        <v>138.52769000000001</v>
      </c>
      <c r="E17" s="930" t="str">
        <f t="shared" si="1"/>
        <v>n/a</v>
      </c>
      <c r="F17" s="930" t="str">
        <f t="shared" si="2"/>
        <v>n/a</v>
      </c>
      <c r="G17" s="930" t="str">
        <f t="shared" si="3"/>
        <v>n/a</v>
      </c>
      <c r="H17" s="255"/>
      <c r="I17" s="930" t="str">
        <f t="shared" si="4"/>
        <v>n/a</v>
      </c>
      <c r="J17" s="930" t="str">
        <f t="shared" si="5"/>
        <v>n/a</v>
      </c>
      <c r="L17" s="930" t="str">
        <f t="shared" si="6"/>
        <v>n/a</v>
      </c>
      <c r="M17" s="930">
        <f t="shared" si="7"/>
        <v>132.22894937832694</v>
      </c>
      <c r="N17" s="930">
        <f t="shared" si="8"/>
        <v>60.343419996185432</v>
      </c>
      <c r="P17" s="930">
        <f t="shared" si="9"/>
        <v>132.22894937832694</v>
      </c>
      <c r="Q17" s="930">
        <f t="shared" si="10"/>
        <v>60.343419996185432</v>
      </c>
      <c r="S17" s="1602" t="str">
        <f>'Capital IQ Sheet-GPC'!AU17</f>
        <v>n/a</v>
      </c>
      <c r="T17" s="1602">
        <f>'Capital IQ Sheet-GPC'!AV17</f>
        <v>-6.1786099999999999</v>
      </c>
      <c r="U17" s="1602">
        <f>'Capital IQ Sheet-GPC'!AW17</f>
        <v>-30.947410000000001</v>
      </c>
      <c r="V17" s="1602"/>
      <c r="W17" s="1602">
        <f>'Capital IQ Sheet-GPC'!AX17</f>
        <v>-6.1786099999999999</v>
      </c>
      <c r="X17" s="1602">
        <f>'Capital IQ Sheet-GPC'!AY17</f>
        <v>-30.947410000000001</v>
      </c>
      <c r="Z17" s="1602" t="str">
        <f>'Capital IQ Sheet-GPC'!AZ17</f>
        <v>n/a</v>
      </c>
      <c r="AA17" s="1602">
        <f>'Capital IQ Sheet-GPC'!BA17</f>
        <v>12.896649999999999</v>
      </c>
      <c r="AB17" s="1602">
        <f>'Capital IQ Sheet-GPC'!BB17</f>
        <v>28.260090000000002</v>
      </c>
      <c r="AD17" s="1602">
        <f>'Capital IQ Sheet-GPC'!BC17</f>
        <v>12.896649999999999</v>
      </c>
      <c r="AE17" s="1602">
        <f>'Capital IQ Sheet-GPC'!BD17</f>
        <v>28.260090000000002</v>
      </c>
      <c r="AG17" s="255">
        <f>'Beta Calc'!K14</f>
        <v>138.52769000000001</v>
      </c>
      <c r="AH17" s="255">
        <f>'Beta Calc'!L14</f>
        <v>0.48391000000000001</v>
      </c>
      <c r="AI17" s="255" t="str">
        <f>'Beta Calc'!M14</f>
        <v>n/a</v>
      </c>
      <c r="AJ17" s="255" t="str">
        <f>'Beta Calc'!N14</f>
        <v>n/a</v>
      </c>
      <c r="AK17" s="255">
        <f t="shared" si="11"/>
        <v>0.48391000000000001</v>
      </c>
      <c r="AL17" s="255">
        <f t="shared" si="12"/>
        <v>139.01160000000002</v>
      </c>
      <c r="AM17" s="255">
        <f>'Beta Calc'!Q14</f>
        <v>13.622719999999999</v>
      </c>
      <c r="AN17" s="576">
        <f t="shared" si="13"/>
        <v>125.38888000000001</v>
      </c>
      <c r="AP17" s="932" t="str">
        <f>IF('MASTER PubCo Inputs'!C32="","",'MASTER PubCo Inputs'!C32)</f>
        <v>IQ25750031</v>
      </c>
      <c r="AQ17" s="1576" t="str">
        <f>'Comp.1'!AL16</f>
        <v>Genkyotex S.A., a biopharmaceutical company, develops oral small molecule NOX therapeutics. Its platform enables the identification of orally available small-molecules that selectively inhibit NOX enzymes amplifying various disease processes, such as fibrosis, inflammation, pain processing, cancer development, and neurodegeneration. The company’s lead product candidate is GKT831, a NOX1 and NOX4 inhibitor, which is evaluated in a Phase II clinical trial in primary biliary cholangitis a fibrotic orphan disease and in an investigator-initiated Phase II clinical trial in type 1 diabetes and kidney disease. Its preclinical stage product candidate is GKT771, a NOX1 inhibitor targeting various pathways in angiogenesis, pain processing, and inflammation. The company’s research programs include brain penetrant NOX inhibitors to address CNS disorders; NOX inhibitors to address hearing loss; and NOX inhibitors in oncology. Genkyotex S.A. has a partnership with Serum Institute of India Ltd for the development of prophylactic vaccines. The company was founded in 2006 and is based in Saint Julien En Genevois, France.</v>
      </c>
    </row>
    <row r="18" spans="2:43" ht="14.85" customHeight="1">
      <c r="B18" s="179" t="str">
        <f>'Comp.1'!B17</f>
        <v>Novus Therapeutics, Inc.</v>
      </c>
      <c r="C18" s="576">
        <f t="shared" si="0"/>
        <v>74.033280000000005</v>
      </c>
      <c r="E18" s="930" t="str">
        <f t="shared" si="1"/>
        <v>n/a</v>
      </c>
      <c r="F18" s="930" t="str">
        <f t="shared" si="2"/>
        <v>n/a</v>
      </c>
      <c r="G18" s="930" t="str">
        <f t="shared" si="3"/>
        <v>n/a</v>
      </c>
      <c r="H18" s="255"/>
      <c r="I18" s="930" t="str">
        <f t="shared" si="4"/>
        <v>n/a</v>
      </c>
      <c r="J18" s="930" t="str">
        <f t="shared" si="5"/>
        <v>n/a</v>
      </c>
      <c r="L18" s="930">
        <f t="shared" si="6"/>
        <v>1134.6044444444447</v>
      </c>
      <c r="M18" s="930" t="str">
        <f t="shared" si="7"/>
        <v>n/a</v>
      </c>
      <c r="N18" s="930">
        <f t="shared" si="8"/>
        <v>70.18316240019756</v>
      </c>
      <c r="P18" s="930" t="str">
        <f t="shared" si="9"/>
        <v>n/a</v>
      </c>
      <c r="Q18" s="930">
        <f t="shared" si="10"/>
        <v>87.667616697511818</v>
      </c>
      <c r="S18" s="1602">
        <f>'Capital IQ Sheet-GPC'!AU18</f>
        <v>-1.1599999999999999</v>
      </c>
      <c r="T18" s="1602">
        <f>'Capital IQ Sheet-GPC'!AV18</f>
        <v>-5.9764999999999997</v>
      </c>
      <c r="U18" s="1602">
        <f>'Capital IQ Sheet-GPC'!AW18</f>
        <v>-14.548</v>
      </c>
      <c r="V18" s="1602"/>
      <c r="W18" s="1602">
        <f>'Capital IQ Sheet-GPC'!AX18</f>
        <v>-5.6550000000000002</v>
      </c>
      <c r="X18" s="1602">
        <f>'Capital IQ Sheet-GPC'!AY18</f>
        <v>-13.116</v>
      </c>
      <c r="Z18" s="1602">
        <f>'Capital IQ Sheet-GPC'!AZ18</f>
        <v>1.5029999999999999</v>
      </c>
      <c r="AA18" s="1602">
        <f>'Capital IQ Sheet-GPC'!BA18</f>
        <v>-2.702</v>
      </c>
      <c r="AB18" s="1602">
        <f>'Capital IQ Sheet-GPC'!BB18</f>
        <v>24.297999999999998</v>
      </c>
      <c r="AD18" s="1602">
        <f>'Capital IQ Sheet-GPC'!BC18</f>
        <v>-2.702</v>
      </c>
      <c r="AE18" s="1602">
        <f>'Capital IQ Sheet-GPC'!BD18</f>
        <v>19.452000000000002</v>
      </c>
      <c r="AG18" s="255">
        <f>'Beta Calc'!K15</f>
        <v>74.033280000000005</v>
      </c>
      <c r="AH18" s="255">
        <f>'Beta Calc'!L15</f>
        <v>0</v>
      </c>
      <c r="AI18" s="255" t="str">
        <f>'Beta Calc'!M15</f>
        <v>n/a</v>
      </c>
      <c r="AJ18" s="255" t="str">
        <f>'Beta Calc'!N15</f>
        <v>n/a</v>
      </c>
      <c r="AK18" s="255">
        <f t="shared" si="11"/>
        <v>0</v>
      </c>
      <c r="AL18" s="255">
        <f t="shared" si="12"/>
        <v>74.033280000000005</v>
      </c>
      <c r="AM18" s="255">
        <f>'Beta Calc'!Q15</f>
        <v>22.523</v>
      </c>
      <c r="AN18" s="576">
        <f t="shared" si="13"/>
        <v>51.510280000000009</v>
      </c>
      <c r="AP18" s="932" t="str">
        <f>IF('MASTER PubCo Inputs'!C33="","",'MASTER PubCo Inputs'!C33)</f>
        <v>IQ62494905</v>
      </c>
      <c r="AQ18" s="1576" t="str">
        <f>'Comp.1'!AL17</f>
        <v>Novus Therapeutics, Inc., a pharmaceutical company, focuses on developing products for patients with disorders of ear, nose, and throat. Its lead product is (OP-02), a surfactant-based combination drug product for patients at risk for, or with, otitis media (OM) (middle ear inflammation with or without infection). The company also has a foam-based drug delivery technology (OP-01) that could be used to deliver drugs into the ear, nose, and sinus cavities. Novus Therapeutics, Inc. is headquartered in Irvine, California.</v>
      </c>
    </row>
    <row r="19" spans="2:43" ht="14.85" customHeight="1">
      <c r="B19" s="179" t="str">
        <f>'Comp.1'!B18</f>
        <v>Sensorion SA</v>
      </c>
      <c r="C19" s="576">
        <f t="shared" si="0"/>
        <v>37.159999999999997</v>
      </c>
      <c r="E19" s="930" t="str">
        <f t="shared" si="1"/>
        <v>n/a</v>
      </c>
      <c r="F19" s="930" t="str">
        <f t="shared" si="2"/>
        <v>n/a</v>
      </c>
      <c r="G19" s="930" t="str">
        <f t="shared" si="3"/>
        <v>n/a</v>
      </c>
      <c r="H19" s="255"/>
      <c r="I19" s="930" t="str">
        <f t="shared" si="4"/>
        <v>n/a</v>
      </c>
      <c r="J19" s="930" t="str">
        <f t="shared" si="5"/>
        <v>n/a</v>
      </c>
      <c r="L19" s="930">
        <f t="shared" si="6"/>
        <v>122.48514680099035</v>
      </c>
      <c r="M19" s="930">
        <f t="shared" si="7"/>
        <v>188.02156617154148</v>
      </c>
      <c r="N19" s="930">
        <f t="shared" si="8"/>
        <v>193.01628738231545</v>
      </c>
      <c r="P19" s="930">
        <f t="shared" si="9"/>
        <v>188.02156617154148</v>
      </c>
      <c r="Q19" s="930">
        <f t="shared" si="10"/>
        <v>193.01628738231545</v>
      </c>
      <c r="S19" s="1602">
        <f>'Capital IQ Sheet-GPC'!AU19</f>
        <v>-4.6385699999999996</v>
      </c>
      <c r="T19" s="1602">
        <f>'Capital IQ Sheet-GPC'!AV19</f>
        <v>-7.8248499999999996</v>
      </c>
      <c r="U19" s="1602">
        <f>'Capital IQ Sheet-GPC'!AW19</f>
        <v>-9.7454199999999993</v>
      </c>
      <c r="V19" s="1602"/>
      <c r="W19" s="1602">
        <f>'Capital IQ Sheet-GPC'!AX19</f>
        <v>-7.8248499999999996</v>
      </c>
      <c r="X19" s="1602">
        <f>'Capital IQ Sheet-GPC'!AY19</f>
        <v>-9.7454199999999993</v>
      </c>
      <c r="Z19" s="1602">
        <f>'Capital IQ Sheet-GPC'!AZ19</f>
        <v>13.92259</v>
      </c>
      <c r="AA19" s="1602">
        <f>'Capital IQ Sheet-GPC'!BA19</f>
        <v>9.0697600000000005</v>
      </c>
      <c r="AB19" s="1602">
        <f>'Capital IQ Sheet-GPC'!BB19</f>
        <v>8.8350600000000004</v>
      </c>
      <c r="AD19" s="1602">
        <f>'Capital IQ Sheet-GPC'!BC19</f>
        <v>9.0697600000000005</v>
      </c>
      <c r="AE19" s="1602">
        <f>'Capital IQ Sheet-GPC'!BD19</f>
        <v>8.8350600000000004</v>
      </c>
      <c r="AG19" s="255">
        <f>'Beta Calc'!K16</f>
        <v>37.159999999999997</v>
      </c>
      <c r="AH19" s="255">
        <f>'Beta Calc'!L16</f>
        <v>2.6891699999999998</v>
      </c>
      <c r="AI19" s="255">
        <f>'Beta Calc'!M16</f>
        <v>0</v>
      </c>
      <c r="AJ19" s="255">
        <f>'Beta Calc'!N16</f>
        <v>0</v>
      </c>
      <c r="AK19" s="255">
        <f t="shared" si="11"/>
        <v>2.6891699999999998</v>
      </c>
      <c r="AL19" s="255">
        <f t="shared" si="12"/>
        <v>39.849169999999994</v>
      </c>
      <c r="AM19" s="255">
        <f>'Beta Calc'!Q16</f>
        <v>9.1175599999999992</v>
      </c>
      <c r="AN19" s="576">
        <f t="shared" si="13"/>
        <v>30.731609999999996</v>
      </c>
      <c r="AP19" s="932" t="str">
        <f>IF('MASTER PubCo Inputs'!C34="","",'MASTER PubCo Inputs'!C34)</f>
        <v>IQ201049094</v>
      </c>
      <c r="AQ19" s="1576" t="str">
        <f>'Comp.1'!AL18</f>
        <v>Sensorion SA, a biopharmaceutical company, develops therapies for the treatment of inner ear disorders. The company develops SENS-111, which is in phase II clinical trials to treat acute unilateral vestibulopathy; and SENS-401 that is in phase I clinical trials to treat sudden sensorineural hearing loss. It also develops SENS-300, which is under the pre-clinical stage for use in inner ear toxicity treatment. The company has a strategic collaboration with Cochlear Limited to study combination therapies for cochlear implant patients. Sensorion SA was founded in 2009 and is headquartered in Montpellier, France.</v>
      </c>
    </row>
    <row r="20" spans="2:43" ht="14.85" customHeight="1">
      <c r="B20" s="179" t="str">
        <f>'Comp.1'!B19</f>
        <v>Otonomy, Inc.</v>
      </c>
      <c r="C20" s="576">
        <f t="shared" si="0"/>
        <v>136.06998999999999</v>
      </c>
      <c r="E20" s="930" t="str">
        <f t="shared" si="1"/>
        <v>n/a</v>
      </c>
      <c r="F20" s="930" t="str">
        <f t="shared" si="2"/>
        <v>n/a</v>
      </c>
      <c r="G20" s="930" t="str">
        <f t="shared" si="3"/>
        <v>n/a</v>
      </c>
      <c r="H20" s="255"/>
      <c r="I20" s="930" t="str">
        <f t="shared" si="4"/>
        <v>n/a</v>
      </c>
      <c r="J20" s="930" t="str">
        <f t="shared" si="5"/>
        <v>n/a</v>
      </c>
      <c r="L20" s="930">
        <f t="shared" si="6"/>
        <v>6.42902025243919</v>
      </c>
      <c r="M20" s="930">
        <f t="shared" si="7"/>
        <v>10.071226812343129</v>
      </c>
      <c r="N20" s="930">
        <f t="shared" si="8"/>
        <v>15.702096423704468</v>
      </c>
      <c r="P20" s="930">
        <f t="shared" si="9"/>
        <v>8.847862527693179</v>
      </c>
      <c r="Q20" s="930">
        <f t="shared" si="10"/>
        <v>14.54062943920054</v>
      </c>
      <c r="S20" s="1602">
        <f>'Capital IQ Sheet-GPC'!AU20</f>
        <v>-76.414000000000001</v>
      </c>
      <c r="T20" s="1602">
        <f>'Capital IQ Sheet-GPC'!AV20</f>
        <v>-110.898</v>
      </c>
      <c r="U20" s="1602">
        <f>'Capital IQ Sheet-GPC'!AW20</f>
        <v>-74.475999999999999</v>
      </c>
      <c r="V20" s="1602"/>
      <c r="W20" s="1602">
        <f>'Capital IQ Sheet-GPC'!AX20</f>
        <v>-110.583</v>
      </c>
      <c r="X20" s="1602">
        <f>'Capital IQ Sheet-GPC'!AY20</f>
        <v>-90.13</v>
      </c>
      <c r="Z20" s="1602">
        <f>'Capital IQ Sheet-GPC'!AZ20</f>
        <v>265.25200000000001</v>
      </c>
      <c r="AA20" s="1602">
        <f>'Capital IQ Sheet-GPC'!BA20</f>
        <v>169.32499999999999</v>
      </c>
      <c r="AB20" s="1602">
        <f>'Capital IQ Sheet-GPC'!BB20</f>
        <v>108.604</v>
      </c>
      <c r="AD20" s="1602">
        <f>'Capital IQ Sheet-GPC'!BC20</f>
        <v>192.73699999999999</v>
      </c>
      <c r="AE20" s="1602">
        <f>'Capital IQ Sheet-GPC'!BD20</f>
        <v>117.279</v>
      </c>
      <c r="AG20" s="255">
        <f>'Beta Calc'!K17</f>
        <v>136.06998999999999</v>
      </c>
      <c r="AH20" s="255">
        <f>'Beta Calc'!L17</f>
        <v>0</v>
      </c>
      <c r="AI20" s="255">
        <f>'Beta Calc'!M17</f>
        <v>0</v>
      </c>
      <c r="AJ20" s="255">
        <f>'Beta Calc'!N17</f>
        <v>0</v>
      </c>
      <c r="AK20" s="255">
        <f t="shared" si="11"/>
        <v>0</v>
      </c>
      <c r="AL20" s="255">
        <f t="shared" si="12"/>
        <v>136.06998999999999</v>
      </c>
      <c r="AM20" s="255">
        <f>'Beta Calc'!Q17</f>
        <v>110.224</v>
      </c>
      <c r="AN20" s="576">
        <f t="shared" si="13"/>
        <v>25.845989999999986</v>
      </c>
      <c r="AP20" s="932" t="str">
        <f>IF('MASTER PubCo Inputs'!C35="","",'MASTER PubCo Inputs'!C35)</f>
        <v>IQ60978778</v>
      </c>
      <c r="AQ20" s="1576" t="str">
        <f>'Comp.1'!AL19</f>
        <v>Otonomy, Inc., a biopharmaceutical company, engages in the development and commercialization of therapeutics for otology in the United States. It offers OTIPRIO, a ciprofloxacin otic suspension for use during tympanostomy tube placement surgery in pediatric patients. The company also develops OTIVIDEX, a sustained-exposure formulation of the steroid dexamethasone in Phase III clinical trial for the treatment of Ménière’s disease; and OTO- 313, a sustained-exposure formulation of N-methyl-D-aspartate receptor antagonist gacyclidine, which has completed a Phase 1 clinical safety trial for the treatment of tinnitus. In addition, it develops OTO-413, a sustained exposure formulation of brain-derived neurotrophic factor for the repair of cochlear synaptopathy and the treatment of speech-in-noise hearing difficulties; OTO-5XX, an otoprotectant for the prevention of cisplatin-induced hearing loss; and OTO-6XX induces hair cell regeneration for the treatment of severe hearing loss. The company has license agreements with University of California and DURECT Corporation. Otonomy, Inc. was founded in 2008 and is headquartered in San Diego, California.</v>
      </c>
    </row>
    <row r="21" spans="2:43" ht="14.85" customHeight="1">
      <c r="B21" s="179" t="str">
        <f>'Comp.1'!B20</f>
        <v>Auris Medical Holding AG</v>
      </c>
      <c r="C21" s="576">
        <f t="shared" si="0"/>
        <v>7.2796900000000004</v>
      </c>
      <c r="E21" s="930" t="str">
        <f t="shared" si="1"/>
        <v>n/a</v>
      </c>
      <c r="F21" s="930" t="str">
        <f t="shared" si="2"/>
        <v>n/a</v>
      </c>
      <c r="G21" s="930" t="str">
        <f t="shared" si="3"/>
        <v>n/a</v>
      </c>
      <c r="H21" s="255"/>
      <c r="I21" s="930" t="str">
        <f t="shared" si="4"/>
        <v>n/a</v>
      </c>
      <c r="J21" s="930" t="str">
        <f t="shared" si="5"/>
        <v>n/a</v>
      </c>
      <c r="L21" s="930">
        <f t="shared" si="6"/>
        <v>45.539150263317907</v>
      </c>
      <c r="M21" s="930">
        <f t="shared" si="7"/>
        <v>161.60220307566345</v>
      </c>
      <c r="N21" s="930" t="str">
        <f t="shared" si="8"/>
        <v>n/a</v>
      </c>
      <c r="P21" s="930">
        <f t="shared" si="9"/>
        <v>122.48030832125512</v>
      </c>
      <c r="Q21" s="930" t="str">
        <f t="shared" si="10"/>
        <v>n/a</v>
      </c>
      <c r="S21" s="1602">
        <f>'Capital IQ Sheet-GPC'!AU21</f>
        <v>-31.87566</v>
      </c>
      <c r="T21" s="1602">
        <f>'Capital IQ Sheet-GPC'!AV21</f>
        <v>-30.15774</v>
      </c>
      <c r="U21" s="1602">
        <f>'Capital IQ Sheet-GPC'!AW21</f>
        <v>-18.62031</v>
      </c>
      <c r="V21" s="1602"/>
      <c r="W21" s="1602">
        <f>'Capital IQ Sheet-GPC'!AX21</f>
        <v>-30.185919999999999</v>
      </c>
      <c r="X21" s="1602">
        <f>'Capital IQ Sheet-GPC'!AY21</f>
        <v>-25.046659999999999</v>
      </c>
      <c r="Z21" s="1602">
        <f>'Capital IQ Sheet-GPC'!AZ21</f>
        <v>37.447130000000001</v>
      </c>
      <c r="AA21" s="1602">
        <f>'Capital IQ Sheet-GPC'!BA21</f>
        <v>10.552519999999999</v>
      </c>
      <c r="AB21" s="1602">
        <f>'Capital IQ Sheet-GPC'!BB21</f>
        <v>-1.48258</v>
      </c>
      <c r="AD21" s="1602">
        <f>'Capital IQ Sheet-GPC'!BC21</f>
        <v>13.92314</v>
      </c>
      <c r="AE21" s="1602">
        <f>'Capital IQ Sheet-GPC'!BD21</f>
        <v>-2.2186499999999998</v>
      </c>
      <c r="AG21" s="255">
        <f>'Beta Calc'!K18</f>
        <v>7.2796900000000004</v>
      </c>
      <c r="AH21" s="255">
        <f>'Beta Calc'!L18</f>
        <v>9.06297</v>
      </c>
      <c r="AI21" s="255">
        <f>'Beta Calc'!M18</f>
        <v>0</v>
      </c>
      <c r="AJ21" s="255">
        <f>'Beta Calc'!N18</f>
        <v>0</v>
      </c>
      <c r="AK21" s="255">
        <f t="shared" si="11"/>
        <v>9.06297</v>
      </c>
      <c r="AL21" s="255">
        <f t="shared" si="12"/>
        <v>16.342660000000002</v>
      </c>
      <c r="AM21" s="255">
        <f>'Beta Calc'!Q18</f>
        <v>13.2705</v>
      </c>
      <c r="AN21" s="576">
        <f t="shared" si="13"/>
        <v>3.072160000000002</v>
      </c>
      <c r="AP21" s="932" t="str">
        <f>IF('MASTER PubCo Inputs'!C36="","",'MASTER PubCo Inputs'!C36)</f>
        <v>IQ42726152</v>
      </c>
      <c r="AQ21" s="1576" t="str">
        <f>'Comp.1'!AL20</f>
        <v>Auris Medical Holding AG, a clinical-stage biopharmaceutical company, focuses on the development of novel products for the treatment of inner ear disorders. Its product candidates include AM-101, which is in phase III clinical development for the treatment of acute inner ear tinnitus; and AM-111 that is in phase III clinical development for the treatment of acute inner ear hearing loss. The company is also developing AM-125 for the treatment of vestibular disorders; and other pre-clinical stage products comprising AM-102 and AM-123. It has a collaboration and license agreement with Xigen S.A. to develop, manufacture, and commercialize pharmaceutical products, as well as drug delivery devices and formulations for local administration of therapeutic substances to the inner ear for the treatment of ear disorders. The company was formerly known as Auris Medical AG and changed its name to Auris Medical Holding AG in April 2014. Auris Medical Holding AG was founded in 1998 and is headquartered in Zug, Switzerland.</v>
      </c>
    </row>
    <row r="22" spans="2:43" ht="14.85" customHeight="1">
      <c r="B22" s="179" t="str">
        <f>'Comp.1'!B21</f>
        <v>(Invalid Identifier)</v>
      </c>
      <c r="C22" s="576" t="str">
        <f t="shared" si="0"/>
        <v>(Invalid Identifier)</v>
      </c>
      <c r="E22" s="930" t="str">
        <f t="shared" si="1"/>
        <v>n/a</v>
      </c>
      <c r="F22" s="930" t="str">
        <f t="shared" si="2"/>
        <v>n/a</v>
      </c>
      <c r="G22" s="930" t="str">
        <f t="shared" si="3"/>
        <v>n/a</v>
      </c>
      <c r="H22" s="255"/>
      <c r="I22" s="930" t="str">
        <f t="shared" si="4"/>
        <v>n/a</v>
      </c>
      <c r="J22" s="930" t="str">
        <f t="shared" si="5"/>
        <v>n/a</v>
      </c>
      <c r="L22" s="930" t="str">
        <f t="shared" si="6"/>
        <v>n/a</v>
      </c>
      <c r="M22" s="930" t="str">
        <f t="shared" si="7"/>
        <v>n/a</v>
      </c>
      <c r="N22" s="930" t="str">
        <f t="shared" si="8"/>
        <v>n/a</v>
      </c>
      <c r="P22" s="930" t="str">
        <f t="shared" si="9"/>
        <v>n/a</v>
      </c>
      <c r="Q22" s="930" t="str">
        <f t="shared" si="10"/>
        <v>n/a</v>
      </c>
      <c r="S22" s="1602" t="str">
        <f>'Capital IQ Sheet-GPC'!AU22</f>
        <v>(Invalid Identifier)</v>
      </c>
      <c r="T22" s="1602" t="str">
        <f>'Capital IQ Sheet-GPC'!AV22</f>
        <v>(Invalid Identifier)</v>
      </c>
      <c r="U22" s="1602" t="str">
        <f>'Capital IQ Sheet-GPC'!AW22</f>
        <v>(Invalid Identifier)</v>
      </c>
      <c r="V22" s="1602"/>
      <c r="W22" s="1602" t="str">
        <f>'Capital IQ Sheet-GPC'!AX22</f>
        <v>(Invalid Identifier)</v>
      </c>
      <c r="X22" s="1602" t="str">
        <f>'Capital IQ Sheet-GPC'!AY22</f>
        <v>(Invalid Identifier)</v>
      </c>
      <c r="Z22" s="1602" t="str">
        <f>'Capital IQ Sheet-GPC'!AZ22</f>
        <v>(Invalid Identifier)</v>
      </c>
      <c r="AA22" s="1602" t="str">
        <f>'Capital IQ Sheet-GPC'!BA22</f>
        <v>(Invalid Identifier)</v>
      </c>
      <c r="AB22" s="1602" t="str">
        <f>'Capital IQ Sheet-GPC'!BB22</f>
        <v>(Invalid Identifier)</v>
      </c>
      <c r="AD22" s="1602" t="str">
        <f>'Capital IQ Sheet-GPC'!BC22</f>
        <v>(Invalid Identifier)</v>
      </c>
      <c r="AE22" s="1602" t="str">
        <f>'Capital IQ Sheet-GPC'!BD22</f>
        <v>(Invalid Identifier)</v>
      </c>
      <c r="AG22" s="255" t="str">
        <f>'Beta Calc'!K19</f>
        <v>(Invalid Identifier)</v>
      </c>
      <c r="AH22" s="255" t="str">
        <f>'Beta Calc'!L19</f>
        <v>(Invalid Identifier)</v>
      </c>
      <c r="AI22" s="255" t="str">
        <f>'Beta Calc'!M19</f>
        <v>(Invalid Identifier)</v>
      </c>
      <c r="AJ22" s="255" t="str">
        <f>'Beta Calc'!N19</f>
        <v>(Invalid Identifier)</v>
      </c>
      <c r="AK22" s="255">
        <f t="shared" si="11"/>
        <v>0</v>
      </c>
      <c r="AL22" s="255">
        <f t="shared" si="12"/>
        <v>0</v>
      </c>
      <c r="AM22" s="255" t="str">
        <f>'Beta Calc'!Q19</f>
        <v>(Invalid Identifier)</v>
      </c>
      <c r="AN22" s="576" t="str">
        <f t="shared" si="13"/>
        <v>n/a</v>
      </c>
      <c r="AP22" s="932" t="str">
        <f>IF('MASTER PubCo Inputs'!C37="","",'MASTER PubCo Inputs'!C37)</f>
        <v>(Invalid Identifier)</v>
      </c>
      <c r="AQ22" s="1576" t="str">
        <f>'Comp.1'!AL21</f>
        <v>(Invalid Identifier)</v>
      </c>
    </row>
    <row r="23" spans="2:43" ht="14.85" customHeight="1">
      <c r="B23" s="179" t="str">
        <f>'Comp.1'!B22</f>
        <v>(Invalid Identifier)</v>
      </c>
      <c r="C23" s="576" t="str">
        <f t="shared" si="0"/>
        <v>(Invalid Identifier)</v>
      </c>
      <c r="E23" s="930" t="str">
        <f t="shared" si="1"/>
        <v>n/a</v>
      </c>
      <c r="F23" s="930" t="str">
        <f t="shared" si="2"/>
        <v>n/a</v>
      </c>
      <c r="G23" s="930" t="str">
        <f t="shared" si="3"/>
        <v>n/a</v>
      </c>
      <c r="H23" s="255"/>
      <c r="I23" s="930" t="str">
        <f t="shared" si="4"/>
        <v>n/a</v>
      </c>
      <c r="J23" s="930" t="str">
        <f t="shared" si="5"/>
        <v>n/a</v>
      </c>
      <c r="L23" s="930" t="str">
        <f t="shared" si="6"/>
        <v>n/a</v>
      </c>
      <c r="M23" s="930" t="str">
        <f t="shared" si="7"/>
        <v>n/a</v>
      </c>
      <c r="N23" s="930" t="str">
        <f t="shared" si="8"/>
        <v>n/a</v>
      </c>
      <c r="P23" s="930" t="str">
        <f t="shared" si="9"/>
        <v>n/a</v>
      </c>
      <c r="Q23" s="930" t="str">
        <f t="shared" si="10"/>
        <v>n/a</v>
      </c>
      <c r="S23" s="1602" t="str">
        <f>'Capital IQ Sheet-GPC'!AU23</f>
        <v>(Invalid Identifier)</v>
      </c>
      <c r="T23" s="1602" t="str">
        <f>'Capital IQ Sheet-GPC'!AV23</f>
        <v>(Invalid Identifier)</v>
      </c>
      <c r="U23" s="1602" t="str">
        <f>'Capital IQ Sheet-GPC'!AW23</f>
        <v>(Invalid Identifier)</v>
      </c>
      <c r="V23" s="1602"/>
      <c r="W23" s="1602" t="str">
        <f>'Capital IQ Sheet-GPC'!AX23</f>
        <v>(Invalid Identifier)</v>
      </c>
      <c r="X23" s="1602" t="str">
        <f>'Capital IQ Sheet-GPC'!AY23</f>
        <v>(Invalid Identifier)</v>
      </c>
      <c r="Z23" s="1602" t="str">
        <f>'Capital IQ Sheet-GPC'!AZ23</f>
        <v>(Invalid Identifier)</v>
      </c>
      <c r="AA23" s="1602" t="str">
        <f>'Capital IQ Sheet-GPC'!BA23</f>
        <v>(Invalid Identifier)</v>
      </c>
      <c r="AB23" s="1602" t="str">
        <f>'Capital IQ Sheet-GPC'!BB23</f>
        <v>(Invalid Identifier)</v>
      </c>
      <c r="AD23" s="1602" t="str">
        <f>'Capital IQ Sheet-GPC'!BC23</f>
        <v>(Invalid Identifier)</v>
      </c>
      <c r="AE23" s="1602" t="str">
        <f>'Capital IQ Sheet-GPC'!BD23</f>
        <v>(Invalid Identifier)</v>
      </c>
      <c r="AG23" s="255" t="str">
        <f>'Beta Calc'!K20</f>
        <v>(Invalid Identifier)</v>
      </c>
      <c r="AH23" s="255" t="str">
        <f>'Beta Calc'!L20</f>
        <v>(Invalid Identifier)</v>
      </c>
      <c r="AI23" s="255" t="str">
        <f>'Beta Calc'!M20</f>
        <v>(Invalid Identifier)</v>
      </c>
      <c r="AJ23" s="255" t="str">
        <f>'Beta Calc'!N20</f>
        <v>(Invalid Identifier)</v>
      </c>
      <c r="AK23" s="255">
        <f t="shared" si="11"/>
        <v>0</v>
      </c>
      <c r="AL23" s="255">
        <f t="shared" si="12"/>
        <v>0</v>
      </c>
      <c r="AM23" s="255" t="str">
        <f>'Beta Calc'!Q20</f>
        <v>(Invalid Identifier)</v>
      </c>
      <c r="AN23" s="576" t="str">
        <f t="shared" si="13"/>
        <v>n/a</v>
      </c>
      <c r="AP23" s="932" t="str">
        <f>IF('MASTER PubCo Inputs'!C38="","",'MASTER PubCo Inputs'!C38)</f>
        <v>(Invalid Identifier)</v>
      </c>
      <c r="AQ23" s="1576" t="str">
        <f>'Comp.1'!AL22</f>
        <v>(Invalid Identifier)</v>
      </c>
    </row>
    <row r="24" spans="2:43" ht="14.85" customHeight="1">
      <c r="B24" s="179" t="str">
        <f>'Comp.1'!B23</f>
        <v>(Invalid Identifier)</v>
      </c>
      <c r="C24" s="576" t="str">
        <f t="shared" si="0"/>
        <v>(Invalid Identifier)</v>
      </c>
      <c r="E24" s="930" t="str">
        <f t="shared" si="1"/>
        <v>n/a</v>
      </c>
      <c r="F24" s="930" t="str">
        <f t="shared" si="2"/>
        <v>n/a</v>
      </c>
      <c r="G24" s="930" t="str">
        <f t="shared" si="3"/>
        <v>n/a</v>
      </c>
      <c r="H24" s="255"/>
      <c r="I24" s="930" t="str">
        <f t="shared" si="4"/>
        <v>n/a</v>
      </c>
      <c r="J24" s="930" t="str">
        <f t="shared" si="5"/>
        <v>n/a</v>
      </c>
      <c r="L24" s="930" t="str">
        <f t="shared" si="6"/>
        <v>n/a</v>
      </c>
      <c r="M24" s="930" t="str">
        <f t="shared" si="7"/>
        <v>n/a</v>
      </c>
      <c r="N24" s="930" t="str">
        <f t="shared" si="8"/>
        <v>n/a</v>
      </c>
      <c r="P24" s="930" t="str">
        <f t="shared" si="9"/>
        <v>n/a</v>
      </c>
      <c r="Q24" s="930" t="str">
        <f t="shared" si="10"/>
        <v>n/a</v>
      </c>
      <c r="S24" s="1602" t="str">
        <f>'Capital IQ Sheet-GPC'!AU24</f>
        <v>(Invalid Identifier)</v>
      </c>
      <c r="T24" s="1602" t="str">
        <f>'Capital IQ Sheet-GPC'!AV24</f>
        <v>(Invalid Identifier)</v>
      </c>
      <c r="U24" s="1602" t="str">
        <f>'Capital IQ Sheet-GPC'!AW24</f>
        <v>(Invalid Identifier)</v>
      </c>
      <c r="V24" s="1602"/>
      <c r="W24" s="1602" t="str">
        <f>'Capital IQ Sheet-GPC'!AX24</f>
        <v>(Invalid Identifier)</v>
      </c>
      <c r="X24" s="1602" t="str">
        <f>'Capital IQ Sheet-GPC'!AY24</f>
        <v>(Invalid Identifier)</v>
      </c>
      <c r="Z24" s="1602" t="str">
        <f>'Capital IQ Sheet-GPC'!AZ24</f>
        <v>(Invalid Identifier)</v>
      </c>
      <c r="AA24" s="1602" t="str">
        <f>'Capital IQ Sheet-GPC'!BA24</f>
        <v>(Invalid Identifier)</v>
      </c>
      <c r="AB24" s="1602" t="str">
        <f>'Capital IQ Sheet-GPC'!BB24</f>
        <v>(Invalid Identifier)</v>
      </c>
      <c r="AD24" s="1602" t="str">
        <f>'Capital IQ Sheet-GPC'!BC24</f>
        <v>(Invalid Identifier)</v>
      </c>
      <c r="AE24" s="1602" t="str">
        <f>'Capital IQ Sheet-GPC'!BD24</f>
        <v>(Invalid Identifier)</v>
      </c>
      <c r="AG24" s="255" t="str">
        <f>'Beta Calc'!K21</f>
        <v>(Invalid Identifier)</v>
      </c>
      <c r="AH24" s="255" t="str">
        <f>'Beta Calc'!L21</f>
        <v>(Invalid Identifier)</v>
      </c>
      <c r="AI24" s="255" t="str">
        <f>'Beta Calc'!M21</f>
        <v>(Invalid Identifier)</v>
      </c>
      <c r="AJ24" s="255" t="str">
        <f>'Beta Calc'!N21</f>
        <v>(Invalid Identifier)</v>
      </c>
      <c r="AK24" s="255">
        <f t="shared" si="11"/>
        <v>0</v>
      </c>
      <c r="AL24" s="255">
        <f t="shared" si="12"/>
        <v>0</v>
      </c>
      <c r="AM24" s="255" t="str">
        <f>'Beta Calc'!Q21</f>
        <v>(Invalid Identifier)</v>
      </c>
      <c r="AN24" s="576" t="str">
        <f t="shared" si="13"/>
        <v>n/a</v>
      </c>
      <c r="AP24" s="932" t="str">
        <f>IF('MASTER PubCo Inputs'!C39="","",'MASTER PubCo Inputs'!C39)</f>
        <v>(Invalid Identifier)</v>
      </c>
      <c r="AQ24" s="1576" t="str">
        <f>'Comp.1'!AL23</f>
        <v>(Invalid Identifier)</v>
      </c>
    </row>
    <row r="25" spans="2:43" ht="14.85" customHeight="1">
      <c r="B25" s="179" t="str">
        <f>'Comp.1'!B24</f>
        <v>(Invalid Identifier)</v>
      </c>
      <c r="C25" s="576" t="str">
        <f t="shared" si="0"/>
        <v>(Invalid Identifier)</v>
      </c>
      <c r="E25" s="930" t="str">
        <f t="shared" si="1"/>
        <v>n/a</v>
      </c>
      <c r="F25" s="930" t="str">
        <f t="shared" si="2"/>
        <v>n/a</v>
      </c>
      <c r="G25" s="930" t="str">
        <f t="shared" si="3"/>
        <v>n/a</v>
      </c>
      <c r="H25" s="255"/>
      <c r="I25" s="930" t="str">
        <f t="shared" si="4"/>
        <v>n/a</v>
      </c>
      <c r="J25" s="930" t="str">
        <f t="shared" si="5"/>
        <v>n/a</v>
      </c>
      <c r="L25" s="930" t="str">
        <f t="shared" si="6"/>
        <v>n/a</v>
      </c>
      <c r="M25" s="930" t="str">
        <f t="shared" si="7"/>
        <v>n/a</v>
      </c>
      <c r="N25" s="930" t="str">
        <f t="shared" si="8"/>
        <v>n/a</v>
      </c>
      <c r="P25" s="930" t="str">
        <f t="shared" si="9"/>
        <v>n/a</v>
      </c>
      <c r="Q25" s="930" t="str">
        <f t="shared" si="10"/>
        <v>n/a</v>
      </c>
      <c r="S25" s="1602" t="str">
        <f>'Capital IQ Sheet-GPC'!AU25</f>
        <v>(Invalid Identifier)</v>
      </c>
      <c r="T25" s="1602" t="str">
        <f>'Capital IQ Sheet-GPC'!AV25</f>
        <v>(Invalid Identifier)</v>
      </c>
      <c r="U25" s="1602" t="str">
        <f>'Capital IQ Sheet-GPC'!AW25</f>
        <v>(Invalid Identifier)</v>
      </c>
      <c r="V25" s="1602"/>
      <c r="W25" s="1602" t="str">
        <f>'Capital IQ Sheet-GPC'!AX25</f>
        <v>(Invalid Identifier)</v>
      </c>
      <c r="X25" s="1602" t="str">
        <f>'Capital IQ Sheet-GPC'!AY25</f>
        <v>(Invalid Identifier)</v>
      </c>
      <c r="Z25" s="1602" t="str">
        <f>'Capital IQ Sheet-GPC'!AZ25</f>
        <v>(Invalid Identifier)</v>
      </c>
      <c r="AA25" s="1602" t="str">
        <f>'Capital IQ Sheet-GPC'!BA25</f>
        <v>(Invalid Identifier)</v>
      </c>
      <c r="AB25" s="1602" t="str">
        <f>'Capital IQ Sheet-GPC'!BB25</f>
        <v>(Invalid Identifier)</v>
      </c>
      <c r="AD25" s="1602" t="str">
        <f>'Capital IQ Sheet-GPC'!BC25</f>
        <v>(Invalid Identifier)</v>
      </c>
      <c r="AE25" s="1602" t="str">
        <f>'Capital IQ Sheet-GPC'!BD25</f>
        <v>(Invalid Identifier)</v>
      </c>
      <c r="AG25" s="255" t="str">
        <f>'Beta Calc'!K22</f>
        <v>(Invalid Identifier)</v>
      </c>
      <c r="AH25" s="255" t="str">
        <f>'Beta Calc'!L22</f>
        <v>(Invalid Identifier)</v>
      </c>
      <c r="AI25" s="255" t="str">
        <f>'Beta Calc'!M22</f>
        <v>(Invalid Identifier)</v>
      </c>
      <c r="AJ25" s="255" t="str">
        <f>'Beta Calc'!N22</f>
        <v>(Invalid Identifier)</v>
      </c>
      <c r="AK25" s="255">
        <f t="shared" si="11"/>
        <v>0</v>
      </c>
      <c r="AL25" s="255">
        <f t="shared" si="12"/>
        <v>0</v>
      </c>
      <c r="AM25" s="255" t="str">
        <f>'Beta Calc'!Q22</f>
        <v>(Invalid Identifier)</v>
      </c>
      <c r="AN25" s="576" t="str">
        <f t="shared" si="13"/>
        <v>n/a</v>
      </c>
      <c r="AP25" s="932" t="str">
        <f>IF('MASTER PubCo Inputs'!C40="","",'MASTER PubCo Inputs'!C40)</f>
        <v>(Invalid Identifier)</v>
      </c>
      <c r="AQ25" s="1576" t="str">
        <f>'Comp.1'!AL24</f>
        <v>(Invalid Identifier)</v>
      </c>
    </row>
    <row r="26" spans="2:43" ht="14.85" customHeight="1">
      <c r="B26" s="179" t="str">
        <f>'Comp.1'!B25</f>
        <v>(Invalid Identifier)</v>
      </c>
      <c r="C26" s="576" t="str">
        <f t="shared" si="0"/>
        <v>(Invalid Identifier)</v>
      </c>
      <c r="E26" s="930" t="str">
        <f t="shared" si="1"/>
        <v>n/a</v>
      </c>
      <c r="F26" s="930" t="str">
        <f t="shared" si="2"/>
        <v>n/a</v>
      </c>
      <c r="G26" s="930" t="str">
        <f t="shared" si="3"/>
        <v>n/a</v>
      </c>
      <c r="H26" s="255"/>
      <c r="I26" s="930" t="str">
        <f t="shared" si="4"/>
        <v>n/a</v>
      </c>
      <c r="J26" s="930" t="str">
        <f t="shared" si="5"/>
        <v>n/a</v>
      </c>
      <c r="L26" s="930" t="str">
        <f t="shared" si="6"/>
        <v>n/a</v>
      </c>
      <c r="M26" s="930" t="str">
        <f t="shared" si="7"/>
        <v>n/a</v>
      </c>
      <c r="N26" s="930" t="str">
        <f t="shared" si="8"/>
        <v>n/a</v>
      </c>
      <c r="P26" s="930" t="str">
        <f t="shared" si="9"/>
        <v>n/a</v>
      </c>
      <c r="Q26" s="930" t="str">
        <f t="shared" si="10"/>
        <v>n/a</v>
      </c>
      <c r="S26" s="1602" t="str">
        <f>'Capital IQ Sheet-GPC'!AU26</f>
        <v>(Invalid Identifier)</v>
      </c>
      <c r="T26" s="1602" t="str">
        <f>'Capital IQ Sheet-GPC'!AV26</f>
        <v>(Invalid Identifier)</v>
      </c>
      <c r="U26" s="1602" t="str">
        <f>'Capital IQ Sheet-GPC'!AW26</f>
        <v>(Invalid Identifier)</v>
      </c>
      <c r="V26" s="1602"/>
      <c r="W26" s="1602" t="str">
        <f>'Capital IQ Sheet-GPC'!AX26</f>
        <v>(Invalid Identifier)</v>
      </c>
      <c r="X26" s="1602" t="str">
        <f>'Capital IQ Sheet-GPC'!AY26</f>
        <v>(Invalid Identifier)</v>
      </c>
      <c r="Z26" s="1602" t="str">
        <f>'Capital IQ Sheet-GPC'!AZ26</f>
        <v>(Invalid Identifier)</v>
      </c>
      <c r="AA26" s="1602" t="str">
        <f>'Capital IQ Sheet-GPC'!BA26</f>
        <v>(Invalid Identifier)</v>
      </c>
      <c r="AB26" s="1602" t="str">
        <f>'Capital IQ Sheet-GPC'!BB26</f>
        <v>(Invalid Identifier)</v>
      </c>
      <c r="AD26" s="1602" t="str">
        <f>'Capital IQ Sheet-GPC'!BC26</f>
        <v>(Invalid Identifier)</v>
      </c>
      <c r="AE26" s="1602" t="str">
        <f>'Capital IQ Sheet-GPC'!BD26</f>
        <v>(Invalid Identifier)</v>
      </c>
      <c r="AG26" s="255" t="str">
        <f>'Beta Calc'!K23</f>
        <v>(Invalid Identifier)</v>
      </c>
      <c r="AH26" s="255" t="str">
        <f>'Beta Calc'!L23</f>
        <v>(Invalid Identifier)</v>
      </c>
      <c r="AI26" s="255" t="str">
        <f>'Beta Calc'!M23</f>
        <v>(Invalid Identifier)</v>
      </c>
      <c r="AJ26" s="255" t="str">
        <f>'Beta Calc'!N23</f>
        <v>(Invalid Identifier)</v>
      </c>
      <c r="AK26" s="255">
        <f t="shared" si="11"/>
        <v>0</v>
      </c>
      <c r="AL26" s="255">
        <f t="shared" si="12"/>
        <v>0</v>
      </c>
      <c r="AM26" s="255" t="str">
        <f>'Beta Calc'!Q23</f>
        <v>(Invalid Identifier)</v>
      </c>
      <c r="AN26" s="576" t="str">
        <f t="shared" si="13"/>
        <v>n/a</v>
      </c>
      <c r="AP26" s="932" t="str">
        <f>IF('MASTER PubCo Inputs'!C41="","",'MASTER PubCo Inputs'!C41)</f>
        <v>(Invalid Identifier)</v>
      </c>
      <c r="AQ26" s="1576" t="str">
        <f>'Comp.1'!AL25</f>
        <v>(Invalid Identifier)</v>
      </c>
    </row>
    <row r="27" spans="2:43" ht="14.85" customHeight="1">
      <c r="B27" s="179" t="str">
        <f>'Comp.1'!B26</f>
        <v>(Invalid Identifier)</v>
      </c>
      <c r="C27" s="576" t="str">
        <f t="shared" si="0"/>
        <v>(Invalid Identifier)</v>
      </c>
      <c r="E27" s="930" t="str">
        <f t="shared" si="1"/>
        <v>n/a</v>
      </c>
      <c r="F27" s="930" t="str">
        <f t="shared" si="2"/>
        <v>n/a</v>
      </c>
      <c r="G27" s="930" t="str">
        <f t="shared" si="3"/>
        <v>n/a</v>
      </c>
      <c r="H27" s="255"/>
      <c r="I27" s="930" t="str">
        <f t="shared" si="4"/>
        <v>n/a</v>
      </c>
      <c r="J27" s="930" t="str">
        <f t="shared" si="5"/>
        <v>n/a</v>
      </c>
      <c r="L27" s="930" t="str">
        <f t="shared" si="6"/>
        <v>n/a</v>
      </c>
      <c r="M27" s="930" t="str">
        <f t="shared" si="7"/>
        <v>n/a</v>
      </c>
      <c r="N27" s="930" t="str">
        <f t="shared" si="8"/>
        <v>n/a</v>
      </c>
      <c r="P27" s="930" t="str">
        <f t="shared" si="9"/>
        <v>n/a</v>
      </c>
      <c r="Q27" s="930" t="str">
        <f t="shared" si="10"/>
        <v>n/a</v>
      </c>
      <c r="S27" s="1602" t="str">
        <f>'Capital IQ Sheet-GPC'!AU27</f>
        <v>(Invalid Identifier)</v>
      </c>
      <c r="T27" s="1602" t="str">
        <f>'Capital IQ Sheet-GPC'!AV27</f>
        <v>(Invalid Identifier)</v>
      </c>
      <c r="U27" s="1602" t="str">
        <f>'Capital IQ Sheet-GPC'!AW27</f>
        <v>(Invalid Identifier)</v>
      </c>
      <c r="V27" s="1602"/>
      <c r="W27" s="1602" t="str">
        <f>'Capital IQ Sheet-GPC'!AX27</f>
        <v>(Invalid Identifier)</v>
      </c>
      <c r="X27" s="1602" t="str">
        <f>'Capital IQ Sheet-GPC'!AY27</f>
        <v>(Invalid Identifier)</v>
      </c>
      <c r="Z27" s="1602" t="str">
        <f>'Capital IQ Sheet-GPC'!AZ27</f>
        <v>(Invalid Identifier)</v>
      </c>
      <c r="AA27" s="1602" t="str">
        <f>'Capital IQ Sheet-GPC'!BA27</f>
        <v>(Invalid Identifier)</v>
      </c>
      <c r="AB27" s="1602" t="str">
        <f>'Capital IQ Sheet-GPC'!BB27</f>
        <v>(Invalid Identifier)</v>
      </c>
      <c r="AD27" s="1602" t="str">
        <f>'Capital IQ Sheet-GPC'!BC27</f>
        <v>(Invalid Identifier)</v>
      </c>
      <c r="AE27" s="1602" t="str">
        <f>'Capital IQ Sheet-GPC'!BD27</f>
        <v>(Invalid Identifier)</v>
      </c>
      <c r="AG27" s="255" t="str">
        <f>'Beta Calc'!K24</f>
        <v>(Invalid Identifier)</v>
      </c>
      <c r="AH27" s="255" t="str">
        <f>'Beta Calc'!L24</f>
        <v>(Invalid Identifier)</v>
      </c>
      <c r="AI27" s="255" t="str">
        <f>'Beta Calc'!M24</f>
        <v>(Invalid Identifier)</v>
      </c>
      <c r="AJ27" s="255" t="str">
        <f>'Beta Calc'!N24</f>
        <v>(Invalid Identifier)</v>
      </c>
      <c r="AK27" s="255">
        <f t="shared" si="11"/>
        <v>0</v>
      </c>
      <c r="AL27" s="255">
        <f t="shared" si="12"/>
        <v>0</v>
      </c>
      <c r="AM27" s="255" t="str">
        <f>'Beta Calc'!Q24</f>
        <v>(Invalid Identifier)</v>
      </c>
      <c r="AN27" s="576" t="str">
        <f t="shared" si="13"/>
        <v>n/a</v>
      </c>
      <c r="AP27" s="932" t="str">
        <f>IF('MASTER PubCo Inputs'!C42="","",'MASTER PubCo Inputs'!C42)</f>
        <v>(Invalid Identifier)</v>
      </c>
      <c r="AQ27" s="1576" t="str">
        <f>'Comp.1'!AL26</f>
        <v>(Invalid Identifier)</v>
      </c>
    </row>
    <row r="28" spans="2:43" ht="14.85" customHeight="1">
      <c r="B28" s="179" t="str">
        <f>'Comp.1'!B27</f>
        <v>(Invalid Identifier)</v>
      </c>
      <c r="C28" s="576" t="str">
        <f t="shared" si="0"/>
        <v>(Invalid Identifier)</v>
      </c>
      <c r="E28" s="930" t="str">
        <f t="shared" si="1"/>
        <v>n/a</v>
      </c>
      <c r="F28" s="930" t="str">
        <f t="shared" si="2"/>
        <v>n/a</v>
      </c>
      <c r="G28" s="930" t="str">
        <f t="shared" si="3"/>
        <v>n/a</v>
      </c>
      <c r="H28" s="255"/>
      <c r="I28" s="930" t="str">
        <f t="shared" si="4"/>
        <v>n/a</v>
      </c>
      <c r="J28" s="930" t="str">
        <f t="shared" si="5"/>
        <v>n/a</v>
      </c>
      <c r="L28" s="930" t="str">
        <f t="shared" si="6"/>
        <v>n/a</v>
      </c>
      <c r="M28" s="930" t="str">
        <f t="shared" si="7"/>
        <v>n/a</v>
      </c>
      <c r="N28" s="930" t="str">
        <f t="shared" si="8"/>
        <v>n/a</v>
      </c>
      <c r="P28" s="930" t="str">
        <f t="shared" si="9"/>
        <v>n/a</v>
      </c>
      <c r="Q28" s="930" t="str">
        <f t="shared" si="10"/>
        <v>n/a</v>
      </c>
      <c r="S28" s="1602" t="str">
        <f>'Capital IQ Sheet-GPC'!AU28</f>
        <v>(Invalid Identifier)</v>
      </c>
      <c r="T28" s="1602" t="str">
        <f>'Capital IQ Sheet-GPC'!AV28</f>
        <v>(Invalid Identifier)</v>
      </c>
      <c r="U28" s="1602" t="str">
        <f>'Capital IQ Sheet-GPC'!AW28</f>
        <v>(Invalid Identifier)</v>
      </c>
      <c r="V28" s="1602"/>
      <c r="W28" s="1602" t="str">
        <f>'Capital IQ Sheet-GPC'!AX28</f>
        <v>(Invalid Identifier)</v>
      </c>
      <c r="X28" s="1602" t="str">
        <f>'Capital IQ Sheet-GPC'!AY28</f>
        <v>(Invalid Identifier)</v>
      </c>
      <c r="Z28" s="1602" t="str">
        <f>'Capital IQ Sheet-GPC'!AZ28</f>
        <v>(Invalid Identifier)</v>
      </c>
      <c r="AA28" s="1602" t="str">
        <f>'Capital IQ Sheet-GPC'!BA28</f>
        <v>(Invalid Identifier)</v>
      </c>
      <c r="AB28" s="1602" t="str">
        <f>'Capital IQ Sheet-GPC'!BB28</f>
        <v>(Invalid Identifier)</v>
      </c>
      <c r="AD28" s="1602" t="str">
        <f>'Capital IQ Sheet-GPC'!BC28</f>
        <v>(Invalid Identifier)</v>
      </c>
      <c r="AE28" s="1602" t="str">
        <f>'Capital IQ Sheet-GPC'!BD28</f>
        <v>(Invalid Identifier)</v>
      </c>
      <c r="AG28" s="255" t="str">
        <f>'Beta Calc'!K25</f>
        <v>(Invalid Identifier)</v>
      </c>
      <c r="AH28" s="255" t="str">
        <f>'Beta Calc'!L25</f>
        <v>(Invalid Identifier)</v>
      </c>
      <c r="AI28" s="255" t="str">
        <f>'Beta Calc'!M25</f>
        <v>(Invalid Identifier)</v>
      </c>
      <c r="AJ28" s="255" t="str">
        <f>'Beta Calc'!N25</f>
        <v>(Invalid Identifier)</v>
      </c>
      <c r="AK28" s="255">
        <f t="shared" si="11"/>
        <v>0</v>
      </c>
      <c r="AL28" s="255">
        <f t="shared" si="12"/>
        <v>0</v>
      </c>
      <c r="AM28" s="255" t="str">
        <f>'Beta Calc'!Q25</f>
        <v>(Invalid Identifier)</v>
      </c>
      <c r="AN28" s="576" t="str">
        <f t="shared" si="13"/>
        <v>n/a</v>
      </c>
      <c r="AP28" s="932" t="str">
        <f>IF('MASTER PubCo Inputs'!C43="","",'MASTER PubCo Inputs'!C43)</f>
        <v>(Invalid Identifier)</v>
      </c>
      <c r="AQ28" s="1576" t="str">
        <f>'Comp.1'!AL27</f>
        <v>(Invalid Identifier)</v>
      </c>
    </row>
    <row r="29" spans="2:43" ht="14.85" customHeight="1">
      <c r="B29" s="179" t="str">
        <f>'Comp.1'!B28</f>
        <v>(Invalid Identifier)</v>
      </c>
      <c r="C29" s="576" t="str">
        <f t="shared" si="0"/>
        <v>(Invalid Identifier)</v>
      </c>
      <c r="E29" s="930" t="str">
        <f t="shared" si="1"/>
        <v>n/a</v>
      </c>
      <c r="F29" s="930" t="str">
        <f t="shared" si="2"/>
        <v>n/a</v>
      </c>
      <c r="G29" s="930" t="str">
        <f t="shared" si="3"/>
        <v>n/a</v>
      </c>
      <c r="H29" s="255"/>
      <c r="I29" s="930" t="str">
        <f t="shared" si="4"/>
        <v>n/a</v>
      </c>
      <c r="J29" s="930" t="str">
        <f t="shared" si="5"/>
        <v>n/a</v>
      </c>
      <c r="L29" s="930" t="str">
        <f t="shared" si="6"/>
        <v>n/a</v>
      </c>
      <c r="M29" s="930" t="str">
        <f t="shared" si="7"/>
        <v>n/a</v>
      </c>
      <c r="N29" s="930" t="str">
        <f t="shared" si="8"/>
        <v>n/a</v>
      </c>
      <c r="P29" s="930" t="str">
        <f t="shared" si="9"/>
        <v>n/a</v>
      </c>
      <c r="Q29" s="930" t="str">
        <f t="shared" si="10"/>
        <v>n/a</v>
      </c>
      <c r="S29" s="1602" t="str">
        <f>'Capital IQ Sheet-GPC'!AU29</f>
        <v>(Invalid Identifier)</v>
      </c>
      <c r="T29" s="1602" t="str">
        <f>'Capital IQ Sheet-GPC'!AV29</f>
        <v>(Invalid Identifier)</v>
      </c>
      <c r="U29" s="1602" t="str">
        <f>'Capital IQ Sheet-GPC'!AW29</f>
        <v>(Invalid Identifier)</v>
      </c>
      <c r="V29" s="1602"/>
      <c r="W29" s="1602" t="str">
        <f>'Capital IQ Sheet-GPC'!AX29</f>
        <v>(Invalid Identifier)</v>
      </c>
      <c r="X29" s="1602" t="str">
        <f>'Capital IQ Sheet-GPC'!AY29</f>
        <v>(Invalid Identifier)</v>
      </c>
      <c r="Z29" s="1602" t="str">
        <f>'Capital IQ Sheet-GPC'!AZ29</f>
        <v>(Invalid Identifier)</v>
      </c>
      <c r="AA29" s="1602" t="str">
        <f>'Capital IQ Sheet-GPC'!BA29</f>
        <v>(Invalid Identifier)</v>
      </c>
      <c r="AB29" s="1602" t="str">
        <f>'Capital IQ Sheet-GPC'!BB29</f>
        <v>(Invalid Identifier)</v>
      </c>
      <c r="AD29" s="1602" t="str">
        <f>'Capital IQ Sheet-GPC'!BC29</f>
        <v>(Invalid Identifier)</v>
      </c>
      <c r="AE29" s="1602" t="str">
        <f>'Capital IQ Sheet-GPC'!BD29</f>
        <v>(Invalid Identifier)</v>
      </c>
      <c r="AG29" s="255" t="str">
        <f>'Beta Calc'!K26</f>
        <v>(Invalid Identifier)</v>
      </c>
      <c r="AH29" s="255" t="str">
        <f>'Beta Calc'!L26</f>
        <v>(Invalid Identifier)</v>
      </c>
      <c r="AI29" s="255" t="str">
        <f>'Beta Calc'!M26</f>
        <v>(Invalid Identifier)</v>
      </c>
      <c r="AJ29" s="255" t="str">
        <f>'Beta Calc'!N26</f>
        <v>(Invalid Identifier)</v>
      </c>
      <c r="AK29" s="255">
        <f t="shared" si="11"/>
        <v>0</v>
      </c>
      <c r="AL29" s="255">
        <f t="shared" si="12"/>
        <v>0</v>
      </c>
      <c r="AM29" s="255" t="str">
        <f>'Beta Calc'!Q26</f>
        <v>(Invalid Identifier)</v>
      </c>
      <c r="AN29" s="576" t="str">
        <f t="shared" si="13"/>
        <v>n/a</v>
      </c>
      <c r="AP29" s="932" t="str">
        <f>IF('MASTER PubCo Inputs'!C44="","",'MASTER PubCo Inputs'!C44)</f>
        <v>(Invalid Identifier)</v>
      </c>
      <c r="AQ29" s="1576" t="str">
        <f>'Comp.1'!AL28</f>
        <v>(Invalid Identifier)</v>
      </c>
    </row>
    <row r="30" spans="2:43" ht="14.85" customHeight="1">
      <c r="B30" s="179" t="str">
        <f>'Comp.1'!B29</f>
        <v>(Invalid Identifier)</v>
      </c>
      <c r="C30" s="576" t="str">
        <f t="shared" si="0"/>
        <v>(Invalid Identifier)</v>
      </c>
      <c r="E30" s="930" t="str">
        <f t="shared" si="1"/>
        <v>n/a</v>
      </c>
      <c r="F30" s="930" t="str">
        <f t="shared" si="2"/>
        <v>n/a</v>
      </c>
      <c r="G30" s="930" t="str">
        <f t="shared" si="3"/>
        <v>n/a</v>
      </c>
      <c r="H30" s="255"/>
      <c r="I30" s="930" t="str">
        <f t="shared" si="4"/>
        <v>n/a</v>
      </c>
      <c r="J30" s="930" t="str">
        <f t="shared" si="5"/>
        <v>n/a</v>
      </c>
      <c r="L30" s="930" t="str">
        <f t="shared" si="6"/>
        <v>n/a</v>
      </c>
      <c r="M30" s="930" t="str">
        <f t="shared" si="7"/>
        <v>n/a</v>
      </c>
      <c r="N30" s="930" t="str">
        <f t="shared" si="8"/>
        <v>n/a</v>
      </c>
      <c r="P30" s="930" t="str">
        <f t="shared" si="9"/>
        <v>n/a</v>
      </c>
      <c r="Q30" s="930" t="str">
        <f t="shared" si="10"/>
        <v>n/a</v>
      </c>
      <c r="S30" s="1602" t="str">
        <f>'Capital IQ Sheet-GPC'!AU30</f>
        <v>(Invalid Identifier)</v>
      </c>
      <c r="T30" s="1602" t="str">
        <f>'Capital IQ Sheet-GPC'!AV30</f>
        <v>(Invalid Identifier)</v>
      </c>
      <c r="U30" s="1602" t="str">
        <f>'Capital IQ Sheet-GPC'!AW30</f>
        <v>(Invalid Identifier)</v>
      </c>
      <c r="V30" s="1602"/>
      <c r="W30" s="1602" t="str">
        <f>'Capital IQ Sheet-GPC'!AX30</f>
        <v>(Invalid Identifier)</v>
      </c>
      <c r="X30" s="1602" t="str">
        <f>'Capital IQ Sheet-GPC'!AY30</f>
        <v>(Invalid Identifier)</v>
      </c>
      <c r="Z30" s="1602" t="str">
        <f>'Capital IQ Sheet-GPC'!AZ30</f>
        <v>(Invalid Identifier)</v>
      </c>
      <c r="AA30" s="1602" t="str">
        <f>'Capital IQ Sheet-GPC'!BA30</f>
        <v>(Invalid Identifier)</v>
      </c>
      <c r="AB30" s="1602" t="str">
        <f>'Capital IQ Sheet-GPC'!BB30</f>
        <v>(Invalid Identifier)</v>
      </c>
      <c r="AD30" s="1602" t="str">
        <f>'Capital IQ Sheet-GPC'!BC30</f>
        <v>(Invalid Identifier)</v>
      </c>
      <c r="AE30" s="1602" t="str">
        <f>'Capital IQ Sheet-GPC'!BD30</f>
        <v>(Invalid Identifier)</v>
      </c>
      <c r="AG30" s="255" t="str">
        <f>'Beta Calc'!K27</f>
        <v>(Invalid Identifier)</v>
      </c>
      <c r="AH30" s="255" t="str">
        <f>'Beta Calc'!L27</f>
        <v>(Invalid Identifier)</v>
      </c>
      <c r="AI30" s="255" t="str">
        <f>'Beta Calc'!M27</f>
        <v>(Invalid Identifier)</v>
      </c>
      <c r="AJ30" s="255" t="str">
        <f>'Beta Calc'!N27</f>
        <v>(Invalid Identifier)</v>
      </c>
      <c r="AK30" s="255">
        <f t="shared" si="11"/>
        <v>0</v>
      </c>
      <c r="AL30" s="255">
        <f t="shared" si="12"/>
        <v>0</v>
      </c>
      <c r="AM30" s="255" t="str">
        <f>'Beta Calc'!Q27</f>
        <v>(Invalid Identifier)</v>
      </c>
      <c r="AN30" s="576" t="str">
        <f t="shared" si="13"/>
        <v>n/a</v>
      </c>
      <c r="AP30" s="932" t="str">
        <f>IF('MASTER PubCo Inputs'!C45="","",'MASTER PubCo Inputs'!C45)</f>
        <v>(Invalid Identifier)</v>
      </c>
      <c r="AQ30" s="1576" t="str">
        <f>'Comp.1'!AL29</f>
        <v>(Invalid Identifier)</v>
      </c>
    </row>
    <row r="31" spans="2:43" ht="14.85" customHeight="1">
      <c r="B31" s="179" t="str">
        <f>'Comp.1'!B30</f>
        <v>(Invalid Identifier)</v>
      </c>
      <c r="C31" s="576" t="str">
        <f t="shared" si="0"/>
        <v>(Invalid Identifier)</v>
      </c>
      <c r="E31" s="930" t="str">
        <f t="shared" si="1"/>
        <v>n/a</v>
      </c>
      <c r="F31" s="930" t="str">
        <f t="shared" si="2"/>
        <v>n/a</v>
      </c>
      <c r="G31" s="930" t="str">
        <f t="shared" si="3"/>
        <v>n/a</v>
      </c>
      <c r="H31" s="255"/>
      <c r="I31" s="930" t="str">
        <f t="shared" si="4"/>
        <v>n/a</v>
      </c>
      <c r="J31" s="930" t="str">
        <f t="shared" si="5"/>
        <v>n/a</v>
      </c>
      <c r="L31" s="930" t="str">
        <f t="shared" si="6"/>
        <v>n/a</v>
      </c>
      <c r="M31" s="930" t="str">
        <f t="shared" si="7"/>
        <v>n/a</v>
      </c>
      <c r="N31" s="930" t="str">
        <f t="shared" si="8"/>
        <v>n/a</v>
      </c>
      <c r="P31" s="930" t="str">
        <f t="shared" si="9"/>
        <v>n/a</v>
      </c>
      <c r="Q31" s="930" t="str">
        <f t="shared" si="10"/>
        <v>n/a</v>
      </c>
      <c r="S31" s="1602" t="str">
        <f>'Capital IQ Sheet-GPC'!AU31</f>
        <v>(Invalid Identifier)</v>
      </c>
      <c r="T31" s="1602" t="str">
        <f>'Capital IQ Sheet-GPC'!AV31</f>
        <v>(Invalid Identifier)</v>
      </c>
      <c r="U31" s="1602" t="str">
        <f>'Capital IQ Sheet-GPC'!AW31</f>
        <v>(Invalid Identifier)</v>
      </c>
      <c r="V31" s="1602"/>
      <c r="W31" s="1602" t="str">
        <f>'Capital IQ Sheet-GPC'!AX31</f>
        <v>(Invalid Identifier)</v>
      </c>
      <c r="X31" s="1602" t="str">
        <f>'Capital IQ Sheet-GPC'!AY31</f>
        <v>(Invalid Identifier)</v>
      </c>
      <c r="Z31" s="1602" t="str">
        <f>'Capital IQ Sheet-GPC'!AZ31</f>
        <v>(Invalid Identifier)</v>
      </c>
      <c r="AA31" s="1602" t="str">
        <f>'Capital IQ Sheet-GPC'!BA31</f>
        <v>(Invalid Identifier)</v>
      </c>
      <c r="AB31" s="1602" t="str">
        <f>'Capital IQ Sheet-GPC'!BB31</f>
        <v>(Invalid Identifier)</v>
      </c>
      <c r="AD31" s="1602" t="str">
        <f>'Capital IQ Sheet-GPC'!BC31</f>
        <v>(Invalid Identifier)</v>
      </c>
      <c r="AE31" s="1602" t="str">
        <f>'Capital IQ Sheet-GPC'!BD31</f>
        <v>(Invalid Identifier)</v>
      </c>
      <c r="AG31" s="255" t="str">
        <f>'Beta Calc'!K28</f>
        <v>(Invalid Identifier)</v>
      </c>
      <c r="AH31" s="255" t="str">
        <f>'Beta Calc'!L28</f>
        <v>(Invalid Identifier)</v>
      </c>
      <c r="AI31" s="255" t="str">
        <f>'Beta Calc'!M28</f>
        <v>(Invalid Identifier)</v>
      </c>
      <c r="AJ31" s="255" t="str">
        <f>'Beta Calc'!N28</f>
        <v>(Invalid Identifier)</v>
      </c>
      <c r="AK31" s="255">
        <f t="shared" si="11"/>
        <v>0</v>
      </c>
      <c r="AL31" s="255">
        <f t="shared" si="12"/>
        <v>0</v>
      </c>
      <c r="AM31" s="255" t="str">
        <f>'Beta Calc'!Q28</f>
        <v>(Invalid Identifier)</v>
      </c>
      <c r="AN31" s="576" t="str">
        <f t="shared" si="13"/>
        <v>n/a</v>
      </c>
      <c r="AP31" s="932" t="str">
        <f>IF('MASTER PubCo Inputs'!C46="","",'MASTER PubCo Inputs'!C46)</f>
        <v>(Invalid Identifier)</v>
      </c>
      <c r="AQ31" s="1576" t="str">
        <f>'Comp.1'!AL30</f>
        <v>(Invalid Identifier)</v>
      </c>
    </row>
    <row r="32" spans="2:43" ht="14.85" customHeight="1">
      <c r="B32" s="179" t="str">
        <f>'Comp.1'!B31</f>
        <v>(Invalid Identifier)</v>
      </c>
      <c r="C32" s="576" t="str">
        <f t="shared" si="0"/>
        <v>(Invalid Identifier)</v>
      </c>
      <c r="E32" s="930" t="str">
        <f t="shared" si="1"/>
        <v>n/a</v>
      </c>
      <c r="F32" s="930" t="str">
        <f t="shared" si="2"/>
        <v>n/a</v>
      </c>
      <c r="G32" s="930" t="str">
        <f t="shared" si="3"/>
        <v>n/a</v>
      </c>
      <c r="H32" s="255"/>
      <c r="I32" s="930" t="str">
        <f t="shared" si="4"/>
        <v>n/a</v>
      </c>
      <c r="J32" s="930" t="str">
        <f t="shared" si="5"/>
        <v>n/a</v>
      </c>
      <c r="L32" s="930" t="str">
        <f t="shared" si="6"/>
        <v>n/a</v>
      </c>
      <c r="M32" s="930" t="str">
        <f t="shared" si="7"/>
        <v>n/a</v>
      </c>
      <c r="N32" s="930" t="str">
        <f t="shared" si="8"/>
        <v>n/a</v>
      </c>
      <c r="P32" s="930" t="str">
        <f t="shared" si="9"/>
        <v>n/a</v>
      </c>
      <c r="Q32" s="930" t="str">
        <f t="shared" si="10"/>
        <v>n/a</v>
      </c>
      <c r="S32" s="1602" t="str">
        <f>'Capital IQ Sheet-GPC'!AU32</f>
        <v>(Invalid Identifier)</v>
      </c>
      <c r="T32" s="1602" t="str">
        <f>'Capital IQ Sheet-GPC'!AV32</f>
        <v>(Invalid Identifier)</v>
      </c>
      <c r="U32" s="1602" t="str">
        <f>'Capital IQ Sheet-GPC'!AW32</f>
        <v>(Invalid Identifier)</v>
      </c>
      <c r="V32" s="1602"/>
      <c r="W32" s="1602" t="str">
        <f>'Capital IQ Sheet-GPC'!AX32</f>
        <v>(Invalid Identifier)</v>
      </c>
      <c r="X32" s="1602" t="str">
        <f>'Capital IQ Sheet-GPC'!AY32</f>
        <v>(Invalid Identifier)</v>
      </c>
      <c r="Z32" s="1602" t="str">
        <f>'Capital IQ Sheet-GPC'!AZ32</f>
        <v>(Invalid Identifier)</v>
      </c>
      <c r="AA32" s="1602" t="str">
        <f>'Capital IQ Sheet-GPC'!BA32</f>
        <v>(Invalid Identifier)</v>
      </c>
      <c r="AB32" s="1602" t="str">
        <f>'Capital IQ Sheet-GPC'!BB32</f>
        <v>(Invalid Identifier)</v>
      </c>
      <c r="AD32" s="1602" t="str">
        <f>'Capital IQ Sheet-GPC'!BC32</f>
        <v>(Invalid Identifier)</v>
      </c>
      <c r="AE32" s="1602" t="str">
        <f>'Capital IQ Sheet-GPC'!BD32</f>
        <v>(Invalid Identifier)</v>
      </c>
      <c r="AG32" s="255" t="str">
        <f>'Beta Calc'!K29</f>
        <v>(Invalid Identifier)</v>
      </c>
      <c r="AH32" s="255" t="str">
        <f>'Beta Calc'!L29</f>
        <v>(Invalid Identifier)</v>
      </c>
      <c r="AI32" s="255" t="str">
        <f>'Beta Calc'!M29</f>
        <v>(Invalid Identifier)</v>
      </c>
      <c r="AJ32" s="255" t="str">
        <f>'Beta Calc'!N29</f>
        <v>(Invalid Identifier)</v>
      </c>
      <c r="AK32" s="255">
        <f t="shared" si="11"/>
        <v>0</v>
      </c>
      <c r="AL32" s="255">
        <f t="shared" si="12"/>
        <v>0</v>
      </c>
      <c r="AM32" s="255" t="str">
        <f>'Beta Calc'!Q29</f>
        <v>(Invalid Identifier)</v>
      </c>
      <c r="AN32" s="576" t="str">
        <f t="shared" si="13"/>
        <v>n/a</v>
      </c>
      <c r="AP32" s="932" t="str">
        <f>IF('MASTER PubCo Inputs'!C47="","",'MASTER PubCo Inputs'!C47)</f>
        <v>(Invalid Identifier)</v>
      </c>
      <c r="AQ32" s="1576" t="str">
        <f>'Comp.1'!AL31</f>
        <v>(Invalid Identifier)</v>
      </c>
    </row>
    <row r="33" spans="2:43" ht="14.85" customHeight="1">
      <c r="B33" s="179" t="str">
        <f>'Comp.1'!B32</f>
        <v>(Invalid Identifier)</v>
      </c>
      <c r="C33" s="576" t="str">
        <f t="shared" si="0"/>
        <v>(Invalid Identifier)</v>
      </c>
      <c r="E33" s="930" t="str">
        <f t="shared" si="1"/>
        <v>n/a</v>
      </c>
      <c r="F33" s="930" t="str">
        <f t="shared" si="2"/>
        <v>n/a</v>
      </c>
      <c r="G33" s="930" t="str">
        <f t="shared" si="3"/>
        <v>n/a</v>
      </c>
      <c r="H33" s="255"/>
      <c r="I33" s="930" t="str">
        <f t="shared" si="4"/>
        <v>n/a</v>
      </c>
      <c r="J33" s="930" t="str">
        <f t="shared" si="5"/>
        <v>n/a</v>
      </c>
      <c r="L33" s="930" t="str">
        <f t="shared" si="6"/>
        <v>n/a</v>
      </c>
      <c r="M33" s="930" t="str">
        <f t="shared" si="7"/>
        <v>n/a</v>
      </c>
      <c r="N33" s="930" t="str">
        <f t="shared" si="8"/>
        <v>n/a</v>
      </c>
      <c r="P33" s="930" t="str">
        <f t="shared" si="9"/>
        <v>n/a</v>
      </c>
      <c r="Q33" s="930" t="str">
        <f t="shared" si="10"/>
        <v>n/a</v>
      </c>
      <c r="S33" s="1602" t="str">
        <f>'Capital IQ Sheet-GPC'!AU33</f>
        <v>(Invalid Identifier)</v>
      </c>
      <c r="T33" s="1602" t="str">
        <f>'Capital IQ Sheet-GPC'!AV33</f>
        <v>(Invalid Identifier)</v>
      </c>
      <c r="U33" s="1602" t="str">
        <f>'Capital IQ Sheet-GPC'!AW33</f>
        <v>(Invalid Identifier)</v>
      </c>
      <c r="V33" s="1602"/>
      <c r="W33" s="1602" t="str">
        <f>'Capital IQ Sheet-GPC'!AX33</f>
        <v>(Invalid Identifier)</v>
      </c>
      <c r="X33" s="1602" t="str">
        <f>'Capital IQ Sheet-GPC'!AY33</f>
        <v>(Invalid Identifier)</v>
      </c>
      <c r="Z33" s="1602" t="str">
        <f>'Capital IQ Sheet-GPC'!AZ33</f>
        <v>(Invalid Identifier)</v>
      </c>
      <c r="AA33" s="1602" t="str">
        <f>'Capital IQ Sheet-GPC'!BA33</f>
        <v>(Invalid Identifier)</v>
      </c>
      <c r="AB33" s="1602" t="str">
        <f>'Capital IQ Sheet-GPC'!BB33</f>
        <v>(Invalid Identifier)</v>
      </c>
      <c r="AD33" s="1602" t="str">
        <f>'Capital IQ Sheet-GPC'!BC33</f>
        <v>(Invalid Identifier)</v>
      </c>
      <c r="AE33" s="1602" t="str">
        <f>'Capital IQ Sheet-GPC'!BD33</f>
        <v>(Invalid Identifier)</v>
      </c>
      <c r="AG33" s="255" t="str">
        <f>'Beta Calc'!K30</f>
        <v>(Invalid Identifier)</v>
      </c>
      <c r="AH33" s="255" t="str">
        <f>'Beta Calc'!L30</f>
        <v>(Invalid Identifier)</v>
      </c>
      <c r="AI33" s="255" t="str">
        <f>'Beta Calc'!M30</f>
        <v>(Invalid Identifier)</v>
      </c>
      <c r="AJ33" s="255" t="str">
        <f>'Beta Calc'!N30</f>
        <v>(Invalid Identifier)</v>
      </c>
      <c r="AK33" s="255">
        <f t="shared" si="11"/>
        <v>0</v>
      </c>
      <c r="AL33" s="255">
        <f t="shared" si="12"/>
        <v>0</v>
      </c>
      <c r="AM33" s="255" t="str">
        <f>'Beta Calc'!Q30</f>
        <v>(Invalid Identifier)</v>
      </c>
      <c r="AN33" s="576" t="str">
        <f t="shared" si="13"/>
        <v>n/a</v>
      </c>
      <c r="AP33" s="932" t="str">
        <f>IF('MASTER PubCo Inputs'!C48="","",'MASTER PubCo Inputs'!C48)</f>
        <v>(Invalid Identifier)</v>
      </c>
      <c r="AQ33" s="1576" t="str">
        <f>'Comp.1'!AL32</f>
        <v>(Invalid Identifier)</v>
      </c>
    </row>
    <row r="34" spans="2:43" ht="14.85" customHeight="1">
      <c r="B34" s="179" t="str">
        <f>'Comp.1'!B33</f>
        <v>(Invalid Identifier)</v>
      </c>
      <c r="C34" s="576" t="str">
        <f t="shared" si="0"/>
        <v>(Invalid Identifier)</v>
      </c>
      <c r="E34" s="930" t="str">
        <f t="shared" si="1"/>
        <v>n/a</v>
      </c>
      <c r="F34" s="930" t="str">
        <f t="shared" si="2"/>
        <v>n/a</v>
      </c>
      <c r="G34" s="930" t="str">
        <f t="shared" si="3"/>
        <v>n/a</v>
      </c>
      <c r="H34" s="255"/>
      <c r="I34" s="930" t="str">
        <f t="shared" si="4"/>
        <v>n/a</v>
      </c>
      <c r="J34" s="930" t="str">
        <f t="shared" si="5"/>
        <v>n/a</v>
      </c>
      <c r="L34" s="930" t="str">
        <f t="shared" si="6"/>
        <v>n/a</v>
      </c>
      <c r="M34" s="930" t="str">
        <f t="shared" si="7"/>
        <v>n/a</v>
      </c>
      <c r="N34" s="930" t="str">
        <f t="shared" si="8"/>
        <v>n/a</v>
      </c>
      <c r="P34" s="930" t="str">
        <f t="shared" si="9"/>
        <v>n/a</v>
      </c>
      <c r="Q34" s="930" t="str">
        <f t="shared" si="10"/>
        <v>n/a</v>
      </c>
      <c r="S34" s="1602" t="str">
        <f>'Capital IQ Sheet-GPC'!AU34</f>
        <v>(Invalid Identifier)</v>
      </c>
      <c r="T34" s="1602" t="str">
        <f>'Capital IQ Sheet-GPC'!AV34</f>
        <v>(Invalid Identifier)</v>
      </c>
      <c r="U34" s="1602" t="str">
        <f>'Capital IQ Sheet-GPC'!AW34</f>
        <v>(Invalid Identifier)</v>
      </c>
      <c r="V34" s="1602"/>
      <c r="W34" s="1602" t="str">
        <f>'Capital IQ Sheet-GPC'!AX34</f>
        <v>(Invalid Identifier)</v>
      </c>
      <c r="X34" s="1602" t="str">
        <f>'Capital IQ Sheet-GPC'!AY34</f>
        <v>(Invalid Identifier)</v>
      </c>
      <c r="Z34" s="1602" t="str">
        <f>'Capital IQ Sheet-GPC'!AZ34</f>
        <v>(Invalid Identifier)</v>
      </c>
      <c r="AA34" s="1602" t="str">
        <f>'Capital IQ Sheet-GPC'!BA34</f>
        <v>(Invalid Identifier)</v>
      </c>
      <c r="AB34" s="1602" t="str">
        <f>'Capital IQ Sheet-GPC'!BB34</f>
        <v>(Invalid Identifier)</v>
      </c>
      <c r="AD34" s="1602" t="str">
        <f>'Capital IQ Sheet-GPC'!BC34</f>
        <v>(Invalid Identifier)</v>
      </c>
      <c r="AE34" s="1602" t="str">
        <f>'Capital IQ Sheet-GPC'!BD34</f>
        <v>(Invalid Identifier)</v>
      </c>
      <c r="AG34" s="255" t="str">
        <f>'Beta Calc'!K31</f>
        <v>(Invalid Identifier)</v>
      </c>
      <c r="AH34" s="255" t="str">
        <f>'Beta Calc'!L31</f>
        <v>(Invalid Identifier)</v>
      </c>
      <c r="AI34" s="255" t="str">
        <f>'Beta Calc'!M31</f>
        <v>(Invalid Identifier)</v>
      </c>
      <c r="AJ34" s="255" t="str">
        <f>'Beta Calc'!N31</f>
        <v>(Invalid Identifier)</v>
      </c>
      <c r="AK34" s="255">
        <f t="shared" si="11"/>
        <v>0</v>
      </c>
      <c r="AL34" s="255">
        <f t="shared" si="12"/>
        <v>0</v>
      </c>
      <c r="AM34" s="255" t="str">
        <f>'Beta Calc'!Q31</f>
        <v>(Invalid Identifier)</v>
      </c>
      <c r="AN34" s="576" t="str">
        <f t="shared" si="13"/>
        <v>n/a</v>
      </c>
      <c r="AP34" s="932" t="str">
        <f>IF('MASTER PubCo Inputs'!C49="","",'MASTER PubCo Inputs'!C49)</f>
        <v>(Invalid Identifier)</v>
      </c>
      <c r="AQ34" s="1576" t="str">
        <f>'Comp.1'!AL33</f>
        <v>(Invalid Identifier)</v>
      </c>
    </row>
    <row r="35" spans="2:43" ht="14.85" customHeight="1">
      <c r="B35" s="179" t="str">
        <f>'Comp.1'!B34</f>
        <v>(Invalid Identifier)</v>
      </c>
      <c r="C35" s="576" t="str">
        <f t="shared" si="0"/>
        <v>(Invalid Identifier)</v>
      </c>
      <c r="E35" s="930" t="str">
        <f t="shared" si="1"/>
        <v>n/a</v>
      </c>
      <c r="F35" s="930" t="str">
        <f t="shared" si="2"/>
        <v>n/a</v>
      </c>
      <c r="G35" s="930" t="str">
        <f t="shared" si="3"/>
        <v>n/a</v>
      </c>
      <c r="H35" s="255"/>
      <c r="I35" s="930" t="str">
        <f t="shared" si="4"/>
        <v>n/a</v>
      </c>
      <c r="J35" s="930" t="str">
        <f t="shared" si="5"/>
        <v>n/a</v>
      </c>
      <c r="L35" s="930" t="str">
        <f t="shared" si="6"/>
        <v>n/a</v>
      </c>
      <c r="M35" s="930" t="str">
        <f t="shared" si="7"/>
        <v>n/a</v>
      </c>
      <c r="N35" s="930" t="str">
        <f t="shared" si="8"/>
        <v>n/a</v>
      </c>
      <c r="P35" s="930" t="str">
        <f t="shared" si="9"/>
        <v>n/a</v>
      </c>
      <c r="Q35" s="930" t="str">
        <f t="shared" si="10"/>
        <v>n/a</v>
      </c>
      <c r="S35" s="1602" t="str">
        <f>'Capital IQ Sheet-GPC'!AU35</f>
        <v>(Invalid Identifier)</v>
      </c>
      <c r="T35" s="1602" t="str">
        <f>'Capital IQ Sheet-GPC'!AV35</f>
        <v>(Invalid Identifier)</v>
      </c>
      <c r="U35" s="1602" t="str">
        <f>'Capital IQ Sheet-GPC'!AW35</f>
        <v>(Invalid Identifier)</v>
      </c>
      <c r="V35" s="1602"/>
      <c r="W35" s="1602" t="str">
        <f>'Capital IQ Sheet-GPC'!AX35</f>
        <v>(Invalid Identifier)</v>
      </c>
      <c r="X35" s="1602" t="str">
        <f>'Capital IQ Sheet-GPC'!AY35</f>
        <v>(Invalid Identifier)</v>
      </c>
      <c r="Z35" s="1602" t="str">
        <f>'Capital IQ Sheet-GPC'!AZ35</f>
        <v>(Invalid Identifier)</v>
      </c>
      <c r="AA35" s="1602" t="str">
        <f>'Capital IQ Sheet-GPC'!BA35</f>
        <v>(Invalid Identifier)</v>
      </c>
      <c r="AB35" s="1602" t="str">
        <f>'Capital IQ Sheet-GPC'!BB35</f>
        <v>(Invalid Identifier)</v>
      </c>
      <c r="AD35" s="1602" t="str">
        <f>'Capital IQ Sheet-GPC'!BC35</f>
        <v>(Invalid Identifier)</v>
      </c>
      <c r="AE35" s="1602" t="str">
        <f>'Capital IQ Sheet-GPC'!BD35</f>
        <v>(Invalid Identifier)</v>
      </c>
      <c r="AG35" s="255" t="str">
        <f>'Beta Calc'!K32</f>
        <v>(Invalid Identifier)</v>
      </c>
      <c r="AH35" s="255" t="str">
        <f>'Beta Calc'!L32</f>
        <v>(Invalid Identifier)</v>
      </c>
      <c r="AI35" s="255" t="str">
        <f>'Beta Calc'!M32</f>
        <v>(Invalid Identifier)</v>
      </c>
      <c r="AJ35" s="255" t="str">
        <f>'Beta Calc'!N32</f>
        <v>(Invalid Identifier)</v>
      </c>
      <c r="AK35" s="255">
        <f t="shared" si="11"/>
        <v>0</v>
      </c>
      <c r="AL35" s="255">
        <f t="shared" si="12"/>
        <v>0</v>
      </c>
      <c r="AM35" s="255" t="str">
        <f>'Beta Calc'!Q32</f>
        <v>(Invalid Identifier)</v>
      </c>
      <c r="AN35" s="576" t="str">
        <f t="shared" si="13"/>
        <v>n/a</v>
      </c>
      <c r="AP35" s="932" t="str">
        <f>IF('MASTER PubCo Inputs'!C50="","",'MASTER PubCo Inputs'!C50)</f>
        <v>(Invalid Identifier)</v>
      </c>
      <c r="AQ35" s="1576" t="str">
        <f>'Comp.1'!AL34</f>
        <v>(Invalid Identifier)</v>
      </c>
    </row>
    <row r="36" spans="2:43" ht="14.85" customHeight="1">
      <c r="B36" s="179" t="str">
        <f>'Comp.1'!B35</f>
        <v>(Invalid Identifier)</v>
      </c>
      <c r="C36" s="576" t="str">
        <f t="shared" si="0"/>
        <v>(Invalid Identifier)</v>
      </c>
      <c r="E36" s="930" t="str">
        <f t="shared" si="1"/>
        <v>n/a</v>
      </c>
      <c r="F36" s="930" t="str">
        <f t="shared" si="2"/>
        <v>n/a</v>
      </c>
      <c r="G36" s="930" t="str">
        <f t="shared" si="3"/>
        <v>n/a</v>
      </c>
      <c r="H36" s="255"/>
      <c r="I36" s="930" t="str">
        <f t="shared" si="4"/>
        <v>n/a</v>
      </c>
      <c r="J36" s="930" t="str">
        <f t="shared" si="5"/>
        <v>n/a</v>
      </c>
      <c r="L36" s="930" t="str">
        <f t="shared" si="6"/>
        <v>n/a</v>
      </c>
      <c r="M36" s="930" t="str">
        <f t="shared" si="7"/>
        <v>n/a</v>
      </c>
      <c r="N36" s="930" t="str">
        <f t="shared" si="8"/>
        <v>n/a</v>
      </c>
      <c r="P36" s="930" t="str">
        <f t="shared" si="9"/>
        <v>n/a</v>
      </c>
      <c r="Q36" s="930" t="str">
        <f t="shared" si="10"/>
        <v>n/a</v>
      </c>
      <c r="S36" s="1602" t="str">
        <f>'Capital IQ Sheet-GPC'!AU36</f>
        <v>(Invalid Identifier)</v>
      </c>
      <c r="T36" s="1602" t="str">
        <f>'Capital IQ Sheet-GPC'!AV36</f>
        <v>(Invalid Identifier)</v>
      </c>
      <c r="U36" s="1602" t="str">
        <f>'Capital IQ Sheet-GPC'!AW36</f>
        <v>(Invalid Identifier)</v>
      </c>
      <c r="V36" s="1602"/>
      <c r="W36" s="1602" t="str">
        <f>'Capital IQ Sheet-GPC'!AX36</f>
        <v>(Invalid Identifier)</v>
      </c>
      <c r="X36" s="1602" t="str">
        <f>'Capital IQ Sheet-GPC'!AY36</f>
        <v>(Invalid Identifier)</v>
      </c>
      <c r="Z36" s="1602" t="str">
        <f>'Capital IQ Sheet-GPC'!AZ36</f>
        <v>(Invalid Identifier)</v>
      </c>
      <c r="AA36" s="1602" t="str">
        <f>'Capital IQ Sheet-GPC'!BA36</f>
        <v>(Invalid Identifier)</v>
      </c>
      <c r="AB36" s="1602" t="str">
        <f>'Capital IQ Sheet-GPC'!BB36</f>
        <v>(Invalid Identifier)</v>
      </c>
      <c r="AD36" s="1602" t="str">
        <f>'Capital IQ Sheet-GPC'!BC36</f>
        <v>(Invalid Identifier)</v>
      </c>
      <c r="AE36" s="1602" t="str">
        <f>'Capital IQ Sheet-GPC'!BD36</f>
        <v>(Invalid Identifier)</v>
      </c>
      <c r="AG36" s="255" t="str">
        <f>'Beta Calc'!K33</f>
        <v>(Invalid Identifier)</v>
      </c>
      <c r="AH36" s="255" t="str">
        <f>'Beta Calc'!L33</f>
        <v>(Invalid Identifier)</v>
      </c>
      <c r="AI36" s="255" t="str">
        <f>'Beta Calc'!M33</f>
        <v>(Invalid Identifier)</v>
      </c>
      <c r="AJ36" s="255" t="str">
        <f>'Beta Calc'!N33</f>
        <v>(Invalid Identifier)</v>
      </c>
      <c r="AK36" s="255">
        <f t="shared" si="11"/>
        <v>0</v>
      </c>
      <c r="AL36" s="255">
        <f t="shared" si="12"/>
        <v>0</v>
      </c>
      <c r="AM36" s="255" t="str">
        <f>'Beta Calc'!Q33</f>
        <v>(Invalid Identifier)</v>
      </c>
      <c r="AN36" s="576" t="str">
        <f t="shared" si="13"/>
        <v>n/a</v>
      </c>
      <c r="AP36" s="932" t="str">
        <f>IF('MASTER PubCo Inputs'!C51="","",'MASTER PubCo Inputs'!C51)</f>
        <v>(Invalid Identifier)</v>
      </c>
      <c r="AQ36" s="1576" t="str">
        <f>'Comp.1'!AL35</f>
        <v>(Invalid Identifier)</v>
      </c>
    </row>
    <row r="37" spans="2:43" ht="14.85" customHeight="1">
      <c r="B37" s="179" t="str">
        <f>'Comp.1'!B36</f>
        <v>(Invalid Identifier)</v>
      </c>
      <c r="C37" s="576" t="str">
        <f t="shared" si="0"/>
        <v>(Invalid Identifier)</v>
      </c>
      <c r="E37" s="930" t="str">
        <f t="shared" si="1"/>
        <v>n/a</v>
      </c>
      <c r="F37" s="930" t="str">
        <f t="shared" si="2"/>
        <v>n/a</v>
      </c>
      <c r="G37" s="930" t="str">
        <f t="shared" si="3"/>
        <v>n/a</v>
      </c>
      <c r="H37" s="255"/>
      <c r="I37" s="930" t="str">
        <f t="shared" si="4"/>
        <v>n/a</v>
      </c>
      <c r="J37" s="930" t="str">
        <f t="shared" si="5"/>
        <v>n/a</v>
      </c>
      <c r="L37" s="930" t="str">
        <f t="shared" si="6"/>
        <v>n/a</v>
      </c>
      <c r="M37" s="930" t="str">
        <f t="shared" si="7"/>
        <v>n/a</v>
      </c>
      <c r="N37" s="930" t="str">
        <f t="shared" si="8"/>
        <v>n/a</v>
      </c>
      <c r="P37" s="930" t="str">
        <f t="shared" si="9"/>
        <v>n/a</v>
      </c>
      <c r="Q37" s="930" t="str">
        <f t="shared" si="10"/>
        <v>n/a</v>
      </c>
      <c r="S37" s="1602" t="str">
        <f>'Capital IQ Sheet-GPC'!AU37</f>
        <v>(Invalid Identifier)</v>
      </c>
      <c r="T37" s="1602" t="str">
        <f>'Capital IQ Sheet-GPC'!AV37</f>
        <v>(Invalid Identifier)</v>
      </c>
      <c r="U37" s="1602" t="str">
        <f>'Capital IQ Sheet-GPC'!AW37</f>
        <v>(Invalid Identifier)</v>
      </c>
      <c r="V37" s="1602"/>
      <c r="W37" s="1602" t="str">
        <f>'Capital IQ Sheet-GPC'!AX37</f>
        <v>(Invalid Identifier)</v>
      </c>
      <c r="X37" s="1602" t="str">
        <f>'Capital IQ Sheet-GPC'!AY37</f>
        <v>(Invalid Identifier)</v>
      </c>
      <c r="Z37" s="1602" t="str">
        <f>'Capital IQ Sheet-GPC'!AZ37</f>
        <v>(Invalid Identifier)</v>
      </c>
      <c r="AA37" s="1602" t="str">
        <f>'Capital IQ Sheet-GPC'!BA37</f>
        <v>(Invalid Identifier)</v>
      </c>
      <c r="AB37" s="1602" t="str">
        <f>'Capital IQ Sheet-GPC'!BB37</f>
        <v>(Invalid Identifier)</v>
      </c>
      <c r="AD37" s="1602" t="str">
        <f>'Capital IQ Sheet-GPC'!BC37</f>
        <v>(Invalid Identifier)</v>
      </c>
      <c r="AE37" s="1602" t="str">
        <f>'Capital IQ Sheet-GPC'!BD37</f>
        <v>(Invalid Identifier)</v>
      </c>
      <c r="AG37" s="255" t="str">
        <f>'Beta Calc'!K34</f>
        <v>(Invalid Identifier)</v>
      </c>
      <c r="AH37" s="255" t="str">
        <f>'Beta Calc'!L34</f>
        <v>(Invalid Identifier)</v>
      </c>
      <c r="AI37" s="255" t="str">
        <f>'Beta Calc'!M34</f>
        <v>(Invalid Identifier)</v>
      </c>
      <c r="AJ37" s="255" t="str">
        <f>'Beta Calc'!N34</f>
        <v>(Invalid Identifier)</v>
      </c>
      <c r="AK37" s="255">
        <f t="shared" si="11"/>
        <v>0</v>
      </c>
      <c r="AL37" s="255">
        <f t="shared" si="12"/>
        <v>0</v>
      </c>
      <c r="AM37" s="255" t="str">
        <f>'Beta Calc'!Q34</f>
        <v>(Invalid Identifier)</v>
      </c>
      <c r="AN37" s="576" t="str">
        <f t="shared" si="13"/>
        <v>n/a</v>
      </c>
      <c r="AP37" s="932" t="str">
        <f>IF('MASTER PubCo Inputs'!C52="","",'MASTER PubCo Inputs'!C52)</f>
        <v>(Invalid Identifier)</v>
      </c>
      <c r="AQ37" s="1576" t="str">
        <f>'Comp.1'!AL36</f>
        <v>(Invalid Identifier)</v>
      </c>
    </row>
    <row r="38" spans="2:43" ht="14.85" customHeight="1">
      <c r="B38" s="179" t="str">
        <f>'Comp.1'!B37</f>
        <v>(Invalid Identifier)</v>
      </c>
      <c r="C38" s="576" t="str">
        <f t="shared" si="0"/>
        <v>(Invalid Identifier)</v>
      </c>
      <c r="E38" s="930" t="str">
        <f t="shared" si="1"/>
        <v>n/a</v>
      </c>
      <c r="F38" s="930" t="str">
        <f t="shared" si="2"/>
        <v>n/a</v>
      </c>
      <c r="G38" s="930" t="str">
        <f t="shared" si="3"/>
        <v>n/a</v>
      </c>
      <c r="H38" s="255"/>
      <c r="I38" s="930" t="str">
        <f t="shared" si="4"/>
        <v>n/a</v>
      </c>
      <c r="J38" s="930" t="str">
        <f t="shared" si="5"/>
        <v>n/a</v>
      </c>
      <c r="L38" s="930" t="str">
        <f t="shared" si="6"/>
        <v>n/a</v>
      </c>
      <c r="M38" s="930" t="str">
        <f t="shared" si="7"/>
        <v>n/a</v>
      </c>
      <c r="N38" s="930" t="str">
        <f t="shared" si="8"/>
        <v>n/a</v>
      </c>
      <c r="P38" s="930" t="str">
        <f t="shared" si="9"/>
        <v>n/a</v>
      </c>
      <c r="Q38" s="930" t="str">
        <f t="shared" si="10"/>
        <v>n/a</v>
      </c>
      <c r="S38" s="1602" t="str">
        <f>'Capital IQ Sheet-GPC'!AU38</f>
        <v>(Invalid Identifier)</v>
      </c>
      <c r="T38" s="1602" t="str">
        <f>'Capital IQ Sheet-GPC'!AV38</f>
        <v>(Invalid Identifier)</v>
      </c>
      <c r="U38" s="1602" t="str">
        <f>'Capital IQ Sheet-GPC'!AW38</f>
        <v>(Invalid Identifier)</v>
      </c>
      <c r="V38" s="1602"/>
      <c r="W38" s="1602" t="str">
        <f>'Capital IQ Sheet-GPC'!AX38</f>
        <v>(Invalid Identifier)</v>
      </c>
      <c r="X38" s="1602" t="str">
        <f>'Capital IQ Sheet-GPC'!AY38</f>
        <v>(Invalid Identifier)</v>
      </c>
      <c r="Z38" s="1602" t="str">
        <f>'Capital IQ Sheet-GPC'!AZ38</f>
        <v>(Invalid Identifier)</v>
      </c>
      <c r="AA38" s="1602" t="str">
        <f>'Capital IQ Sheet-GPC'!BA38</f>
        <v>(Invalid Identifier)</v>
      </c>
      <c r="AB38" s="1602" t="str">
        <f>'Capital IQ Sheet-GPC'!BB38</f>
        <v>(Invalid Identifier)</v>
      </c>
      <c r="AD38" s="1602" t="str">
        <f>'Capital IQ Sheet-GPC'!BC38</f>
        <v>(Invalid Identifier)</v>
      </c>
      <c r="AE38" s="1602" t="str">
        <f>'Capital IQ Sheet-GPC'!BD38</f>
        <v>(Invalid Identifier)</v>
      </c>
      <c r="AG38" s="255" t="str">
        <f>'Beta Calc'!K35</f>
        <v>(Invalid Identifier)</v>
      </c>
      <c r="AH38" s="255" t="str">
        <f>'Beta Calc'!L35</f>
        <v>(Invalid Identifier)</v>
      </c>
      <c r="AI38" s="255" t="str">
        <f>'Beta Calc'!M35</f>
        <v>(Invalid Identifier)</v>
      </c>
      <c r="AJ38" s="255" t="str">
        <f>'Beta Calc'!N35</f>
        <v>(Invalid Identifier)</v>
      </c>
      <c r="AK38" s="255">
        <f t="shared" si="11"/>
        <v>0</v>
      </c>
      <c r="AL38" s="255">
        <f t="shared" si="12"/>
        <v>0</v>
      </c>
      <c r="AM38" s="255" t="str">
        <f>'Beta Calc'!Q35</f>
        <v>(Invalid Identifier)</v>
      </c>
      <c r="AN38" s="576" t="str">
        <f t="shared" si="13"/>
        <v>n/a</v>
      </c>
      <c r="AP38" s="932" t="str">
        <f>IF('MASTER PubCo Inputs'!C53="","",'MASTER PubCo Inputs'!C53)</f>
        <v>(Invalid Identifier)</v>
      </c>
      <c r="AQ38" s="1576" t="str">
        <f>'Comp.1'!AL37</f>
        <v>(Invalid Identifier)</v>
      </c>
    </row>
    <row r="39" spans="2:43" ht="14.85" customHeight="1">
      <c r="B39" s="179" t="str">
        <f>'Comp.1'!B38</f>
        <v>(Invalid Identifier)</v>
      </c>
      <c r="C39" s="576" t="str">
        <f t="shared" si="0"/>
        <v>(Invalid Identifier)</v>
      </c>
      <c r="E39" s="930" t="str">
        <f t="shared" si="1"/>
        <v>n/a</v>
      </c>
      <c r="F39" s="930" t="str">
        <f t="shared" si="2"/>
        <v>n/a</v>
      </c>
      <c r="G39" s="930" t="str">
        <f t="shared" si="3"/>
        <v>n/a</v>
      </c>
      <c r="H39" s="255"/>
      <c r="I39" s="930" t="str">
        <f t="shared" si="4"/>
        <v>n/a</v>
      </c>
      <c r="J39" s="930" t="str">
        <f t="shared" si="5"/>
        <v>n/a</v>
      </c>
      <c r="L39" s="930" t="str">
        <f t="shared" si="6"/>
        <v>n/a</v>
      </c>
      <c r="M39" s="930" t="str">
        <f t="shared" si="7"/>
        <v>n/a</v>
      </c>
      <c r="N39" s="930" t="str">
        <f t="shared" si="8"/>
        <v>n/a</v>
      </c>
      <c r="P39" s="930" t="str">
        <f t="shared" si="9"/>
        <v>n/a</v>
      </c>
      <c r="Q39" s="930" t="str">
        <f t="shared" si="10"/>
        <v>n/a</v>
      </c>
      <c r="S39" s="1602" t="str">
        <f>'Capital IQ Sheet-GPC'!AU39</f>
        <v>(Invalid Identifier)</v>
      </c>
      <c r="T39" s="1602" t="str">
        <f>'Capital IQ Sheet-GPC'!AV39</f>
        <v>(Invalid Identifier)</v>
      </c>
      <c r="U39" s="1602" t="str">
        <f>'Capital IQ Sheet-GPC'!AW39</f>
        <v>(Invalid Identifier)</v>
      </c>
      <c r="V39" s="1602"/>
      <c r="W39" s="1602" t="str">
        <f>'Capital IQ Sheet-GPC'!AX39</f>
        <v>(Invalid Identifier)</v>
      </c>
      <c r="X39" s="1602" t="str">
        <f>'Capital IQ Sheet-GPC'!AY39</f>
        <v>(Invalid Identifier)</v>
      </c>
      <c r="Z39" s="1602" t="str">
        <f>'Capital IQ Sheet-GPC'!AZ39</f>
        <v>(Invalid Identifier)</v>
      </c>
      <c r="AA39" s="1602" t="str">
        <f>'Capital IQ Sheet-GPC'!BA39</f>
        <v>(Invalid Identifier)</v>
      </c>
      <c r="AB39" s="1602" t="str">
        <f>'Capital IQ Sheet-GPC'!BB39</f>
        <v>(Invalid Identifier)</v>
      </c>
      <c r="AD39" s="1602" t="str">
        <f>'Capital IQ Sheet-GPC'!BC39</f>
        <v>(Invalid Identifier)</v>
      </c>
      <c r="AE39" s="1602" t="str">
        <f>'Capital IQ Sheet-GPC'!BD39</f>
        <v>(Invalid Identifier)</v>
      </c>
      <c r="AG39" s="255" t="str">
        <f>'Beta Calc'!K36</f>
        <v>(Invalid Identifier)</v>
      </c>
      <c r="AH39" s="255" t="str">
        <f>'Beta Calc'!L36</f>
        <v>(Invalid Identifier)</v>
      </c>
      <c r="AI39" s="255" t="str">
        <f>'Beta Calc'!M36</f>
        <v>(Invalid Identifier)</v>
      </c>
      <c r="AJ39" s="255" t="str">
        <f>'Beta Calc'!N36</f>
        <v>(Invalid Identifier)</v>
      </c>
      <c r="AK39" s="255">
        <f t="shared" si="11"/>
        <v>0</v>
      </c>
      <c r="AL39" s="255">
        <f t="shared" si="12"/>
        <v>0</v>
      </c>
      <c r="AM39" s="255" t="str">
        <f>'Beta Calc'!Q36</f>
        <v>(Invalid Identifier)</v>
      </c>
      <c r="AN39" s="576" t="str">
        <f t="shared" si="13"/>
        <v>n/a</v>
      </c>
      <c r="AP39" s="932" t="str">
        <f>IF('MASTER PubCo Inputs'!C54="","",'MASTER PubCo Inputs'!C54)</f>
        <v>(Invalid Identifier)</v>
      </c>
      <c r="AQ39" s="1576" t="str">
        <f>'Comp.1'!AL38</f>
        <v>(Invalid Identifier)</v>
      </c>
    </row>
    <row r="40" spans="2:43" ht="14.85" customHeight="1">
      <c r="B40" s="179" t="str">
        <f>'Comp.1'!B39</f>
        <v>(Invalid Identifier)</v>
      </c>
      <c r="C40" s="576" t="str">
        <f t="shared" si="0"/>
        <v>(Invalid Identifier)</v>
      </c>
      <c r="E40" s="930" t="str">
        <f t="shared" si="1"/>
        <v>n/a</v>
      </c>
      <c r="F40" s="930" t="str">
        <f t="shared" si="2"/>
        <v>n/a</v>
      </c>
      <c r="G40" s="930" t="str">
        <f t="shared" si="3"/>
        <v>n/a</v>
      </c>
      <c r="H40" s="255"/>
      <c r="I40" s="930" t="str">
        <f t="shared" si="4"/>
        <v>n/a</v>
      </c>
      <c r="J40" s="930" t="str">
        <f t="shared" si="5"/>
        <v>n/a</v>
      </c>
      <c r="L40" s="930" t="str">
        <f t="shared" si="6"/>
        <v>n/a</v>
      </c>
      <c r="M40" s="930" t="str">
        <f t="shared" si="7"/>
        <v>n/a</v>
      </c>
      <c r="N40" s="930" t="str">
        <f t="shared" si="8"/>
        <v>n/a</v>
      </c>
      <c r="P40" s="930" t="str">
        <f t="shared" si="9"/>
        <v>n/a</v>
      </c>
      <c r="Q40" s="930" t="str">
        <f t="shared" si="10"/>
        <v>n/a</v>
      </c>
      <c r="S40" s="1602" t="str">
        <f>'Capital IQ Sheet-GPC'!AU40</f>
        <v>(Invalid Identifier)</v>
      </c>
      <c r="T40" s="1602" t="str">
        <f>'Capital IQ Sheet-GPC'!AV40</f>
        <v>(Invalid Identifier)</v>
      </c>
      <c r="U40" s="1602" t="str">
        <f>'Capital IQ Sheet-GPC'!AW40</f>
        <v>(Invalid Identifier)</v>
      </c>
      <c r="V40" s="1602"/>
      <c r="W40" s="1602" t="str">
        <f>'Capital IQ Sheet-GPC'!AX40</f>
        <v>(Invalid Identifier)</v>
      </c>
      <c r="X40" s="1602" t="str">
        <f>'Capital IQ Sheet-GPC'!AY40</f>
        <v>(Invalid Identifier)</v>
      </c>
      <c r="Z40" s="1602" t="str">
        <f>'Capital IQ Sheet-GPC'!AZ40</f>
        <v>(Invalid Identifier)</v>
      </c>
      <c r="AA40" s="1602" t="str">
        <f>'Capital IQ Sheet-GPC'!BA40</f>
        <v>(Invalid Identifier)</v>
      </c>
      <c r="AB40" s="1602" t="str">
        <f>'Capital IQ Sheet-GPC'!BB40</f>
        <v>(Invalid Identifier)</v>
      </c>
      <c r="AD40" s="1602" t="str">
        <f>'Capital IQ Sheet-GPC'!BC40</f>
        <v>(Invalid Identifier)</v>
      </c>
      <c r="AE40" s="1602" t="str">
        <f>'Capital IQ Sheet-GPC'!BD40</f>
        <v>(Invalid Identifier)</v>
      </c>
      <c r="AG40" s="255" t="str">
        <f>'Beta Calc'!K37</f>
        <v>(Invalid Identifier)</v>
      </c>
      <c r="AH40" s="255" t="str">
        <f>'Beta Calc'!L37</f>
        <v>(Invalid Identifier)</v>
      </c>
      <c r="AI40" s="255" t="str">
        <f>'Beta Calc'!M37</f>
        <v>(Invalid Identifier)</v>
      </c>
      <c r="AJ40" s="255" t="str">
        <f>'Beta Calc'!N37</f>
        <v>(Invalid Identifier)</v>
      </c>
      <c r="AK40" s="255">
        <f t="shared" si="11"/>
        <v>0</v>
      </c>
      <c r="AL40" s="255">
        <f t="shared" si="12"/>
        <v>0</v>
      </c>
      <c r="AM40" s="255" t="str">
        <f>'Beta Calc'!Q37</f>
        <v>(Invalid Identifier)</v>
      </c>
      <c r="AN40" s="576" t="str">
        <f t="shared" si="13"/>
        <v>n/a</v>
      </c>
      <c r="AP40" s="932" t="str">
        <f>IF('MASTER PubCo Inputs'!C55="","",'MASTER PubCo Inputs'!C55)</f>
        <v>(Invalid Identifier)</v>
      </c>
      <c r="AQ40" s="1576" t="str">
        <f>'Comp.1'!AL39</f>
        <v>(Invalid Identifier)</v>
      </c>
    </row>
    <row r="41" spans="2:43" ht="14.85" customHeight="1">
      <c r="B41" s="179" t="str">
        <f>'Comp.1'!B40</f>
        <v>(Invalid Identifier)</v>
      </c>
      <c r="C41" s="576" t="str">
        <f t="shared" si="0"/>
        <v>(Invalid Identifier)</v>
      </c>
      <c r="E41" s="930" t="str">
        <f t="shared" si="1"/>
        <v>n/a</v>
      </c>
      <c r="F41" s="930" t="str">
        <f t="shared" si="2"/>
        <v>n/a</v>
      </c>
      <c r="G41" s="930" t="str">
        <f t="shared" si="3"/>
        <v>n/a</v>
      </c>
      <c r="H41" s="255"/>
      <c r="I41" s="930" t="str">
        <f t="shared" si="4"/>
        <v>n/a</v>
      </c>
      <c r="J41" s="930" t="str">
        <f t="shared" si="5"/>
        <v>n/a</v>
      </c>
      <c r="L41" s="930" t="str">
        <f t="shared" si="6"/>
        <v>n/a</v>
      </c>
      <c r="M41" s="930" t="str">
        <f t="shared" si="7"/>
        <v>n/a</v>
      </c>
      <c r="N41" s="930" t="str">
        <f t="shared" si="8"/>
        <v>n/a</v>
      </c>
      <c r="P41" s="930" t="str">
        <f t="shared" si="9"/>
        <v>n/a</v>
      </c>
      <c r="Q41" s="930" t="str">
        <f t="shared" si="10"/>
        <v>n/a</v>
      </c>
      <c r="S41" s="1602" t="str">
        <f>'Capital IQ Sheet-GPC'!AU41</f>
        <v>(Invalid Identifier)</v>
      </c>
      <c r="T41" s="1602" t="str">
        <f>'Capital IQ Sheet-GPC'!AV41</f>
        <v>(Invalid Identifier)</v>
      </c>
      <c r="U41" s="1602" t="str">
        <f>'Capital IQ Sheet-GPC'!AW41</f>
        <v>(Invalid Identifier)</v>
      </c>
      <c r="V41" s="1602"/>
      <c r="W41" s="1602" t="str">
        <f>'Capital IQ Sheet-GPC'!AX41</f>
        <v>(Invalid Identifier)</v>
      </c>
      <c r="X41" s="1602" t="str">
        <f>'Capital IQ Sheet-GPC'!AY41</f>
        <v>(Invalid Identifier)</v>
      </c>
      <c r="Z41" s="1602" t="str">
        <f>'Capital IQ Sheet-GPC'!AZ41</f>
        <v>(Invalid Identifier)</v>
      </c>
      <c r="AA41" s="1602" t="str">
        <f>'Capital IQ Sheet-GPC'!BA41</f>
        <v>(Invalid Identifier)</v>
      </c>
      <c r="AB41" s="1602" t="str">
        <f>'Capital IQ Sheet-GPC'!BB41</f>
        <v>(Invalid Identifier)</v>
      </c>
      <c r="AD41" s="1602" t="str">
        <f>'Capital IQ Sheet-GPC'!BC41</f>
        <v>(Invalid Identifier)</v>
      </c>
      <c r="AE41" s="1602" t="str">
        <f>'Capital IQ Sheet-GPC'!BD41</f>
        <v>(Invalid Identifier)</v>
      </c>
      <c r="AG41" s="255" t="str">
        <f>'Beta Calc'!K38</f>
        <v>(Invalid Identifier)</v>
      </c>
      <c r="AH41" s="255" t="str">
        <f>'Beta Calc'!L38</f>
        <v>(Invalid Identifier)</v>
      </c>
      <c r="AI41" s="255" t="str">
        <f>'Beta Calc'!M38</f>
        <v>(Invalid Identifier)</v>
      </c>
      <c r="AJ41" s="255" t="str">
        <f>'Beta Calc'!N38</f>
        <v>(Invalid Identifier)</v>
      </c>
      <c r="AK41" s="255">
        <f t="shared" si="11"/>
        <v>0</v>
      </c>
      <c r="AL41" s="255">
        <f t="shared" si="12"/>
        <v>0</v>
      </c>
      <c r="AM41" s="255" t="str">
        <f>'Beta Calc'!Q38</f>
        <v>(Invalid Identifier)</v>
      </c>
      <c r="AN41" s="576" t="str">
        <f t="shared" si="13"/>
        <v>n/a</v>
      </c>
      <c r="AP41" s="932" t="str">
        <f>IF('MASTER PubCo Inputs'!C56="","",'MASTER PubCo Inputs'!C56)</f>
        <v>(Invalid Identifier)</v>
      </c>
      <c r="AQ41" s="1576" t="str">
        <f>'Comp.1'!AL40</f>
        <v>(Invalid Identifier)</v>
      </c>
    </row>
    <row r="42" spans="2:43" ht="14.85" customHeight="1">
      <c r="B42" s="179" t="str">
        <f>'Comp.1'!B41</f>
        <v>(Invalid Identifier)</v>
      </c>
      <c r="C42" s="576" t="str">
        <f t="shared" si="0"/>
        <v>(Invalid Identifier)</v>
      </c>
      <c r="E42" s="930" t="str">
        <f t="shared" si="1"/>
        <v>n/a</v>
      </c>
      <c r="F42" s="930" t="str">
        <f t="shared" si="2"/>
        <v>n/a</v>
      </c>
      <c r="G42" s="930" t="str">
        <f t="shared" si="3"/>
        <v>n/a</v>
      </c>
      <c r="H42" s="255"/>
      <c r="I42" s="930" t="str">
        <f t="shared" si="4"/>
        <v>n/a</v>
      </c>
      <c r="J42" s="930" t="str">
        <f t="shared" si="5"/>
        <v>n/a</v>
      </c>
      <c r="L42" s="930" t="str">
        <f t="shared" si="6"/>
        <v>n/a</v>
      </c>
      <c r="M42" s="930" t="str">
        <f t="shared" si="7"/>
        <v>n/a</v>
      </c>
      <c r="N42" s="930" t="str">
        <f t="shared" si="8"/>
        <v>n/a</v>
      </c>
      <c r="P42" s="930" t="str">
        <f t="shared" si="9"/>
        <v>n/a</v>
      </c>
      <c r="Q42" s="930" t="str">
        <f t="shared" si="10"/>
        <v>n/a</v>
      </c>
      <c r="S42" s="1602" t="str">
        <f>'Capital IQ Sheet-GPC'!AU42</f>
        <v>(Invalid Identifier)</v>
      </c>
      <c r="T42" s="1602" t="str">
        <f>'Capital IQ Sheet-GPC'!AV42</f>
        <v>(Invalid Identifier)</v>
      </c>
      <c r="U42" s="1602" t="str">
        <f>'Capital IQ Sheet-GPC'!AW42</f>
        <v>(Invalid Identifier)</v>
      </c>
      <c r="V42" s="1602"/>
      <c r="W42" s="1602" t="str">
        <f>'Capital IQ Sheet-GPC'!AX42</f>
        <v>(Invalid Identifier)</v>
      </c>
      <c r="X42" s="1602" t="str">
        <f>'Capital IQ Sheet-GPC'!AY42</f>
        <v>(Invalid Identifier)</v>
      </c>
      <c r="Z42" s="1602" t="str">
        <f>'Capital IQ Sheet-GPC'!AZ42</f>
        <v>(Invalid Identifier)</v>
      </c>
      <c r="AA42" s="1602" t="str">
        <f>'Capital IQ Sheet-GPC'!BA42</f>
        <v>(Invalid Identifier)</v>
      </c>
      <c r="AB42" s="1602" t="str">
        <f>'Capital IQ Sheet-GPC'!BB42</f>
        <v>(Invalid Identifier)</v>
      </c>
      <c r="AD42" s="1602" t="str">
        <f>'Capital IQ Sheet-GPC'!BC42</f>
        <v>(Invalid Identifier)</v>
      </c>
      <c r="AE42" s="1602" t="str">
        <f>'Capital IQ Sheet-GPC'!BD42</f>
        <v>(Invalid Identifier)</v>
      </c>
      <c r="AG42" s="255" t="str">
        <f>'Beta Calc'!K39</f>
        <v>(Invalid Identifier)</v>
      </c>
      <c r="AH42" s="255" t="str">
        <f>'Beta Calc'!L39</f>
        <v>(Invalid Identifier)</v>
      </c>
      <c r="AI42" s="255" t="str">
        <f>'Beta Calc'!M39</f>
        <v>(Invalid Identifier)</v>
      </c>
      <c r="AJ42" s="255" t="str">
        <f>'Beta Calc'!N39</f>
        <v>(Invalid Identifier)</v>
      </c>
      <c r="AK42" s="255">
        <f t="shared" si="11"/>
        <v>0</v>
      </c>
      <c r="AL42" s="255">
        <f t="shared" si="12"/>
        <v>0</v>
      </c>
      <c r="AM42" s="255" t="str">
        <f>'Beta Calc'!Q39</f>
        <v>(Invalid Identifier)</v>
      </c>
      <c r="AN42" s="576" t="str">
        <f t="shared" si="13"/>
        <v>n/a</v>
      </c>
      <c r="AP42" s="932" t="str">
        <f>IF('MASTER PubCo Inputs'!C57="","",'MASTER PubCo Inputs'!C57)</f>
        <v>(Invalid Identifier)</v>
      </c>
      <c r="AQ42" s="1576" t="str">
        <f>'Comp.1'!AL41</f>
        <v>(Invalid Identifier)</v>
      </c>
    </row>
    <row r="43" spans="2:43" ht="14.85" customHeight="1">
      <c r="C43" s="255"/>
      <c r="E43" s="255"/>
      <c r="F43" s="255"/>
      <c r="G43" s="255"/>
      <c r="H43" s="255"/>
      <c r="I43" s="255"/>
      <c r="J43" s="255"/>
    </row>
    <row r="44" spans="2:43" ht="14.85" customHeight="1">
      <c r="B44" s="935" t="s">
        <v>111</v>
      </c>
      <c r="C44" s="938">
        <f>MAX(C13:C43)</f>
        <v>1705.3104800000001</v>
      </c>
      <c r="D44" s="936"/>
      <c r="E44" s="938">
        <f>MAX(E13:E43)</f>
        <v>0</v>
      </c>
      <c r="F44" s="938">
        <f>MAX(F13:F43)</f>
        <v>0</v>
      </c>
      <c r="G44" s="938">
        <f>MAX(G13:G43)</f>
        <v>0</v>
      </c>
      <c r="H44" s="936"/>
      <c r="I44" s="938">
        <f>MAX(I13:I43)</f>
        <v>0</v>
      </c>
      <c r="J44" s="938">
        <f>MAX(J13:J43)</f>
        <v>0</v>
      </c>
      <c r="K44" s="936"/>
      <c r="L44" s="938">
        <f>MAX(L13:L43)</f>
        <v>7017.738600823046</v>
      </c>
      <c r="M44" s="938">
        <f>MAX(M13:M43)</f>
        <v>596.05399510660607</v>
      </c>
      <c r="N44" s="938">
        <f>MAX(N13:N43)</f>
        <v>205.28373714501708</v>
      </c>
      <c r="O44" s="936"/>
      <c r="P44" s="938">
        <f>MAX(P13:P43)</f>
        <v>477.67800560224094</v>
      </c>
      <c r="Q44" s="939">
        <f>MAX(Q13:Q43)</f>
        <v>205.28373714501708</v>
      </c>
      <c r="R44" s="548"/>
      <c r="S44" s="548"/>
    </row>
    <row r="45" spans="2:43" ht="14.85" customHeight="1">
      <c r="B45" s="941" t="s">
        <v>115</v>
      </c>
      <c r="C45" s="944">
        <f>QUARTILE(C13:C43,3)</f>
        <v>205.66506000000001</v>
      </c>
      <c r="D45" s="942"/>
      <c r="E45" s="944" t="e">
        <f>QUARTILE(E13:E43,3)</f>
        <v>#NUM!</v>
      </c>
      <c r="F45" s="944" t="e">
        <f>QUARTILE(F13:F43,3)</f>
        <v>#NUM!</v>
      </c>
      <c r="G45" s="944" t="e">
        <f>QUARTILE(G13:G43,3)</f>
        <v>#NUM!</v>
      </c>
      <c r="H45" s="942"/>
      <c r="I45" s="944" t="e">
        <f>QUARTILE(I13:I43,3)</f>
        <v>#NUM!</v>
      </c>
      <c r="J45" s="944" t="e">
        <f>QUARTILE(J13:J43,3)</f>
        <v>#NUM!</v>
      </c>
      <c r="K45" s="942"/>
      <c r="L45" s="944">
        <f>QUARTILE(L13:L43,3)</f>
        <v>375.51497121185389</v>
      </c>
      <c r="M45" s="944">
        <f>QUARTILE(M13:M43,3)</f>
        <v>168.20704384963295</v>
      </c>
      <c r="N45" s="944">
        <f>QUARTILE(N13:N43,3)</f>
        <v>100.89144364572704</v>
      </c>
      <c r="O45" s="942"/>
      <c r="P45" s="944">
        <f>QUARTILE(P13:P43,3)</f>
        <v>146.17710357663057</v>
      </c>
      <c r="Q45" s="945">
        <f>QUARTILE(Q13:Q43,3)</f>
        <v>114.00478436871273</v>
      </c>
      <c r="R45" s="548"/>
      <c r="S45" s="548"/>
    </row>
    <row r="46" spans="2:43" ht="14.85" customHeight="1">
      <c r="B46" s="941" t="s">
        <v>113</v>
      </c>
      <c r="C46" s="944">
        <f>AVERAGE(C13:C43)</f>
        <v>349.7861166666666</v>
      </c>
      <c r="D46" s="942"/>
      <c r="E46" s="944" t="e">
        <f>AVERAGE(E13:E43)</f>
        <v>#DIV/0!</v>
      </c>
      <c r="F46" s="944" t="e">
        <f>AVERAGE(F13:F43)</f>
        <v>#DIV/0!</v>
      </c>
      <c r="G46" s="944" t="e">
        <f>AVERAGE(G13:G43)</f>
        <v>#DIV/0!</v>
      </c>
      <c r="H46" s="942"/>
      <c r="I46" s="944" t="e">
        <f>AVERAGE(I13:I43)</f>
        <v>#DIV/0!</v>
      </c>
      <c r="J46" s="944" t="e">
        <f>AVERAGE(J13:J43)</f>
        <v>#DIV/0!</v>
      </c>
      <c r="K46" s="942"/>
      <c r="L46" s="944">
        <f>AVERAGE(L13:L43)</f>
        <v>1057.3622525958192</v>
      </c>
      <c r="M46" s="944">
        <f>AVERAGE(M13:M43)</f>
        <v>154.51570170326673</v>
      </c>
      <c r="N46" s="944">
        <f>AVERAGE(N13:N43)</f>
        <v>81.747822316317183</v>
      </c>
      <c r="O46" s="942"/>
      <c r="P46" s="944">
        <f>AVERAGE(P13:P43)</f>
        <v>135.22668159986088</v>
      </c>
      <c r="Q46" s="945">
        <f>AVERAGE(Q13:Q43)</f>
        <v>83.611797715298877</v>
      </c>
      <c r="R46" s="548"/>
      <c r="S46" s="548"/>
    </row>
    <row r="47" spans="2:43" ht="14.85" customHeight="1">
      <c r="B47" s="941" t="s">
        <v>44</v>
      </c>
      <c r="C47" s="944">
        <f>MEDIAN(C13:C43)</f>
        <v>138.52769000000001</v>
      </c>
      <c r="D47" s="942"/>
      <c r="E47" s="944" t="e">
        <f>MEDIAN(E13:E43)</f>
        <v>#NUM!</v>
      </c>
      <c r="F47" s="944" t="e">
        <f>MEDIAN(F13:F43)</f>
        <v>#NUM!</v>
      </c>
      <c r="G47" s="944" t="e">
        <f>MEDIAN(G13:G43)</f>
        <v>#NUM!</v>
      </c>
      <c r="H47" s="942"/>
      <c r="I47" s="944" t="e">
        <f>MEDIAN(I13:I43)</f>
        <v>#NUM!</v>
      </c>
      <c r="J47" s="944" t="e">
        <f>MEDIAN(J13:J43)</f>
        <v>#NUM!</v>
      </c>
      <c r="K47" s="942"/>
      <c r="L47" s="944">
        <f>MEDIAN(L13:L43)</f>
        <v>75.843323317209581</v>
      </c>
      <c r="M47" s="944">
        <f>MEDIAN(M13:M43)</f>
        <v>120.85745040568438</v>
      </c>
      <c r="N47" s="944">
        <f>MEDIAN(N13:N43)</f>
        <v>63.396790464133318</v>
      </c>
      <c r="O47" s="942"/>
      <c r="P47" s="944">
        <f>MEDIAN(P13:P43)</f>
        <v>115.98312987714846</v>
      </c>
      <c r="Q47" s="945">
        <f>MEDIAN(Q13:Q43)</f>
        <v>62.038333311618146</v>
      </c>
      <c r="R47" s="548"/>
      <c r="S47" s="548"/>
    </row>
    <row r="48" spans="2:43" ht="14.85" customHeight="1">
      <c r="B48" s="941" t="s">
        <v>114</v>
      </c>
      <c r="C48" s="944">
        <f>QUARTILE(C13:C43,1)</f>
        <v>74.033280000000005</v>
      </c>
      <c r="D48" s="942"/>
      <c r="E48" s="944" t="e">
        <f>QUARTILE(E13:E43,1)</f>
        <v>#NUM!</v>
      </c>
      <c r="F48" s="944" t="e">
        <f>QUARTILE(F13:F43,1)</f>
        <v>#NUM!</v>
      </c>
      <c r="G48" s="944" t="e">
        <f>QUARTILE(G13:G43,1)</f>
        <v>#NUM!</v>
      </c>
      <c r="H48" s="942"/>
      <c r="I48" s="944" t="e">
        <f>QUARTILE(I13:I43,1)</f>
        <v>#NUM!</v>
      </c>
      <c r="J48" s="944" t="e">
        <f>QUARTILE(J13:J43,1)</f>
        <v>#NUM!</v>
      </c>
      <c r="K48" s="942"/>
      <c r="L48" s="944">
        <f>QUARTILE(L13:L43,1)</f>
        <v>15.231202721421413</v>
      </c>
      <c r="M48" s="944">
        <f>QUARTILE(M13:M43,1)</f>
        <v>25.319306380847607</v>
      </c>
      <c r="N48" s="944">
        <f>QUARTILE(N13:N43,1)</f>
        <v>31.011015448406102</v>
      </c>
      <c r="O48" s="942"/>
      <c r="P48" s="944">
        <f>QUARTILE(P13:P43,1)</f>
        <v>25.968702126371479</v>
      </c>
      <c r="Q48" s="945">
        <f>QUARTILE(Q13:Q43,1)</f>
        <v>30.720648702280119</v>
      </c>
      <c r="R48" s="548"/>
      <c r="S48" s="548"/>
    </row>
    <row r="49" spans="2:19" ht="14.85" customHeight="1">
      <c r="B49" s="946" t="s">
        <v>112</v>
      </c>
      <c r="C49" s="672">
        <f>MIN(C13:C43)</f>
        <v>7.2796900000000004</v>
      </c>
      <c r="D49" s="663"/>
      <c r="E49" s="672">
        <f>MIN(E13:E43)</f>
        <v>0</v>
      </c>
      <c r="F49" s="672">
        <f>MIN(F13:F43)</f>
        <v>0</v>
      </c>
      <c r="G49" s="672">
        <f>MIN(G13:G43)</f>
        <v>0</v>
      </c>
      <c r="H49" s="663"/>
      <c r="I49" s="672">
        <f>MIN(I13:I43)</f>
        <v>0</v>
      </c>
      <c r="J49" s="672">
        <f>MIN(J13:J43)</f>
        <v>0</v>
      </c>
      <c r="K49" s="663"/>
      <c r="L49" s="672">
        <f>MIN(L13:L43)</f>
        <v>6.42902025243919</v>
      </c>
      <c r="M49" s="672">
        <f>MIN(M13:M43)</f>
        <v>8.2597220782617544</v>
      </c>
      <c r="N49" s="672">
        <f>MIN(N13:N43)</f>
        <v>6.8897257943963002</v>
      </c>
      <c r="O49" s="663"/>
      <c r="P49" s="672">
        <f>MIN(P13:P43)</f>
        <v>8.847862527693179</v>
      </c>
      <c r="Q49" s="948">
        <f>MIN(Q13:Q43)</f>
        <v>8.1954559784698198</v>
      </c>
      <c r="R49" s="548"/>
      <c r="S49" s="548"/>
    </row>
    <row r="50" spans="2:19" ht="14.85" customHeight="1">
      <c r="I50" s="255"/>
      <c r="J50" s="255"/>
      <c r="K50" s="255"/>
      <c r="L50" s="255"/>
      <c r="M50" s="255"/>
      <c r="N50" s="255"/>
      <c r="O50" s="255"/>
      <c r="P50" s="255"/>
      <c r="Q50" s="255"/>
    </row>
    <row r="51" spans="2:19" ht="14.85" customHeight="1">
      <c r="B51" s="272" t="s">
        <v>116</v>
      </c>
    </row>
    <row r="52" spans="2:19" ht="14.85" customHeight="1">
      <c r="B52" s="272"/>
      <c r="C52" s="255"/>
      <c r="E52" s="255"/>
      <c r="F52" s="255"/>
      <c r="G52" s="255"/>
      <c r="H52" s="255"/>
      <c r="I52" s="255"/>
      <c r="J52" s="255"/>
    </row>
    <row r="53" spans="2:19" ht="14.85" customHeight="1">
      <c r="C53" s="255"/>
      <c r="E53" s="255"/>
      <c r="F53" s="255"/>
      <c r="G53" s="255"/>
      <c r="H53" s="255"/>
      <c r="I53" s="255"/>
      <c r="J53" s="255"/>
    </row>
    <row r="54" spans="2:19" ht="14.85" customHeight="1"/>
    <row r="55" spans="2:19" s="549" customFormat="1" ht="14.85" customHeight="1"/>
    <row r="56" spans="2:19" ht="14.85" customHeight="1"/>
    <row r="57" spans="2:19" ht="14.85" customHeight="1"/>
    <row r="58" spans="2:19" ht="14.85" customHeight="1"/>
    <row r="59" spans="2:19" ht="14.85" customHeight="1"/>
    <row r="60" spans="2:19" ht="14.85" customHeight="1"/>
    <row r="61" spans="2:19" ht="14.85" customHeight="1"/>
    <row r="62" spans="2:19" ht="14.85" customHeight="1"/>
    <row r="63" spans="2:19" ht="14.85" customHeight="1"/>
    <row r="64" spans="2:19"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spans="2:2" ht="14.85" customHeight="1"/>
    <row r="82" spans="2:2" ht="14.85" customHeight="1"/>
    <row r="83" spans="2:2" ht="14.85" customHeight="1"/>
    <row r="84" spans="2:2" ht="14.85" customHeight="1"/>
    <row r="85" spans="2:2" ht="14.85" customHeight="1"/>
    <row r="86" spans="2:2" ht="14.85" customHeight="1">
      <c r="B86" s="272"/>
    </row>
    <row r="87" spans="2:2" ht="14.85" customHeight="1"/>
    <row r="88" spans="2:2" ht="14.85" customHeight="1"/>
    <row r="89" spans="2:2" ht="14.85" customHeight="1"/>
    <row r="90" spans="2:2" ht="14.85" customHeight="1"/>
    <row r="91" spans="2:2" ht="14.85" customHeight="1"/>
    <row r="92" spans="2:2" ht="14.85" customHeight="1"/>
    <row r="93" spans="2:2" ht="14.85" customHeight="1"/>
    <row r="94" spans="2:2" ht="14.85" customHeight="1"/>
    <row r="95" spans="2:2" ht="14.85" customHeight="1"/>
    <row r="96" spans="2:2"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I4">
    <cfRule type="cellIs" dxfId="58" priority="15" stopIfTrue="1" operator="equal">
      <formula>"input"</formula>
    </cfRule>
  </conditionalFormatting>
  <conditionalFormatting sqref="J4">
    <cfRule type="cellIs" dxfId="57" priority="13" stopIfTrue="1" operator="equal">
      <formula>"input"</formula>
    </cfRule>
  </conditionalFormatting>
  <conditionalFormatting sqref="J4">
    <cfRule type="cellIs" dxfId="56" priority="14" stopIfTrue="1" operator="equal">
      <formula>"input"</formula>
    </cfRule>
  </conditionalFormatting>
  <conditionalFormatting sqref="K4">
    <cfRule type="cellIs" dxfId="55" priority="11" stopIfTrue="1" operator="equal">
      <formula>"input"</formula>
    </cfRule>
  </conditionalFormatting>
  <conditionalFormatting sqref="K4">
    <cfRule type="cellIs" dxfId="54" priority="12" stopIfTrue="1" operator="equal">
      <formula>"input"</formula>
    </cfRule>
  </conditionalFormatting>
  <conditionalFormatting sqref="L4:P4">
    <cfRule type="cellIs" dxfId="53" priority="9" stopIfTrue="1" operator="equal">
      <formula>"input"</formula>
    </cfRule>
  </conditionalFormatting>
  <conditionalFormatting sqref="L4:P4">
    <cfRule type="cellIs" dxfId="52" priority="10" stopIfTrue="1" operator="equal">
      <formula>"input"</formula>
    </cfRule>
  </conditionalFormatting>
  <conditionalFormatting sqref="B13:C42">
    <cfRule type="cellIs" dxfId="51" priority="7" operator="equal">
      <formula>"(Invalid Identifier)"</formula>
    </cfRule>
  </conditionalFormatting>
  <conditionalFormatting sqref="Q4">
    <cfRule type="cellIs" dxfId="50" priority="2" stopIfTrue="1" operator="equal">
      <formula>"input"</formula>
    </cfRule>
  </conditionalFormatting>
  <conditionalFormatting sqref="Q4">
    <cfRule type="cellIs" dxfId="49" priority="3" stopIfTrue="1" operator="equal">
      <formula>"input"</formula>
    </cfRule>
  </conditionalFormatting>
  <conditionalFormatting sqref="B4">
    <cfRule type="cellIs" dxfId="48" priority="1" stopIfTrue="1" operator="equal">
      <formula>"input"</formula>
    </cfRule>
  </conditionalFormatting>
  <pageMargins left="0.5" right="0.5" top="0.5" bottom="0.5" header="0.5" footer="0.5"/>
  <pageSetup scale="66" fitToWidth="0" fitToHeight="0" orientation="landscape" r:id="rId1"/>
  <rowBreaks count="1" manualBreakCount="1">
    <brk id="53" max="17" man="1"/>
  </rowBreaks>
  <legacyDrawingHF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69"/>
  <dimension ref="B1:R744"/>
  <sheetViews>
    <sheetView showGridLines="0" view="pageBreakPreview" zoomScale="80" zoomScaleNormal="100" zoomScaleSheetLayoutView="80" workbookViewId="0">
      <selection activeCell="P10" sqref="P10"/>
    </sheetView>
  </sheetViews>
  <sheetFormatPr defaultRowHeight="12.75"/>
  <cols>
    <col min="1" max="1" width="2.83203125" style="179" customWidth="1"/>
    <col min="2" max="2" width="42.83203125" style="179" customWidth="1"/>
    <col min="3" max="3" width="2.83203125" style="179" customWidth="1"/>
    <col min="4" max="4" width="16.33203125" style="179" customWidth="1"/>
    <col min="5" max="7" width="12.83203125" style="179" customWidth="1"/>
    <col min="8" max="14" width="9.83203125" style="179" customWidth="1"/>
    <col min="15" max="15" width="2.83203125" style="179" customWidth="1"/>
    <col min="16" max="16" width="12.5" style="179" bestFit="1" customWidth="1"/>
    <col min="17" max="17" width="10.33203125" style="179" bestFit="1" customWidth="1"/>
    <col min="18" max="16384" width="9.33203125" style="179"/>
  </cols>
  <sheetData>
    <row r="1" spans="2:18" ht="10.7" customHeight="1" thickBot="1"/>
    <row r="2" spans="2:18" ht="16.5" customHeight="1" thickTop="1">
      <c r="B2" s="187" t="str">
        <f>'MASTER PubCo Inputs'!$C$5</f>
        <v>Decibel Therapeutics, Inc.</v>
      </c>
      <c r="C2" s="187"/>
      <c r="D2" s="187"/>
      <c r="E2" s="187"/>
      <c r="F2" s="187"/>
      <c r="G2" s="187"/>
      <c r="H2" s="187"/>
      <c r="I2" s="187"/>
      <c r="J2" s="187"/>
      <c r="K2" s="187"/>
      <c r="L2" s="187"/>
      <c r="M2" s="187"/>
      <c r="N2" s="187"/>
    </row>
    <row r="3" spans="2:18" ht="15.75" customHeight="1">
      <c r="B3" s="188" t="e">
        <f>VLOOKUP(B4,Outline!$E$8:$G$75,COLUMNS(Outline!$E$8:$G$8),FALSE)</f>
        <v>#N/A</v>
      </c>
      <c r="C3" s="188"/>
      <c r="D3" s="188"/>
      <c r="E3" s="188"/>
      <c r="F3" s="188"/>
      <c r="G3" s="188"/>
      <c r="H3" s="188"/>
      <c r="I3" s="188"/>
      <c r="J3" s="188"/>
      <c r="K3" s="188"/>
      <c r="L3" s="188"/>
      <c r="M3" s="188"/>
      <c r="N3" s="188"/>
    </row>
    <row r="4" spans="2:18" ht="16.5" customHeight="1" thickBot="1">
      <c r="B4" s="726" t="s">
        <v>2024</v>
      </c>
      <c r="C4" s="726"/>
      <c r="D4" s="726"/>
      <c r="E4" s="726"/>
      <c r="F4" s="726"/>
      <c r="G4" s="726"/>
      <c r="H4" s="726"/>
      <c r="I4" s="726"/>
      <c r="J4" s="726"/>
      <c r="K4" s="726"/>
      <c r="L4" s="726"/>
      <c r="M4" s="726"/>
      <c r="N4" s="726"/>
      <c r="P4" s="271" t="str">
        <f>IF(OR(P10="Check",G23="Check",H23="Check"),"Check","")</f>
        <v/>
      </c>
    </row>
    <row r="5" spans="2:18" ht="14.85" customHeight="1" thickTop="1"/>
    <row r="6" spans="2:18" ht="14.85" customHeight="1">
      <c r="B6" s="326" t="s">
        <v>2022</v>
      </c>
    </row>
    <row r="7" spans="2:18" ht="14.85" customHeight="1">
      <c r="B7" s="179" t="s">
        <v>2009</v>
      </c>
      <c r="D7" s="1545">
        <f>'OPM 1 Hybrid'!D11</f>
        <v>0.69599999999999995</v>
      </c>
    </row>
    <row r="8" spans="2:18" ht="14.85" customHeight="1"/>
    <row r="9" spans="2:18" ht="14.85" customHeight="1">
      <c r="G9" s="208" t="s">
        <v>2010</v>
      </c>
      <c r="H9" s="1546" t="s">
        <v>2011</v>
      </c>
      <c r="I9" s="1547" t="s">
        <v>2012</v>
      </c>
      <c r="J9" s="1547" t="s">
        <v>2013</v>
      </c>
      <c r="K9" s="1547" t="s">
        <v>2014</v>
      </c>
      <c r="L9" s="1547" t="s">
        <v>2015</v>
      </c>
      <c r="M9" s="1547" t="s">
        <v>2016</v>
      </c>
      <c r="N9" s="1827" t="s">
        <v>3616</v>
      </c>
      <c r="O9" s="182"/>
      <c r="P9" s="182"/>
      <c r="Q9" s="182"/>
      <c r="R9" s="182"/>
    </row>
    <row r="10" spans="2:18" ht="14.85" customHeight="1">
      <c r="G10" s="208" t="s">
        <v>2017</v>
      </c>
      <c r="H10" s="1549">
        <f>'OPM 1 Hybrid'!D120-'OPM 1 Hybrid'!E120</f>
        <v>0.14641167608114602</v>
      </c>
      <c r="I10" s="1550">
        <f>'OPM 1 Hybrid'!E120-'OPM 1 Hybrid'!F120</f>
        <v>0.15689502788308907</v>
      </c>
      <c r="J10" s="1550">
        <f>'OPM 1 Hybrid'!F120-'OPM 1 Hybrid'!G120</f>
        <v>2.3839272917529963E-2</v>
      </c>
      <c r="K10" s="1550">
        <f>'OPM 1 Hybrid'!G120-'OPM 1 Hybrid'!H120</f>
        <v>4.3825360928003265E-2</v>
      </c>
      <c r="L10" s="1550">
        <f>'OPM 1 Hybrid'!H120-'OPM 1 Hybrid'!I120</f>
        <v>0.12621508294511175</v>
      </c>
      <c r="M10" s="1550">
        <f>'OPM 1 Hybrid'!I120-'OPM 1 Hybrid'!J120</f>
        <v>0.50281357924511993</v>
      </c>
      <c r="N10" s="1828">
        <f>'OPM 1 Hybrid'!J120-'OPM 1 Hybrid'!K120</f>
        <v>0</v>
      </c>
      <c r="P10" s="271" t="str">
        <f>IF(SUM(H10:N10)&lt;&gt;1,"Check","")</f>
        <v/>
      </c>
    </row>
    <row r="11" spans="2:18" ht="14.85" customHeight="1">
      <c r="G11" s="208"/>
      <c r="H11" s="338"/>
      <c r="N11" s="339"/>
    </row>
    <row r="12" spans="2:18" ht="14.85" customHeight="1">
      <c r="B12" s="179" t="s">
        <v>2018</v>
      </c>
      <c r="H12" s="338"/>
      <c r="N12" s="339"/>
    </row>
    <row r="13" spans="2:18" ht="14.85" customHeight="1">
      <c r="D13" s="1546"/>
      <c r="E13" s="1547"/>
      <c r="F13" s="1547" t="s">
        <v>2019</v>
      </c>
      <c r="G13" s="1548" t="s">
        <v>2020</v>
      </c>
      <c r="H13" s="338"/>
      <c r="N13" s="339"/>
    </row>
    <row r="14" spans="2:18" ht="14.85" customHeight="1">
      <c r="D14" s="1551" t="s">
        <v>317</v>
      </c>
      <c r="E14" s="1552" t="s">
        <v>2021</v>
      </c>
      <c r="F14" s="1552" t="s">
        <v>74</v>
      </c>
      <c r="G14" s="1553" t="s">
        <v>74</v>
      </c>
      <c r="H14" s="338"/>
      <c r="N14" s="339"/>
    </row>
    <row r="15" spans="2:18" ht="14.85" customHeight="1">
      <c r="B15" s="179" t="str">
        <f>'OPM 1 Hybrid'!B33</f>
        <v>Series A</v>
      </c>
      <c r="D15" s="1554">
        <f>'OPM 1 Hybrid'!L90</f>
        <v>55629.057753730172</v>
      </c>
      <c r="E15" s="276">
        <f>SUM(H15:N15)</f>
        <v>0.49120391183325046</v>
      </c>
      <c r="F15" s="310">
        <f t="shared" ref="F15:F20" si="0">E15*($D$20/D15)*$D$7</f>
        <v>0.98456041302918851</v>
      </c>
      <c r="G15" s="1555">
        <f>D15/$D$20*F15</f>
        <v>0.3418779226359423</v>
      </c>
      <c r="H15" s="1829">
        <f>'OPM 1 Hybrid'!D80*H$10</f>
        <v>0</v>
      </c>
      <c r="I15" s="276">
        <f>'OPM 1 Hybrid'!E80*I$10</f>
        <v>0.15689502788308907</v>
      </c>
      <c r="J15" s="276">
        <f>'OPM 1 Hybrid'!F80*J$10</f>
        <v>0</v>
      </c>
      <c r="K15" s="276">
        <f>'OPM 1 Hybrid'!G80*K$10</f>
        <v>0</v>
      </c>
      <c r="L15" s="276">
        <f>'OPM 1 Hybrid'!H80*L$10</f>
        <v>8.2866876002970394E-2</v>
      </c>
      <c r="M15" s="276">
        <f>'OPM 1 Hybrid'!I80*M$10</f>
        <v>0.25144200794719102</v>
      </c>
      <c r="N15" s="1830">
        <f>'OPM 1 Hybrid'!J80*N$10</f>
        <v>0</v>
      </c>
    </row>
    <row r="16" spans="2:18" ht="14.85" customHeight="1">
      <c r="B16" s="179" t="str">
        <f>'OPM 1 Hybrid'!B34</f>
        <v>Series B</v>
      </c>
      <c r="D16" s="1554">
        <f>'OPM 1 Hybrid'!L91</f>
        <v>25582.841700800498</v>
      </c>
      <c r="E16" s="276">
        <f>SUM(H16:N16)</f>
        <v>4.6990035995646724E-2</v>
      </c>
      <c r="F16" s="310">
        <f t="shared" si="0"/>
        <v>0.20480438506395182</v>
      </c>
      <c r="G16" s="1555">
        <f>D16/$D$20*F16</f>
        <v>3.2705065052970113E-2</v>
      </c>
      <c r="H16" s="1829">
        <f>'OPM 1 Hybrid'!D81*H$10</f>
        <v>4.6990035995646724E-2</v>
      </c>
      <c r="I16" s="276">
        <f>'OPM 1 Hybrid'!E81*I$10</f>
        <v>0</v>
      </c>
      <c r="J16" s="276">
        <f>'OPM 1 Hybrid'!F81*J$10</f>
        <v>0</v>
      </c>
      <c r="K16" s="276">
        <f>'OPM 1 Hybrid'!G81*K$10</f>
        <v>0</v>
      </c>
      <c r="L16" s="276">
        <f>'OPM 1 Hybrid'!H81*L$10</f>
        <v>0</v>
      </c>
      <c r="M16" s="276">
        <f>'OPM 1 Hybrid'!I81*M$10</f>
        <v>0</v>
      </c>
      <c r="N16" s="1830">
        <f>'OPM 1 Hybrid'!J81*N$10</f>
        <v>0</v>
      </c>
    </row>
    <row r="17" spans="2:14" ht="14.85" customHeight="1">
      <c r="B17" s="179" t="str">
        <f>'OPM 1 Hybrid'!B35</f>
        <v>Series C</v>
      </c>
      <c r="D17" s="1554">
        <f>'OPM 1 Hybrid'!L92</f>
        <v>54801.004114325653</v>
      </c>
      <c r="E17" s="276">
        <f>SUM(H17:N17)</f>
        <v>0.21926224605475225</v>
      </c>
      <c r="F17" s="310">
        <f t="shared" si="0"/>
        <v>0.44612606672463723</v>
      </c>
      <c r="G17" s="1555">
        <f>D17/$D$20*F17</f>
        <v>0.15260652325410753</v>
      </c>
      <c r="H17" s="1829">
        <f>'OPM 1 Hybrid'!D82*H$10</f>
        <v>9.9421640085499308E-2</v>
      </c>
      <c r="I17" s="276">
        <f>'OPM 1 Hybrid'!E82*I$10</f>
        <v>0</v>
      </c>
      <c r="J17" s="276">
        <f>'OPM 1 Hybrid'!F82*J$10</f>
        <v>0</v>
      </c>
      <c r="K17" s="276">
        <f>'OPM 1 Hybrid'!G82*K$10</f>
        <v>0</v>
      </c>
      <c r="L17" s="276">
        <f>'OPM 1 Hybrid'!H82*L$10</f>
        <v>0</v>
      </c>
      <c r="M17" s="276">
        <f>'OPM 1 Hybrid'!I82*M$10</f>
        <v>0.11984060596925293</v>
      </c>
      <c r="N17" s="1830">
        <f>'OPM 1 Hybrid'!J82*N$10</f>
        <v>0</v>
      </c>
    </row>
    <row r="18" spans="2:14" ht="14.85" customHeight="1">
      <c r="B18" s="179" t="str">
        <f>'OPM 1 Hybrid'!B36</f>
        <v>Expected Options Grant</v>
      </c>
      <c r="D18" s="1554">
        <f>'OPM 1 Hybrid'!L93</f>
        <v>1687.5003460316873</v>
      </c>
      <c r="E18" s="276">
        <f>SUM(H18:N18)</f>
        <v>1.776725829227753E-2</v>
      </c>
      <c r="F18" s="310">
        <f t="shared" si="0"/>
        <v>1.1739748748380487</v>
      </c>
      <c r="G18" s="1555">
        <f>D18/$D$20*F18</f>
        <v>1.236601177142516E-2</v>
      </c>
      <c r="H18" s="1829">
        <f>'OPM 1 Hybrid'!D83*H$10</f>
        <v>0</v>
      </c>
      <c r="I18" s="276">
        <f>'OPM 1 Hybrid'!E83*I$10</f>
        <v>0</v>
      </c>
      <c r="J18" s="276">
        <f>'OPM 1 Hybrid'!F83*J$10</f>
        <v>0</v>
      </c>
      <c r="K18" s="276">
        <f>'OPM 1 Hybrid'!G83*K$10</f>
        <v>3.5603126097631375E-3</v>
      </c>
      <c r="L18" s="276">
        <f>'OPM 1 Hybrid'!H83*L$10</f>
        <v>3.5215492700737343E-3</v>
      </c>
      <c r="M18" s="276">
        <f>'OPM 1 Hybrid'!I83*M$10</f>
        <v>1.0685396412440658E-2</v>
      </c>
      <c r="N18" s="1830">
        <f>'OPM 1 Hybrid'!J83*N$10</f>
        <v>0</v>
      </c>
    </row>
    <row r="19" spans="2:14" ht="14.85" customHeight="1">
      <c r="B19" s="179" t="str">
        <f>'OPM 1 Hybrid'!B37</f>
        <v>Common Stock</v>
      </c>
      <c r="D19" s="1554">
        <f>'OPM 1 Hybrid'!L94</f>
        <v>22503.47136360026</v>
      </c>
      <c r="E19" s="276">
        <f>SUM(H19:N19)</f>
        <v>0.22477654782407297</v>
      </c>
      <c r="F19" s="310">
        <f t="shared" si="0"/>
        <v>1.1137397925016648</v>
      </c>
      <c r="G19" s="1555">
        <f>D19/$D$20*F19</f>
        <v>0.15644447728555477</v>
      </c>
      <c r="H19" s="1831">
        <f>'OPM 1 Hybrid'!D84*H$10</f>
        <v>0</v>
      </c>
      <c r="I19" s="1832">
        <f>'OPM 1 Hybrid'!E84*I$10</f>
        <v>0</v>
      </c>
      <c r="J19" s="1832">
        <f>'OPM 1 Hybrid'!F84*J$10</f>
        <v>2.3839272917529963E-2</v>
      </c>
      <c r="K19" s="1832">
        <f>'OPM 1 Hybrid'!G84*K$10</f>
        <v>4.0265048318240126E-2</v>
      </c>
      <c r="L19" s="1832">
        <f>'OPM 1 Hybrid'!H84*L$10</f>
        <v>3.9826657672067618E-2</v>
      </c>
      <c r="M19" s="1832">
        <f>'OPM 1 Hybrid'!I84*M$10</f>
        <v>0.12084556891623528</v>
      </c>
      <c r="N19" s="1833">
        <f>'OPM 1 Hybrid'!J84*N$10</f>
        <v>0</v>
      </c>
    </row>
    <row r="20" spans="2:14" ht="14.85" customHeight="1">
      <c r="B20" s="182" t="s">
        <v>163</v>
      </c>
      <c r="D20" s="1556">
        <f>SUM(D15:D19)</f>
        <v>160203.87527848827</v>
      </c>
      <c r="E20" s="1557">
        <f>SUM(E15:E19)</f>
        <v>1</v>
      </c>
      <c r="F20" s="1558">
        <f t="shared" si="0"/>
        <v>0.69599999999999995</v>
      </c>
      <c r="G20" s="1559">
        <f>SUM(G15:G19)</f>
        <v>0.69599999999999984</v>
      </c>
    </row>
    <row r="21" spans="2:14" ht="14.85" customHeight="1"/>
    <row r="22" spans="2:14" ht="14.85" customHeight="1"/>
    <row r="23" spans="2:14" ht="14.85" customHeight="1">
      <c r="D23" s="874"/>
      <c r="F23" s="179" t="s">
        <v>2255</v>
      </c>
      <c r="G23" s="271" t="str">
        <f>IF(F20&lt;&gt;G20,"Check","")</f>
        <v/>
      </c>
      <c r="H23" s="271" t="str">
        <f>IF(SUM(H15:N19)&lt;&gt;1,"Check","")</f>
        <v/>
      </c>
    </row>
    <row r="24" spans="2:14" ht="14.85" customHeight="1"/>
    <row r="25" spans="2:14" s="200" customFormat="1" ht="14.85" customHeight="1">
      <c r="B25" s="179"/>
      <c r="C25" s="179"/>
      <c r="D25" s="179"/>
      <c r="E25" s="179"/>
      <c r="F25" s="179"/>
      <c r="G25" s="208"/>
      <c r="H25" s="1035"/>
      <c r="I25" s="1035"/>
      <c r="J25" s="1035"/>
      <c r="K25" s="1035"/>
      <c r="L25" s="1035"/>
      <c r="M25" s="1035"/>
      <c r="N25" s="1035"/>
    </row>
    <row r="26" spans="2:14" ht="14.85" customHeight="1">
      <c r="G26" s="208"/>
      <c r="H26" s="1560"/>
      <c r="I26" s="1560"/>
      <c r="J26" s="1560"/>
      <c r="K26" s="1560"/>
      <c r="L26" s="1560"/>
      <c r="M26" s="1560"/>
      <c r="N26" s="1560"/>
    </row>
    <row r="27" spans="2:14" ht="14.85" customHeight="1">
      <c r="G27" s="208"/>
    </row>
    <row r="28" spans="2:14" ht="14.85" customHeight="1"/>
    <row r="29" spans="2:14" ht="14.85" customHeight="1">
      <c r="D29" s="1035"/>
      <c r="E29" s="1035"/>
      <c r="F29" s="1035"/>
      <c r="G29" s="1035"/>
    </row>
    <row r="30" spans="2:14" ht="14.85" customHeight="1">
      <c r="D30" s="1035"/>
      <c r="E30" s="1035"/>
      <c r="F30" s="1035"/>
      <c r="G30" s="1035"/>
    </row>
    <row r="31" spans="2:14" ht="14.85" customHeight="1">
      <c r="D31" s="698"/>
      <c r="E31" s="276"/>
      <c r="F31" s="310"/>
      <c r="G31" s="310"/>
      <c r="H31" s="276"/>
      <c r="I31" s="276"/>
      <c r="J31" s="276"/>
      <c r="K31" s="276"/>
      <c r="L31" s="276"/>
      <c r="M31" s="276"/>
      <c r="N31" s="276"/>
    </row>
    <row r="32" spans="2:14" ht="14.85" customHeight="1">
      <c r="D32" s="698"/>
      <c r="E32" s="276"/>
      <c r="F32" s="310"/>
      <c r="G32" s="310"/>
      <c r="H32" s="276"/>
      <c r="I32" s="276"/>
      <c r="J32" s="276"/>
      <c r="K32" s="276"/>
      <c r="L32" s="276"/>
      <c r="M32" s="276"/>
      <c r="N32" s="276"/>
    </row>
    <row r="33" spans="4:14" ht="14.85" customHeight="1">
      <c r="D33" s="698"/>
      <c r="E33" s="276"/>
      <c r="F33" s="310"/>
      <c r="G33" s="310"/>
      <c r="H33" s="276"/>
      <c r="I33" s="276"/>
      <c r="J33" s="276"/>
      <c r="K33" s="276"/>
      <c r="L33" s="276"/>
      <c r="M33" s="276"/>
      <c r="N33" s="276"/>
    </row>
    <row r="34" spans="4:14" ht="14.85" customHeight="1">
      <c r="D34" s="698"/>
      <c r="E34" s="276"/>
      <c r="F34" s="310"/>
      <c r="G34" s="310"/>
      <c r="H34" s="276"/>
      <c r="I34" s="276"/>
      <c r="J34" s="276"/>
      <c r="K34" s="276"/>
      <c r="L34" s="276"/>
      <c r="M34" s="276"/>
      <c r="N34" s="276"/>
    </row>
    <row r="35" spans="4:14" ht="14.85" customHeight="1">
      <c r="D35" s="698"/>
      <c r="E35" s="276"/>
      <c r="F35" s="310"/>
      <c r="G35" s="310"/>
      <c r="H35" s="276"/>
      <c r="I35" s="276"/>
      <c r="J35" s="276"/>
      <c r="K35" s="276"/>
      <c r="L35" s="276"/>
      <c r="M35" s="276"/>
      <c r="N35" s="276"/>
    </row>
    <row r="36" spans="4:14" ht="14.85" customHeight="1">
      <c r="D36" s="698"/>
      <c r="E36" s="276"/>
      <c r="F36" s="310"/>
      <c r="G36" s="310"/>
      <c r="H36" s="276"/>
      <c r="I36" s="276"/>
      <c r="J36" s="276"/>
      <c r="K36" s="276"/>
      <c r="L36" s="276"/>
      <c r="M36" s="276"/>
      <c r="N36" s="276"/>
    </row>
    <row r="37" spans="4:14" ht="14.85" customHeight="1">
      <c r="D37" s="698"/>
      <c r="E37" s="276"/>
      <c r="F37" s="310"/>
      <c r="G37" s="310"/>
      <c r="H37" s="276"/>
      <c r="I37" s="276"/>
      <c r="J37" s="276"/>
      <c r="K37" s="276"/>
      <c r="L37" s="276"/>
      <c r="M37" s="276"/>
      <c r="N37" s="276"/>
    </row>
    <row r="38" spans="4:14" ht="14.85" customHeight="1">
      <c r="D38" s="698"/>
      <c r="E38" s="276"/>
      <c r="F38" s="310"/>
      <c r="G38" s="310"/>
      <c r="H38" s="276"/>
      <c r="I38" s="276"/>
      <c r="J38" s="276"/>
      <c r="K38" s="276"/>
      <c r="L38" s="276"/>
      <c r="M38" s="276"/>
      <c r="N38" s="276"/>
    </row>
    <row r="39" spans="4:14" ht="14.85" customHeight="1">
      <c r="D39" s="698"/>
      <c r="E39" s="276"/>
      <c r="F39" s="310"/>
      <c r="G39" s="310"/>
      <c r="H39" s="276"/>
      <c r="I39" s="276"/>
      <c r="J39" s="276"/>
      <c r="K39" s="276"/>
      <c r="L39" s="276"/>
      <c r="M39" s="276"/>
      <c r="N39" s="276"/>
    </row>
    <row r="40" spans="4:14" ht="14.85" customHeight="1">
      <c r="D40" s="698"/>
      <c r="E40" s="276"/>
      <c r="F40" s="310"/>
      <c r="G40" s="310"/>
      <c r="H40" s="276"/>
      <c r="I40" s="276"/>
      <c r="J40" s="276"/>
      <c r="K40" s="276"/>
      <c r="L40" s="276"/>
      <c r="M40" s="276"/>
      <c r="N40" s="276"/>
    </row>
    <row r="41" spans="4:14" ht="14.85" customHeight="1">
      <c r="D41" s="698"/>
      <c r="E41" s="276"/>
      <c r="F41" s="310"/>
      <c r="G41" s="310"/>
      <c r="H41" s="276"/>
      <c r="I41" s="276"/>
      <c r="J41" s="276"/>
      <c r="K41" s="276"/>
      <c r="L41" s="276"/>
      <c r="M41" s="276"/>
      <c r="N41" s="276"/>
    </row>
    <row r="42" spans="4:14" ht="14.85" customHeight="1">
      <c r="D42" s="698"/>
      <c r="E42" s="276"/>
      <c r="F42" s="310"/>
      <c r="G42" s="310"/>
      <c r="H42" s="276"/>
      <c r="I42" s="276"/>
      <c r="J42" s="276"/>
      <c r="K42" s="276"/>
      <c r="L42" s="276"/>
      <c r="M42" s="276"/>
      <c r="N42" s="276"/>
    </row>
    <row r="43" spans="4:14" ht="14.85" customHeight="1">
      <c r="D43" s="698"/>
      <c r="E43" s="276"/>
      <c r="F43" s="310"/>
      <c r="G43" s="310"/>
      <c r="H43" s="276"/>
      <c r="I43" s="276"/>
      <c r="J43" s="276"/>
      <c r="K43" s="276"/>
      <c r="L43" s="276"/>
      <c r="M43" s="276"/>
      <c r="N43" s="276"/>
    </row>
    <row r="44" spans="4:14" ht="14.85" customHeight="1">
      <c r="D44" s="698"/>
      <c r="E44" s="276"/>
      <c r="F44" s="310"/>
      <c r="G44" s="310"/>
      <c r="H44" s="276"/>
      <c r="I44" s="276"/>
      <c r="J44" s="276"/>
      <c r="K44" s="276"/>
      <c r="L44" s="276"/>
      <c r="M44" s="276"/>
      <c r="N44" s="276"/>
    </row>
    <row r="45" spans="4:14" ht="14.85" customHeight="1">
      <c r="D45" s="698"/>
      <c r="E45" s="276"/>
      <c r="F45" s="310"/>
      <c r="G45" s="310"/>
      <c r="H45" s="276"/>
      <c r="I45" s="276"/>
      <c r="J45" s="276"/>
      <c r="K45" s="276"/>
      <c r="L45" s="276"/>
      <c r="M45" s="276"/>
      <c r="N45" s="276"/>
    </row>
    <row r="46" spans="4:14" ht="14.85" customHeight="1">
      <c r="D46" s="698"/>
      <c r="E46" s="276"/>
      <c r="F46" s="310"/>
      <c r="G46" s="310"/>
      <c r="H46" s="276"/>
      <c r="I46" s="276"/>
      <c r="J46" s="276"/>
      <c r="K46" s="276"/>
      <c r="L46" s="276"/>
      <c r="M46" s="276"/>
      <c r="N46" s="276"/>
    </row>
    <row r="47" spans="4:14" ht="14.85" customHeight="1">
      <c r="D47" s="698"/>
      <c r="E47" s="276"/>
      <c r="F47" s="310"/>
      <c r="G47" s="310"/>
      <c r="H47" s="276"/>
      <c r="I47" s="276"/>
      <c r="J47" s="276"/>
      <c r="K47" s="276"/>
      <c r="L47" s="276"/>
      <c r="M47" s="276"/>
      <c r="N47" s="276"/>
    </row>
    <row r="48" spans="4:14" ht="14.85" customHeight="1">
      <c r="D48" s="698"/>
      <c r="E48" s="276"/>
      <c r="F48" s="310"/>
      <c r="G48" s="310"/>
      <c r="H48" s="276"/>
      <c r="I48" s="276"/>
      <c r="J48" s="276"/>
      <c r="K48" s="276"/>
      <c r="L48" s="276"/>
      <c r="M48" s="276"/>
      <c r="N48" s="276"/>
    </row>
    <row r="49" spans="2:14" ht="14.85" customHeight="1">
      <c r="D49" s="698"/>
      <c r="E49" s="276"/>
      <c r="F49" s="310"/>
      <c r="G49" s="310"/>
      <c r="H49" s="276"/>
      <c r="I49" s="276"/>
      <c r="J49" s="276"/>
      <c r="K49" s="276"/>
      <c r="L49" s="276"/>
      <c r="M49" s="276"/>
      <c r="N49" s="276"/>
    </row>
    <row r="50" spans="2:14" ht="14.85" customHeight="1">
      <c r="B50" s="182"/>
      <c r="D50" s="690"/>
      <c r="E50" s="1561"/>
      <c r="F50" s="1562"/>
      <c r="G50" s="1562"/>
    </row>
    <row r="51" spans="2:14" ht="14.85" customHeight="1"/>
    <row r="52" spans="2:14" ht="14.85" customHeight="1"/>
    <row r="53" spans="2:14" ht="14.85" customHeight="1"/>
    <row r="54" spans="2:14" ht="14.85" customHeight="1"/>
    <row r="55" spans="2:14" ht="14.85" customHeight="1"/>
    <row r="56" spans="2:14" ht="14.85" customHeight="1"/>
    <row r="57" spans="2:14" ht="14.85" customHeight="1"/>
    <row r="58" spans="2:14" ht="14.85" customHeight="1"/>
    <row r="59" spans="2:14" ht="14.85" customHeight="1"/>
    <row r="60" spans="2:14" ht="14.85" customHeight="1"/>
    <row r="61" spans="2:14" ht="14.85" customHeight="1"/>
    <row r="62" spans="2:14" ht="14.85" customHeight="1"/>
    <row r="63" spans="2:14" ht="14.85" customHeight="1"/>
    <row r="64" spans="2:1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sheetData>
  <conditionalFormatting sqref="B4:J4">
    <cfRule type="cellIs" dxfId="47" priority="3" stopIfTrue="1" operator="equal">
      <formula>"input"</formula>
    </cfRule>
  </conditionalFormatting>
  <conditionalFormatting sqref="K4:N4">
    <cfRule type="cellIs" dxfId="46" priority="2" stopIfTrue="1" operator="equal">
      <formula>"input"</formula>
    </cfRule>
  </conditionalFormatting>
  <pageMargins left="0.5" right="0.5" top="0.5" bottom="0.5" header="0.5" footer="0.5"/>
  <pageSetup scale="65" fitToWidth="0" fitToHeight="0" orientation="landscape" r:id="rId1"/>
  <legacyDrawingHF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77"/>
  <dimension ref="A1:AI743"/>
  <sheetViews>
    <sheetView showGridLines="0" view="pageBreakPreview" topLeftCell="A15" zoomScale="80" zoomScaleNormal="100" zoomScaleSheetLayoutView="80" workbookViewId="0">
      <selection activeCell="H27" sqref="H27"/>
    </sheetView>
  </sheetViews>
  <sheetFormatPr defaultRowHeight="12.75" outlineLevelRow="1" outlineLevelCol="1"/>
  <cols>
    <col min="1" max="1" width="4.5" style="179" customWidth="1"/>
    <col min="2" max="2" width="42.1640625" style="179" customWidth="1"/>
    <col min="3" max="3" width="3.5" style="179" customWidth="1"/>
    <col min="4" max="4" width="13.1640625" style="179" customWidth="1"/>
    <col min="5" max="5" width="10.83203125" style="179" hidden="1" customWidth="1" outlineLevel="1"/>
    <col min="6" max="7" width="9.83203125" style="179" hidden="1" customWidth="1" outlineLevel="1"/>
    <col min="8" max="8" width="12.83203125" style="179" customWidth="1" collapsed="1"/>
    <col min="9" max="11" width="12.83203125" style="179" customWidth="1"/>
    <col min="12" max="12" width="2.83203125" style="179" customWidth="1"/>
    <col min="13" max="15" width="12.83203125" style="179" customWidth="1"/>
    <col min="16" max="16" width="2.83203125" style="549" customWidth="1"/>
    <col min="17" max="17" width="12.83203125" style="179" customWidth="1"/>
    <col min="18" max="18" width="2.83203125" style="179" customWidth="1"/>
    <col min="19" max="19" width="11.6640625" style="179" hidden="1" customWidth="1" outlineLevel="1"/>
    <col min="20" max="23" width="8.83203125" style="179" hidden="1" customWidth="1" outlineLevel="1"/>
    <col min="24" max="24" width="12.83203125" style="179" customWidth="1" collapsed="1"/>
    <col min="25" max="25" width="12.83203125" style="179" customWidth="1"/>
    <col min="26" max="26" width="4.5" style="179" customWidth="1"/>
    <col min="27" max="27" width="17.5" style="179" bestFit="1" customWidth="1"/>
    <col min="28" max="28" width="14.33203125" style="179" bestFit="1" customWidth="1"/>
    <col min="29" max="29" width="9.6640625" style="179" bestFit="1" customWidth="1"/>
    <col min="30" max="30" width="10.1640625" style="179" bestFit="1" customWidth="1"/>
    <col min="31" max="16384" width="9.33203125" style="179"/>
  </cols>
  <sheetData>
    <row r="1" spans="2:35" ht="10.7" customHeight="1" thickBot="1">
      <c r="P1" s="179"/>
    </row>
    <row r="2" spans="2:35"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AA2" s="909" t="s">
        <v>87</v>
      </c>
      <c r="AB2" s="910">
        <f>+'Comp.1'!$AL$2</f>
        <v>43245</v>
      </c>
    </row>
    <row r="3" spans="2:35" ht="15.75" customHeight="1">
      <c r="B3" s="188" t="e">
        <f>VLOOKUP(B4,Outline!$E$8:$G$75,COLUMNS(Outline!$E$8:$G$8),FALSE)</f>
        <v>#REF!</v>
      </c>
      <c r="C3" s="188"/>
      <c r="D3" s="188"/>
      <c r="E3" s="188"/>
      <c r="F3" s="188"/>
      <c r="G3" s="188"/>
      <c r="H3" s="188"/>
      <c r="I3" s="188"/>
      <c r="J3" s="188"/>
      <c r="K3" s="188"/>
      <c r="L3" s="188"/>
      <c r="M3" s="188"/>
      <c r="N3" s="188"/>
      <c r="O3" s="188"/>
      <c r="P3" s="188"/>
      <c r="Q3" s="188"/>
      <c r="R3" s="188"/>
      <c r="S3" s="188"/>
      <c r="T3" s="188"/>
      <c r="U3" s="188"/>
      <c r="V3" s="188"/>
      <c r="W3" s="188"/>
      <c r="X3" s="188"/>
      <c r="Y3" s="188"/>
      <c r="AA3" s="911" t="s">
        <v>462</v>
      </c>
      <c r="AB3" s="912" t="str">
        <f>+'Comp.1'!$AL$3</f>
        <v>F</v>
      </c>
    </row>
    <row r="4" spans="2:35" ht="16.5" customHeight="1" thickBot="1">
      <c r="B4" s="726" t="e">
        <f>"Asset Volatility - "&amp;TEXT(DLOM_OPM!#REF!,"")</f>
        <v>#REF!</v>
      </c>
      <c r="C4" s="726"/>
      <c r="D4" s="726"/>
      <c r="E4" s="726"/>
      <c r="F4" s="726"/>
      <c r="G4" s="726"/>
      <c r="H4" s="726"/>
      <c r="I4" s="726"/>
      <c r="J4" s="727"/>
      <c r="K4" s="727"/>
      <c r="L4" s="727"/>
      <c r="M4" s="727"/>
      <c r="N4" s="727"/>
      <c r="O4" s="727"/>
      <c r="P4" s="727"/>
      <c r="Q4" s="727"/>
      <c r="R4" s="727"/>
      <c r="S4" s="727"/>
      <c r="T4" s="727"/>
      <c r="U4" s="727"/>
      <c r="V4" s="727"/>
      <c r="W4" s="727"/>
      <c r="X4" s="727"/>
      <c r="Y4" s="727" t="str">
        <f>+'MASTER PubCo Inputs'!$C$24</f>
        <v>(in millions of USD)</v>
      </c>
      <c r="AA4" s="911" t="s">
        <v>463</v>
      </c>
      <c r="AB4" s="912" t="str">
        <f>+'Comp.1'!$AL$4</f>
        <v>USD</v>
      </c>
    </row>
    <row r="5" spans="2:35" ht="14.85" customHeight="1" thickTop="1">
      <c r="B5" s="549"/>
      <c r="AA5" s="378" t="s">
        <v>89</v>
      </c>
      <c r="AB5" s="913" t="str">
        <f>+'Comp.1'!$AL$5</f>
        <v>H</v>
      </c>
    </row>
    <row r="6" spans="2:35" ht="14.85" customHeight="1" outlineLevel="1">
      <c r="N6" s="551" t="e">
        <f>DLOM_OPM!#REF!</f>
        <v>#REF!</v>
      </c>
      <c r="O6" s="554">
        <f>'Risk-Free Rates_Hybrid'!E27</f>
        <v>2.3965753424657534E-2</v>
      </c>
      <c r="Q6" s="263" t="e">
        <f>HLOOKUP(ROUND(N6,0),'Equity Vol'!$D$8:$K$8,1,TRUE)</f>
        <v>#REF!</v>
      </c>
    </row>
    <row r="7" spans="2:35" ht="14.85" customHeight="1">
      <c r="D7" s="1169" t="s">
        <v>91</v>
      </c>
      <c r="E7" s="1170"/>
      <c r="F7" s="1170"/>
      <c r="G7" s="1170"/>
      <c r="H7" s="1170"/>
      <c r="I7" s="1170"/>
      <c r="J7" s="1170"/>
      <c r="K7" s="1171"/>
      <c r="M7" s="1169" t="s">
        <v>92</v>
      </c>
      <c r="N7" s="1170"/>
      <c r="O7" s="1170"/>
      <c r="P7" s="1172"/>
      <c r="Q7" s="1171"/>
      <c r="S7" s="1169" t="s">
        <v>93</v>
      </c>
      <c r="T7" s="1170"/>
      <c r="U7" s="1170"/>
      <c r="V7" s="1170"/>
      <c r="W7" s="1170"/>
      <c r="X7" s="1173" t="s">
        <v>93</v>
      </c>
      <c r="Y7" s="1174"/>
    </row>
    <row r="8" spans="2:35" s="200" customFormat="1" ht="44.25" customHeight="1">
      <c r="B8" s="1175" t="s">
        <v>733</v>
      </c>
      <c r="D8" s="1176" t="s">
        <v>94</v>
      </c>
      <c r="E8" s="1177" t="s">
        <v>95</v>
      </c>
      <c r="F8" s="1177" t="s">
        <v>96</v>
      </c>
      <c r="G8" s="1177" t="s">
        <v>97</v>
      </c>
      <c r="H8" s="1177" t="s">
        <v>98</v>
      </c>
      <c r="I8" s="1177" t="s">
        <v>99</v>
      </c>
      <c r="J8" s="1177" t="s">
        <v>100</v>
      </c>
      <c r="K8" s="1178" t="s">
        <v>101</v>
      </c>
      <c r="L8" s="265"/>
      <c r="M8" s="1176" t="s">
        <v>73</v>
      </c>
      <c r="N8" s="1177" t="s">
        <v>102</v>
      </c>
      <c r="O8" s="1178" t="s">
        <v>72</v>
      </c>
      <c r="P8" s="1016"/>
      <c r="Q8" s="1179" t="s">
        <v>103</v>
      </c>
      <c r="R8" s="1016"/>
      <c r="S8" s="1176" t="s">
        <v>104</v>
      </c>
      <c r="T8" s="1177" t="s">
        <v>84</v>
      </c>
      <c r="U8" s="1177" t="s">
        <v>85</v>
      </c>
      <c r="V8" s="1177" t="s">
        <v>105</v>
      </c>
      <c r="W8" s="1177" t="s">
        <v>106</v>
      </c>
      <c r="X8" s="1017" t="s">
        <v>107</v>
      </c>
      <c r="Y8" s="1178" t="s">
        <v>3229</v>
      </c>
      <c r="AA8" s="562" t="s">
        <v>108</v>
      </c>
      <c r="AB8" s="454" t="s">
        <v>109</v>
      </c>
      <c r="AC8" s="454" t="s">
        <v>110</v>
      </c>
      <c r="AD8" s="1180"/>
    </row>
    <row r="9" spans="2:35" ht="14.85" customHeight="1"/>
    <row r="10" spans="2:35" ht="14.85" customHeight="1">
      <c r="B10" s="179" t="str">
        <f>'Comp.1'!B12</f>
        <v>Editas Medicine, Inc.</v>
      </c>
      <c r="D10" s="255">
        <f>'Beta Calc'!K10</f>
        <v>1705.3104800000001</v>
      </c>
      <c r="E10" s="255">
        <f>'Beta Calc'!L10</f>
        <v>33.19</v>
      </c>
      <c r="F10" s="255" t="str">
        <f>'Beta Calc'!M10</f>
        <v>n/a</v>
      </c>
      <c r="G10" s="255" t="str">
        <f>'Beta Calc'!N10</f>
        <v>n/a</v>
      </c>
      <c r="H10" s="255">
        <f>SUM(E10:G10)</f>
        <v>33.19</v>
      </c>
      <c r="I10" s="255">
        <f>SUM(D10:G10)</f>
        <v>1738.5004800000002</v>
      </c>
      <c r="J10" s="255">
        <f>'Beta Calc'!Q10</f>
        <v>358.82100000000003</v>
      </c>
      <c r="K10" s="255">
        <f>I10-J10</f>
        <v>1379.6794800000002</v>
      </c>
      <c r="M10" s="384">
        <f>IFERROR('Capital IQ Sheet-GPC'!AT13,"n/a")</f>
        <v>0</v>
      </c>
      <c r="N10" s="255" t="e">
        <f t="shared" ref="N10:O18" si="0">N$6</f>
        <v>#REF!</v>
      </c>
      <c r="O10" s="1181">
        <f t="shared" si="0"/>
        <v>2.3965753424657534E-2</v>
      </c>
      <c r="P10" s="1162"/>
      <c r="Q10" s="1182" t="str">
        <f>IFERROR(HLOOKUP($Q$6,'Equity Vol'!$B$8:$K10,ROWS('Equity Vol'!$C$8:$C10),FALSE),"n/a")</f>
        <v>n/a</v>
      </c>
      <c r="R10" s="303"/>
      <c r="S10" s="1183" t="str">
        <f>IFERROR(IF(Q10="n/a","n/a",Q10^2),"n/a")</f>
        <v>n/a</v>
      </c>
      <c r="T10" s="1183" t="str">
        <f t="shared" ref="T10:T18" si="1">IF(OR(K10="n/a",S10="n/a"),"n/a",IF(H10=0,0,IF(M10=0,(LN(K10/H10)+((O10+(S10/2))*N10))/((S10*N10)^0.5),(LN(K10/H10)+((O10-M10+(S10/2))*N10))/((S10*N10)^0.5))))</f>
        <v>n/a</v>
      </c>
      <c r="U10" s="1184" t="str">
        <f t="shared" ref="U10:U18" si="2">IF(T10="n/a","n/a",IF(H10=0,0,T10-(S10*N10)^0.5))</f>
        <v>n/a</v>
      </c>
      <c r="V10" s="1184" t="str">
        <f t="shared" ref="V10:V18" si="3">IF(OR(T10="n/a",S10="n/a"),"n/a",IF(H10=0,0,NORMSDIST(T10)))</f>
        <v>n/a</v>
      </c>
      <c r="W10" s="1184" t="str">
        <f t="shared" ref="W10:W18" si="4">IF(OR(U10="n/a",S10="n/a"),"n/a",IF(H10=0,0,NORMSDIST(U10)))</f>
        <v>n/a</v>
      </c>
      <c r="X10" s="576" t="str">
        <f t="shared" ref="X10:X18" si="5">IF(OR(K10="n/a",S10="n/a"),"n/a",IF(M10=0,(K10*V10)-((H10*EXP(1)^(-O10*N10))*W10),(K10*(2.718^(-M10*N10))*V10)-(H10*(2.718^(-O10*N10))*W10)))</f>
        <v>n/a</v>
      </c>
      <c r="Y10" s="1182" t="str">
        <f>IFERROR(IF(LEN(B10)&gt;0,IF(H10=0,Q10,IF(ISERROR(Q10/((K10/X10)*V10)),"n/a",Q10/((K10/X10)*V10)))),"n/a")</f>
        <v>n/a</v>
      </c>
      <c r="AA10" s="932" t="str">
        <f>IF('MASTER PubCo Inputs'!B28=0,"",'MASTER PubCo Inputs'!B28)</f>
        <v>NasdaqGS:EDIT</v>
      </c>
      <c r="AB10" s="255">
        <f>'Beta Calc'!Z10</f>
        <v>1379.67948</v>
      </c>
      <c r="AC10" s="933">
        <f t="shared" ref="AC10:AC18" si="6">K10-AB10</f>
        <v>0</v>
      </c>
      <c r="AI10" s="934"/>
    </row>
    <row r="11" spans="2:35" ht="14.85" customHeight="1">
      <c r="B11" s="179" t="str">
        <f>'Comp.1'!B13</f>
        <v>Oxford BioMedica plc</v>
      </c>
      <c r="D11" s="255">
        <f>'Beta Calc'!K11</f>
        <v>655.68985999999995</v>
      </c>
      <c r="E11" s="255">
        <f>'Beta Calc'!L11</f>
        <v>49.826320000000003</v>
      </c>
      <c r="F11" s="255" t="str">
        <f>'Beta Calc'!M11</f>
        <v>n/a</v>
      </c>
      <c r="G11" s="255" t="str">
        <f>'Beta Calc'!N11</f>
        <v>n/a</v>
      </c>
      <c r="H11" s="255">
        <f t="shared" ref="H11:H18" si="7">SUM(E11:G11)</f>
        <v>49.826320000000003</v>
      </c>
      <c r="I11" s="255">
        <f t="shared" ref="I11:I18" si="8">SUM(D11:G11)</f>
        <v>705.51617999999996</v>
      </c>
      <c r="J11" s="255">
        <f>'Beta Calc'!Q11</f>
        <v>19.367439999999998</v>
      </c>
      <c r="K11" s="255">
        <f t="shared" ref="K11:K18" si="9">I11-J11</f>
        <v>686.14873999999998</v>
      </c>
      <c r="M11" s="384">
        <f>IFERROR('Capital IQ Sheet-GPC'!AT14,"n/a")</f>
        <v>0</v>
      </c>
      <c r="N11" s="255" t="e">
        <f t="shared" si="0"/>
        <v>#REF!</v>
      </c>
      <c r="O11" s="1181">
        <f t="shared" si="0"/>
        <v>2.3965753424657534E-2</v>
      </c>
      <c r="P11" s="1162"/>
      <c r="Q11" s="1182" t="str">
        <f>IFERROR(HLOOKUP($Q$6,'Equity Vol'!$B$8:$K11,ROWS('Equity Vol'!$C$8:$C11),FALSE),"n/a")</f>
        <v>n/a</v>
      </c>
      <c r="R11" s="303"/>
      <c r="S11" s="1183" t="str">
        <f t="shared" ref="S11:S18" si="10">IFERROR(IF(Q11="n/a","n/a",Q11^2),"n/a")</f>
        <v>n/a</v>
      </c>
      <c r="T11" s="1183" t="str">
        <f t="shared" si="1"/>
        <v>n/a</v>
      </c>
      <c r="U11" s="1184" t="str">
        <f t="shared" si="2"/>
        <v>n/a</v>
      </c>
      <c r="V11" s="1184" t="str">
        <f t="shared" si="3"/>
        <v>n/a</v>
      </c>
      <c r="W11" s="1184" t="str">
        <f t="shared" si="4"/>
        <v>n/a</v>
      </c>
      <c r="X11" s="576" t="str">
        <f t="shared" si="5"/>
        <v>n/a</v>
      </c>
      <c r="Y11" s="1182" t="str">
        <f t="shared" ref="Y11:Y18" si="11">IFERROR(IF(LEN(B11)&gt;0,IF(H11=0,Q11,IF(ISERROR(Q11/((K11/X11)*V11)),"n/a",Q11/((K11/X11)*V11)))),"n/a")</f>
        <v>n/a</v>
      </c>
      <c r="AA11" s="932" t="str">
        <f>IF('MASTER PubCo Inputs'!B29=0,"",'MASTER PubCo Inputs'!B29)</f>
        <v>LSE:OXB</v>
      </c>
      <c r="AB11" s="255">
        <f>'Beta Calc'!Z11</f>
        <v>685.68294000000003</v>
      </c>
      <c r="AC11" s="933">
        <f t="shared" si="6"/>
        <v>0.4657999999999447</v>
      </c>
      <c r="AI11" s="934"/>
    </row>
    <row r="12" spans="2:35" ht="14.85" customHeight="1">
      <c r="B12" s="179" t="str">
        <f>'Comp.1'!B14</f>
        <v>Fennec Pharmaceuticals Inc.</v>
      </c>
      <c r="D12" s="255">
        <f>'Beta Calc'!K12</f>
        <v>205.66506000000001</v>
      </c>
      <c r="E12" s="255">
        <f>'Beta Calc'!L12</f>
        <v>0</v>
      </c>
      <c r="F12" s="255" t="str">
        <f>'Beta Calc'!M12</f>
        <v>n/a</v>
      </c>
      <c r="G12" s="255" t="str">
        <f>'Beta Calc'!N12</f>
        <v>n/a</v>
      </c>
      <c r="H12" s="255">
        <f t="shared" si="7"/>
        <v>0</v>
      </c>
      <c r="I12" s="255">
        <f t="shared" si="8"/>
        <v>205.66506000000001</v>
      </c>
      <c r="J12" s="255">
        <f>'Beta Calc'!Q12</f>
        <v>26.719000000000001</v>
      </c>
      <c r="K12" s="255">
        <f t="shared" si="9"/>
        <v>178.94606000000002</v>
      </c>
      <c r="M12" s="384">
        <f>IFERROR('Capital IQ Sheet-GPC'!AT15,"n/a")</f>
        <v>0</v>
      </c>
      <c r="N12" s="255" t="e">
        <f t="shared" si="0"/>
        <v>#REF!</v>
      </c>
      <c r="O12" s="1181">
        <f t="shared" si="0"/>
        <v>2.3965753424657534E-2</v>
      </c>
      <c r="P12" s="1162"/>
      <c r="Q12" s="1182" t="str">
        <f>IFERROR(HLOOKUP($Q$6,'Equity Vol'!$B$8:$K12,ROWS('Equity Vol'!$C$8:$C12),FALSE),"n/a")</f>
        <v>n/a</v>
      </c>
      <c r="R12" s="303"/>
      <c r="S12" s="1183" t="str">
        <f t="shared" si="10"/>
        <v>n/a</v>
      </c>
      <c r="T12" s="1183" t="str">
        <f t="shared" si="1"/>
        <v>n/a</v>
      </c>
      <c r="U12" s="1184" t="str">
        <f t="shared" si="2"/>
        <v>n/a</v>
      </c>
      <c r="V12" s="1184" t="str">
        <f t="shared" si="3"/>
        <v>n/a</v>
      </c>
      <c r="W12" s="1184" t="str">
        <f t="shared" si="4"/>
        <v>n/a</v>
      </c>
      <c r="X12" s="576" t="str">
        <f t="shared" si="5"/>
        <v>n/a</v>
      </c>
      <c r="Y12" s="1182" t="str">
        <f t="shared" si="11"/>
        <v>n/a</v>
      </c>
      <c r="AA12" s="932" t="str">
        <f>IF('MASTER PubCo Inputs'!B30=0,"",'MASTER PubCo Inputs'!B30)</f>
        <v>NasdaqCM:FENC</v>
      </c>
      <c r="AB12" s="255">
        <f>'Beta Calc'!Z12</f>
        <v>178.94605999999999</v>
      </c>
      <c r="AC12" s="933">
        <f t="shared" si="6"/>
        <v>0</v>
      </c>
      <c r="AI12" s="934"/>
    </row>
    <row r="13" spans="2:35" ht="14.85" customHeight="1">
      <c r="B13" s="179" t="str">
        <f>'Comp.1'!B15</f>
        <v>ProQR Therapeutics N.V.</v>
      </c>
      <c r="D13" s="255">
        <f>'Beta Calc'!K13</f>
        <v>188.339</v>
      </c>
      <c r="E13" s="255">
        <f>'Beta Calc'!L13</f>
        <v>8.6983700000000006</v>
      </c>
      <c r="F13" s="255" t="str">
        <f>'Beta Calc'!M13</f>
        <v>n/a</v>
      </c>
      <c r="G13" s="255">
        <f>'Beta Calc'!N13</f>
        <v>-4.5629999999999997E-2</v>
      </c>
      <c r="H13" s="255">
        <f t="shared" si="7"/>
        <v>8.6527400000000014</v>
      </c>
      <c r="I13" s="255">
        <f t="shared" si="8"/>
        <v>196.99174000000002</v>
      </c>
      <c r="J13" s="255">
        <f>'Beta Calc'!Q13</f>
        <v>57.755760000000002</v>
      </c>
      <c r="K13" s="255">
        <f t="shared" si="9"/>
        <v>139.23598000000001</v>
      </c>
      <c r="M13" s="384">
        <f>IFERROR('Capital IQ Sheet-GPC'!AT16,"n/a")</f>
        <v>0</v>
      </c>
      <c r="N13" s="255" t="e">
        <f t="shared" si="0"/>
        <v>#REF!</v>
      </c>
      <c r="O13" s="1181">
        <f t="shared" si="0"/>
        <v>2.3965753424657534E-2</v>
      </c>
      <c r="P13" s="1162"/>
      <c r="Q13" s="1182" t="str">
        <f>IFERROR(HLOOKUP($Q$6,'Equity Vol'!$B$8:$K13,ROWS('Equity Vol'!$C$8:$C13),FALSE),"n/a")</f>
        <v>n/a</v>
      </c>
      <c r="R13" s="303"/>
      <c r="S13" s="1183" t="str">
        <f t="shared" si="10"/>
        <v>n/a</v>
      </c>
      <c r="T13" s="1183" t="str">
        <f t="shared" si="1"/>
        <v>n/a</v>
      </c>
      <c r="U13" s="1184" t="str">
        <f t="shared" si="2"/>
        <v>n/a</v>
      </c>
      <c r="V13" s="1184" t="str">
        <f t="shared" si="3"/>
        <v>n/a</v>
      </c>
      <c r="W13" s="1184" t="str">
        <f t="shared" si="4"/>
        <v>n/a</v>
      </c>
      <c r="X13" s="576" t="str">
        <f t="shared" si="5"/>
        <v>n/a</v>
      </c>
      <c r="Y13" s="1182" t="str">
        <f t="shared" si="11"/>
        <v>n/a</v>
      </c>
      <c r="AA13" s="932" t="str">
        <f>IF('MASTER PubCo Inputs'!B31=0,"",'MASTER PubCo Inputs'!B31)</f>
        <v>NasdaqGM:PRQR</v>
      </c>
      <c r="AB13" s="255">
        <f>'Beta Calc'!Z13</f>
        <v>150.9237</v>
      </c>
      <c r="AC13" s="933">
        <f t="shared" si="6"/>
        <v>-11.687719999999985</v>
      </c>
      <c r="AI13" s="934"/>
    </row>
    <row r="14" spans="2:35" ht="14.85" customHeight="1">
      <c r="B14" s="179" t="str">
        <f>'Comp.1'!B16</f>
        <v>Genkyotex SA</v>
      </c>
      <c r="D14" s="255">
        <f>'Beta Calc'!K14</f>
        <v>138.52769000000001</v>
      </c>
      <c r="E14" s="255">
        <f>'Beta Calc'!L14</f>
        <v>0.48391000000000001</v>
      </c>
      <c r="F14" s="255" t="str">
        <f>'Beta Calc'!M14</f>
        <v>n/a</v>
      </c>
      <c r="G14" s="255" t="str">
        <f>'Beta Calc'!N14</f>
        <v>n/a</v>
      </c>
      <c r="H14" s="255">
        <f t="shared" si="7"/>
        <v>0.48391000000000001</v>
      </c>
      <c r="I14" s="255">
        <f t="shared" si="8"/>
        <v>139.01160000000002</v>
      </c>
      <c r="J14" s="255">
        <f>'Beta Calc'!Q14</f>
        <v>13.622719999999999</v>
      </c>
      <c r="K14" s="255">
        <f t="shared" si="9"/>
        <v>125.38888000000001</v>
      </c>
      <c r="M14" s="384">
        <f>IFERROR('Capital IQ Sheet-GPC'!AT17,"n/a")</f>
        <v>0</v>
      </c>
      <c r="N14" s="255" t="e">
        <f t="shared" si="0"/>
        <v>#REF!</v>
      </c>
      <c r="O14" s="1181">
        <f t="shared" si="0"/>
        <v>2.3965753424657534E-2</v>
      </c>
      <c r="P14" s="1162"/>
      <c r="Q14" s="1182" t="str">
        <f>IFERROR(HLOOKUP($Q$6,'Equity Vol'!$B$8:$K14,ROWS('Equity Vol'!$C$8:$C14),FALSE),"n/a")</f>
        <v>n/a</v>
      </c>
      <c r="R14" s="303"/>
      <c r="S14" s="1183" t="str">
        <f t="shared" si="10"/>
        <v>n/a</v>
      </c>
      <c r="T14" s="1183" t="str">
        <f t="shared" si="1"/>
        <v>n/a</v>
      </c>
      <c r="U14" s="1184" t="str">
        <f t="shared" si="2"/>
        <v>n/a</v>
      </c>
      <c r="V14" s="1184" t="str">
        <f t="shared" si="3"/>
        <v>n/a</v>
      </c>
      <c r="W14" s="1184" t="str">
        <f t="shared" si="4"/>
        <v>n/a</v>
      </c>
      <c r="X14" s="576" t="str">
        <f t="shared" si="5"/>
        <v>n/a</v>
      </c>
      <c r="Y14" s="1182" t="str">
        <f t="shared" si="11"/>
        <v>n/a</v>
      </c>
      <c r="AA14" s="932" t="str">
        <f>IF('MASTER PubCo Inputs'!B32=0,"",'MASTER PubCo Inputs'!B32)</f>
        <v>ENXTPA:GKTX</v>
      </c>
      <c r="AB14" s="255">
        <f>'Beta Calc'!Z14</f>
        <v>125.77329</v>
      </c>
      <c r="AC14" s="933">
        <f t="shared" si="6"/>
        <v>-0.38440999999998837</v>
      </c>
      <c r="AI14" s="934"/>
    </row>
    <row r="15" spans="2:35" ht="14.85" customHeight="1">
      <c r="B15" s="179" t="str">
        <f>'Comp.1'!B17</f>
        <v>Novus Therapeutics, Inc.</v>
      </c>
      <c r="D15" s="255">
        <f>'Beta Calc'!K15</f>
        <v>74.033280000000005</v>
      </c>
      <c r="E15" s="255">
        <f>'Beta Calc'!L15</f>
        <v>0</v>
      </c>
      <c r="F15" s="255" t="str">
        <f>'Beta Calc'!M15</f>
        <v>n/a</v>
      </c>
      <c r="G15" s="255" t="str">
        <f>'Beta Calc'!N15</f>
        <v>n/a</v>
      </c>
      <c r="H15" s="255">
        <f t="shared" si="7"/>
        <v>0</v>
      </c>
      <c r="I15" s="255">
        <f t="shared" si="8"/>
        <v>74.033280000000005</v>
      </c>
      <c r="J15" s="255">
        <f>'Beta Calc'!Q15</f>
        <v>22.523</v>
      </c>
      <c r="K15" s="255">
        <f t="shared" si="9"/>
        <v>51.510280000000009</v>
      </c>
      <c r="M15" s="384">
        <f>IFERROR('Capital IQ Sheet-GPC'!AT18,"n/a")</f>
        <v>0</v>
      </c>
      <c r="N15" s="255" t="e">
        <f t="shared" si="0"/>
        <v>#REF!</v>
      </c>
      <c r="O15" s="1181">
        <f t="shared" si="0"/>
        <v>2.3965753424657534E-2</v>
      </c>
      <c r="P15" s="1162"/>
      <c r="Q15" s="1182" t="str">
        <f>IFERROR(HLOOKUP($Q$6,'Equity Vol'!$B$8:$K18,ROWS('Equity Vol'!$C$8:$C18),FALSE),"n/a")</f>
        <v>n/a</v>
      </c>
      <c r="R15" s="303"/>
      <c r="S15" s="1183" t="str">
        <f t="shared" si="10"/>
        <v>n/a</v>
      </c>
      <c r="T15" s="1183" t="str">
        <f t="shared" si="1"/>
        <v>n/a</v>
      </c>
      <c r="U15" s="1184" t="str">
        <f t="shared" si="2"/>
        <v>n/a</v>
      </c>
      <c r="V15" s="1184" t="str">
        <f t="shared" si="3"/>
        <v>n/a</v>
      </c>
      <c r="W15" s="1184" t="str">
        <f t="shared" si="4"/>
        <v>n/a</v>
      </c>
      <c r="X15" s="576" t="str">
        <f t="shared" si="5"/>
        <v>n/a</v>
      </c>
      <c r="Y15" s="1182" t="str">
        <f t="shared" si="11"/>
        <v>n/a</v>
      </c>
      <c r="AA15" s="932" t="str">
        <f>IF('MASTER PubCo Inputs'!B33=0,"",'MASTER PubCo Inputs'!B33)</f>
        <v>NasdaqCM:NVUS</v>
      </c>
      <c r="AB15" s="255">
        <f>'Beta Calc'!Z15</f>
        <v>51.510280000000002</v>
      </c>
      <c r="AC15" s="933">
        <f t="shared" si="6"/>
        <v>0</v>
      </c>
      <c r="AI15" s="934"/>
    </row>
    <row r="16" spans="2:35" ht="14.85" customHeight="1">
      <c r="B16" s="179" t="str">
        <f>'Comp.1'!B18</f>
        <v>Sensorion SA</v>
      </c>
      <c r="D16" s="255">
        <f>'Beta Calc'!K16</f>
        <v>37.159999999999997</v>
      </c>
      <c r="E16" s="255">
        <f>'Beta Calc'!L16</f>
        <v>2.6891699999999998</v>
      </c>
      <c r="F16" s="255">
        <f>'Beta Calc'!M16</f>
        <v>0</v>
      </c>
      <c r="G16" s="255">
        <f>'Beta Calc'!N16</f>
        <v>0</v>
      </c>
      <c r="H16" s="255">
        <f t="shared" si="7"/>
        <v>2.6891699999999998</v>
      </c>
      <c r="I16" s="255">
        <f t="shared" si="8"/>
        <v>39.849169999999994</v>
      </c>
      <c r="J16" s="255">
        <f>'Beta Calc'!Q16</f>
        <v>9.1175599999999992</v>
      </c>
      <c r="K16" s="255">
        <f t="shared" si="9"/>
        <v>30.731609999999996</v>
      </c>
      <c r="M16" s="384">
        <f>IFERROR('Capital IQ Sheet-GPC'!AT19,"n/a")</f>
        <v>0</v>
      </c>
      <c r="N16" s="255" t="e">
        <f t="shared" si="0"/>
        <v>#REF!</v>
      </c>
      <c r="O16" s="1181">
        <f t="shared" si="0"/>
        <v>2.3965753424657534E-2</v>
      </c>
      <c r="P16" s="1162"/>
      <c r="Q16" s="1182" t="str">
        <f>IFERROR(HLOOKUP($Q$6,'Equity Vol'!$B$8:$K18,ROWS('Equity Vol'!$C$8:$C18),FALSE),"n/a")</f>
        <v>n/a</v>
      </c>
      <c r="R16" s="303"/>
      <c r="S16" s="1183" t="str">
        <f t="shared" si="10"/>
        <v>n/a</v>
      </c>
      <c r="T16" s="1183" t="str">
        <f t="shared" si="1"/>
        <v>n/a</v>
      </c>
      <c r="U16" s="1184" t="str">
        <f t="shared" si="2"/>
        <v>n/a</v>
      </c>
      <c r="V16" s="1184" t="str">
        <f t="shared" si="3"/>
        <v>n/a</v>
      </c>
      <c r="W16" s="1184" t="str">
        <f t="shared" si="4"/>
        <v>n/a</v>
      </c>
      <c r="X16" s="576" t="str">
        <f t="shared" si="5"/>
        <v>n/a</v>
      </c>
      <c r="Y16" s="1182" t="str">
        <f t="shared" si="11"/>
        <v>n/a</v>
      </c>
      <c r="AA16" s="932" t="str">
        <f>IF('MASTER PubCo Inputs'!B34=0,"",'MASTER PubCo Inputs'!B34)</f>
        <v>ENXTPA:ALSEN</v>
      </c>
      <c r="AB16" s="255">
        <f>'Beta Calc'!Z16</f>
        <v>30.919689999999999</v>
      </c>
      <c r="AC16" s="933">
        <f t="shared" si="6"/>
        <v>-0.18808000000000291</v>
      </c>
      <c r="AI16" s="934"/>
    </row>
    <row r="17" spans="1:35" ht="14.85" customHeight="1">
      <c r="B17" s="179" t="str">
        <f>'Comp.1'!B19</f>
        <v>Otonomy, Inc.</v>
      </c>
      <c r="D17" s="255">
        <f>'Beta Calc'!K17</f>
        <v>136.06998999999999</v>
      </c>
      <c r="E17" s="255">
        <f>'Beta Calc'!L17</f>
        <v>0</v>
      </c>
      <c r="F17" s="255">
        <f>'Beta Calc'!M17</f>
        <v>0</v>
      </c>
      <c r="G17" s="255">
        <f>'Beta Calc'!N17</f>
        <v>0</v>
      </c>
      <c r="H17" s="255">
        <f t="shared" si="7"/>
        <v>0</v>
      </c>
      <c r="I17" s="255">
        <f t="shared" si="8"/>
        <v>136.06998999999999</v>
      </c>
      <c r="J17" s="255">
        <f>'Beta Calc'!Q17</f>
        <v>110.224</v>
      </c>
      <c r="K17" s="255">
        <f t="shared" si="9"/>
        <v>25.845989999999986</v>
      </c>
      <c r="M17" s="384">
        <f>IFERROR('Capital IQ Sheet-GPC'!AT20,"n/a")</f>
        <v>0</v>
      </c>
      <c r="N17" s="255" t="e">
        <f t="shared" si="0"/>
        <v>#REF!</v>
      </c>
      <c r="O17" s="1181">
        <f t="shared" si="0"/>
        <v>2.3965753424657534E-2</v>
      </c>
      <c r="P17" s="1162"/>
      <c r="Q17" s="1182" t="str">
        <f>IFERROR(HLOOKUP($Q$6,'Equity Vol'!$B$8:$K18,ROWS('Equity Vol'!$C$8:$C18),FALSE),"n/a")</f>
        <v>n/a</v>
      </c>
      <c r="R17" s="303"/>
      <c r="S17" s="1183" t="str">
        <f t="shared" si="10"/>
        <v>n/a</v>
      </c>
      <c r="T17" s="1183" t="str">
        <f t="shared" si="1"/>
        <v>n/a</v>
      </c>
      <c r="U17" s="1184" t="str">
        <f t="shared" si="2"/>
        <v>n/a</v>
      </c>
      <c r="V17" s="1184" t="str">
        <f t="shared" si="3"/>
        <v>n/a</v>
      </c>
      <c r="W17" s="1184" t="str">
        <f t="shared" si="4"/>
        <v>n/a</v>
      </c>
      <c r="X17" s="576" t="str">
        <f t="shared" si="5"/>
        <v>n/a</v>
      </c>
      <c r="Y17" s="1182" t="str">
        <f t="shared" si="11"/>
        <v>n/a</v>
      </c>
      <c r="AA17" s="932" t="str">
        <f>IF('MASTER PubCo Inputs'!B35=0,"",'MASTER PubCo Inputs'!B35)</f>
        <v>NasdaqGS:OTIC</v>
      </c>
      <c r="AB17" s="255">
        <f>'Beta Calc'!Z17</f>
        <v>25.84599</v>
      </c>
      <c r="AC17" s="933">
        <f t="shared" si="6"/>
        <v>0</v>
      </c>
      <c r="AI17" s="934"/>
    </row>
    <row r="18" spans="1:35" ht="14.85" customHeight="1">
      <c r="B18" s="179" t="str">
        <f>'Comp.1'!B20</f>
        <v>Auris Medical Holding AG</v>
      </c>
      <c r="D18" s="255">
        <f>'Beta Calc'!K18</f>
        <v>7.2796900000000004</v>
      </c>
      <c r="E18" s="255">
        <f>'Beta Calc'!L18</f>
        <v>9.06297</v>
      </c>
      <c r="F18" s="255">
        <f>'Beta Calc'!M18</f>
        <v>0</v>
      </c>
      <c r="G18" s="255">
        <f>'Beta Calc'!N18</f>
        <v>0</v>
      </c>
      <c r="H18" s="255">
        <f t="shared" si="7"/>
        <v>9.06297</v>
      </c>
      <c r="I18" s="255">
        <f t="shared" si="8"/>
        <v>16.342660000000002</v>
      </c>
      <c r="J18" s="255">
        <f>'Beta Calc'!Q18</f>
        <v>13.2705</v>
      </c>
      <c r="K18" s="255">
        <f t="shared" si="9"/>
        <v>3.072160000000002</v>
      </c>
      <c r="M18" s="384">
        <f>IFERROR('Capital IQ Sheet-GPC'!AT21,"n/a")</f>
        <v>0</v>
      </c>
      <c r="N18" s="255" t="e">
        <f t="shared" si="0"/>
        <v>#REF!</v>
      </c>
      <c r="O18" s="1181">
        <f t="shared" si="0"/>
        <v>2.3965753424657534E-2</v>
      </c>
      <c r="P18" s="1162"/>
      <c r="Q18" s="1182" t="str">
        <f>IFERROR(HLOOKUP($Q$6,'Equity Vol'!$B$8:$K18,ROWS('Equity Vol'!$C$8:$C18),FALSE),"n/a")</f>
        <v>n/a</v>
      </c>
      <c r="R18" s="303"/>
      <c r="S18" s="1183" t="str">
        <f t="shared" si="10"/>
        <v>n/a</v>
      </c>
      <c r="T18" s="1183" t="str">
        <f t="shared" si="1"/>
        <v>n/a</v>
      </c>
      <c r="U18" s="1184" t="str">
        <f t="shared" si="2"/>
        <v>n/a</v>
      </c>
      <c r="V18" s="1184" t="str">
        <f t="shared" si="3"/>
        <v>n/a</v>
      </c>
      <c r="W18" s="1184" t="str">
        <f t="shared" si="4"/>
        <v>n/a</v>
      </c>
      <c r="X18" s="576" t="str">
        <f t="shared" si="5"/>
        <v>n/a</v>
      </c>
      <c r="Y18" s="1182" t="str">
        <f t="shared" si="11"/>
        <v>n/a</v>
      </c>
      <c r="AA18" s="932" t="str">
        <f>IF('MASTER PubCo Inputs'!B36=0,"",'MASTER PubCo Inputs'!B36)</f>
        <v>NasdaqCM:EARS</v>
      </c>
      <c r="AB18" s="255">
        <f>'Beta Calc'!Z18</f>
        <v>3.0721500000000002</v>
      </c>
      <c r="AC18" s="933">
        <f t="shared" si="6"/>
        <v>1.0000000001841869E-5</v>
      </c>
      <c r="AI18" s="934"/>
    </row>
    <row r="19" spans="1:35" ht="14.85" customHeight="1">
      <c r="D19" s="255"/>
      <c r="E19" s="255"/>
      <c r="F19" s="255"/>
      <c r="G19" s="255"/>
      <c r="H19" s="255"/>
      <c r="I19" s="255"/>
      <c r="J19" s="255"/>
      <c r="K19" s="255"/>
      <c r="R19" s="549"/>
    </row>
    <row r="20" spans="1:35" ht="14.85" customHeight="1">
      <c r="B20" s="935" t="s">
        <v>111</v>
      </c>
      <c r="C20" s="936"/>
      <c r="D20" s="938">
        <f t="shared" ref="D20:K20" si="12">MAX(D10:D18)</f>
        <v>1705.3104800000001</v>
      </c>
      <c r="E20" s="938">
        <f t="shared" si="12"/>
        <v>49.826320000000003</v>
      </c>
      <c r="F20" s="938">
        <f t="shared" si="12"/>
        <v>0</v>
      </c>
      <c r="G20" s="938">
        <f t="shared" si="12"/>
        <v>0</v>
      </c>
      <c r="H20" s="938">
        <f t="shared" si="12"/>
        <v>49.826320000000003</v>
      </c>
      <c r="I20" s="938">
        <f t="shared" si="12"/>
        <v>1738.5004800000002</v>
      </c>
      <c r="J20" s="938">
        <f t="shared" si="12"/>
        <v>358.82100000000003</v>
      </c>
      <c r="K20" s="938">
        <f t="shared" si="12"/>
        <v>1379.6794800000002</v>
      </c>
      <c r="L20" s="936"/>
      <c r="M20" s="1044">
        <f>MAX(M10:M18)</f>
        <v>0</v>
      </c>
      <c r="N20" s="938" t="e">
        <f>MAX(N10:N18)</f>
        <v>#REF!</v>
      </c>
      <c r="O20" s="1185">
        <f>MAX(O10:O18)</f>
        <v>2.3965753424657534E-2</v>
      </c>
      <c r="P20" s="1186"/>
      <c r="Q20" s="1187">
        <f>MAX(Q10:Q18)</f>
        <v>0</v>
      </c>
      <c r="R20" s="1188"/>
      <c r="S20" s="1189">
        <f>MAX(S10:S19)</f>
        <v>0</v>
      </c>
      <c r="T20" s="1189">
        <f>MAX(T10:T19)</f>
        <v>0</v>
      </c>
      <c r="U20" s="1190">
        <f>MAX(U10:U19)</f>
        <v>0</v>
      </c>
      <c r="V20" s="1190">
        <f>MAX(V10:V19)</f>
        <v>0</v>
      </c>
      <c r="W20" s="1190">
        <f>MAX(W10:W19)</f>
        <v>0</v>
      </c>
      <c r="X20" s="938">
        <f>MAX(X10:X18)</f>
        <v>0</v>
      </c>
      <c r="Y20" s="1191">
        <f>MAX(Y10:Y18)</f>
        <v>0</v>
      </c>
      <c r="AB20" s="1192" t="e">
        <f>+'Asset Vol_IPO Early'!Y27</f>
        <v>#REF!</v>
      </c>
      <c r="AC20" s="1193" t="s">
        <v>1621</v>
      </c>
      <c r="AD20" s="1193"/>
      <c r="AE20" s="1193"/>
      <c r="AF20" s="591"/>
    </row>
    <row r="21" spans="1:35" ht="14.85" customHeight="1">
      <c r="B21" s="941" t="s">
        <v>115</v>
      </c>
      <c r="C21" s="942"/>
      <c r="D21" s="944">
        <f t="shared" ref="D21:K21" si="13">QUARTILE(D10:D18,3)</f>
        <v>205.66506000000001</v>
      </c>
      <c r="E21" s="944">
        <f t="shared" si="13"/>
        <v>9.06297</v>
      </c>
      <c r="F21" s="944">
        <f t="shared" si="13"/>
        <v>0</v>
      </c>
      <c r="G21" s="944">
        <f t="shared" si="13"/>
        <v>0</v>
      </c>
      <c r="H21" s="944">
        <f t="shared" si="13"/>
        <v>9.06297</v>
      </c>
      <c r="I21" s="944">
        <f t="shared" si="13"/>
        <v>205.66506000000001</v>
      </c>
      <c r="J21" s="944">
        <f t="shared" si="13"/>
        <v>57.755760000000002</v>
      </c>
      <c r="K21" s="944">
        <f t="shared" si="13"/>
        <v>178.94606000000002</v>
      </c>
      <c r="L21" s="942"/>
      <c r="M21" s="1046">
        <f>QUARTILE(M10:M18,3)</f>
        <v>0</v>
      </c>
      <c r="N21" s="944" t="e">
        <f>QUARTILE(N10:N18,3)</f>
        <v>#REF!</v>
      </c>
      <c r="O21" s="1194">
        <f>QUARTILE(O10:O18,3)</f>
        <v>2.3965753424657534E-2</v>
      </c>
      <c r="P21" s="1195"/>
      <c r="Q21" s="1196" t="e">
        <f>QUARTILE(Q10:Q18,3)</f>
        <v>#NUM!</v>
      </c>
      <c r="R21" s="1197"/>
      <c r="S21" s="1198" t="e">
        <f>QUARTILE(S10:S19,3)</f>
        <v>#NUM!</v>
      </c>
      <c r="T21" s="1198" t="e">
        <f>QUARTILE(T10:T19,3)</f>
        <v>#NUM!</v>
      </c>
      <c r="U21" s="1199" t="e">
        <f>QUARTILE(U10:U19,3)</f>
        <v>#NUM!</v>
      </c>
      <c r="V21" s="1199" t="e">
        <f>QUARTILE(V10:V19,3)</f>
        <v>#NUM!</v>
      </c>
      <c r="W21" s="1199" t="e">
        <f>QUARTILE(W10:W19,3)</f>
        <v>#NUM!</v>
      </c>
      <c r="X21" s="944" t="e">
        <f>QUARTILE(X10:X18,3)</f>
        <v>#NUM!</v>
      </c>
      <c r="Y21" s="1200" t="e">
        <f>QUARTILE(Y10:Y18,3)</f>
        <v>#NUM!</v>
      </c>
      <c r="AB21" s="1201">
        <f>+'Asset Vol_IPO Early'!Y29</f>
        <v>0.31</v>
      </c>
      <c r="AC21" s="179" t="s">
        <v>1622</v>
      </c>
      <c r="AF21" s="339"/>
    </row>
    <row r="22" spans="1:35" ht="14.85" customHeight="1">
      <c r="B22" s="941" t="s">
        <v>113</v>
      </c>
      <c r="C22" s="942"/>
      <c r="D22" s="944">
        <f t="shared" ref="D22:K22" si="14">AVERAGE(D10:D18)</f>
        <v>349.7861166666666</v>
      </c>
      <c r="E22" s="944">
        <f t="shared" si="14"/>
        <v>11.550082222222223</v>
      </c>
      <c r="F22" s="944">
        <f t="shared" si="14"/>
        <v>0</v>
      </c>
      <c r="G22" s="944">
        <f t="shared" si="14"/>
        <v>-1.1407499999999999E-2</v>
      </c>
      <c r="H22" s="944">
        <f t="shared" si="14"/>
        <v>11.545012222222223</v>
      </c>
      <c r="I22" s="944">
        <f t="shared" si="14"/>
        <v>361.33112888888883</v>
      </c>
      <c r="J22" s="944">
        <f t="shared" si="14"/>
        <v>70.157886666666684</v>
      </c>
      <c r="K22" s="944">
        <f t="shared" si="14"/>
        <v>291.17324222222226</v>
      </c>
      <c r="L22" s="942"/>
      <c r="M22" s="1046">
        <f>AVERAGE(M10:M18)</f>
        <v>0</v>
      </c>
      <c r="N22" s="944" t="e">
        <f>AVERAGE(N10:N18)</f>
        <v>#REF!</v>
      </c>
      <c r="O22" s="1194">
        <f>AVERAGE(O10:O18)</f>
        <v>2.3965753424657534E-2</v>
      </c>
      <c r="P22" s="1195"/>
      <c r="Q22" s="1196" t="e">
        <f>AVERAGE(Q10:Q18)</f>
        <v>#DIV/0!</v>
      </c>
      <c r="R22" s="1197"/>
      <c r="S22" s="1198" t="e">
        <f>AVERAGE(S10:S19)</f>
        <v>#DIV/0!</v>
      </c>
      <c r="T22" s="1198" t="e">
        <f>AVERAGE(T10:T19)</f>
        <v>#DIV/0!</v>
      </c>
      <c r="U22" s="1199" t="e">
        <f>AVERAGE(U10:U19)</f>
        <v>#DIV/0!</v>
      </c>
      <c r="V22" s="1199" t="e">
        <f>AVERAGE(V10:V19)</f>
        <v>#DIV/0!</v>
      </c>
      <c r="W22" s="1199" t="e">
        <f>AVERAGE(W10:W19)</f>
        <v>#DIV/0!</v>
      </c>
      <c r="X22" s="944" t="e">
        <f>AVERAGE(X10:X18)</f>
        <v>#DIV/0!</v>
      </c>
      <c r="Y22" s="1200" t="e">
        <f>AVERAGE(Y10:Y18)</f>
        <v>#DIV/0!</v>
      </c>
      <c r="AB22" s="1201" t="e">
        <f>+'Asset Vol_IPO Early'!Y23</f>
        <v>#NUM!</v>
      </c>
      <c r="AC22" s="179" t="s">
        <v>1620</v>
      </c>
      <c r="AF22" s="1202" t="s">
        <v>2035</v>
      </c>
    </row>
    <row r="23" spans="1:35" ht="14.85" customHeight="1">
      <c r="B23" s="941" t="s">
        <v>44</v>
      </c>
      <c r="C23" s="942"/>
      <c r="D23" s="944">
        <f t="shared" ref="D23:K23" si="15">MEDIAN(D10:D18)</f>
        <v>138.52769000000001</v>
      </c>
      <c r="E23" s="944">
        <f t="shared" si="15"/>
        <v>2.6891699999999998</v>
      </c>
      <c r="F23" s="944">
        <f t="shared" si="15"/>
        <v>0</v>
      </c>
      <c r="G23" s="944">
        <f t="shared" si="15"/>
        <v>0</v>
      </c>
      <c r="H23" s="944">
        <f t="shared" si="15"/>
        <v>2.6891699999999998</v>
      </c>
      <c r="I23" s="944">
        <f t="shared" si="15"/>
        <v>139.01160000000002</v>
      </c>
      <c r="J23" s="944">
        <f t="shared" si="15"/>
        <v>22.523</v>
      </c>
      <c r="K23" s="944">
        <f t="shared" si="15"/>
        <v>125.38888000000001</v>
      </c>
      <c r="L23" s="942"/>
      <c r="M23" s="1046">
        <f>MEDIAN(M10:M18)</f>
        <v>0</v>
      </c>
      <c r="N23" s="944" t="e">
        <f>MEDIAN(N10:N18)</f>
        <v>#REF!</v>
      </c>
      <c r="O23" s="1194">
        <f>MEDIAN(O10:O18)</f>
        <v>2.3965753424657534E-2</v>
      </c>
      <c r="P23" s="1195"/>
      <c r="Q23" s="1196" t="e">
        <f>MEDIAN(Q10:Q18)</f>
        <v>#NUM!</v>
      </c>
      <c r="R23" s="1197"/>
      <c r="S23" s="1198" t="e">
        <f>MEDIAN(S10:S19)</f>
        <v>#NUM!</v>
      </c>
      <c r="T23" s="1198" t="e">
        <f>MEDIAN(T10:T19)</f>
        <v>#NUM!</v>
      </c>
      <c r="U23" s="1199" t="e">
        <f>MEDIAN(U10:U19)</f>
        <v>#NUM!</v>
      </c>
      <c r="V23" s="1199" t="e">
        <f>MEDIAN(V10:V19)</f>
        <v>#NUM!</v>
      </c>
      <c r="W23" s="1199" t="e">
        <f>MEDIAN(W10:W19)</f>
        <v>#NUM!</v>
      </c>
      <c r="X23" s="944" t="e">
        <f>MEDIAN(X10:X18)</f>
        <v>#NUM!</v>
      </c>
      <c r="Y23" s="1200" t="e">
        <f>MEDIAN(Y10:Y18)</f>
        <v>#NUM!</v>
      </c>
      <c r="AB23" s="1203" t="e">
        <f>IF(ROUND(AB20,3)=ROUND(AB22,3),"","Update Volatility - OPM")</f>
        <v>#REF!</v>
      </c>
      <c r="AF23" s="339"/>
    </row>
    <row r="24" spans="1:35" ht="14.85" customHeight="1">
      <c r="B24" s="941" t="s">
        <v>114</v>
      </c>
      <c r="C24" s="942"/>
      <c r="D24" s="944">
        <f t="shared" ref="D24:K24" si="16">QUARTILE(D10:D18,1)</f>
        <v>74.033280000000005</v>
      </c>
      <c r="E24" s="944">
        <f t="shared" si="16"/>
        <v>0</v>
      </c>
      <c r="F24" s="944">
        <f t="shared" si="16"/>
        <v>0</v>
      </c>
      <c r="G24" s="944">
        <f t="shared" si="16"/>
        <v>-1.1407500000000001E-2</v>
      </c>
      <c r="H24" s="944">
        <f t="shared" si="16"/>
        <v>0</v>
      </c>
      <c r="I24" s="944">
        <f t="shared" si="16"/>
        <v>74.033280000000005</v>
      </c>
      <c r="J24" s="944">
        <f t="shared" si="16"/>
        <v>13.622719999999999</v>
      </c>
      <c r="K24" s="944">
        <f t="shared" si="16"/>
        <v>30.731609999999996</v>
      </c>
      <c r="L24" s="942"/>
      <c r="M24" s="1046">
        <f>QUARTILE(M10:M18,1)</f>
        <v>0</v>
      </c>
      <c r="N24" s="944" t="e">
        <f>QUARTILE(N10:N18,1)</f>
        <v>#REF!</v>
      </c>
      <c r="O24" s="1194">
        <f>QUARTILE(O10:O18,1)</f>
        <v>2.3965753424657534E-2</v>
      </c>
      <c r="P24" s="1195"/>
      <c r="Q24" s="1196" t="e">
        <f>QUARTILE(Q10:Q18,1)</f>
        <v>#NUM!</v>
      </c>
      <c r="R24" s="1197"/>
      <c r="S24" s="1198" t="e">
        <f>QUARTILE(S10:S19,1)</f>
        <v>#NUM!</v>
      </c>
      <c r="T24" s="1198" t="e">
        <f>QUARTILE(T10:T19,1)</f>
        <v>#NUM!</v>
      </c>
      <c r="U24" s="1199" t="e">
        <f>QUARTILE(U10:U19,1)</f>
        <v>#NUM!</v>
      </c>
      <c r="V24" s="1199" t="e">
        <f>QUARTILE(V10:V19,1)</f>
        <v>#NUM!</v>
      </c>
      <c r="W24" s="1199" t="e">
        <f>QUARTILE(W10:W19,1)</f>
        <v>#NUM!</v>
      </c>
      <c r="X24" s="944" t="e">
        <f>QUARTILE(X10:X18,1)</f>
        <v>#NUM!</v>
      </c>
      <c r="Y24" s="1200" t="e">
        <f>QUARTILE(Y10:Y18,1)</f>
        <v>#NUM!</v>
      </c>
      <c r="AB24" s="1204" t="e">
        <f>IF(ROUND(AB21,3)=ROUND(AB22,3),"","Update Volatility - DLOM")</f>
        <v>#NUM!</v>
      </c>
      <c r="AC24" s="264"/>
      <c r="AD24" s="264"/>
      <c r="AE24" s="264"/>
      <c r="AF24" s="701"/>
    </row>
    <row r="25" spans="1:35" ht="14.85" customHeight="1">
      <c r="B25" s="946" t="s">
        <v>112</v>
      </c>
      <c r="C25" s="663"/>
      <c r="D25" s="672">
        <f t="shared" ref="D25:K25" si="17">MIN(D10:D18)</f>
        <v>7.2796900000000004</v>
      </c>
      <c r="E25" s="672">
        <f t="shared" si="17"/>
        <v>0</v>
      </c>
      <c r="F25" s="672">
        <f t="shared" si="17"/>
        <v>0</v>
      </c>
      <c r="G25" s="672">
        <f t="shared" si="17"/>
        <v>-4.5629999999999997E-2</v>
      </c>
      <c r="H25" s="672">
        <f t="shared" si="17"/>
        <v>0</v>
      </c>
      <c r="I25" s="672">
        <f t="shared" si="17"/>
        <v>16.342660000000002</v>
      </c>
      <c r="J25" s="672">
        <f t="shared" si="17"/>
        <v>9.1175599999999992</v>
      </c>
      <c r="K25" s="672">
        <f t="shared" si="17"/>
        <v>3.072160000000002</v>
      </c>
      <c r="L25" s="663"/>
      <c r="M25" s="1048">
        <f>MIN(M10:M18)</f>
        <v>0</v>
      </c>
      <c r="N25" s="672" t="e">
        <f>MIN(N10:N18)</f>
        <v>#REF!</v>
      </c>
      <c r="O25" s="1205">
        <f>MIN(O10:O18)</f>
        <v>2.3965753424657534E-2</v>
      </c>
      <c r="P25" s="1206"/>
      <c r="Q25" s="1207">
        <f>MIN(Q10:Q18)</f>
        <v>0</v>
      </c>
      <c r="R25" s="1208"/>
      <c r="S25" s="1209">
        <f>MIN(S10:S19)</f>
        <v>0</v>
      </c>
      <c r="T25" s="1209">
        <f>MIN(T10:T19)</f>
        <v>0</v>
      </c>
      <c r="U25" s="1210">
        <f>MIN(U10:U19)</f>
        <v>0</v>
      </c>
      <c r="V25" s="1210">
        <f>MIN(V10:V19)</f>
        <v>0</v>
      </c>
      <c r="W25" s="1210">
        <f>MIN(W10:W19)</f>
        <v>0</v>
      </c>
      <c r="X25" s="672">
        <f>MIN(X10:X18)</f>
        <v>0</v>
      </c>
      <c r="Y25" s="1211">
        <f>MIN(Y10:Y18)</f>
        <v>0</v>
      </c>
      <c r="AB25" s="324" t="e">
        <f>IF(K27&lt;&gt;K29,"Check","")</f>
        <v>#REF!</v>
      </c>
    </row>
    <row r="26" spans="1:35" ht="14.85" customHeight="1">
      <c r="AB26" s="865" t="e">
        <f>IF(AND(AB23=$AF$24,AB25=$AF$24,AB24=$AF$24),"","Check")</f>
        <v>#REF!</v>
      </c>
    </row>
    <row r="27" spans="1:35" ht="14.85" customHeight="1">
      <c r="B27" s="1212" t="str">
        <f>B2</f>
        <v>Decibel Therapeutics, Inc.</v>
      </c>
      <c r="C27" s="1213" t="s">
        <v>260</v>
      </c>
      <c r="D27" s="1214"/>
      <c r="E27" s="1214"/>
      <c r="F27" s="1214"/>
      <c r="G27" s="1214"/>
      <c r="H27" s="1215" t="e">
        <f>-'Val Summ_Hybrid'!#REF!/1000</f>
        <v>#REF!</v>
      </c>
      <c r="I27" s="1216">
        <f>SUM(D27:G27)</f>
        <v>0</v>
      </c>
      <c r="J27" s="1214"/>
      <c r="K27" s="1215" t="e">
        <f>'Val Summ_Hybrid'!#REF!/1000</f>
        <v>#REF!</v>
      </c>
      <c r="L27" s="1214"/>
      <c r="M27" s="1217" t="e">
        <f>DLOM_OPM!#REF!</f>
        <v>#REF!</v>
      </c>
      <c r="N27" s="1218" t="e">
        <f>N$6</f>
        <v>#REF!</v>
      </c>
      <c r="O27" s="1219">
        <f>O$6</f>
        <v>2.3965753424657534E-2</v>
      </c>
      <c r="P27" s="1220"/>
      <c r="Q27" s="1221">
        <v>0.31</v>
      </c>
      <c r="R27" s="1214"/>
      <c r="S27" s="1222">
        <f>IF(Q27="n/a","n/a",Q27^2)</f>
        <v>9.6100000000000005E-2</v>
      </c>
      <c r="T27" s="1222" t="e">
        <f>IF(OR(K27="n/a",S27="n/a"),"n/a",IF(H27=0,0,IF(M27=0,(LN(K27/H27)+((O27+(S27/2))*N27))/((S27*N27)^0.5),(LN(K27/H27)+((O27-M27+(S27/2))*N27))/((S27*N27)^0.5))))</f>
        <v>#REF!</v>
      </c>
      <c r="U27" s="1223" t="e">
        <f>IF(T27="n/a","n/a",IF(H27=0,0,T27-(S27*N27)^0.5))</f>
        <v>#REF!</v>
      </c>
      <c r="V27" s="1223" t="e">
        <f>IF(OR(T27="n/a",S27="n/a"),"n/a",IF(H27=0,0,NORMSDIST(T27)))</f>
        <v>#REF!</v>
      </c>
      <c r="W27" s="1223" t="e">
        <f>IF(OR(U27="n/a",S27="n/a"),"n/a",IF(H27=0,0,NORMSDIST(U27)))</f>
        <v>#REF!</v>
      </c>
      <c r="X27" s="1223" t="e">
        <f>IF(OR(K27="n/a",S27="n/a"),"n/a",IF(M27=0,(K27*V27)-((H27*EXP(1)^(-O27*N27))*W27),(K27*(2.718^(-M27*N27))*V27)-(H27*(2.718^(-O27*N27))*W27)))</f>
        <v>#REF!</v>
      </c>
      <c r="Y27" s="1224" t="e">
        <f>IF(LEN(B27)&gt;0,IF(H27=0,Q27,IF(ISERROR(Q27/((K27/X27)*V27)),"n/a",Q27/((K27/X27)*V27))))</f>
        <v>#REF!</v>
      </c>
    </row>
    <row r="28" spans="1:35" ht="14.85" customHeight="1"/>
    <row r="29" spans="1:35" ht="14.85" customHeight="1">
      <c r="B29" s="1212" t="str">
        <f>B27</f>
        <v>Decibel Therapeutics, Inc.</v>
      </c>
      <c r="C29" s="1213" t="s">
        <v>299</v>
      </c>
      <c r="D29" s="1214"/>
      <c r="E29" s="1214"/>
      <c r="F29" s="1214"/>
      <c r="G29" s="1214"/>
      <c r="H29" s="1215"/>
      <c r="I29" s="1216" t="e">
        <f>K29+J29</f>
        <v>#REF!</v>
      </c>
      <c r="J29" s="1214"/>
      <c r="K29" s="1225" t="e">
        <f>K27</f>
        <v>#REF!</v>
      </c>
      <c r="L29" s="1214"/>
      <c r="M29" s="1226" t="e">
        <f>M27</f>
        <v>#REF!</v>
      </c>
      <c r="N29" s="1218" t="e">
        <f>N$6</f>
        <v>#REF!</v>
      </c>
      <c r="O29" s="1219">
        <f>O$6</f>
        <v>2.3965753424657534E-2</v>
      </c>
      <c r="P29" s="1220"/>
      <c r="Q29" s="1221">
        <v>0.31</v>
      </c>
      <c r="R29" s="1214"/>
      <c r="S29" s="1222">
        <f>IF(Q29="n/a","n/a",Q29^2)</f>
        <v>9.6100000000000005E-2</v>
      </c>
      <c r="T29" s="1222" t="e">
        <f>IF(OR(K29="n/a",S29="n/a"),"n/a",IF(H29=0,0,IF(M29=0,(LN(K29/H29)+((O29+(S29/2))*N29))/((S29*N29)^0.5),(LN(K29/H29)+((O29-M29+(S29/2))*N29))/((S29*N29)^0.5))))</f>
        <v>#REF!</v>
      </c>
      <c r="U29" s="1223" t="e">
        <f>IF(T29="n/a","n/a",IF(H29=0,0,T29-(S29*N29)^0.5))</f>
        <v>#REF!</v>
      </c>
      <c r="V29" s="1223" t="e">
        <f>IF(OR(T29="n/a",S29="n/a"),"n/a",IF(H29=0,0,NORMSDIST(T29)))</f>
        <v>#REF!</v>
      </c>
      <c r="W29" s="1223" t="e">
        <f>IF(OR(U29="n/a",S29="n/a"),"n/a",IF(H29=0,0,NORMSDIST(U29)))</f>
        <v>#REF!</v>
      </c>
      <c r="X29" s="1223" t="e">
        <f>IF(OR(K29="n/a",S29="n/a"),"n/a",IF(M29=0,(K29*V29)-((H29*EXP(1)^(-O29*N29))*W29),(K29*(2.718^(-M29*N29))*V29)-(H29*(2.718^(-O29*N29))*W29)))</f>
        <v>#REF!</v>
      </c>
      <c r="Y29" s="1224">
        <f>IF(LEN(B29)&gt;0,IF(H29=0,Q29,IF(ISERROR(Q29/((K29/X29)*V29)),"n/a",Q29/((K29/X29)*V29))))</f>
        <v>0.31</v>
      </c>
    </row>
    <row r="30" spans="1:35" ht="14.85" customHeight="1"/>
    <row r="31" spans="1:35" ht="14.85" customHeight="1">
      <c r="B31" s="272" t="s">
        <v>86</v>
      </c>
    </row>
    <row r="32" spans="1:35" ht="14.85" customHeight="1">
      <c r="A32" s="273" t="s">
        <v>261</v>
      </c>
      <c r="B32" s="202" t="s">
        <v>3230</v>
      </c>
    </row>
    <row r="33" spans="1:16" s="275" customFormat="1" ht="14.85" customHeight="1">
      <c r="A33" s="1227" t="s">
        <v>260</v>
      </c>
      <c r="B33" s="1228" t="s">
        <v>961</v>
      </c>
      <c r="P33" s="1229"/>
    </row>
    <row r="34" spans="1:16" s="275" customFormat="1" ht="14.85" customHeight="1">
      <c r="A34" s="1227" t="s">
        <v>299</v>
      </c>
      <c r="B34" s="1228" t="s">
        <v>962</v>
      </c>
      <c r="P34" s="1229"/>
    </row>
    <row r="35" spans="1:16" ht="14.85" customHeight="1"/>
    <row r="36" spans="1:16" ht="14.85" customHeight="1">
      <c r="B36" s="272" t="s">
        <v>116</v>
      </c>
    </row>
    <row r="37" spans="1:16" ht="14.85" customHeight="1"/>
    <row r="38" spans="1:16" ht="14.85" customHeight="1">
      <c r="B38" s="179" t="s">
        <v>1650</v>
      </c>
    </row>
    <row r="39" spans="1:16" ht="14.85" customHeight="1">
      <c r="B39" s="179" t="s">
        <v>1651</v>
      </c>
    </row>
    <row r="40" spans="1:16" ht="14.85" customHeight="1">
      <c r="B40" s="179" t="s">
        <v>1652</v>
      </c>
    </row>
    <row r="41" spans="1:16" ht="14.85" customHeight="1">
      <c r="B41" s="179" t="s">
        <v>1653</v>
      </c>
    </row>
    <row r="42" spans="1:16" ht="14.85" customHeight="1">
      <c r="B42" s="179" t="s">
        <v>1654</v>
      </c>
    </row>
    <row r="43" spans="1:16" ht="14.85" customHeight="1">
      <c r="B43" s="179" t="s">
        <v>1655</v>
      </c>
    </row>
    <row r="44" spans="1:16" ht="14.85" customHeight="1">
      <c r="B44" s="179" t="s">
        <v>1656</v>
      </c>
    </row>
    <row r="45" spans="1:16" ht="14.85" customHeight="1"/>
    <row r="46" spans="1:16" ht="14.85" customHeight="1">
      <c r="B46" s="179" t="s">
        <v>1657</v>
      </c>
    </row>
    <row r="47" spans="1:16" ht="14.85" customHeight="1">
      <c r="B47" s="179" t="s">
        <v>1658</v>
      </c>
    </row>
    <row r="48" spans="1:16" ht="14.85" customHeight="1">
      <c r="B48" s="179" t="s">
        <v>1659</v>
      </c>
    </row>
    <row r="49" spans="2:2" ht="14.85" customHeight="1">
      <c r="B49" s="179" t="s">
        <v>1660</v>
      </c>
    </row>
    <row r="50" spans="2:2" ht="14.85" customHeight="1">
      <c r="B50" s="179" t="s">
        <v>1661</v>
      </c>
    </row>
    <row r="51" spans="2:2" ht="14.85" customHeight="1">
      <c r="B51" s="179" t="s">
        <v>1662</v>
      </c>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sheetData>
  <conditionalFormatting sqref="B10:B18">
    <cfRule type="cellIs" dxfId="45" priority="8" operator="equal">
      <formula>"(Invalid Identifier)"</formula>
    </cfRule>
  </conditionalFormatting>
  <conditionalFormatting sqref="B4:I4">
    <cfRule type="cellIs" dxfId="44" priority="7" stopIfTrue="1" operator="equal">
      <formula>"input"</formula>
    </cfRule>
  </conditionalFormatting>
  <conditionalFormatting sqref="J4">
    <cfRule type="cellIs" dxfId="43" priority="5" stopIfTrue="1" operator="equal">
      <formula>"input"</formula>
    </cfRule>
  </conditionalFormatting>
  <conditionalFormatting sqref="J4">
    <cfRule type="cellIs" dxfId="42" priority="6" stopIfTrue="1" operator="equal">
      <formula>"input"</formula>
    </cfRule>
  </conditionalFormatting>
  <conditionalFormatting sqref="K4:X4">
    <cfRule type="cellIs" dxfId="41" priority="3" stopIfTrue="1" operator="equal">
      <formula>"input"</formula>
    </cfRule>
  </conditionalFormatting>
  <conditionalFormatting sqref="K4:X4">
    <cfRule type="cellIs" dxfId="40" priority="4" stopIfTrue="1" operator="equal">
      <formula>"input"</formula>
    </cfRule>
  </conditionalFormatting>
  <conditionalFormatting sqref="Y4">
    <cfRule type="cellIs" dxfId="39" priority="1" stopIfTrue="1" operator="equal">
      <formula>"input"</formula>
    </cfRule>
  </conditionalFormatting>
  <conditionalFormatting sqref="Y4">
    <cfRule type="cellIs" dxfId="38" priority="2" stopIfTrue="1" operator="equal">
      <formula>"input"</formula>
    </cfRule>
  </conditionalFormatting>
  <pageMargins left="0.5" right="0.5" top="0.5" bottom="0.5" header="0.5" footer="0.5"/>
  <pageSetup scale="74" fitToWidth="0" fitToHeight="0" orientation="landscape" r:id="rId1"/>
  <legacyDrawing r:id="rId2"/>
  <legacyDrawingHF r:id="rId3"/>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71"/>
  <dimension ref="A1:AI764"/>
  <sheetViews>
    <sheetView showGridLines="0" view="pageBreakPreview" zoomScale="80" zoomScaleNormal="100" zoomScaleSheetLayoutView="80" workbookViewId="0">
      <selection activeCell="Q31" sqref="Q31"/>
    </sheetView>
  </sheetViews>
  <sheetFormatPr defaultRowHeight="12.75" outlineLevelRow="1" outlineLevelCol="1"/>
  <cols>
    <col min="1" max="1" width="4.5" style="179" customWidth="1"/>
    <col min="2" max="2" width="42.1640625" style="179" customWidth="1"/>
    <col min="3" max="3" width="3.5" style="179" customWidth="1"/>
    <col min="4" max="4" width="13.1640625" style="179" customWidth="1"/>
    <col min="5" max="5" width="10.83203125" style="179" hidden="1" customWidth="1" outlineLevel="1"/>
    <col min="6" max="7" width="9.83203125" style="179" hidden="1" customWidth="1" outlineLevel="1"/>
    <col min="8" max="8" width="12.83203125" style="179" customWidth="1" collapsed="1"/>
    <col min="9" max="11" width="12.83203125" style="179" customWidth="1"/>
    <col min="12" max="12" width="2.83203125" style="179" customWidth="1"/>
    <col min="13" max="15" width="12.83203125" style="179" customWidth="1"/>
    <col min="16" max="16" width="2.83203125" style="549" customWidth="1"/>
    <col min="17" max="17" width="12.83203125" style="179" customWidth="1"/>
    <col min="18" max="18" width="2.83203125" style="179" customWidth="1"/>
    <col min="19" max="19" width="11.6640625" style="179" hidden="1" customWidth="1" outlineLevel="1"/>
    <col min="20" max="23" width="8.83203125" style="179" hidden="1" customWidth="1" outlineLevel="1"/>
    <col min="24" max="24" width="12.83203125" style="179" customWidth="1" collapsed="1"/>
    <col min="25" max="25" width="12.83203125" style="179" customWidth="1"/>
    <col min="26" max="26" width="4.5" style="179" customWidth="1"/>
    <col min="27" max="27" width="17.5" style="179" bestFit="1" customWidth="1"/>
    <col min="28" max="28" width="14.33203125" style="179" bestFit="1" customWidth="1"/>
    <col min="29" max="29" width="9.6640625" style="179" bestFit="1" customWidth="1"/>
    <col min="30" max="30" width="10.1640625" style="179" bestFit="1" customWidth="1"/>
    <col min="31" max="16384" width="9.33203125" style="179"/>
  </cols>
  <sheetData>
    <row r="1" spans="2:35" ht="10.7" customHeight="1" thickBot="1">
      <c r="P1" s="179"/>
    </row>
    <row r="2" spans="2:35"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AA2" s="909" t="s">
        <v>87</v>
      </c>
      <c r="AB2" s="910">
        <f>+'Comp.1'!$AL$2</f>
        <v>43245</v>
      </c>
    </row>
    <row r="3" spans="2:35" ht="15.75" customHeight="1">
      <c r="B3" s="188" t="e">
        <f>VLOOKUP(B4,Outline!$E$8:$G$75,COLUMNS(Outline!$E$8:$G$8),FALSE)</f>
        <v>#REF!</v>
      </c>
      <c r="C3" s="188"/>
      <c r="D3" s="188"/>
      <c r="E3" s="188"/>
      <c r="F3" s="188"/>
      <c r="G3" s="188"/>
      <c r="H3" s="188"/>
      <c r="I3" s="188"/>
      <c r="J3" s="188"/>
      <c r="K3" s="188"/>
      <c r="L3" s="188"/>
      <c r="M3" s="188"/>
      <c r="N3" s="188"/>
      <c r="O3" s="188"/>
      <c r="P3" s="188"/>
      <c r="Q3" s="188"/>
      <c r="R3" s="188"/>
      <c r="S3" s="188"/>
      <c r="T3" s="188"/>
      <c r="U3" s="188"/>
      <c r="V3" s="188"/>
      <c r="W3" s="188"/>
      <c r="X3" s="188"/>
      <c r="Y3" s="188"/>
      <c r="AA3" s="911" t="s">
        <v>462</v>
      </c>
      <c r="AB3" s="912" t="str">
        <f>+'Comp.1'!$AL$3</f>
        <v>F</v>
      </c>
    </row>
    <row r="4" spans="2:35" ht="16.5" customHeight="1" thickBot="1">
      <c r="B4" s="726" t="e">
        <f>"Asset Volatility - "&amp;TEXT(DLOM_OPM!#REF!,"")</f>
        <v>#REF!</v>
      </c>
      <c r="C4" s="726"/>
      <c r="D4" s="726"/>
      <c r="E4" s="726"/>
      <c r="F4" s="726"/>
      <c r="G4" s="726"/>
      <c r="H4" s="726"/>
      <c r="I4" s="726"/>
      <c r="J4" s="727"/>
      <c r="K4" s="727"/>
      <c r="L4" s="727"/>
      <c r="M4" s="727"/>
      <c r="N4" s="727"/>
      <c r="O4" s="727"/>
      <c r="P4" s="727"/>
      <c r="Q4" s="727"/>
      <c r="R4" s="727"/>
      <c r="S4" s="727"/>
      <c r="T4" s="727"/>
      <c r="U4" s="727"/>
      <c r="V4" s="727"/>
      <c r="W4" s="727"/>
      <c r="X4" s="727"/>
      <c r="Y4" s="727" t="str">
        <f>+'MASTER PubCo Inputs'!$C$24</f>
        <v>(in millions of USD)</v>
      </c>
      <c r="AA4" s="911" t="s">
        <v>463</v>
      </c>
      <c r="AB4" s="912" t="str">
        <f>+'Comp.1'!$AL$4</f>
        <v>USD</v>
      </c>
    </row>
    <row r="5" spans="2:35" ht="14.85" customHeight="1" thickTop="1">
      <c r="B5" s="549"/>
      <c r="AA5" s="378" t="s">
        <v>89</v>
      </c>
      <c r="AB5" s="913" t="str">
        <f>+'Comp.1'!$AL$5</f>
        <v>H</v>
      </c>
    </row>
    <row r="6" spans="2:35" ht="14.85" customHeight="1" outlineLevel="1">
      <c r="N6" s="551" t="e">
        <f>DLOM_OPM!#REF!</f>
        <v>#REF!</v>
      </c>
      <c r="O6" s="554" t="e">
        <f>'Risk-Free Rates_Hybrid'!#REF!</f>
        <v>#REF!</v>
      </c>
      <c r="Q6" s="263" t="e">
        <f>HLOOKUP(ROUND(N6,0),'Equity Vol'!$D$8:$K$8,1,TRUE)</f>
        <v>#REF!</v>
      </c>
    </row>
    <row r="7" spans="2:35" ht="14.85" customHeight="1">
      <c r="D7" s="1169" t="s">
        <v>91</v>
      </c>
      <c r="E7" s="1170"/>
      <c r="F7" s="1170"/>
      <c r="G7" s="1170"/>
      <c r="H7" s="1170"/>
      <c r="I7" s="1170"/>
      <c r="J7" s="1170"/>
      <c r="K7" s="1171"/>
      <c r="M7" s="1169" t="s">
        <v>92</v>
      </c>
      <c r="N7" s="1170"/>
      <c r="O7" s="1170"/>
      <c r="P7" s="1172"/>
      <c r="Q7" s="1171"/>
      <c r="S7" s="1169" t="s">
        <v>93</v>
      </c>
      <c r="T7" s="1170"/>
      <c r="U7" s="1170"/>
      <c r="V7" s="1170"/>
      <c r="W7" s="1170"/>
      <c r="X7" s="1173" t="s">
        <v>93</v>
      </c>
      <c r="Y7" s="1174"/>
    </row>
    <row r="8" spans="2:35" s="200" customFormat="1" ht="43.5" customHeight="1">
      <c r="B8" s="1175" t="s">
        <v>733</v>
      </c>
      <c r="D8" s="1176" t="s">
        <v>94</v>
      </c>
      <c r="E8" s="1177" t="s">
        <v>95</v>
      </c>
      <c r="F8" s="1177" t="s">
        <v>96</v>
      </c>
      <c r="G8" s="1177" t="s">
        <v>97</v>
      </c>
      <c r="H8" s="1177" t="s">
        <v>98</v>
      </c>
      <c r="I8" s="1177" t="s">
        <v>99</v>
      </c>
      <c r="J8" s="1177" t="s">
        <v>100</v>
      </c>
      <c r="K8" s="1178" t="s">
        <v>101</v>
      </c>
      <c r="L8" s="265"/>
      <c r="M8" s="1176" t="s">
        <v>73</v>
      </c>
      <c r="N8" s="1177" t="s">
        <v>102</v>
      </c>
      <c r="O8" s="1178" t="s">
        <v>72</v>
      </c>
      <c r="P8" s="1016"/>
      <c r="Q8" s="1179" t="s">
        <v>103</v>
      </c>
      <c r="R8" s="1016"/>
      <c r="S8" s="1176" t="s">
        <v>104</v>
      </c>
      <c r="T8" s="1177" t="s">
        <v>84</v>
      </c>
      <c r="U8" s="1177" t="s">
        <v>85</v>
      </c>
      <c r="V8" s="1177" t="s">
        <v>105</v>
      </c>
      <c r="W8" s="1177" t="s">
        <v>106</v>
      </c>
      <c r="X8" s="1017" t="s">
        <v>107</v>
      </c>
      <c r="Y8" s="1178" t="s">
        <v>3229</v>
      </c>
      <c r="AA8" s="562" t="s">
        <v>108</v>
      </c>
      <c r="AB8" s="454" t="s">
        <v>109</v>
      </c>
      <c r="AC8" s="454" t="s">
        <v>110</v>
      </c>
      <c r="AD8" s="1180"/>
    </row>
    <row r="9" spans="2:35" ht="14.85" customHeight="1">
      <c r="X9" s="203"/>
      <c r="Y9" s="203"/>
    </row>
    <row r="10" spans="2:35" ht="14.85" customHeight="1">
      <c r="B10" s="179" t="str">
        <f>'Comp.1'!B12</f>
        <v>Editas Medicine, Inc.</v>
      </c>
      <c r="D10" s="255">
        <f>'Beta Calc'!K10</f>
        <v>1705.3104800000001</v>
      </c>
      <c r="E10" s="255">
        <f>'Beta Calc'!L10</f>
        <v>33.19</v>
      </c>
      <c r="F10" s="255" t="str">
        <f>'Beta Calc'!M10</f>
        <v>n/a</v>
      </c>
      <c r="G10" s="255" t="str">
        <f>'Beta Calc'!N10</f>
        <v>n/a</v>
      </c>
      <c r="H10" s="255">
        <f>SUM(E10:G10)</f>
        <v>33.19</v>
      </c>
      <c r="I10" s="255">
        <f>SUM(D10:G10)</f>
        <v>1738.5004800000002</v>
      </c>
      <c r="J10" s="255">
        <f>'Beta Calc'!Q10</f>
        <v>358.82100000000003</v>
      </c>
      <c r="K10" s="255">
        <f>I10-J10</f>
        <v>1379.6794800000002</v>
      </c>
      <c r="M10" s="384">
        <f>IFERROR('Capital IQ Sheet-GPC'!AT13,"n/a")</f>
        <v>0</v>
      </c>
      <c r="N10" s="255" t="e">
        <f t="shared" ref="N10:O39" si="0">N$6</f>
        <v>#REF!</v>
      </c>
      <c r="O10" s="1181" t="e">
        <f t="shared" si="0"/>
        <v>#REF!</v>
      </c>
      <c r="P10" s="1162"/>
      <c r="Q10" s="1182" t="str">
        <f>IFERROR(HLOOKUP($Q$6,'Equity Vol'!$B$8:$K10,ROWS('Equity Vol'!$C$8:$C10),FALSE),"n/a")</f>
        <v>n/a</v>
      </c>
      <c r="R10" s="303"/>
      <c r="S10" s="1183" t="str">
        <f>IFERROR(IF(Q10="n/a","n/a",Q10^2),"n/a")</f>
        <v>n/a</v>
      </c>
      <c r="T10" s="1183" t="str">
        <f t="shared" ref="T10:T39" si="1">IF(OR(K10="n/a",S10="n/a"),"n/a",IF(H10=0,0,IF(M10=0,(LN(K10/H10)+((O10+(S10/2))*N10))/((S10*N10)^0.5),(LN(K10/H10)+((O10-M10+(S10/2))*N10))/((S10*N10)^0.5))))</f>
        <v>n/a</v>
      </c>
      <c r="U10" s="1184" t="str">
        <f t="shared" ref="U10:U39" si="2">IF(T10="n/a","n/a",IF(H10=0,0,T10-(S10*N10)^0.5))</f>
        <v>n/a</v>
      </c>
      <c r="V10" s="1184" t="str">
        <f t="shared" ref="V10:V39" si="3">IF(OR(T10="n/a",S10="n/a"),"n/a",IF(H10=0,0,NORMSDIST(T10)))</f>
        <v>n/a</v>
      </c>
      <c r="W10" s="1184" t="str">
        <f t="shared" ref="W10:W39" si="4">IF(OR(U10="n/a",S10="n/a"),"n/a",IF(H10=0,0,NORMSDIST(U10)))</f>
        <v>n/a</v>
      </c>
      <c r="X10" s="576" t="str">
        <f t="shared" ref="X10:X39" si="5">IF(OR(K10="n/a",S10="n/a"),"n/a",IF(M10=0,(K10*V10)-((H10*EXP(1)^(-O10*N10))*W10),(K10*(2.718^(-M10*N10))*V10)-(H10*(2.718^(-O10*N10))*W10)))</f>
        <v>n/a</v>
      </c>
      <c r="Y10" s="1182" t="str">
        <f>IFERROR(IF(LEN(B10)&gt;0,IF(H10=0,Q10,IF(ISERROR(Q10/((K10/X10)*V10)),"n/a",Q10/((K10/X10)*V10)))),"n/a")</f>
        <v>n/a</v>
      </c>
      <c r="AA10" s="932" t="str">
        <f>IF('MASTER PubCo Inputs'!B28=0,"",'MASTER PubCo Inputs'!B28)</f>
        <v>NasdaqGS:EDIT</v>
      </c>
      <c r="AB10" s="255">
        <f>'Beta Calc'!Z10</f>
        <v>1379.67948</v>
      </c>
      <c r="AC10" s="933">
        <f t="shared" ref="AC10:AC39" si="6">K10-AB10</f>
        <v>0</v>
      </c>
      <c r="AI10" s="934"/>
    </row>
    <row r="11" spans="2:35" ht="14.85" customHeight="1">
      <c r="B11" s="179" t="str">
        <f>'Comp.1'!B13</f>
        <v>Oxford BioMedica plc</v>
      </c>
      <c r="D11" s="255">
        <f>'Beta Calc'!K11</f>
        <v>655.68985999999995</v>
      </c>
      <c r="E11" s="255">
        <f>'Beta Calc'!L11</f>
        <v>49.826320000000003</v>
      </c>
      <c r="F11" s="255" t="str">
        <f>'Beta Calc'!M11</f>
        <v>n/a</v>
      </c>
      <c r="G11" s="255" t="str">
        <f>'Beta Calc'!N11</f>
        <v>n/a</v>
      </c>
      <c r="H11" s="255">
        <f t="shared" ref="H11:H39" si="7">SUM(E11:G11)</f>
        <v>49.826320000000003</v>
      </c>
      <c r="I11" s="255">
        <f t="shared" ref="I11:I39" si="8">SUM(D11:G11)</f>
        <v>705.51617999999996</v>
      </c>
      <c r="J11" s="255">
        <f>'Beta Calc'!Q11</f>
        <v>19.367439999999998</v>
      </c>
      <c r="K11" s="255">
        <f t="shared" ref="K11:K39" si="9">I11-J11</f>
        <v>686.14873999999998</v>
      </c>
      <c r="M11" s="384">
        <f>IFERROR('Capital IQ Sheet-GPC'!AT14,"n/a")</f>
        <v>0</v>
      </c>
      <c r="N11" s="255" t="e">
        <f t="shared" si="0"/>
        <v>#REF!</v>
      </c>
      <c r="O11" s="1181" t="e">
        <f t="shared" si="0"/>
        <v>#REF!</v>
      </c>
      <c r="P11" s="1162"/>
      <c r="Q11" s="1182" t="str">
        <f>IFERROR(HLOOKUP($Q$6,'Equity Vol'!$B$8:$K11,ROWS('Equity Vol'!$C$8:$C11),FALSE),"n/a")</f>
        <v>n/a</v>
      </c>
      <c r="R11" s="303"/>
      <c r="S11" s="1183" t="str">
        <f t="shared" ref="S11:S39" si="10">IFERROR(IF(Q11="n/a","n/a",Q11^2),"n/a")</f>
        <v>n/a</v>
      </c>
      <c r="T11" s="1183" t="str">
        <f t="shared" si="1"/>
        <v>n/a</v>
      </c>
      <c r="U11" s="1184" t="str">
        <f t="shared" si="2"/>
        <v>n/a</v>
      </c>
      <c r="V11" s="1184" t="str">
        <f t="shared" si="3"/>
        <v>n/a</v>
      </c>
      <c r="W11" s="1184" t="str">
        <f t="shared" si="4"/>
        <v>n/a</v>
      </c>
      <c r="X11" s="576" t="str">
        <f t="shared" si="5"/>
        <v>n/a</v>
      </c>
      <c r="Y11" s="1182" t="str">
        <f t="shared" ref="Y11:Y39" si="11">IFERROR(IF(LEN(B11)&gt;0,IF(H11=0,Q11,IF(ISERROR(Q11/((K11/X11)*V11)),"n/a",Q11/((K11/X11)*V11)))),"n/a")</f>
        <v>n/a</v>
      </c>
      <c r="AA11" s="932" t="str">
        <f>IF('MASTER PubCo Inputs'!B29=0,"",'MASTER PubCo Inputs'!B29)</f>
        <v>LSE:OXB</v>
      </c>
      <c r="AB11" s="255">
        <f>'Beta Calc'!Z11</f>
        <v>685.68294000000003</v>
      </c>
      <c r="AC11" s="933">
        <f t="shared" si="6"/>
        <v>0.4657999999999447</v>
      </c>
      <c r="AI11" s="934"/>
    </row>
    <row r="12" spans="2:35" ht="14.85" customHeight="1">
      <c r="B12" s="179" t="str">
        <f>'Comp.1'!B14</f>
        <v>Fennec Pharmaceuticals Inc.</v>
      </c>
      <c r="D12" s="255">
        <f>'Beta Calc'!K12</f>
        <v>205.66506000000001</v>
      </c>
      <c r="E12" s="255">
        <f>'Beta Calc'!L12</f>
        <v>0</v>
      </c>
      <c r="F12" s="255" t="str">
        <f>'Beta Calc'!M12</f>
        <v>n/a</v>
      </c>
      <c r="G12" s="255" t="str">
        <f>'Beta Calc'!N12</f>
        <v>n/a</v>
      </c>
      <c r="H12" s="255">
        <f t="shared" si="7"/>
        <v>0</v>
      </c>
      <c r="I12" s="255">
        <f t="shared" si="8"/>
        <v>205.66506000000001</v>
      </c>
      <c r="J12" s="255">
        <f>'Beta Calc'!Q12</f>
        <v>26.719000000000001</v>
      </c>
      <c r="K12" s="255">
        <f t="shared" si="9"/>
        <v>178.94606000000002</v>
      </c>
      <c r="M12" s="384">
        <f>IFERROR('Capital IQ Sheet-GPC'!AT15,"n/a")</f>
        <v>0</v>
      </c>
      <c r="N12" s="255" t="e">
        <f t="shared" si="0"/>
        <v>#REF!</v>
      </c>
      <c r="O12" s="1181" t="e">
        <f t="shared" si="0"/>
        <v>#REF!</v>
      </c>
      <c r="P12" s="1162"/>
      <c r="Q12" s="1182" t="str">
        <f>IFERROR(HLOOKUP($Q$6,'Equity Vol'!$B$8:$K12,ROWS('Equity Vol'!$C$8:$C12),FALSE),"n/a")</f>
        <v>n/a</v>
      </c>
      <c r="R12" s="303"/>
      <c r="S12" s="1183" t="str">
        <f t="shared" si="10"/>
        <v>n/a</v>
      </c>
      <c r="T12" s="1183" t="str">
        <f t="shared" si="1"/>
        <v>n/a</v>
      </c>
      <c r="U12" s="1184" t="str">
        <f t="shared" si="2"/>
        <v>n/a</v>
      </c>
      <c r="V12" s="1184" t="str">
        <f t="shared" si="3"/>
        <v>n/a</v>
      </c>
      <c r="W12" s="1184" t="str">
        <f t="shared" si="4"/>
        <v>n/a</v>
      </c>
      <c r="X12" s="576" t="str">
        <f t="shared" si="5"/>
        <v>n/a</v>
      </c>
      <c r="Y12" s="1182" t="str">
        <f t="shared" si="11"/>
        <v>n/a</v>
      </c>
      <c r="AA12" s="932" t="str">
        <f>IF('MASTER PubCo Inputs'!B30=0,"",'MASTER PubCo Inputs'!B30)</f>
        <v>NasdaqCM:FENC</v>
      </c>
      <c r="AB12" s="255">
        <f>'Beta Calc'!Z12</f>
        <v>178.94605999999999</v>
      </c>
      <c r="AC12" s="933">
        <f t="shared" si="6"/>
        <v>0</v>
      </c>
      <c r="AI12" s="934"/>
    </row>
    <row r="13" spans="2:35" ht="14.85" customHeight="1">
      <c r="B13" s="179" t="str">
        <f>'Comp.1'!B15</f>
        <v>ProQR Therapeutics N.V.</v>
      </c>
      <c r="D13" s="255">
        <f>'Beta Calc'!K13</f>
        <v>188.339</v>
      </c>
      <c r="E13" s="255">
        <f>'Beta Calc'!L13</f>
        <v>8.6983700000000006</v>
      </c>
      <c r="F13" s="255" t="str">
        <f>'Beta Calc'!M13</f>
        <v>n/a</v>
      </c>
      <c r="G13" s="255">
        <f>'Beta Calc'!N13</f>
        <v>-4.5629999999999997E-2</v>
      </c>
      <c r="H13" s="255">
        <f t="shared" si="7"/>
        <v>8.6527400000000014</v>
      </c>
      <c r="I13" s="255">
        <f t="shared" si="8"/>
        <v>196.99174000000002</v>
      </c>
      <c r="J13" s="255">
        <f>'Beta Calc'!Q13</f>
        <v>57.755760000000002</v>
      </c>
      <c r="K13" s="255">
        <f t="shared" si="9"/>
        <v>139.23598000000001</v>
      </c>
      <c r="M13" s="384">
        <f>IFERROR('Capital IQ Sheet-GPC'!AT16,"n/a")</f>
        <v>0</v>
      </c>
      <c r="N13" s="255" t="e">
        <f t="shared" si="0"/>
        <v>#REF!</v>
      </c>
      <c r="O13" s="1181" t="e">
        <f t="shared" si="0"/>
        <v>#REF!</v>
      </c>
      <c r="P13" s="1162"/>
      <c r="Q13" s="1182" t="str">
        <f>IFERROR(HLOOKUP($Q$6,'Equity Vol'!$B$8:$K13,ROWS('Equity Vol'!$C$8:$C13),FALSE),"n/a")</f>
        <v>n/a</v>
      </c>
      <c r="R13" s="303"/>
      <c r="S13" s="1183" t="str">
        <f t="shared" si="10"/>
        <v>n/a</v>
      </c>
      <c r="T13" s="1183" t="str">
        <f t="shared" si="1"/>
        <v>n/a</v>
      </c>
      <c r="U13" s="1184" t="str">
        <f t="shared" si="2"/>
        <v>n/a</v>
      </c>
      <c r="V13" s="1184" t="str">
        <f t="shared" si="3"/>
        <v>n/a</v>
      </c>
      <c r="W13" s="1184" t="str">
        <f t="shared" si="4"/>
        <v>n/a</v>
      </c>
      <c r="X13" s="576" t="str">
        <f t="shared" si="5"/>
        <v>n/a</v>
      </c>
      <c r="Y13" s="1182" t="str">
        <f t="shared" si="11"/>
        <v>n/a</v>
      </c>
      <c r="AA13" s="932" t="str">
        <f>IF('MASTER PubCo Inputs'!B31=0,"",'MASTER PubCo Inputs'!B31)</f>
        <v>NasdaqGM:PRQR</v>
      </c>
      <c r="AB13" s="255">
        <f>'Beta Calc'!Z13</f>
        <v>150.9237</v>
      </c>
      <c r="AC13" s="933">
        <f t="shared" si="6"/>
        <v>-11.687719999999985</v>
      </c>
      <c r="AI13" s="934"/>
    </row>
    <row r="14" spans="2:35" ht="14.85" customHeight="1">
      <c r="B14" s="179" t="str">
        <f>'Comp.1'!B16</f>
        <v>Genkyotex SA</v>
      </c>
      <c r="D14" s="255">
        <f>'Beta Calc'!K14</f>
        <v>138.52769000000001</v>
      </c>
      <c r="E14" s="255">
        <f>'Beta Calc'!L14</f>
        <v>0.48391000000000001</v>
      </c>
      <c r="F14" s="255" t="str">
        <f>'Beta Calc'!M14</f>
        <v>n/a</v>
      </c>
      <c r="G14" s="255" t="str">
        <f>'Beta Calc'!N14</f>
        <v>n/a</v>
      </c>
      <c r="H14" s="255">
        <f t="shared" si="7"/>
        <v>0.48391000000000001</v>
      </c>
      <c r="I14" s="255">
        <f t="shared" si="8"/>
        <v>139.01160000000002</v>
      </c>
      <c r="J14" s="255">
        <f>'Beta Calc'!Q14</f>
        <v>13.622719999999999</v>
      </c>
      <c r="K14" s="255">
        <f t="shared" si="9"/>
        <v>125.38888000000001</v>
      </c>
      <c r="M14" s="384">
        <f>IFERROR('Capital IQ Sheet-GPC'!AT17,"n/a")</f>
        <v>0</v>
      </c>
      <c r="N14" s="255" t="e">
        <f t="shared" si="0"/>
        <v>#REF!</v>
      </c>
      <c r="O14" s="1181" t="e">
        <f t="shared" si="0"/>
        <v>#REF!</v>
      </c>
      <c r="P14" s="1162"/>
      <c r="Q14" s="1182" t="str">
        <f>IFERROR(HLOOKUP($Q$6,'Equity Vol'!$B$8:$K14,ROWS('Equity Vol'!$C$8:$C14),FALSE),"n/a")</f>
        <v>n/a</v>
      </c>
      <c r="R14" s="303"/>
      <c r="S14" s="1183" t="str">
        <f t="shared" si="10"/>
        <v>n/a</v>
      </c>
      <c r="T14" s="1183" t="str">
        <f t="shared" si="1"/>
        <v>n/a</v>
      </c>
      <c r="U14" s="1184" t="str">
        <f t="shared" si="2"/>
        <v>n/a</v>
      </c>
      <c r="V14" s="1184" t="str">
        <f t="shared" si="3"/>
        <v>n/a</v>
      </c>
      <c r="W14" s="1184" t="str">
        <f t="shared" si="4"/>
        <v>n/a</v>
      </c>
      <c r="X14" s="576" t="str">
        <f t="shared" si="5"/>
        <v>n/a</v>
      </c>
      <c r="Y14" s="1182" t="str">
        <f t="shared" si="11"/>
        <v>n/a</v>
      </c>
      <c r="AA14" s="932" t="str">
        <f>IF('MASTER PubCo Inputs'!B32=0,"",'MASTER PubCo Inputs'!B32)</f>
        <v>ENXTPA:GKTX</v>
      </c>
      <c r="AB14" s="255">
        <f>'Beta Calc'!Z14</f>
        <v>125.77329</v>
      </c>
      <c r="AC14" s="933">
        <f t="shared" si="6"/>
        <v>-0.38440999999998837</v>
      </c>
      <c r="AI14" s="934"/>
    </row>
    <row r="15" spans="2:35" ht="14.85" customHeight="1">
      <c r="B15" s="179" t="str">
        <f>'Comp.1'!B17</f>
        <v>Novus Therapeutics, Inc.</v>
      </c>
      <c r="D15" s="255">
        <f>'Beta Calc'!K15</f>
        <v>74.033280000000005</v>
      </c>
      <c r="E15" s="255">
        <f>'Beta Calc'!L15</f>
        <v>0</v>
      </c>
      <c r="F15" s="255" t="str">
        <f>'Beta Calc'!M15</f>
        <v>n/a</v>
      </c>
      <c r="G15" s="255" t="str">
        <f>'Beta Calc'!N15</f>
        <v>n/a</v>
      </c>
      <c r="H15" s="255">
        <f t="shared" si="7"/>
        <v>0</v>
      </c>
      <c r="I15" s="255">
        <f t="shared" si="8"/>
        <v>74.033280000000005</v>
      </c>
      <c r="J15" s="255">
        <f>'Beta Calc'!Q15</f>
        <v>22.523</v>
      </c>
      <c r="K15" s="255">
        <f t="shared" si="9"/>
        <v>51.510280000000009</v>
      </c>
      <c r="M15" s="384">
        <f>IFERROR('Capital IQ Sheet-GPC'!AT18,"n/a")</f>
        <v>0</v>
      </c>
      <c r="N15" s="255" t="e">
        <f t="shared" si="0"/>
        <v>#REF!</v>
      </c>
      <c r="O15" s="1181" t="e">
        <f t="shared" si="0"/>
        <v>#REF!</v>
      </c>
      <c r="P15" s="1162"/>
      <c r="Q15" s="1182" t="str">
        <f>IFERROR(HLOOKUP($Q$6,'Equity Vol'!$B$8:$K18,ROWS('Equity Vol'!$C$8:$C18),FALSE),"n/a")</f>
        <v>n/a</v>
      </c>
      <c r="R15" s="303"/>
      <c r="S15" s="1183" t="str">
        <f t="shared" si="10"/>
        <v>n/a</v>
      </c>
      <c r="T15" s="1183" t="str">
        <f t="shared" si="1"/>
        <v>n/a</v>
      </c>
      <c r="U15" s="1184" t="str">
        <f t="shared" si="2"/>
        <v>n/a</v>
      </c>
      <c r="V15" s="1184" t="str">
        <f t="shared" si="3"/>
        <v>n/a</v>
      </c>
      <c r="W15" s="1184" t="str">
        <f t="shared" si="4"/>
        <v>n/a</v>
      </c>
      <c r="X15" s="576" t="str">
        <f t="shared" si="5"/>
        <v>n/a</v>
      </c>
      <c r="Y15" s="1182" t="str">
        <f t="shared" si="11"/>
        <v>n/a</v>
      </c>
      <c r="AA15" s="932" t="str">
        <f>IF('MASTER PubCo Inputs'!B33=0,"",'MASTER PubCo Inputs'!B33)</f>
        <v>NasdaqCM:NVUS</v>
      </c>
      <c r="AB15" s="255">
        <f>'Beta Calc'!Z15</f>
        <v>51.510280000000002</v>
      </c>
      <c r="AC15" s="933">
        <f t="shared" si="6"/>
        <v>0</v>
      </c>
      <c r="AI15" s="934"/>
    </row>
    <row r="16" spans="2:35" ht="14.85" customHeight="1">
      <c r="B16" s="179" t="str">
        <f>'Comp.1'!B18</f>
        <v>Sensorion SA</v>
      </c>
      <c r="D16" s="255">
        <f>'Beta Calc'!K16</f>
        <v>37.159999999999997</v>
      </c>
      <c r="E16" s="255">
        <f>'Beta Calc'!L16</f>
        <v>2.6891699999999998</v>
      </c>
      <c r="F16" s="255">
        <f>'Beta Calc'!M16</f>
        <v>0</v>
      </c>
      <c r="G16" s="255">
        <f>'Beta Calc'!N16</f>
        <v>0</v>
      </c>
      <c r="H16" s="255">
        <f t="shared" si="7"/>
        <v>2.6891699999999998</v>
      </c>
      <c r="I16" s="255">
        <f t="shared" si="8"/>
        <v>39.849169999999994</v>
      </c>
      <c r="J16" s="255">
        <f>'Beta Calc'!Q16</f>
        <v>9.1175599999999992</v>
      </c>
      <c r="K16" s="255">
        <f t="shared" si="9"/>
        <v>30.731609999999996</v>
      </c>
      <c r="M16" s="384">
        <f>IFERROR('Capital IQ Sheet-GPC'!AT19,"n/a")</f>
        <v>0</v>
      </c>
      <c r="N16" s="255" t="e">
        <f t="shared" si="0"/>
        <v>#REF!</v>
      </c>
      <c r="O16" s="1181" t="e">
        <f t="shared" si="0"/>
        <v>#REF!</v>
      </c>
      <c r="P16" s="1162"/>
      <c r="Q16" s="1182" t="str">
        <f>IFERROR(HLOOKUP($Q$6,'Equity Vol'!$B$8:$K18,ROWS('Equity Vol'!$C$8:$C18),FALSE),"n/a")</f>
        <v>n/a</v>
      </c>
      <c r="R16" s="303"/>
      <c r="S16" s="1183" t="str">
        <f t="shared" si="10"/>
        <v>n/a</v>
      </c>
      <c r="T16" s="1183" t="str">
        <f t="shared" si="1"/>
        <v>n/a</v>
      </c>
      <c r="U16" s="1184" t="str">
        <f t="shared" si="2"/>
        <v>n/a</v>
      </c>
      <c r="V16" s="1184" t="str">
        <f t="shared" si="3"/>
        <v>n/a</v>
      </c>
      <c r="W16" s="1184" t="str">
        <f t="shared" si="4"/>
        <v>n/a</v>
      </c>
      <c r="X16" s="576" t="str">
        <f t="shared" si="5"/>
        <v>n/a</v>
      </c>
      <c r="Y16" s="1182" t="str">
        <f t="shared" si="11"/>
        <v>n/a</v>
      </c>
      <c r="AA16" s="932" t="str">
        <f>IF('MASTER PubCo Inputs'!B34=0,"",'MASTER PubCo Inputs'!B34)</f>
        <v>ENXTPA:ALSEN</v>
      </c>
      <c r="AB16" s="255">
        <f>'Beta Calc'!Z16</f>
        <v>30.919689999999999</v>
      </c>
      <c r="AC16" s="933">
        <f t="shared" si="6"/>
        <v>-0.18808000000000291</v>
      </c>
      <c r="AI16" s="934"/>
    </row>
    <row r="17" spans="2:35" ht="14.85" customHeight="1">
      <c r="B17" s="179" t="str">
        <f>'Comp.1'!B19</f>
        <v>Otonomy, Inc.</v>
      </c>
      <c r="D17" s="255">
        <f>'Beta Calc'!K17</f>
        <v>136.06998999999999</v>
      </c>
      <c r="E17" s="255">
        <f>'Beta Calc'!L17</f>
        <v>0</v>
      </c>
      <c r="F17" s="255">
        <f>'Beta Calc'!M17</f>
        <v>0</v>
      </c>
      <c r="G17" s="255">
        <f>'Beta Calc'!N17</f>
        <v>0</v>
      </c>
      <c r="H17" s="255">
        <f t="shared" si="7"/>
        <v>0</v>
      </c>
      <c r="I17" s="255">
        <f t="shared" si="8"/>
        <v>136.06998999999999</v>
      </c>
      <c r="J17" s="255">
        <f>'Beta Calc'!Q17</f>
        <v>110.224</v>
      </c>
      <c r="K17" s="255">
        <f t="shared" si="9"/>
        <v>25.845989999999986</v>
      </c>
      <c r="M17" s="384">
        <f>IFERROR('Capital IQ Sheet-GPC'!AT20,"n/a")</f>
        <v>0</v>
      </c>
      <c r="N17" s="255" t="e">
        <f t="shared" si="0"/>
        <v>#REF!</v>
      </c>
      <c r="O17" s="1181" t="e">
        <f t="shared" si="0"/>
        <v>#REF!</v>
      </c>
      <c r="P17" s="1162"/>
      <c r="Q17" s="1182" t="str">
        <f>IFERROR(HLOOKUP($Q$6,'Equity Vol'!$B$8:$K18,ROWS('Equity Vol'!$C$8:$C18),FALSE),"n/a")</f>
        <v>n/a</v>
      </c>
      <c r="R17" s="303"/>
      <c r="S17" s="1183" t="str">
        <f t="shared" si="10"/>
        <v>n/a</v>
      </c>
      <c r="T17" s="1183" t="str">
        <f t="shared" si="1"/>
        <v>n/a</v>
      </c>
      <c r="U17" s="1184" t="str">
        <f t="shared" si="2"/>
        <v>n/a</v>
      </c>
      <c r="V17" s="1184" t="str">
        <f t="shared" si="3"/>
        <v>n/a</v>
      </c>
      <c r="W17" s="1184" t="str">
        <f t="shared" si="4"/>
        <v>n/a</v>
      </c>
      <c r="X17" s="576" t="str">
        <f t="shared" si="5"/>
        <v>n/a</v>
      </c>
      <c r="Y17" s="1182" t="str">
        <f t="shared" si="11"/>
        <v>n/a</v>
      </c>
      <c r="AA17" s="932" t="str">
        <f>IF('MASTER PubCo Inputs'!B35=0,"",'MASTER PubCo Inputs'!B35)</f>
        <v>NasdaqGS:OTIC</v>
      </c>
      <c r="AB17" s="255">
        <f>'Beta Calc'!Z17</f>
        <v>25.84599</v>
      </c>
      <c r="AC17" s="933">
        <f t="shared" si="6"/>
        <v>0</v>
      </c>
      <c r="AI17" s="934"/>
    </row>
    <row r="18" spans="2:35" ht="14.85" customHeight="1">
      <c r="B18" s="179" t="str">
        <f>'Comp.1'!B20</f>
        <v>Auris Medical Holding AG</v>
      </c>
      <c r="D18" s="255">
        <f>'Beta Calc'!K18</f>
        <v>7.2796900000000004</v>
      </c>
      <c r="E18" s="255">
        <f>'Beta Calc'!L18</f>
        <v>9.06297</v>
      </c>
      <c r="F18" s="255">
        <f>'Beta Calc'!M18</f>
        <v>0</v>
      </c>
      <c r="G18" s="255">
        <f>'Beta Calc'!N18</f>
        <v>0</v>
      </c>
      <c r="H18" s="255">
        <f t="shared" si="7"/>
        <v>9.06297</v>
      </c>
      <c r="I18" s="255">
        <f t="shared" si="8"/>
        <v>16.342660000000002</v>
      </c>
      <c r="J18" s="255">
        <f>'Beta Calc'!Q18</f>
        <v>13.2705</v>
      </c>
      <c r="K18" s="255">
        <f t="shared" si="9"/>
        <v>3.072160000000002</v>
      </c>
      <c r="M18" s="384">
        <f>IFERROR('Capital IQ Sheet-GPC'!AT21,"n/a")</f>
        <v>0</v>
      </c>
      <c r="N18" s="255" t="e">
        <f t="shared" si="0"/>
        <v>#REF!</v>
      </c>
      <c r="O18" s="1181" t="e">
        <f t="shared" si="0"/>
        <v>#REF!</v>
      </c>
      <c r="P18" s="1162"/>
      <c r="Q18" s="1182" t="str">
        <f>IFERROR(HLOOKUP($Q$6,'Equity Vol'!$B$8:$K18,ROWS('Equity Vol'!$C$8:$C18),FALSE),"n/a")</f>
        <v>n/a</v>
      </c>
      <c r="R18" s="303"/>
      <c r="S18" s="1183" t="str">
        <f t="shared" si="10"/>
        <v>n/a</v>
      </c>
      <c r="T18" s="1183" t="str">
        <f t="shared" si="1"/>
        <v>n/a</v>
      </c>
      <c r="U18" s="1184" t="str">
        <f t="shared" si="2"/>
        <v>n/a</v>
      </c>
      <c r="V18" s="1184" t="str">
        <f t="shared" si="3"/>
        <v>n/a</v>
      </c>
      <c r="W18" s="1184" t="str">
        <f t="shared" si="4"/>
        <v>n/a</v>
      </c>
      <c r="X18" s="576" t="str">
        <f t="shared" si="5"/>
        <v>n/a</v>
      </c>
      <c r="Y18" s="1182" t="str">
        <f t="shared" si="11"/>
        <v>n/a</v>
      </c>
      <c r="AA18" s="932" t="str">
        <f>IF('MASTER PubCo Inputs'!B36=0,"",'MASTER PubCo Inputs'!B36)</f>
        <v>NasdaqCM:EARS</v>
      </c>
      <c r="AB18" s="255">
        <f>'Beta Calc'!Z18</f>
        <v>3.0721500000000002</v>
      </c>
      <c r="AC18" s="933">
        <f t="shared" si="6"/>
        <v>1.0000000001841869E-5</v>
      </c>
      <c r="AI18" s="934"/>
    </row>
    <row r="19" spans="2:35" ht="14.85" customHeight="1">
      <c r="B19" s="179" t="str">
        <f>'Comp.1'!B21</f>
        <v>(Invalid Identifier)</v>
      </c>
      <c r="D19" s="255" t="str">
        <f>'Beta Calc'!K19</f>
        <v>(Invalid Identifier)</v>
      </c>
      <c r="E19" s="255" t="str">
        <f>'Beta Calc'!L19</f>
        <v>(Invalid Identifier)</v>
      </c>
      <c r="F19" s="255" t="str">
        <f>'Beta Calc'!M19</f>
        <v>(Invalid Identifier)</v>
      </c>
      <c r="G19" s="255" t="str">
        <f>'Beta Calc'!N19</f>
        <v>(Invalid Identifier)</v>
      </c>
      <c r="H19" s="255">
        <f t="shared" si="7"/>
        <v>0</v>
      </c>
      <c r="I19" s="255">
        <f t="shared" si="8"/>
        <v>0</v>
      </c>
      <c r="J19" s="255" t="str">
        <f>'Beta Calc'!Q19</f>
        <v>(Invalid Identifier)</v>
      </c>
      <c r="K19" s="255" t="e">
        <f t="shared" si="9"/>
        <v>#VALUE!</v>
      </c>
      <c r="M19" s="384" t="str">
        <f>IFERROR('Capital IQ Sheet-GPC'!AT22,"n/a")</f>
        <v>n/a</v>
      </c>
      <c r="N19" s="255" t="e">
        <f t="shared" si="0"/>
        <v>#REF!</v>
      </c>
      <c r="O19" s="1181" t="e">
        <f t="shared" si="0"/>
        <v>#REF!</v>
      </c>
      <c r="P19" s="1162"/>
      <c r="Q19" s="1182" t="str">
        <f>IFERROR(HLOOKUP($Q$6,'Equity Vol'!$B$8:$K18,ROWS('Equity Vol'!$C$8:$C18),FALSE),"n/a")</f>
        <v>n/a</v>
      </c>
      <c r="R19" s="303"/>
      <c r="S19" s="1183" t="str">
        <f t="shared" si="10"/>
        <v>n/a</v>
      </c>
      <c r="T19" s="1183" t="e">
        <f t="shared" si="1"/>
        <v>#VALUE!</v>
      </c>
      <c r="U19" s="1184" t="e">
        <f t="shared" si="2"/>
        <v>#VALUE!</v>
      </c>
      <c r="V19" s="1184" t="e">
        <f t="shared" si="3"/>
        <v>#VALUE!</v>
      </c>
      <c r="W19" s="1184" t="e">
        <f t="shared" si="4"/>
        <v>#VALUE!</v>
      </c>
      <c r="X19" s="576" t="e">
        <f t="shared" si="5"/>
        <v>#VALUE!</v>
      </c>
      <c r="Y19" s="1182" t="str">
        <f t="shared" si="11"/>
        <v>n/a</v>
      </c>
      <c r="AA19" s="932" t="str">
        <f>IF('MASTER PubCo Inputs'!B37=0,"",'MASTER PubCo Inputs'!B37)</f>
        <v>(Invalid Identifier)</v>
      </c>
      <c r="AB19" s="255" t="str">
        <f>'Beta Calc'!Z19</f>
        <v>(Invalid Identifier)</v>
      </c>
      <c r="AC19" s="933" t="e">
        <f t="shared" si="6"/>
        <v>#VALUE!</v>
      </c>
      <c r="AI19" s="934"/>
    </row>
    <row r="20" spans="2:35" ht="14.85" customHeight="1">
      <c r="B20" s="179" t="str">
        <f>'Comp.1'!B22</f>
        <v>(Invalid Identifier)</v>
      </c>
      <c r="D20" s="255" t="str">
        <f>'Beta Calc'!K20</f>
        <v>(Invalid Identifier)</v>
      </c>
      <c r="E20" s="255" t="str">
        <f>'Beta Calc'!L20</f>
        <v>(Invalid Identifier)</v>
      </c>
      <c r="F20" s="255" t="str">
        <f>'Beta Calc'!M20</f>
        <v>(Invalid Identifier)</v>
      </c>
      <c r="G20" s="255" t="str">
        <f>'Beta Calc'!N20</f>
        <v>(Invalid Identifier)</v>
      </c>
      <c r="H20" s="255">
        <f t="shared" si="7"/>
        <v>0</v>
      </c>
      <c r="I20" s="255">
        <f t="shared" si="8"/>
        <v>0</v>
      </c>
      <c r="J20" s="255" t="str">
        <f>'Beta Calc'!Q20</f>
        <v>(Invalid Identifier)</v>
      </c>
      <c r="K20" s="255" t="e">
        <f t="shared" si="9"/>
        <v>#VALUE!</v>
      </c>
      <c r="M20" s="384" t="str">
        <f>IFERROR('Capital IQ Sheet-GPC'!AT23,"n/a")</f>
        <v>n/a</v>
      </c>
      <c r="N20" s="255" t="e">
        <f t="shared" si="0"/>
        <v>#REF!</v>
      </c>
      <c r="O20" s="1181" t="e">
        <f t="shared" si="0"/>
        <v>#REF!</v>
      </c>
      <c r="P20" s="1162"/>
      <c r="Q20" s="1182" t="str">
        <f>IFERROR(HLOOKUP($Q$6,'Equity Vol'!$B$8:$K18,ROWS('Equity Vol'!$C$8:$C18),FALSE),"n/a")</f>
        <v>n/a</v>
      </c>
      <c r="R20" s="303"/>
      <c r="S20" s="1183" t="str">
        <f t="shared" si="10"/>
        <v>n/a</v>
      </c>
      <c r="T20" s="1183" t="e">
        <f t="shared" si="1"/>
        <v>#VALUE!</v>
      </c>
      <c r="U20" s="1184" t="e">
        <f t="shared" si="2"/>
        <v>#VALUE!</v>
      </c>
      <c r="V20" s="1184" t="e">
        <f t="shared" si="3"/>
        <v>#VALUE!</v>
      </c>
      <c r="W20" s="1184" t="e">
        <f t="shared" si="4"/>
        <v>#VALUE!</v>
      </c>
      <c r="X20" s="576" t="e">
        <f t="shared" si="5"/>
        <v>#VALUE!</v>
      </c>
      <c r="Y20" s="1182" t="str">
        <f t="shared" si="11"/>
        <v>n/a</v>
      </c>
      <c r="AA20" s="932" t="str">
        <f>IF('MASTER PubCo Inputs'!B38=0,"",'MASTER PubCo Inputs'!B38)</f>
        <v>(Invalid Identifier)</v>
      </c>
      <c r="AB20" s="255" t="str">
        <f>'Beta Calc'!Z20</f>
        <v>(Invalid Identifier)</v>
      </c>
      <c r="AC20" s="933" t="e">
        <f t="shared" si="6"/>
        <v>#VALUE!</v>
      </c>
      <c r="AI20" s="934"/>
    </row>
    <row r="21" spans="2:35" ht="14.85" customHeight="1">
      <c r="B21" s="179" t="str">
        <f>'Comp.1'!B23</f>
        <v>(Invalid Identifier)</v>
      </c>
      <c r="D21" s="255" t="str">
        <f>'Beta Calc'!K21</f>
        <v>(Invalid Identifier)</v>
      </c>
      <c r="E21" s="255" t="str">
        <f>'Beta Calc'!L21</f>
        <v>(Invalid Identifier)</v>
      </c>
      <c r="F21" s="255" t="str">
        <f>'Beta Calc'!M21</f>
        <v>(Invalid Identifier)</v>
      </c>
      <c r="G21" s="255" t="str">
        <f>'Beta Calc'!N21</f>
        <v>(Invalid Identifier)</v>
      </c>
      <c r="H21" s="255">
        <f t="shared" si="7"/>
        <v>0</v>
      </c>
      <c r="I21" s="255">
        <f t="shared" si="8"/>
        <v>0</v>
      </c>
      <c r="J21" s="255" t="str">
        <f>'Beta Calc'!Q21</f>
        <v>(Invalid Identifier)</v>
      </c>
      <c r="K21" s="255" t="e">
        <f t="shared" si="9"/>
        <v>#VALUE!</v>
      </c>
      <c r="M21" s="384" t="str">
        <f>IFERROR('Capital IQ Sheet-GPC'!AT24,"n/a")</f>
        <v>n/a</v>
      </c>
      <c r="N21" s="255" t="e">
        <f t="shared" si="0"/>
        <v>#REF!</v>
      </c>
      <c r="O21" s="1181" t="e">
        <f t="shared" si="0"/>
        <v>#REF!</v>
      </c>
      <c r="P21" s="1162"/>
      <c r="Q21" s="1182" t="str">
        <f>IFERROR(HLOOKUP($Q$6,'Equity Vol'!$B$8:$K18,ROWS('Equity Vol'!$C$8:$C18),FALSE),"n/a")</f>
        <v>n/a</v>
      </c>
      <c r="R21" s="303"/>
      <c r="S21" s="1183" t="str">
        <f t="shared" si="10"/>
        <v>n/a</v>
      </c>
      <c r="T21" s="1183" t="e">
        <f t="shared" si="1"/>
        <v>#VALUE!</v>
      </c>
      <c r="U21" s="1184" t="e">
        <f t="shared" si="2"/>
        <v>#VALUE!</v>
      </c>
      <c r="V21" s="1184" t="e">
        <f t="shared" si="3"/>
        <v>#VALUE!</v>
      </c>
      <c r="W21" s="1184" t="e">
        <f t="shared" si="4"/>
        <v>#VALUE!</v>
      </c>
      <c r="X21" s="576" t="e">
        <f t="shared" si="5"/>
        <v>#VALUE!</v>
      </c>
      <c r="Y21" s="1182" t="str">
        <f t="shared" si="11"/>
        <v>n/a</v>
      </c>
      <c r="AA21" s="932" t="str">
        <f>IF('MASTER PubCo Inputs'!B39=0,"",'MASTER PubCo Inputs'!B39)</f>
        <v>(Invalid Identifier)</v>
      </c>
      <c r="AB21" s="255" t="str">
        <f>'Beta Calc'!Z21</f>
        <v>(Invalid Identifier)</v>
      </c>
      <c r="AC21" s="933" t="e">
        <f t="shared" si="6"/>
        <v>#VALUE!</v>
      </c>
      <c r="AI21" s="934"/>
    </row>
    <row r="22" spans="2:35" ht="14.85" customHeight="1">
      <c r="B22" s="179" t="str">
        <f>'Comp.1'!B24</f>
        <v>(Invalid Identifier)</v>
      </c>
      <c r="D22" s="255" t="str">
        <f>'Beta Calc'!K22</f>
        <v>(Invalid Identifier)</v>
      </c>
      <c r="E22" s="255" t="str">
        <f>'Beta Calc'!L22</f>
        <v>(Invalid Identifier)</v>
      </c>
      <c r="F22" s="255" t="str">
        <f>'Beta Calc'!M22</f>
        <v>(Invalid Identifier)</v>
      </c>
      <c r="G22" s="255" t="str">
        <f>'Beta Calc'!N22</f>
        <v>(Invalid Identifier)</v>
      </c>
      <c r="H22" s="255">
        <f t="shared" si="7"/>
        <v>0</v>
      </c>
      <c r="I22" s="255">
        <f t="shared" si="8"/>
        <v>0</v>
      </c>
      <c r="J22" s="255" t="str">
        <f>'Beta Calc'!Q22</f>
        <v>(Invalid Identifier)</v>
      </c>
      <c r="K22" s="255" t="e">
        <f t="shared" si="9"/>
        <v>#VALUE!</v>
      </c>
      <c r="M22" s="384" t="str">
        <f>IFERROR('Capital IQ Sheet-GPC'!AT25,"n/a")</f>
        <v>n/a</v>
      </c>
      <c r="N22" s="255" t="e">
        <f t="shared" si="0"/>
        <v>#REF!</v>
      </c>
      <c r="O22" s="1181" t="e">
        <f t="shared" si="0"/>
        <v>#REF!</v>
      </c>
      <c r="P22" s="1162"/>
      <c r="Q22" s="1182" t="str">
        <f>IFERROR(HLOOKUP($Q$6,'Equity Vol'!$B$8:$K18,ROWS('Equity Vol'!$C$8:$C18),FALSE),"n/a")</f>
        <v>n/a</v>
      </c>
      <c r="R22" s="303"/>
      <c r="S22" s="1183" t="str">
        <f t="shared" si="10"/>
        <v>n/a</v>
      </c>
      <c r="T22" s="1183" t="e">
        <f t="shared" si="1"/>
        <v>#VALUE!</v>
      </c>
      <c r="U22" s="1184" t="e">
        <f t="shared" si="2"/>
        <v>#VALUE!</v>
      </c>
      <c r="V22" s="1184" t="e">
        <f t="shared" si="3"/>
        <v>#VALUE!</v>
      </c>
      <c r="W22" s="1184" t="e">
        <f t="shared" si="4"/>
        <v>#VALUE!</v>
      </c>
      <c r="X22" s="576" t="e">
        <f t="shared" si="5"/>
        <v>#VALUE!</v>
      </c>
      <c r="Y22" s="1182" t="str">
        <f t="shared" si="11"/>
        <v>n/a</v>
      </c>
      <c r="AA22" s="932" t="str">
        <f>IF('MASTER PubCo Inputs'!B40=0,"",'MASTER PubCo Inputs'!B40)</f>
        <v>(Invalid Identifier)</v>
      </c>
      <c r="AB22" s="255" t="str">
        <f>'Beta Calc'!Z22</f>
        <v>(Invalid Identifier)</v>
      </c>
      <c r="AC22" s="933" t="e">
        <f t="shared" si="6"/>
        <v>#VALUE!</v>
      </c>
      <c r="AI22" s="934"/>
    </row>
    <row r="23" spans="2:35" ht="14.85" customHeight="1">
      <c r="B23" s="179" t="str">
        <f>'Comp.1'!B25</f>
        <v>(Invalid Identifier)</v>
      </c>
      <c r="D23" s="255" t="str">
        <f>'Beta Calc'!K23</f>
        <v>(Invalid Identifier)</v>
      </c>
      <c r="E23" s="255" t="str">
        <f>'Beta Calc'!L23</f>
        <v>(Invalid Identifier)</v>
      </c>
      <c r="F23" s="255" t="str">
        <f>'Beta Calc'!M23</f>
        <v>(Invalid Identifier)</v>
      </c>
      <c r="G23" s="255" t="str">
        <f>'Beta Calc'!N23</f>
        <v>(Invalid Identifier)</v>
      </c>
      <c r="H23" s="255">
        <f t="shared" si="7"/>
        <v>0</v>
      </c>
      <c r="I23" s="255">
        <f t="shared" si="8"/>
        <v>0</v>
      </c>
      <c r="J23" s="255" t="str">
        <f>'Beta Calc'!Q23</f>
        <v>(Invalid Identifier)</v>
      </c>
      <c r="K23" s="255" t="e">
        <f t="shared" si="9"/>
        <v>#VALUE!</v>
      </c>
      <c r="M23" s="384" t="str">
        <f>IFERROR('Capital IQ Sheet-GPC'!AT26,"n/a")</f>
        <v>n/a</v>
      </c>
      <c r="N23" s="255" t="e">
        <f t="shared" si="0"/>
        <v>#REF!</v>
      </c>
      <c r="O23" s="1181" t="e">
        <f t="shared" si="0"/>
        <v>#REF!</v>
      </c>
      <c r="P23" s="1162"/>
      <c r="Q23" s="1182" t="str">
        <f>IFERROR(HLOOKUP($Q$6,'Equity Vol'!$B$8:$K18,ROWS('Equity Vol'!$C$8:$C18),FALSE),"n/a")</f>
        <v>n/a</v>
      </c>
      <c r="R23" s="303"/>
      <c r="S23" s="1183" t="str">
        <f t="shared" si="10"/>
        <v>n/a</v>
      </c>
      <c r="T23" s="1183" t="e">
        <f t="shared" si="1"/>
        <v>#VALUE!</v>
      </c>
      <c r="U23" s="1184" t="e">
        <f t="shared" si="2"/>
        <v>#VALUE!</v>
      </c>
      <c r="V23" s="1184" t="e">
        <f t="shared" si="3"/>
        <v>#VALUE!</v>
      </c>
      <c r="W23" s="1184" t="e">
        <f t="shared" si="4"/>
        <v>#VALUE!</v>
      </c>
      <c r="X23" s="576" t="e">
        <f t="shared" si="5"/>
        <v>#VALUE!</v>
      </c>
      <c r="Y23" s="1182" t="str">
        <f t="shared" si="11"/>
        <v>n/a</v>
      </c>
      <c r="AA23" s="932" t="str">
        <f>IF('MASTER PubCo Inputs'!B41=0,"",'MASTER PubCo Inputs'!B41)</f>
        <v>(Invalid Identifier)</v>
      </c>
      <c r="AB23" s="255" t="str">
        <f>'Beta Calc'!Z23</f>
        <v>(Invalid Identifier)</v>
      </c>
      <c r="AC23" s="933" t="e">
        <f t="shared" si="6"/>
        <v>#VALUE!</v>
      </c>
      <c r="AI23" s="934"/>
    </row>
    <row r="24" spans="2:35" ht="14.85" customHeight="1">
      <c r="B24" s="179" t="str">
        <f>'Comp.1'!B26</f>
        <v>(Invalid Identifier)</v>
      </c>
      <c r="D24" s="255" t="str">
        <f>'Beta Calc'!K24</f>
        <v>(Invalid Identifier)</v>
      </c>
      <c r="E24" s="255" t="str">
        <f>'Beta Calc'!L24</f>
        <v>(Invalid Identifier)</v>
      </c>
      <c r="F24" s="255" t="str">
        <f>'Beta Calc'!M24</f>
        <v>(Invalid Identifier)</v>
      </c>
      <c r="G24" s="255" t="str">
        <f>'Beta Calc'!N24</f>
        <v>(Invalid Identifier)</v>
      </c>
      <c r="H24" s="255">
        <f t="shared" si="7"/>
        <v>0</v>
      </c>
      <c r="I24" s="255">
        <f t="shared" si="8"/>
        <v>0</v>
      </c>
      <c r="J24" s="255" t="str">
        <f>'Beta Calc'!Q24</f>
        <v>(Invalid Identifier)</v>
      </c>
      <c r="K24" s="255" t="e">
        <f t="shared" si="9"/>
        <v>#VALUE!</v>
      </c>
      <c r="M24" s="384" t="str">
        <f>IFERROR('Capital IQ Sheet-GPC'!AT27,"n/a")</f>
        <v>n/a</v>
      </c>
      <c r="N24" s="255" t="e">
        <f t="shared" si="0"/>
        <v>#REF!</v>
      </c>
      <c r="O24" s="1181" t="e">
        <f t="shared" si="0"/>
        <v>#REF!</v>
      </c>
      <c r="P24" s="1162"/>
      <c r="Q24" s="1182" t="str">
        <f>IFERROR(HLOOKUP($Q$6,'Equity Vol'!$B$8:$K18,ROWS('Equity Vol'!$C$8:$C18),FALSE),"n/a")</f>
        <v>n/a</v>
      </c>
      <c r="R24" s="303"/>
      <c r="S24" s="1183" t="str">
        <f t="shared" si="10"/>
        <v>n/a</v>
      </c>
      <c r="T24" s="1183" t="e">
        <f t="shared" si="1"/>
        <v>#VALUE!</v>
      </c>
      <c r="U24" s="1184" t="e">
        <f t="shared" si="2"/>
        <v>#VALUE!</v>
      </c>
      <c r="V24" s="1184" t="e">
        <f t="shared" si="3"/>
        <v>#VALUE!</v>
      </c>
      <c r="W24" s="1184" t="e">
        <f t="shared" si="4"/>
        <v>#VALUE!</v>
      </c>
      <c r="X24" s="576" t="e">
        <f t="shared" si="5"/>
        <v>#VALUE!</v>
      </c>
      <c r="Y24" s="1182" t="str">
        <f t="shared" si="11"/>
        <v>n/a</v>
      </c>
      <c r="AA24" s="932" t="str">
        <f>IF('MASTER PubCo Inputs'!B42=0,"",'MASTER PubCo Inputs'!B42)</f>
        <v>(Invalid Identifier)</v>
      </c>
      <c r="AB24" s="255" t="str">
        <f>'Beta Calc'!Z24</f>
        <v>(Invalid Identifier)</v>
      </c>
      <c r="AC24" s="933" t="e">
        <f t="shared" si="6"/>
        <v>#VALUE!</v>
      </c>
      <c r="AI24" s="934"/>
    </row>
    <row r="25" spans="2:35" ht="14.85" customHeight="1">
      <c r="B25" s="179" t="str">
        <f>'Comp.1'!B27</f>
        <v>(Invalid Identifier)</v>
      </c>
      <c r="D25" s="255" t="str">
        <f>'Beta Calc'!K25</f>
        <v>(Invalid Identifier)</v>
      </c>
      <c r="E25" s="255" t="str">
        <f>'Beta Calc'!L25</f>
        <v>(Invalid Identifier)</v>
      </c>
      <c r="F25" s="255" t="str">
        <f>'Beta Calc'!M25</f>
        <v>(Invalid Identifier)</v>
      </c>
      <c r="G25" s="255" t="str">
        <f>'Beta Calc'!N25</f>
        <v>(Invalid Identifier)</v>
      </c>
      <c r="H25" s="255">
        <f t="shared" si="7"/>
        <v>0</v>
      </c>
      <c r="I25" s="255">
        <f t="shared" si="8"/>
        <v>0</v>
      </c>
      <c r="J25" s="255" t="str">
        <f>'Beta Calc'!Q25</f>
        <v>(Invalid Identifier)</v>
      </c>
      <c r="K25" s="255" t="e">
        <f t="shared" si="9"/>
        <v>#VALUE!</v>
      </c>
      <c r="M25" s="384" t="str">
        <f>IFERROR('Capital IQ Sheet-GPC'!AT28,"n/a")</f>
        <v>n/a</v>
      </c>
      <c r="N25" s="255" t="e">
        <f t="shared" si="0"/>
        <v>#REF!</v>
      </c>
      <c r="O25" s="1181" t="e">
        <f t="shared" si="0"/>
        <v>#REF!</v>
      </c>
      <c r="P25" s="1162"/>
      <c r="Q25" s="1182" t="str">
        <f>IFERROR(HLOOKUP($Q$6,'Equity Vol'!$B$8:$K18,ROWS('Equity Vol'!$C$8:$C18),FALSE),"n/a")</f>
        <v>n/a</v>
      </c>
      <c r="R25" s="303"/>
      <c r="S25" s="1183" t="str">
        <f t="shared" si="10"/>
        <v>n/a</v>
      </c>
      <c r="T25" s="1183" t="e">
        <f t="shared" si="1"/>
        <v>#VALUE!</v>
      </c>
      <c r="U25" s="1184" t="e">
        <f t="shared" si="2"/>
        <v>#VALUE!</v>
      </c>
      <c r="V25" s="1184" t="e">
        <f t="shared" si="3"/>
        <v>#VALUE!</v>
      </c>
      <c r="W25" s="1184" t="e">
        <f t="shared" si="4"/>
        <v>#VALUE!</v>
      </c>
      <c r="X25" s="576" t="e">
        <f t="shared" si="5"/>
        <v>#VALUE!</v>
      </c>
      <c r="Y25" s="1182" t="str">
        <f t="shared" si="11"/>
        <v>n/a</v>
      </c>
      <c r="AA25" s="932" t="str">
        <f>IF('MASTER PubCo Inputs'!B43=0,"",'MASTER PubCo Inputs'!B43)</f>
        <v>(Invalid Identifier)</v>
      </c>
      <c r="AB25" s="255" t="str">
        <f>'Beta Calc'!Z25</f>
        <v>(Invalid Identifier)</v>
      </c>
      <c r="AC25" s="933" t="e">
        <f t="shared" si="6"/>
        <v>#VALUE!</v>
      </c>
      <c r="AI25" s="934"/>
    </row>
    <row r="26" spans="2:35" ht="14.85" customHeight="1">
      <c r="B26" s="179" t="str">
        <f>'Comp.1'!B28</f>
        <v>(Invalid Identifier)</v>
      </c>
      <c r="D26" s="255" t="str">
        <f>'Beta Calc'!K26</f>
        <v>(Invalid Identifier)</v>
      </c>
      <c r="E26" s="255" t="str">
        <f>'Beta Calc'!L26</f>
        <v>(Invalid Identifier)</v>
      </c>
      <c r="F26" s="255" t="str">
        <f>'Beta Calc'!M26</f>
        <v>(Invalid Identifier)</v>
      </c>
      <c r="G26" s="255" t="str">
        <f>'Beta Calc'!N26</f>
        <v>(Invalid Identifier)</v>
      </c>
      <c r="H26" s="255">
        <f t="shared" si="7"/>
        <v>0</v>
      </c>
      <c r="I26" s="255">
        <f t="shared" si="8"/>
        <v>0</v>
      </c>
      <c r="J26" s="255" t="str">
        <f>'Beta Calc'!Q26</f>
        <v>(Invalid Identifier)</v>
      </c>
      <c r="K26" s="255" t="e">
        <f t="shared" si="9"/>
        <v>#VALUE!</v>
      </c>
      <c r="M26" s="384" t="str">
        <f>IFERROR('Capital IQ Sheet-GPC'!AT29,"n/a")</f>
        <v>n/a</v>
      </c>
      <c r="N26" s="255" t="e">
        <f t="shared" si="0"/>
        <v>#REF!</v>
      </c>
      <c r="O26" s="1181" t="e">
        <f t="shared" si="0"/>
        <v>#REF!</v>
      </c>
      <c r="P26" s="1162"/>
      <c r="Q26" s="1182" t="str">
        <f>IFERROR(HLOOKUP($Q$6,'Equity Vol'!$B$8:$K18,ROWS('Equity Vol'!$C$8:$C18),FALSE),"n/a")</f>
        <v>n/a</v>
      </c>
      <c r="R26" s="303"/>
      <c r="S26" s="1183" t="str">
        <f t="shared" si="10"/>
        <v>n/a</v>
      </c>
      <c r="T26" s="1183" t="e">
        <f t="shared" si="1"/>
        <v>#VALUE!</v>
      </c>
      <c r="U26" s="1184" t="e">
        <f t="shared" si="2"/>
        <v>#VALUE!</v>
      </c>
      <c r="V26" s="1184" t="e">
        <f t="shared" si="3"/>
        <v>#VALUE!</v>
      </c>
      <c r="W26" s="1184" t="e">
        <f t="shared" si="4"/>
        <v>#VALUE!</v>
      </c>
      <c r="X26" s="576" t="e">
        <f t="shared" si="5"/>
        <v>#VALUE!</v>
      </c>
      <c r="Y26" s="1182" t="str">
        <f t="shared" si="11"/>
        <v>n/a</v>
      </c>
      <c r="AA26" s="932" t="str">
        <f>IF('MASTER PubCo Inputs'!B44=0,"",'MASTER PubCo Inputs'!B44)</f>
        <v>(Invalid Identifier)</v>
      </c>
      <c r="AB26" s="255" t="str">
        <f>'Beta Calc'!Z26</f>
        <v>(Invalid Identifier)</v>
      </c>
      <c r="AC26" s="933" t="e">
        <f t="shared" si="6"/>
        <v>#VALUE!</v>
      </c>
      <c r="AI26" s="934"/>
    </row>
    <row r="27" spans="2:35" ht="14.85" customHeight="1">
      <c r="B27" s="179" t="str">
        <f>'Comp.1'!B29</f>
        <v>(Invalid Identifier)</v>
      </c>
      <c r="D27" s="255" t="str">
        <f>'Beta Calc'!K27</f>
        <v>(Invalid Identifier)</v>
      </c>
      <c r="E27" s="255" t="str">
        <f>'Beta Calc'!L27</f>
        <v>(Invalid Identifier)</v>
      </c>
      <c r="F27" s="255" t="str">
        <f>'Beta Calc'!M27</f>
        <v>(Invalid Identifier)</v>
      </c>
      <c r="G27" s="255" t="str">
        <f>'Beta Calc'!N27</f>
        <v>(Invalid Identifier)</v>
      </c>
      <c r="H27" s="255">
        <f t="shared" si="7"/>
        <v>0</v>
      </c>
      <c r="I27" s="255">
        <f t="shared" si="8"/>
        <v>0</v>
      </c>
      <c r="J27" s="255" t="str">
        <f>'Beta Calc'!Q27</f>
        <v>(Invalid Identifier)</v>
      </c>
      <c r="K27" s="255" t="e">
        <f t="shared" si="9"/>
        <v>#VALUE!</v>
      </c>
      <c r="M27" s="384" t="str">
        <f>IFERROR('Capital IQ Sheet-GPC'!AT30,"n/a")</f>
        <v>n/a</v>
      </c>
      <c r="N27" s="255" t="e">
        <f t="shared" si="0"/>
        <v>#REF!</v>
      </c>
      <c r="O27" s="1181" t="e">
        <f t="shared" si="0"/>
        <v>#REF!</v>
      </c>
      <c r="P27" s="1162"/>
      <c r="Q27" s="1182" t="str">
        <f>IFERROR(HLOOKUP($Q$6,'Equity Vol'!$B$8:$K18,ROWS('Equity Vol'!$C$8:$C18),FALSE),"n/a")</f>
        <v>n/a</v>
      </c>
      <c r="R27" s="303"/>
      <c r="S27" s="1183" t="str">
        <f t="shared" si="10"/>
        <v>n/a</v>
      </c>
      <c r="T27" s="1183" t="e">
        <f t="shared" si="1"/>
        <v>#VALUE!</v>
      </c>
      <c r="U27" s="1184" t="e">
        <f t="shared" si="2"/>
        <v>#VALUE!</v>
      </c>
      <c r="V27" s="1184" t="e">
        <f t="shared" si="3"/>
        <v>#VALUE!</v>
      </c>
      <c r="W27" s="1184" t="e">
        <f t="shared" si="4"/>
        <v>#VALUE!</v>
      </c>
      <c r="X27" s="576" t="e">
        <f t="shared" si="5"/>
        <v>#VALUE!</v>
      </c>
      <c r="Y27" s="1182" t="str">
        <f t="shared" si="11"/>
        <v>n/a</v>
      </c>
      <c r="AA27" s="932" t="str">
        <f>IF('MASTER PubCo Inputs'!B45=0,"",'MASTER PubCo Inputs'!B45)</f>
        <v>(Invalid Identifier)</v>
      </c>
      <c r="AB27" s="255" t="str">
        <f>'Beta Calc'!Z27</f>
        <v>(Invalid Identifier)</v>
      </c>
      <c r="AC27" s="933" t="e">
        <f t="shared" si="6"/>
        <v>#VALUE!</v>
      </c>
      <c r="AI27" s="934"/>
    </row>
    <row r="28" spans="2:35" ht="14.85" customHeight="1">
      <c r="B28" s="179" t="str">
        <f>'Comp.1'!B30</f>
        <v>(Invalid Identifier)</v>
      </c>
      <c r="D28" s="255" t="str">
        <f>'Beta Calc'!K28</f>
        <v>(Invalid Identifier)</v>
      </c>
      <c r="E28" s="255" t="str">
        <f>'Beta Calc'!L28</f>
        <v>(Invalid Identifier)</v>
      </c>
      <c r="F28" s="255" t="str">
        <f>'Beta Calc'!M28</f>
        <v>(Invalid Identifier)</v>
      </c>
      <c r="G28" s="255" t="str">
        <f>'Beta Calc'!N28</f>
        <v>(Invalid Identifier)</v>
      </c>
      <c r="H28" s="255">
        <f t="shared" si="7"/>
        <v>0</v>
      </c>
      <c r="I28" s="255">
        <f t="shared" si="8"/>
        <v>0</v>
      </c>
      <c r="J28" s="255" t="str">
        <f>'Beta Calc'!Q28</f>
        <v>(Invalid Identifier)</v>
      </c>
      <c r="K28" s="255" t="e">
        <f t="shared" si="9"/>
        <v>#VALUE!</v>
      </c>
      <c r="M28" s="384" t="str">
        <f>IFERROR('Capital IQ Sheet-GPC'!AT31,"n/a")</f>
        <v>n/a</v>
      </c>
      <c r="N28" s="255" t="e">
        <f t="shared" si="0"/>
        <v>#REF!</v>
      </c>
      <c r="O28" s="1181" t="e">
        <f t="shared" si="0"/>
        <v>#REF!</v>
      </c>
      <c r="P28" s="1162"/>
      <c r="Q28" s="1182" t="str">
        <f>IFERROR(HLOOKUP($Q$6,'Equity Vol'!$B$8:$K18,ROWS('Equity Vol'!$C$8:$C18),FALSE),"n/a")</f>
        <v>n/a</v>
      </c>
      <c r="R28" s="303"/>
      <c r="S28" s="1183" t="str">
        <f t="shared" si="10"/>
        <v>n/a</v>
      </c>
      <c r="T28" s="1183" t="e">
        <f t="shared" si="1"/>
        <v>#VALUE!</v>
      </c>
      <c r="U28" s="1184" t="e">
        <f t="shared" si="2"/>
        <v>#VALUE!</v>
      </c>
      <c r="V28" s="1184" t="e">
        <f t="shared" si="3"/>
        <v>#VALUE!</v>
      </c>
      <c r="W28" s="1184" t="e">
        <f t="shared" si="4"/>
        <v>#VALUE!</v>
      </c>
      <c r="X28" s="576" t="e">
        <f t="shared" si="5"/>
        <v>#VALUE!</v>
      </c>
      <c r="Y28" s="1182" t="str">
        <f t="shared" si="11"/>
        <v>n/a</v>
      </c>
      <c r="AA28" s="932" t="str">
        <f>IF('MASTER PubCo Inputs'!B46=0,"",'MASTER PubCo Inputs'!B46)</f>
        <v>(Invalid Identifier)</v>
      </c>
      <c r="AB28" s="255" t="str">
        <f>'Beta Calc'!Z28</f>
        <v>(Invalid Identifier)</v>
      </c>
      <c r="AC28" s="933" t="e">
        <f t="shared" si="6"/>
        <v>#VALUE!</v>
      </c>
      <c r="AI28" s="934"/>
    </row>
    <row r="29" spans="2:35" ht="14.85" customHeight="1">
      <c r="B29" s="179" t="str">
        <f>'Comp.1'!B31</f>
        <v>(Invalid Identifier)</v>
      </c>
      <c r="D29" s="255" t="str">
        <f>'Beta Calc'!K29</f>
        <v>(Invalid Identifier)</v>
      </c>
      <c r="E29" s="255" t="str">
        <f>'Beta Calc'!L29</f>
        <v>(Invalid Identifier)</v>
      </c>
      <c r="F29" s="255" t="str">
        <f>'Beta Calc'!M29</f>
        <v>(Invalid Identifier)</v>
      </c>
      <c r="G29" s="255" t="str">
        <f>'Beta Calc'!N29</f>
        <v>(Invalid Identifier)</v>
      </c>
      <c r="H29" s="255">
        <f t="shared" si="7"/>
        <v>0</v>
      </c>
      <c r="I29" s="255">
        <f t="shared" si="8"/>
        <v>0</v>
      </c>
      <c r="J29" s="255" t="str">
        <f>'Beta Calc'!Q29</f>
        <v>(Invalid Identifier)</v>
      </c>
      <c r="K29" s="255" t="e">
        <f t="shared" si="9"/>
        <v>#VALUE!</v>
      </c>
      <c r="M29" s="384" t="str">
        <f>IFERROR('Capital IQ Sheet-GPC'!AT32,"n/a")</f>
        <v>n/a</v>
      </c>
      <c r="N29" s="255" t="e">
        <f t="shared" si="0"/>
        <v>#REF!</v>
      </c>
      <c r="O29" s="1181" t="e">
        <f t="shared" si="0"/>
        <v>#REF!</v>
      </c>
      <c r="P29" s="1162"/>
      <c r="Q29" s="1182" t="str">
        <f>IFERROR(HLOOKUP($Q$6,'Equity Vol'!$B$8:$K18,ROWS('Equity Vol'!$C$8:$C18),FALSE),"n/a")</f>
        <v>n/a</v>
      </c>
      <c r="R29" s="303"/>
      <c r="S29" s="1183" t="str">
        <f t="shared" si="10"/>
        <v>n/a</v>
      </c>
      <c r="T29" s="1183" t="e">
        <f t="shared" si="1"/>
        <v>#VALUE!</v>
      </c>
      <c r="U29" s="1184" t="e">
        <f t="shared" si="2"/>
        <v>#VALUE!</v>
      </c>
      <c r="V29" s="1184" t="e">
        <f t="shared" si="3"/>
        <v>#VALUE!</v>
      </c>
      <c r="W29" s="1184" t="e">
        <f t="shared" si="4"/>
        <v>#VALUE!</v>
      </c>
      <c r="X29" s="576" t="e">
        <f t="shared" si="5"/>
        <v>#VALUE!</v>
      </c>
      <c r="Y29" s="1182" t="str">
        <f t="shared" si="11"/>
        <v>n/a</v>
      </c>
      <c r="AA29" s="932" t="str">
        <f>IF('MASTER PubCo Inputs'!B47=0,"",'MASTER PubCo Inputs'!B47)</f>
        <v>(Invalid Identifier)</v>
      </c>
      <c r="AB29" s="255" t="str">
        <f>'Beta Calc'!Z29</f>
        <v>(Invalid Identifier)</v>
      </c>
      <c r="AC29" s="933" t="e">
        <f t="shared" si="6"/>
        <v>#VALUE!</v>
      </c>
      <c r="AI29" s="934"/>
    </row>
    <row r="30" spans="2:35" ht="14.85" customHeight="1">
      <c r="B30" s="179" t="str">
        <f>'Comp.1'!B32</f>
        <v>(Invalid Identifier)</v>
      </c>
      <c r="D30" s="255" t="str">
        <f>'Beta Calc'!K30</f>
        <v>(Invalid Identifier)</v>
      </c>
      <c r="E30" s="255" t="str">
        <f>'Beta Calc'!L30</f>
        <v>(Invalid Identifier)</v>
      </c>
      <c r="F30" s="255" t="str">
        <f>'Beta Calc'!M30</f>
        <v>(Invalid Identifier)</v>
      </c>
      <c r="G30" s="255" t="str">
        <f>'Beta Calc'!N30</f>
        <v>(Invalid Identifier)</v>
      </c>
      <c r="H30" s="255">
        <f t="shared" si="7"/>
        <v>0</v>
      </c>
      <c r="I30" s="255">
        <f t="shared" si="8"/>
        <v>0</v>
      </c>
      <c r="J30" s="255" t="str">
        <f>'Beta Calc'!Q30</f>
        <v>(Invalid Identifier)</v>
      </c>
      <c r="K30" s="255" t="e">
        <f t="shared" si="9"/>
        <v>#VALUE!</v>
      </c>
      <c r="M30" s="384" t="str">
        <f>IFERROR('Capital IQ Sheet-GPC'!AT33,"n/a")</f>
        <v>n/a</v>
      </c>
      <c r="N30" s="255" t="e">
        <f t="shared" si="0"/>
        <v>#REF!</v>
      </c>
      <c r="O30" s="1181" t="e">
        <f t="shared" si="0"/>
        <v>#REF!</v>
      </c>
      <c r="P30" s="1162"/>
      <c r="Q30" s="1182" t="str">
        <f>IFERROR(HLOOKUP($Q$6,'Equity Vol'!$B$8:$K18,ROWS('Equity Vol'!$C$8:$C18),FALSE),"n/a")</f>
        <v>n/a</v>
      </c>
      <c r="R30" s="303"/>
      <c r="S30" s="1183" t="str">
        <f t="shared" si="10"/>
        <v>n/a</v>
      </c>
      <c r="T30" s="1183" t="e">
        <f t="shared" si="1"/>
        <v>#VALUE!</v>
      </c>
      <c r="U30" s="1184" t="e">
        <f t="shared" si="2"/>
        <v>#VALUE!</v>
      </c>
      <c r="V30" s="1184" t="e">
        <f t="shared" si="3"/>
        <v>#VALUE!</v>
      </c>
      <c r="W30" s="1184" t="e">
        <f t="shared" si="4"/>
        <v>#VALUE!</v>
      </c>
      <c r="X30" s="576" t="e">
        <f t="shared" si="5"/>
        <v>#VALUE!</v>
      </c>
      <c r="Y30" s="1182" t="str">
        <f t="shared" si="11"/>
        <v>n/a</v>
      </c>
      <c r="AA30" s="932" t="str">
        <f>IF('MASTER PubCo Inputs'!B48=0,"",'MASTER PubCo Inputs'!B48)</f>
        <v>(Invalid Identifier)</v>
      </c>
      <c r="AB30" s="255" t="str">
        <f>'Beta Calc'!Z30</f>
        <v>(Invalid Identifier)</v>
      </c>
      <c r="AC30" s="933" t="e">
        <f t="shared" si="6"/>
        <v>#VALUE!</v>
      </c>
      <c r="AI30" s="934"/>
    </row>
    <row r="31" spans="2:35" ht="14.85" customHeight="1">
      <c r="B31" s="179" t="str">
        <f>'Comp.1'!B33</f>
        <v>(Invalid Identifier)</v>
      </c>
      <c r="D31" s="255" t="str">
        <f>'Beta Calc'!K31</f>
        <v>(Invalid Identifier)</v>
      </c>
      <c r="E31" s="255" t="str">
        <f>'Beta Calc'!L31</f>
        <v>(Invalid Identifier)</v>
      </c>
      <c r="F31" s="255" t="str">
        <f>'Beta Calc'!M31</f>
        <v>(Invalid Identifier)</v>
      </c>
      <c r="G31" s="255" t="str">
        <f>'Beta Calc'!N31</f>
        <v>(Invalid Identifier)</v>
      </c>
      <c r="H31" s="255">
        <f t="shared" si="7"/>
        <v>0</v>
      </c>
      <c r="I31" s="255">
        <f t="shared" si="8"/>
        <v>0</v>
      </c>
      <c r="J31" s="255" t="str">
        <f>'Beta Calc'!Q31</f>
        <v>(Invalid Identifier)</v>
      </c>
      <c r="K31" s="255" t="e">
        <f t="shared" si="9"/>
        <v>#VALUE!</v>
      </c>
      <c r="M31" s="384" t="str">
        <f>IFERROR('Capital IQ Sheet-GPC'!AT34,"n/a")</f>
        <v>n/a</v>
      </c>
      <c r="N31" s="255" t="e">
        <f t="shared" si="0"/>
        <v>#REF!</v>
      </c>
      <c r="O31" s="1181" t="e">
        <f t="shared" si="0"/>
        <v>#REF!</v>
      </c>
      <c r="P31" s="1162"/>
      <c r="Q31" s="1182" t="str">
        <f>IFERROR(HLOOKUP($Q$6,'Equity Vol'!$B$8:$K18,ROWS('Equity Vol'!$C$8:$C18),FALSE),"n/a")</f>
        <v>n/a</v>
      </c>
      <c r="R31" s="303"/>
      <c r="S31" s="1183" t="str">
        <f t="shared" si="10"/>
        <v>n/a</v>
      </c>
      <c r="T31" s="1183" t="e">
        <f t="shared" si="1"/>
        <v>#VALUE!</v>
      </c>
      <c r="U31" s="1184" t="e">
        <f t="shared" si="2"/>
        <v>#VALUE!</v>
      </c>
      <c r="V31" s="1184" t="e">
        <f t="shared" si="3"/>
        <v>#VALUE!</v>
      </c>
      <c r="W31" s="1184" t="e">
        <f t="shared" si="4"/>
        <v>#VALUE!</v>
      </c>
      <c r="X31" s="576" t="e">
        <f t="shared" si="5"/>
        <v>#VALUE!</v>
      </c>
      <c r="Y31" s="1182" t="str">
        <f t="shared" si="11"/>
        <v>n/a</v>
      </c>
      <c r="AA31" s="932" t="str">
        <f>IF('MASTER PubCo Inputs'!B49=0,"",'MASTER PubCo Inputs'!B49)</f>
        <v>(Invalid Identifier)</v>
      </c>
      <c r="AB31" s="255" t="str">
        <f>'Beta Calc'!Z31</f>
        <v>(Invalid Identifier)</v>
      </c>
      <c r="AC31" s="933" t="e">
        <f t="shared" si="6"/>
        <v>#VALUE!</v>
      </c>
      <c r="AI31" s="934"/>
    </row>
    <row r="32" spans="2:35" ht="14.85" customHeight="1">
      <c r="B32" s="179" t="str">
        <f>'Comp.1'!B34</f>
        <v>(Invalid Identifier)</v>
      </c>
      <c r="D32" s="255" t="str">
        <f>'Beta Calc'!K32</f>
        <v>(Invalid Identifier)</v>
      </c>
      <c r="E32" s="255" t="str">
        <f>'Beta Calc'!L32</f>
        <v>(Invalid Identifier)</v>
      </c>
      <c r="F32" s="255" t="str">
        <f>'Beta Calc'!M32</f>
        <v>(Invalid Identifier)</v>
      </c>
      <c r="G32" s="255" t="str">
        <f>'Beta Calc'!N32</f>
        <v>(Invalid Identifier)</v>
      </c>
      <c r="H32" s="255">
        <f t="shared" si="7"/>
        <v>0</v>
      </c>
      <c r="I32" s="255">
        <f t="shared" si="8"/>
        <v>0</v>
      </c>
      <c r="J32" s="255" t="str">
        <f>'Beta Calc'!Q32</f>
        <v>(Invalid Identifier)</v>
      </c>
      <c r="K32" s="255" t="e">
        <f t="shared" si="9"/>
        <v>#VALUE!</v>
      </c>
      <c r="M32" s="384" t="str">
        <f>IFERROR('Capital IQ Sheet-GPC'!AT35,"n/a")</f>
        <v>n/a</v>
      </c>
      <c r="N32" s="255" t="e">
        <f t="shared" si="0"/>
        <v>#REF!</v>
      </c>
      <c r="O32" s="1181" t="e">
        <f t="shared" si="0"/>
        <v>#REF!</v>
      </c>
      <c r="P32" s="1162"/>
      <c r="Q32" s="1182" t="str">
        <f>IFERROR(HLOOKUP($Q$6,'Equity Vol'!$B$8:$K18,ROWS('Equity Vol'!$C$8:$C18),FALSE),"n/a")</f>
        <v>n/a</v>
      </c>
      <c r="R32" s="303"/>
      <c r="S32" s="1183" t="str">
        <f t="shared" si="10"/>
        <v>n/a</v>
      </c>
      <c r="T32" s="1183" t="e">
        <f t="shared" si="1"/>
        <v>#VALUE!</v>
      </c>
      <c r="U32" s="1184" t="e">
        <f t="shared" si="2"/>
        <v>#VALUE!</v>
      </c>
      <c r="V32" s="1184" t="e">
        <f t="shared" si="3"/>
        <v>#VALUE!</v>
      </c>
      <c r="W32" s="1184" t="e">
        <f t="shared" si="4"/>
        <v>#VALUE!</v>
      </c>
      <c r="X32" s="576" t="e">
        <f t="shared" si="5"/>
        <v>#VALUE!</v>
      </c>
      <c r="Y32" s="1182" t="str">
        <f t="shared" si="11"/>
        <v>n/a</v>
      </c>
      <c r="AA32" s="932" t="str">
        <f>IF('MASTER PubCo Inputs'!B50=0,"",'MASTER PubCo Inputs'!B50)</f>
        <v>(Invalid Identifier)</v>
      </c>
      <c r="AB32" s="255" t="str">
        <f>'Beta Calc'!Z32</f>
        <v>(Invalid Identifier)</v>
      </c>
      <c r="AC32" s="933" t="e">
        <f t="shared" si="6"/>
        <v>#VALUE!</v>
      </c>
      <c r="AI32" s="934"/>
    </row>
    <row r="33" spans="2:35" ht="14.85" customHeight="1">
      <c r="B33" s="179" t="str">
        <f>'Comp.1'!B35</f>
        <v>(Invalid Identifier)</v>
      </c>
      <c r="D33" s="255" t="str">
        <f>'Beta Calc'!K33</f>
        <v>(Invalid Identifier)</v>
      </c>
      <c r="E33" s="255" t="str">
        <f>'Beta Calc'!L33</f>
        <v>(Invalid Identifier)</v>
      </c>
      <c r="F33" s="255" t="str">
        <f>'Beta Calc'!M33</f>
        <v>(Invalid Identifier)</v>
      </c>
      <c r="G33" s="255" t="str">
        <f>'Beta Calc'!N33</f>
        <v>(Invalid Identifier)</v>
      </c>
      <c r="H33" s="255">
        <f t="shared" si="7"/>
        <v>0</v>
      </c>
      <c r="I33" s="255">
        <f t="shared" si="8"/>
        <v>0</v>
      </c>
      <c r="J33" s="255" t="str">
        <f>'Beta Calc'!Q33</f>
        <v>(Invalid Identifier)</v>
      </c>
      <c r="K33" s="255" t="e">
        <f t="shared" si="9"/>
        <v>#VALUE!</v>
      </c>
      <c r="M33" s="384" t="str">
        <f>IFERROR('Capital IQ Sheet-GPC'!AT36,"n/a")</f>
        <v>n/a</v>
      </c>
      <c r="N33" s="255" t="e">
        <f t="shared" si="0"/>
        <v>#REF!</v>
      </c>
      <c r="O33" s="1181" t="e">
        <f t="shared" si="0"/>
        <v>#REF!</v>
      </c>
      <c r="P33" s="1162"/>
      <c r="Q33" s="1182" t="str">
        <f>IFERROR(HLOOKUP($Q$6,'Equity Vol'!$B$8:$K18,ROWS('Equity Vol'!$C$8:$C18),FALSE),"n/a")</f>
        <v>n/a</v>
      </c>
      <c r="R33" s="303"/>
      <c r="S33" s="1183" t="str">
        <f t="shared" si="10"/>
        <v>n/a</v>
      </c>
      <c r="T33" s="1183" t="e">
        <f t="shared" si="1"/>
        <v>#VALUE!</v>
      </c>
      <c r="U33" s="1184" t="e">
        <f t="shared" si="2"/>
        <v>#VALUE!</v>
      </c>
      <c r="V33" s="1184" t="e">
        <f t="shared" si="3"/>
        <v>#VALUE!</v>
      </c>
      <c r="W33" s="1184" t="e">
        <f t="shared" si="4"/>
        <v>#VALUE!</v>
      </c>
      <c r="X33" s="576" t="e">
        <f t="shared" si="5"/>
        <v>#VALUE!</v>
      </c>
      <c r="Y33" s="1182" t="str">
        <f t="shared" si="11"/>
        <v>n/a</v>
      </c>
      <c r="AA33" s="932" t="str">
        <f>IF('MASTER PubCo Inputs'!B51=0,"",'MASTER PubCo Inputs'!B51)</f>
        <v>(Invalid Identifier)</v>
      </c>
      <c r="AB33" s="255" t="str">
        <f>'Beta Calc'!Z33</f>
        <v>(Invalid Identifier)</v>
      </c>
      <c r="AC33" s="933" t="e">
        <f t="shared" si="6"/>
        <v>#VALUE!</v>
      </c>
      <c r="AI33" s="934"/>
    </row>
    <row r="34" spans="2:35" ht="14.85" customHeight="1">
      <c r="B34" s="179" t="str">
        <f>'Comp.1'!B36</f>
        <v>(Invalid Identifier)</v>
      </c>
      <c r="D34" s="255" t="str">
        <f>'Beta Calc'!K34</f>
        <v>(Invalid Identifier)</v>
      </c>
      <c r="E34" s="255" t="str">
        <f>'Beta Calc'!L34</f>
        <v>(Invalid Identifier)</v>
      </c>
      <c r="F34" s="255" t="str">
        <f>'Beta Calc'!M34</f>
        <v>(Invalid Identifier)</v>
      </c>
      <c r="G34" s="255" t="str">
        <f>'Beta Calc'!N34</f>
        <v>(Invalid Identifier)</v>
      </c>
      <c r="H34" s="255">
        <f t="shared" si="7"/>
        <v>0</v>
      </c>
      <c r="I34" s="255">
        <f t="shared" si="8"/>
        <v>0</v>
      </c>
      <c r="J34" s="255" t="str">
        <f>'Beta Calc'!Q34</f>
        <v>(Invalid Identifier)</v>
      </c>
      <c r="K34" s="255" t="e">
        <f t="shared" si="9"/>
        <v>#VALUE!</v>
      </c>
      <c r="M34" s="384" t="str">
        <f>IFERROR('Capital IQ Sheet-GPC'!AT37,"n/a")</f>
        <v>n/a</v>
      </c>
      <c r="N34" s="255" t="e">
        <f t="shared" si="0"/>
        <v>#REF!</v>
      </c>
      <c r="O34" s="1181" t="e">
        <f t="shared" si="0"/>
        <v>#REF!</v>
      </c>
      <c r="P34" s="1162"/>
      <c r="Q34" s="1182" t="str">
        <f>IFERROR(HLOOKUP($Q$6,'Equity Vol'!$B$8:$K18,ROWS('Equity Vol'!$C$8:$C18),FALSE),"n/a")</f>
        <v>n/a</v>
      </c>
      <c r="R34" s="303"/>
      <c r="S34" s="1183" t="str">
        <f t="shared" si="10"/>
        <v>n/a</v>
      </c>
      <c r="T34" s="1183" t="e">
        <f t="shared" si="1"/>
        <v>#VALUE!</v>
      </c>
      <c r="U34" s="1184" t="e">
        <f t="shared" si="2"/>
        <v>#VALUE!</v>
      </c>
      <c r="V34" s="1184" t="e">
        <f t="shared" si="3"/>
        <v>#VALUE!</v>
      </c>
      <c r="W34" s="1184" t="e">
        <f t="shared" si="4"/>
        <v>#VALUE!</v>
      </c>
      <c r="X34" s="576" t="e">
        <f t="shared" si="5"/>
        <v>#VALUE!</v>
      </c>
      <c r="Y34" s="1182" t="str">
        <f t="shared" si="11"/>
        <v>n/a</v>
      </c>
      <c r="AA34" s="932" t="str">
        <f>IF('MASTER PubCo Inputs'!B52=0,"",'MASTER PubCo Inputs'!B52)</f>
        <v>(Invalid Identifier)</v>
      </c>
      <c r="AB34" s="255" t="str">
        <f>'Beta Calc'!Z34</f>
        <v>(Invalid Identifier)</v>
      </c>
      <c r="AC34" s="933" t="e">
        <f t="shared" si="6"/>
        <v>#VALUE!</v>
      </c>
      <c r="AI34" s="934"/>
    </row>
    <row r="35" spans="2:35" ht="14.85" customHeight="1">
      <c r="B35" s="179" t="str">
        <f>'Comp.1'!B37</f>
        <v>(Invalid Identifier)</v>
      </c>
      <c r="D35" s="255" t="str">
        <f>'Beta Calc'!K35</f>
        <v>(Invalid Identifier)</v>
      </c>
      <c r="E35" s="255" t="str">
        <f>'Beta Calc'!L35</f>
        <v>(Invalid Identifier)</v>
      </c>
      <c r="F35" s="255" t="str">
        <f>'Beta Calc'!M35</f>
        <v>(Invalid Identifier)</v>
      </c>
      <c r="G35" s="255" t="str">
        <f>'Beta Calc'!N35</f>
        <v>(Invalid Identifier)</v>
      </c>
      <c r="H35" s="255">
        <f t="shared" si="7"/>
        <v>0</v>
      </c>
      <c r="I35" s="255">
        <f t="shared" si="8"/>
        <v>0</v>
      </c>
      <c r="J35" s="255" t="str">
        <f>'Beta Calc'!Q35</f>
        <v>(Invalid Identifier)</v>
      </c>
      <c r="K35" s="255" t="e">
        <f t="shared" si="9"/>
        <v>#VALUE!</v>
      </c>
      <c r="M35" s="384" t="str">
        <f>IFERROR('Capital IQ Sheet-GPC'!AT38,"n/a")</f>
        <v>n/a</v>
      </c>
      <c r="N35" s="255" t="e">
        <f t="shared" si="0"/>
        <v>#REF!</v>
      </c>
      <c r="O35" s="1181" t="e">
        <f t="shared" si="0"/>
        <v>#REF!</v>
      </c>
      <c r="P35" s="1162"/>
      <c r="Q35" s="1182" t="str">
        <f>IFERROR(HLOOKUP($Q$6,'Equity Vol'!$B$8:$K18,ROWS('Equity Vol'!$C$8:$C18),FALSE),"n/a")</f>
        <v>n/a</v>
      </c>
      <c r="R35" s="303"/>
      <c r="S35" s="1183" t="str">
        <f t="shared" si="10"/>
        <v>n/a</v>
      </c>
      <c r="T35" s="1183" t="e">
        <f t="shared" si="1"/>
        <v>#VALUE!</v>
      </c>
      <c r="U35" s="1184" t="e">
        <f t="shared" si="2"/>
        <v>#VALUE!</v>
      </c>
      <c r="V35" s="1184" t="e">
        <f t="shared" si="3"/>
        <v>#VALUE!</v>
      </c>
      <c r="W35" s="1184" t="e">
        <f t="shared" si="4"/>
        <v>#VALUE!</v>
      </c>
      <c r="X35" s="576" t="e">
        <f t="shared" si="5"/>
        <v>#VALUE!</v>
      </c>
      <c r="Y35" s="1182" t="str">
        <f t="shared" si="11"/>
        <v>n/a</v>
      </c>
      <c r="AA35" s="932" t="str">
        <f>IF('MASTER PubCo Inputs'!B53=0,"",'MASTER PubCo Inputs'!B53)</f>
        <v>CPSE:WDH</v>
      </c>
      <c r="AB35" s="255" t="str">
        <f>'Beta Calc'!Z35</f>
        <v>(Invalid Identifier)</v>
      </c>
      <c r="AC35" s="933" t="e">
        <f t="shared" si="6"/>
        <v>#VALUE!</v>
      </c>
      <c r="AI35" s="934"/>
    </row>
    <row r="36" spans="2:35" ht="14.85" customHeight="1">
      <c r="B36" s="179" t="str">
        <f>'Comp.1'!B38</f>
        <v>(Invalid Identifier)</v>
      </c>
      <c r="D36" s="255" t="str">
        <f>'Beta Calc'!K36</f>
        <v>(Invalid Identifier)</v>
      </c>
      <c r="E36" s="255" t="str">
        <f>'Beta Calc'!L36</f>
        <v>(Invalid Identifier)</v>
      </c>
      <c r="F36" s="255" t="str">
        <f>'Beta Calc'!M36</f>
        <v>(Invalid Identifier)</v>
      </c>
      <c r="G36" s="255" t="str">
        <f>'Beta Calc'!N36</f>
        <v>(Invalid Identifier)</v>
      </c>
      <c r="H36" s="255">
        <f t="shared" si="7"/>
        <v>0</v>
      </c>
      <c r="I36" s="255">
        <f t="shared" si="8"/>
        <v>0</v>
      </c>
      <c r="J36" s="255" t="str">
        <f>'Beta Calc'!Q36</f>
        <v>(Invalid Identifier)</v>
      </c>
      <c r="K36" s="255" t="e">
        <f t="shared" si="9"/>
        <v>#VALUE!</v>
      </c>
      <c r="M36" s="384" t="str">
        <f>IFERROR('Capital IQ Sheet-GPC'!AT39,"n/a")</f>
        <v>n/a</v>
      </c>
      <c r="N36" s="255" t="e">
        <f t="shared" si="0"/>
        <v>#REF!</v>
      </c>
      <c r="O36" s="1181" t="e">
        <f t="shared" si="0"/>
        <v>#REF!</v>
      </c>
      <c r="P36" s="1162"/>
      <c r="Q36" s="1182" t="str">
        <f>IFERROR(HLOOKUP($Q$6,'Equity Vol'!$B$8:$K18,ROWS('Equity Vol'!$C$8:$C18),FALSE),"n/a")</f>
        <v>n/a</v>
      </c>
      <c r="R36" s="303"/>
      <c r="S36" s="1183" t="str">
        <f t="shared" si="10"/>
        <v>n/a</v>
      </c>
      <c r="T36" s="1183" t="e">
        <f t="shared" si="1"/>
        <v>#VALUE!</v>
      </c>
      <c r="U36" s="1184" t="e">
        <f t="shared" si="2"/>
        <v>#VALUE!</v>
      </c>
      <c r="V36" s="1184" t="e">
        <f t="shared" si="3"/>
        <v>#VALUE!</v>
      </c>
      <c r="W36" s="1184" t="e">
        <f t="shared" si="4"/>
        <v>#VALUE!</v>
      </c>
      <c r="X36" s="576" t="e">
        <f t="shared" si="5"/>
        <v>#VALUE!</v>
      </c>
      <c r="Y36" s="1182" t="str">
        <f t="shared" si="11"/>
        <v>n/a</v>
      </c>
      <c r="AA36" s="932" t="str">
        <f>IF('MASTER PubCo Inputs'!B54=0,"",'MASTER PubCo Inputs'!B54)</f>
        <v>ASX:COH</v>
      </c>
      <c r="AB36" s="255" t="str">
        <f>'Beta Calc'!Z36</f>
        <v>(Invalid Identifier)</v>
      </c>
      <c r="AC36" s="933" t="e">
        <f t="shared" si="6"/>
        <v>#VALUE!</v>
      </c>
      <c r="AI36" s="934"/>
    </row>
    <row r="37" spans="2:35" ht="14.85" customHeight="1">
      <c r="B37" s="179" t="str">
        <f>'Comp.1'!B39</f>
        <v>(Invalid Identifier)</v>
      </c>
      <c r="D37" s="255" t="str">
        <f>'Beta Calc'!K37</f>
        <v>(Invalid Identifier)</v>
      </c>
      <c r="E37" s="255" t="str">
        <f>'Beta Calc'!L37</f>
        <v>(Invalid Identifier)</v>
      </c>
      <c r="F37" s="255" t="str">
        <f>'Beta Calc'!M37</f>
        <v>(Invalid Identifier)</v>
      </c>
      <c r="G37" s="255" t="str">
        <f>'Beta Calc'!N37</f>
        <v>(Invalid Identifier)</v>
      </c>
      <c r="H37" s="255">
        <f t="shared" si="7"/>
        <v>0</v>
      </c>
      <c r="I37" s="255">
        <f t="shared" si="8"/>
        <v>0</v>
      </c>
      <c r="J37" s="255" t="str">
        <f>'Beta Calc'!Q37</f>
        <v>(Invalid Identifier)</v>
      </c>
      <c r="K37" s="255" t="e">
        <f t="shared" si="9"/>
        <v>#VALUE!</v>
      </c>
      <c r="M37" s="384" t="str">
        <f>IFERROR('Capital IQ Sheet-GPC'!AT40,"n/a")</f>
        <v>n/a</v>
      </c>
      <c r="N37" s="255" t="e">
        <f t="shared" si="0"/>
        <v>#REF!</v>
      </c>
      <c r="O37" s="1181" t="e">
        <f t="shared" si="0"/>
        <v>#REF!</v>
      </c>
      <c r="P37" s="1162"/>
      <c r="Q37" s="1182" t="str">
        <f>IFERROR(HLOOKUP($Q$6,'Equity Vol'!$B$8:$K18,ROWS('Equity Vol'!$C$8:$C18),FALSE),"n/a")</f>
        <v>n/a</v>
      </c>
      <c r="R37" s="303"/>
      <c r="S37" s="1183" t="str">
        <f t="shared" si="10"/>
        <v>n/a</v>
      </c>
      <c r="T37" s="1183" t="e">
        <f t="shared" si="1"/>
        <v>#VALUE!</v>
      </c>
      <c r="U37" s="1184" t="e">
        <f t="shared" si="2"/>
        <v>#VALUE!</v>
      </c>
      <c r="V37" s="1184" t="e">
        <f t="shared" si="3"/>
        <v>#VALUE!</v>
      </c>
      <c r="W37" s="1184" t="e">
        <f t="shared" si="4"/>
        <v>#VALUE!</v>
      </c>
      <c r="X37" s="576" t="e">
        <f t="shared" si="5"/>
        <v>#VALUE!</v>
      </c>
      <c r="Y37" s="1182" t="str">
        <f t="shared" si="11"/>
        <v>n/a</v>
      </c>
      <c r="AA37" s="932" t="str">
        <f>IF('MASTER PubCo Inputs'!B55=0,"",'MASTER PubCo Inputs'!B55)</f>
        <v>BIT:AMP</v>
      </c>
      <c r="AB37" s="255" t="str">
        <f>'Beta Calc'!Z37</f>
        <v>(Invalid Identifier)</v>
      </c>
      <c r="AC37" s="933" t="e">
        <f t="shared" si="6"/>
        <v>#VALUE!</v>
      </c>
      <c r="AI37" s="934"/>
    </row>
    <row r="38" spans="2:35" ht="14.85" customHeight="1">
      <c r="B38" s="179" t="str">
        <f>'Comp.1'!B40</f>
        <v>(Invalid Identifier)</v>
      </c>
      <c r="D38" s="255" t="str">
        <f>'Beta Calc'!K38</f>
        <v>(Invalid Identifier)</v>
      </c>
      <c r="E38" s="255" t="str">
        <f>'Beta Calc'!L38</f>
        <v>(Invalid Identifier)</v>
      </c>
      <c r="F38" s="255" t="str">
        <f>'Beta Calc'!M38</f>
        <v>(Invalid Identifier)</v>
      </c>
      <c r="G38" s="255" t="str">
        <f>'Beta Calc'!N38</f>
        <v>(Invalid Identifier)</v>
      </c>
      <c r="H38" s="255">
        <f t="shared" si="7"/>
        <v>0</v>
      </c>
      <c r="I38" s="255">
        <f t="shared" si="8"/>
        <v>0</v>
      </c>
      <c r="J38" s="255" t="str">
        <f>'Beta Calc'!Q38</f>
        <v>(Invalid Identifier)</v>
      </c>
      <c r="K38" s="255" t="e">
        <f t="shared" si="9"/>
        <v>#VALUE!</v>
      </c>
      <c r="M38" s="384" t="str">
        <f>IFERROR('Capital IQ Sheet-GPC'!AT41,"n/a")</f>
        <v>n/a</v>
      </c>
      <c r="N38" s="255" t="e">
        <f t="shared" si="0"/>
        <v>#REF!</v>
      </c>
      <c r="O38" s="1181" t="e">
        <f t="shared" si="0"/>
        <v>#REF!</v>
      </c>
      <c r="P38" s="1162"/>
      <c r="Q38" s="1182" t="str">
        <f>IFERROR(HLOOKUP($Q$6,'Equity Vol'!$B$8:$K18,ROWS('Equity Vol'!$C$8:$C18),FALSE),"n/a")</f>
        <v>n/a</v>
      </c>
      <c r="R38" s="303"/>
      <c r="S38" s="1183" t="str">
        <f t="shared" si="10"/>
        <v>n/a</v>
      </c>
      <c r="T38" s="1183" t="e">
        <f t="shared" si="1"/>
        <v>#VALUE!</v>
      </c>
      <c r="U38" s="1184" t="e">
        <f t="shared" si="2"/>
        <v>#VALUE!</v>
      </c>
      <c r="V38" s="1184" t="e">
        <f t="shared" si="3"/>
        <v>#VALUE!</v>
      </c>
      <c r="W38" s="1184" t="e">
        <f t="shared" si="4"/>
        <v>#VALUE!</v>
      </c>
      <c r="X38" s="576" t="e">
        <f t="shared" si="5"/>
        <v>#VALUE!</v>
      </c>
      <c r="Y38" s="1182" t="str">
        <f t="shared" si="11"/>
        <v>n/a</v>
      </c>
      <c r="AA38" s="932" t="str">
        <f>IF('MASTER PubCo Inputs'!B56=0,"",'MASTER PubCo Inputs'!B56)</f>
        <v>OM:ELOS B</v>
      </c>
      <c r="AB38" s="255" t="str">
        <f>'Beta Calc'!Z38</f>
        <v>(Invalid Identifier)</v>
      </c>
      <c r="AC38" s="933" t="e">
        <f t="shared" si="6"/>
        <v>#VALUE!</v>
      </c>
      <c r="AI38" s="934"/>
    </row>
    <row r="39" spans="2:35" ht="14.85" customHeight="1">
      <c r="B39" s="179" t="str">
        <f>'Comp.1'!B41</f>
        <v>(Invalid Identifier)</v>
      </c>
      <c r="D39" s="255" t="str">
        <f>'Beta Calc'!K39</f>
        <v>(Invalid Identifier)</v>
      </c>
      <c r="E39" s="255" t="str">
        <f>'Beta Calc'!L39</f>
        <v>(Invalid Identifier)</v>
      </c>
      <c r="F39" s="255" t="str">
        <f>'Beta Calc'!M39</f>
        <v>(Invalid Identifier)</v>
      </c>
      <c r="G39" s="255" t="str">
        <f>'Beta Calc'!N39</f>
        <v>(Invalid Identifier)</v>
      </c>
      <c r="H39" s="255">
        <f t="shared" si="7"/>
        <v>0</v>
      </c>
      <c r="I39" s="255">
        <f t="shared" si="8"/>
        <v>0</v>
      </c>
      <c r="J39" s="255" t="str">
        <f>'Beta Calc'!Q39</f>
        <v>(Invalid Identifier)</v>
      </c>
      <c r="K39" s="255" t="e">
        <f t="shared" si="9"/>
        <v>#VALUE!</v>
      </c>
      <c r="M39" s="384" t="str">
        <f>IFERROR('Capital IQ Sheet-GPC'!AT42,"n/a")</f>
        <v>n/a</v>
      </c>
      <c r="N39" s="255" t="e">
        <f t="shared" si="0"/>
        <v>#REF!</v>
      </c>
      <c r="O39" s="1181" t="e">
        <f t="shared" si="0"/>
        <v>#REF!</v>
      </c>
      <c r="P39" s="1162"/>
      <c r="Q39" s="1182" t="str">
        <f>IFERROR(HLOOKUP($Q$6,'Equity Vol'!$B$8:$K18,ROWS('Equity Vol'!$C$8:$C18),FALSE),"n/a")</f>
        <v>n/a</v>
      </c>
      <c r="R39" s="303"/>
      <c r="S39" s="1183" t="str">
        <f t="shared" si="10"/>
        <v>n/a</v>
      </c>
      <c r="T39" s="1183" t="e">
        <f t="shared" si="1"/>
        <v>#VALUE!</v>
      </c>
      <c r="U39" s="1184" t="e">
        <f t="shared" si="2"/>
        <v>#VALUE!</v>
      </c>
      <c r="V39" s="1184" t="e">
        <f t="shared" si="3"/>
        <v>#VALUE!</v>
      </c>
      <c r="W39" s="1184" t="e">
        <f t="shared" si="4"/>
        <v>#VALUE!</v>
      </c>
      <c r="X39" s="576" t="e">
        <f t="shared" si="5"/>
        <v>#VALUE!</v>
      </c>
      <c r="Y39" s="1182" t="str">
        <f t="shared" si="11"/>
        <v>n/a</v>
      </c>
      <c r="AA39" s="932" t="str">
        <f>IF('MASTER PubCo Inputs'!B57=0,"",'MASTER PubCo Inputs'!B57)</f>
        <v>(Invalid Identifier)</v>
      </c>
      <c r="AB39" s="255" t="str">
        <f>'Beta Calc'!Z39</f>
        <v>(Invalid Identifier)</v>
      </c>
      <c r="AC39" s="933" t="e">
        <f t="shared" si="6"/>
        <v>#VALUE!</v>
      </c>
      <c r="AI39" s="934"/>
    </row>
    <row r="40" spans="2:35" ht="14.85" customHeight="1">
      <c r="D40" s="255"/>
      <c r="E40" s="255"/>
      <c r="F40" s="255"/>
      <c r="G40" s="255"/>
      <c r="H40" s="255"/>
      <c r="I40" s="255"/>
      <c r="J40" s="255"/>
      <c r="K40" s="255"/>
      <c r="R40" s="549"/>
    </row>
    <row r="41" spans="2:35" ht="14.85" customHeight="1">
      <c r="B41" s="935" t="s">
        <v>111</v>
      </c>
      <c r="C41" s="936"/>
      <c r="D41" s="938">
        <f>MAX(D10:D39)</f>
        <v>1705.3104800000001</v>
      </c>
      <c r="E41" s="938">
        <f t="shared" ref="E41:K41" si="12">MAX(E10:E39)</f>
        <v>49.826320000000003</v>
      </c>
      <c r="F41" s="938">
        <f t="shared" si="12"/>
        <v>0</v>
      </c>
      <c r="G41" s="938">
        <f t="shared" si="12"/>
        <v>0</v>
      </c>
      <c r="H41" s="938">
        <f t="shared" si="12"/>
        <v>49.826320000000003</v>
      </c>
      <c r="I41" s="938">
        <f t="shared" si="12"/>
        <v>1738.5004800000002</v>
      </c>
      <c r="J41" s="938">
        <f t="shared" si="12"/>
        <v>358.82100000000003</v>
      </c>
      <c r="K41" s="938" t="e">
        <f t="shared" si="12"/>
        <v>#VALUE!</v>
      </c>
      <c r="L41" s="936"/>
      <c r="M41" s="1044">
        <f>MAX(M10:M39)</f>
        <v>0</v>
      </c>
      <c r="N41" s="938" t="e">
        <f>MAX(N10:N39)</f>
        <v>#REF!</v>
      </c>
      <c r="O41" s="1185" t="e">
        <f>MAX(O10:O39)</f>
        <v>#REF!</v>
      </c>
      <c r="P41" s="1186"/>
      <c r="Q41" s="1187">
        <f>MAX(Q10:Q39)</f>
        <v>0</v>
      </c>
      <c r="R41" s="1188"/>
      <c r="S41" s="1189">
        <f>MAX(S10:S40)</f>
        <v>0</v>
      </c>
      <c r="T41" s="1189" t="e">
        <f>MAX(T10:T40)</f>
        <v>#VALUE!</v>
      </c>
      <c r="U41" s="1190" t="e">
        <f>MAX(U10:U40)</f>
        <v>#VALUE!</v>
      </c>
      <c r="V41" s="1190" t="e">
        <f>MAX(V10:V40)</f>
        <v>#VALUE!</v>
      </c>
      <c r="W41" s="1190" t="e">
        <f>MAX(W10:W40)</f>
        <v>#VALUE!</v>
      </c>
      <c r="X41" s="938" t="e">
        <f>MAX(X10:X39)</f>
        <v>#VALUE!</v>
      </c>
      <c r="Y41" s="1191">
        <f>MAX(Y10:Y39)</f>
        <v>0</v>
      </c>
      <c r="AB41" s="1192" t="e">
        <f>+'Asset Vol_M&amp;A Early'!Y48</f>
        <v>#REF!</v>
      </c>
      <c r="AC41" s="1193" t="s">
        <v>1621</v>
      </c>
      <c r="AD41" s="1193"/>
      <c r="AE41" s="1193"/>
      <c r="AF41" s="591"/>
    </row>
    <row r="42" spans="2:35" ht="14.85" customHeight="1">
      <c r="B42" s="941" t="s">
        <v>115</v>
      </c>
      <c r="C42" s="942"/>
      <c r="D42" s="944">
        <f t="shared" ref="D42:K42" si="13">QUARTILE(D10:D39,3)</f>
        <v>205.66506000000001</v>
      </c>
      <c r="E42" s="944">
        <f t="shared" si="13"/>
        <v>9.06297</v>
      </c>
      <c r="F42" s="944">
        <f t="shared" si="13"/>
        <v>0</v>
      </c>
      <c r="G42" s="944">
        <f t="shared" si="13"/>
        <v>0</v>
      </c>
      <c r="H42" s="944">
        <f t="shared" si="13"/>
        <v>0</v>
      </c>
      <c r="I42" s="944">
        <f t="shared" si="13"/>
        <v>33.972542499999996</v>
      </c>
      <c r="J42" s="944">
        <f t="shared" si="13"/>
        <v>57.755760000000002</v>
      </c>
      <c r="K42" s="944" t="e">
        <f t="shared" si="13"/>
        <v>#VALUE!</v>
      </c>
      <c r="L42" s="942"/>
      <c r="M42" s="1046">
        <f>QUARTILE(M10:M39,3)</f>
        <v>0</v>
      </c>
      <c r="N42" s="944" t="e">
        <f>QUARTILE(N10:N39,3)</f>
        <v>#REF!</v>
      </c>
      <c r="O42" s="1194" t="e">
        <f>QUARTILE(O10:O39,3)</f>
        <v>#REF!</v>
      </c>
      <c r="P42" s="1195"/>
      <c r="Q42" s="1196" t="e">
        <f>QUARTILE(Q10:Q39,3)</f>
        <v>#NUM!</v>
      </c>
      <c r="R42" s="1197"/>
      <c r="S42" s="1198" t="e">
        <f>QUARTILE(S10:S40,3)</f>
        <v>#NUM!</v>
      </c>
      <c r="T42" s="1198" t="e">
        <f>QUARTILE(T10:T40,3)</f>
        <v>#VALUE!</v>
      </c>
      <c r="U42" s="1199" t="e">
        <f>QUARTILE(U10:U40,3)</f>
        <v>#VALUE!</v>
      </c>
      <c r="V42" s="1199" t="e">
        <f>QUARTILE(V10:V40,3)</f>
        <v>#VALUE!</v>
      </c>
      <c r="W42" s="1199" t="e">
        <f>QUARTILE(W10:W40,3)</f>
        <v>#VALUE!</v>
      </c>
      <c r="X42" s="944" t="e">
        <f>QUARTILE(X10:X39,3)</f>
        <v>#VALUE!</v>
      </c>
      <c r="Y42" s="1200" t="e">
        <f>QUARTILE(Y10:Y39,3)</f>
        <v>#NUM!</v>
      </c>
      <c r="AB42" s="1201">
        <f>+'Asset Vol_M&amp;A Early'!Y50</f>
        <v>0.31</v>
      </c>
      <c r="AC42" s="179" t="s">
        <v>1622</v>
      </c>
      <c r="AF42" s="339"/>
    </row>
    <row r="43" spans="2:35" ht="14.85" customHeight="1">
      <c r="B43" s="941" t="s">
        <v>113</v>
      </c>
      <c r="C43" s="942"/>
      <c r="D43" s="944">
        <f>AVERAGE(D10:D39)</f>
        <v>349.7861166666666</v>
      </c>
      <c r="E43" s="944">
        <f t="shared" ref="E43:K43" si="14">AVERAGE(E10:E39)</f>
        <v>11.550082222222223</v>
      </c>
      <c r="F43" s="944">
        <f t="shared" si="14"/>
        <v>0</v>
      </c>
      <c r="G43" s="944">
        <f t="shared" si="14"/>
        <v>-1.1407499999999999E-2</v>
      </c>
      <c r="H43" s="944">
        <f t="shared" si="14"/>
        <v>3.463503666666667</v>
      </c>
      <c r="I43" s="944">
        <f t="shared" si="14"/>
        <v>108.39933866666665</v>
      </c>
      <c r="J43" s="944">
        <f t="shared" si="14"/>
        <v>70.157886666666684</v>
      </c>
      <c r="K43" s="944" t="e">
        <f t="shared" si="14"/>
        <v>#VALUE!</v>
      </c>
      <c r="L43" s="942"/>
      <c r="M43" s="1046">
        <f>AVERAGE(M10:M39)</f>
        <v>0</v>
      </c>
      <c r="N43" s="944" t="e">
        <f>AVERAGE(N10:N39)</f>
        <v>#REF!</v>
      </c>
      <c r="O43" s="1194" t="e">
        <f>AVERAGE(O10:O39)</f>
        <v>#REF!</v>
      </c>
      <c r="P43" s="1195"/>
      <c r="Q43" s="1196" t="e">
        <f>AVERAGE(Q10:Q39)</f>
        <v>#DIV/0!</v>
      </c>
      <c r="R43" s="1197"/>
      <c r="S43" s="1198" t="e">
        <f>AVERAGE(S10:S40)</f>
        <v>#DIV/0!</v>
      </c>
      <c r="T43" s="1198" t="e">
        <f>AVERAGE(T10:T40)</f>
        <v>#VALUE!</v>
      </c>
      <c r="U43" s="1199" t="e">
        <f>AVERAGE(U10:U40)</f>
        <v>#VALUE!</v>
      </c>
      <c r="V43" s="1199" t="e">
        <f>AVERAGE(V10:V40)</f>
        <v>#VALUE!</v>
      </c>
      <c r="W43" s="1199" t="e">
        <f>AVERAGE(W10:W40)</f>
        <v>#VALUE!</v>
      </c>
      <c r="X43" s="944" t="e">
        <f>AVERAGE(X10:X39)</f>
        <v>#VALUE!</v>
      </c>
      <c r="Y43" s="1200" t="e">
        <f>AVERAGE(Y10:Y39)</f>
        <v>#DIV/0!</v>
      </c>
      <c r="AB43" s="1201" t="e">
        <f>+'Asset Vol_M&amp;A Early'!Y44</f>
        <v>#NUM!</v>
      </c>
      <c r="AC43" s="179" t="s">
        <v>1620</v>
      </c>
      <c r="AF43" s="1202" t="s">
        <v>2035</v>
      </c>
    </row>
    <row r="44" spans="2:35" ht="14.85" customHeight="1">
      <c r="B44" s="941" t="s">
        <v>44</v>
      </c>
      <c r="C44" s="942"/>
      <c r="D44" s="944">
        <f>MEDIAN(D10:D39)</f>
        <v>138.52769000000001</v>
      </c>
      <c r="E44" s="944">
        <f t="shared" ref="E44:K44" si="15">MEDIAN(E10:E39)</f>
        <v>2.6891699999999998</v>
      </c>
      <c r="F44" s="944">
        <f t="shared" si="15"/>
        <v>0</v>
      </c>
      <c r="G44" s="944">
        <f t="shared" si="15"/>
        <v>0</v>
      </c>
      <c r="H44" s="944">
        <f t="shared" si="15"/>
        <v>0</v>
      </c>
      <c r="I44" s="944">
        <f t="shared" si="15"/>
        <v>0</v>
      </c>
      <c r="J44" s="944">
        <f t="shared" si="15"/>
        <v>22.523</v>
      </c>
      <c r="K44" s="944" t="e">
        <f t="shared" si="15"/>
        <v>#VALUE!</v>
      </c>
      <c r="L44" s="942"/>
      <c r="M44" s="1046">
        <f>MEDIAN(M10:M39)</f>
        <v>0</v>
      </c>
      <c r="N44" s="944" t="e">
        <f>MEDIAN(N10:N39)</f>
        <v>#REF!</v>
      </c>
      <c r="O44" s="1194" t="e">
        <f>MEDIAN(O10:O39)</f>
        <v>#REF!</v>
      </c>
      <c r="P44" s="1195"/>
      <c r="Q44" s="1196" t="e">
        <f>MEDIAN(Q10:Q39)</f>
        <v>#NUM!</v>
      </c>
      <c r="R44" s="1197"/>
      <c r="S44" s="1198" t="e">
        <f>MEDIAN(S10:S40)</f>
        <v>#NUM!</v>
      </c>
      <c r="T44" s="1198" t="e">
        <f>MEDIAN(T10:T40)</f>
        <v>#VALUE!</v>
      </c>
      <c r="U44" s="1199" t="e">
        <f>MEDIAN(U10:U40)</f>
        <v>#VALUE!</v>
      </c>
      <c r="V44" s="1199" t="e">
        <f>MEDIAN(V10:V40)</f>
        <v>#VALUE!</v>
      </c>
      <c r="W44" s="1199" t="e">
        <f>MEDIAN(W10:W40)</f>
        <v>#VALUE!</v>
      </c>
      <c r="X44" s="944" t="e">
        <f>MEDIAN(X10:X39)</f>
        <v>#VALUE!</v>
      </c>
      <c r="Y44" s="1200" t="e">
        <f>MEDIAN(Y10:Y39)</f>
        <v>#NUM!</v>
      </c>
      <c r="AB44" s="1203" t="e">
        <f>IF(ROUND(AB41,3)=ROUND(AB43,3),"","Update Volatility - OPM")</f>
        <v>#REF!</v>
      </c>
      <c r="AF44" s="339"/>
    </row>
    <row r="45" spans="2:35" ht="14.85" customHeight="1">
      <c r="B45" s="941" t="s">
        <v>114</v>
      </c>
      <c r="C45" s="942"/>
      <c r="D45" s="944">
        <f>QUARTILE(D10:D39,1)</f>
        <v>74.033280000000005</v>
      </c>
      <c r="E45" s="944">
        <f t="shared" ref="E45:K45" si="16">QUARTILE(E10:E39,1)</f>
        <v>0</v>
      </c>
      <c r="F45" s="944">
        <f t="shared" si="16"/>
        <v>0</v>
      </c>
      <c r="G45" s="944">
        <f t="shared" si="16"/>
        <v>-1.1407500000000001E-2</v>
      </c>
      <c r="H45" s="944">
        <f t="shared" si="16"/>
        <v>0</v>
      </c>
      <c r="I45" s="944">
        <f t="shared" si="16"/>
        <v>0</v>
      </c>
      <c r="J45" s="944">
        <f t="shared" si="16"/>
        <v>13.622719999999999</v>
      </c>
      <c r="K45" s="944" t="e">
        <f t="shared" si="16"/>
        <v>#VALUE!</v>
      </c>
      <c r="L45" s="942"/>
      <c r="M45" s="1046">
        <f>QUARTILE(M10:M39,1)</f>
        <v>0</v>
      </c>
      <c r="N45" s="944" t="e">
        <f>QUARTILE(N10:N39,1)</f>
        <v>#REF!</v>
      </c>
      <c r="O45" s="1194" t="e">
        <f>QUARTILE(O10:O39,1)</f>
        <v>#REF!</v>
      </c>
      <c r="P45" s="1195"/>
      <c r="Q45" s="1196" t="e">
        <f>QUARTILE(Q10:Q39,1)</f>
        <v>#NUM!</v>
      </c>
      <c r="R45" s="1197"/>
      <c r="S45" s="1198" t="e">
        <f>QUARTILE(S10:S40,1)</f>
        <v>#NUM!</v>
      </c>
      <c r="T45" s="1198" t="e">
        <f>QUARTILE(T10:T40,1)</f>
        <v>#VALUE!</v>
      </c>
      <c r="U45" s="1199" t="e">
        <f>QUARTILE(U10:U40,1)</f>
        <v>#VALUE!</v>
      </c>
      <c r="V45" s="1199" t="e">
        <f>QUARTILE(V10:V40,1)</f>
        <v>#VALUE!</v>
      </c>
      <c r="W45" s="1199" t="e">
        <f>QUARTILE(W10:W40,1)</f>
        <v>#VALUE!</v>
      </c>
      <c r="X45" s="944" t="e">
        <f>QUARTILE(X10:X39,1)</f>
        <v>#VALUE!</v>
      </c>
      <c r="Y45" s="1200" t="e">
        <f>QUARTILE(Y10:Y39,1)</f>
        <v>#NUM!</v>
      </c>
      <c r="AB45" s="1204" t="e">
        <f>IF(ROUND(AB42,3)=ROUND(AB43,3),"","Update Volatility - DLOM")</f>
        <v>#NUM!</v>
      </c>
      <c r="AC45" s="264"/>
      <c r="AD45" s="264"/>
      <c r="AE45" s="264"/>
      <c r="AF45" s="701"/>
    </row>
    <row r="46" spans="2:35" ht="14.85" customHeight="1">
      <c r="B46" s="946" t="s">
        <v>112</v>
      </c>
      <c r="C46" s="663"/>
      <c r="D46" s="672">
        <f t="shared" ref="D46:K46" si="17">MIN(D10:D39)</f>
        <v>7.2796900000000004</v>
      </c>
      <c r="E46" s="672">
        <f t="shared" si="17"/>
        <v>0</v>
      </c>
      <c r="F46" s="672">
        <f t="shared" si="17"/>
        <v>0</v>
      </c>
      <c r="G46" s="672">
        <f t="shared" si="17"/>
        <v>-4.5629999999999997E-2</v>
      </c>
      <c r="H46" s="672">
        <f t="shared" si="17"/>
        <v>0</v>
      </c>
      <c r="I46" s="672">
        <f t="shared" si="17"/>
        <v>0</v>
      </c>
      <c r="J46" s="672">
        <f t="shared" si="17"/>
        <v>9.1175599999999992</v>
      </c>
      <c r="K46" s="672" t="e">
        <f t="shared" si="17"/>
        <v>#VALUE!</v>
      </c>
      <c r="L46" s="663"/>
      <c r="M46" s="1048">
        <f>MIN(M10:M39)</f>
        <v>0</v>
      </c>
      <c r="N46" s="672" t="e">
        <f>MIN(N10:N39)</f>
        <v>#REF!</v>
      </c>
      <c r="O46" s="1205" t="e">
        <f>MIN(O10:O39)</f>
        <v>#REF!</v>
      </c>
      <c r="P46" s="1206"/>
      <c r="Q46" s="1207">
        <f>MIN(Q10:Q39)</f>
        <v>0</v>
      </c>
      <c r="R46" s="1208"/>
      <c r="S46" s="1209">
        <f>MIN(S10:S40)</f>
        <v>0</v>
      </c>
      <c r="T46" s="1209" t="e">
        <f>MIN(T10:T40)</f>
        <v>#VALUE!</v>
      </c>
      <c r="U46" s="1210" t="e">
        <f>MIN(U10:U40)</f>
        <v>#VALUE!</v>
      </c>
      <c r="V46" s="1210" t="e">
        <f>MIN(V10:V40)</f>
        <v>#VALUE!</v>
      </c>
      <c r="W46" s="1210" t="e">
        <f>MIN(W10:W40)</f>
        <v>#VALUE!</v>
      </c>
      <c r="X46" s="672" t="e">
        <f>MIN(X10:X39)</f>
        <v>#VALUE!</v>
      </c>
      <c r="Y46" s="1211">
        <f>MIN(Y10:Y39)</f>
        <v>0</v>
      </c>
      <c r="AB46" s="324" t="e">
        <f>IF(K48&lt;&gt;K50,"Check","")</f>
        <v>#REF!</v>
      </c>
    </row>
    <row r="47" spans="2:35" ht="14.85" customHeight="1">
      <c r="AB47" s="865" t="e">
        <f>IF(AND(AB44=$AF$45,AB46=$AF$45,AB45=$AF$45),"","Check")</f>
        <v>#REF!</v>
      </c>
    </row>
    <row r="48" spans="2:35" ht="14.85" customHeight="1">
      <c r="B48" s="1212" t="str">
        <f>B2</f>
        <v>Decibel Therapeutics, Inc.</v>
      </c>
      <c r="C48" s="1213" t="s">
        <v>260</v>
      </c>
      <c r="D48" s="1214"/>
      <c r="E48" s="1214"/>
      <c r="F48" s="1214"/>
      <c r="G48" s="1214"/>
      <c r="H48" s="1215" t="e">
        <f>-'Val Summ_Hybrid'!#REF!/1000</f>
        <v>#REF!</v>
      </c>
      <c r="I48" s="1216">
        <f>SUM(D48:G48)</f>
        <v>0</v>
      </c>
      <c r="J48" s="1214"/>
      <c r="K48" s="1215" t="e">
        <f>'Val Summ_Hybrid'!#REF!/1000</f>
        <v>#REF!</v>
      </c>
      <c r="L48" s="1214"/>
      <c r="M48" s="1217" t="e">
        <f>DLOM_OPM!#REF!</f>
        <v>#REF!</v>
      </c>
      <c r="N48" s="1218" t="e">
        <f>N$6</f>
        <v>#REF!</v>
      </c>
      <c r="O48" s="1219" t="e">
        <f>O$6</f>
        <v>#REF!</v>
      </c>
      <c r="P48" s="1220"/>
      <c r="Q48" s="1221">
        <v>0.31</v>
      </c>
      <c r="R48" s="1214"/>
      <c r="S48" s="1222">
        <f>IF(Q48="n/a","n/a",Q48^2)</f>
        <v>9.6100000000000005E-2</v>
      </c>
      <c r="T48" s="1222" t="e">
        <f>IF(OR(K48="n/a",S48="n/a"),"n/a",IF(H48=0,0,IF(M48=0,(LN(K48/H48)+((O48+(S48/2))*N48))/((S48*N48)^0.5),(LN(K48/H48)+((O48-M48+(S48/2))*N48))/((S48*N48)^0.5))))</f>
        <v>#REF!</v>
      </c>
      <c r="U48" s="1223" t="e">
        <f>IF(T48="n/a","n/a",IF(H48=0,0,T48-(S48*N48)^0.5))</f>
        <v>#REF!</v>
      </c>
      <c r="V48" s="1223" t="e">
        <f>IF(OR(T48="n/a",S48="n/a"),"n/a",IF(H48=0,0,NORMSDIST(T48)))</f>
        <v>#REF!</v>
      </c>
      <c r="W48" s="1223" t="e">
        <f>IF(OR(U48="n/a",S48="n/a"),"n/a",IF(H48=0,0,NORMSDIST(U48)))</f>
        <v>#REF!</v>
      </c>
      <c r="X48" s="1223" t="e">
        <f>IF(OR(K48="n/a",S48="n/a"),"n/a",IF(M48=0,(K48*V48)-((H48*EXP(1)^(-O48*N48))*W48),(K48*(2.718^(-M48*N48))*V48)-(H48*(2.718^(-O48*N48))*W48)))</f>
        <v>#REF!</v>
      </c>
      <c r="Y48" s="1224" t="e">
        <f>IF(LEN(B48)&gt;0,IF(H48=0,Q48,IF(ISERROR(Q48/((K48/X48)*V48)),"n/a",Q48/((K48/X48)*V48))))</f>
        <v>#REF!</v>
      </c>
    </row>
    <row r="49" spans="1:25" ht="14.85" customHeight="1"/>
    <row r="50" spans="1:25" ht="14.85" customHeight="1">
      <c r="B50" s="1212" t="str">
        <f>B48</f>
        <v>Decibel Therapeutics, Inc.</v>
      </c>
      <c r="C50" s="1213" t="s">
        <v>299</v>
      </c>
      <c r="D50" s="1214"/>
      <c r="E50" s="1214"/>
      <c r="F50" s="1214"/>
      <c r="G50" s="1214"/>
      <c r="H50" s="1215"/>
      <c r="I50" s="1230" t="e">
        <f>K50+J50</f>
        <v>#REF!</v>
      </c>
      <c r="J50" s="1214"/>
      <c r="K50" s="1225" t="e">
        <f>K48</f>
        <v>#REF!</v>
      </c>
      <c r="L50" s="1214"/>
      <c r="M50" s="1226" t="e">
        <f>M48</f>
        <v>#REF!</v>
      </c>
      <c r="N50" s="1218" t="e">
        <f>N$6</f>
        <v>#REF!</v>
      </c>
      <c r="O50" s="1219" t="e">
        <f>O$6</f>
        <v>#REF!</v>
      </c>
      <c r="P50" s="1220"/>
      <c r="Q50" s="1221">
        <v>0.31</v>
      </c>
      <c r="R50" s="1214"/>
      <c r="S50" s="1222">
        <f>IF(Q50="n/a","n/a",Q50^2)</f>
        <v>9.6100000000000005E-2</v>
      </c>
      <c r="T50" s="1222" t="e">
        <f>IF(OR(K50="n/a",S50="n/a"),"n/a",IF(H50=0,0,IF(M50=0,(LN(K50/H50)+((O50+(S50/2))*N50))/((S50*N50)^0.5),(LN(K50/H50)+((O50-M50+(S50/2))*N50))/((S50*N50)^0.5))))</f>
        <v>#REF!</v>
      </c>
      <c r="U50" s="1223" t="e">
        <f>IF(T50="n/a","n/a",IF(H50=0,0,T50-(S50*N50)^0.5))</f>
        <v>#REF!</v>
      </c>
      <c r="V50" s="1223" t="e">
        <f>IF(OR(T50="n/a",S50="n/a"),"n/a",IF(H50=0,0,NORMSDIST(T50)))</f>
        <v>#REF!</v>
      </c>
      <c r="W50" s="1223" t="e">
        <f>IF(OR(U50="n/a",S50="n/a"),"n/a",IF(H50=0,0,NORMSDIST(U50)))</f>
        <v>#REF!</v>
      </c>
      <c r="X50" s="1223" t="e">
        <f>IF(OR(K50="n/a",S50="n/a"),"n/a",IF(M50=0,(K50*V50)-((H50*EXP(1)^(-O50*N50))*W50),(K50*(2.718^(-M50*N50))*V50)-(H50*(2.718^(-O50*N50))*W50)))</f>
        <v>#REF!</v>
      </c>
      <c r="Y50" s="1224">
        <f>IF(LEN(B50)&gt;0,IF(H50=0,Q50,IF(ISERROR(Q50/((K50/X50)*V50)),"n/a",Q50/((K50/X50)*V50))))</f>
        <v>0.31</v>
      </c>
    </row>
    <row r="51" spans="1:25" ht="14.85" customHeight="1"/>
    <row r="52" spans="1:25" ht="14.85" customHeight="1">
      <c r="B52" s="272" t="s">
        <v>86</v>
      </c>
    </row>
    <row r="53" spans="1:25" ht="14.85" customHeight="1">
      <c r="A53" s="273" t="s">
        <v>261</v>
      </c>
      <c r="B53" s="202" t="s">
        <v>3230</v>
      </c>
    </row>
    <row r="54" spans="1:25" s="275" customFormat="1" ht="14.85" customHeight="1">
      <c r="A54" s="1227" t="s">
        <v>260</v>
      </c>
      <c r="B54" s="1228" t="s">
        <v>961</v>
      </c>
      <c r="P54" s="1229"/>
    </row>
    <row r="55" spans="1:25" s="275" customFormat="1" ht="14.85" customHeight="1">
      <c r="A55" s="1227" t="s">
        <v>299</v>
      </c>
      <c r="B55" s="1228" t="s">
        <v>962</v>
      </c>
      <c r="P55" s="1229"/>
    </row>
    <row r="56" spans="1:25" ht="14.85" customHeight="1"/>
    <row r="57" spans="1:25" ht="14.85" customHeight="1">
      <c r="B57" s="272" t="s">
        <v>116</v>
      </c>
    </row>
    <row r="58" spans="1:25" ht="14.85" customHeight="1"/>
    <row r="59" spans="1:25" ht="14.85" customHeight="1">
      <c r="B59" s="179" t="s">
        <v>1650</v>
      </c>
    </row>
    <row r="60" spans="1:25" ht="14.85" customHeight="1">
      <c r="B60" s="179" t="s">
        <v>1651</v>
      </c>
    </row>
    <row r="61" spans="1:25" ht="14.85" customHeight="1">
      <c r="B61" s="179" t="s">
        <v>1652</v>
      </c>
    </row>
    <row r="62" spans="1:25" ht="14.85" customHeight="1">
      <c r="B62" s="179" t="s">
        <v>1653</v>
      </c>
    </row>
    <row r="63" spans="1:25" ht="14.85" customHeight="1">
      <c r="B63" s="179" t="s">
        <v>1654</v>
      </c>
    </row>
    <row r="64" spans="1:25" ht="14.85" customHeight="1">
      <c r="B64" s="179" t="s">
        <v>1655</v>
      </c>
    </row>
    <row r="65" spans="2:2" ht="14.85" customHeight="1">
      <c r="B65" s="179" t="s">
        <v>1656</v>
      </c>
    </row>
    <row r="66" spans="2:2" ht="14.85" customHeight="1"/>
    <row r="67" spans="2:2" ht="14.85" customHeight="1">
      <c r="B67" s="179" t="s">
        <v>1657</v>
      </c>
    </row>
    <row r="68" spans="2:2" ht="14.85" customHeight="1">
      <c r="B68" s="179" t="s">
        <v>1658</v>
      </c>
    </row>
    <row r="69" spans="2:2" ht="14.85" customHeight="1">
      <c r="B69" s="179" t="s">
        <v>1659</v>
      </c>
    </row>
    <row r="70" spans="2:2" ht="14.85" customHeight="1">
      <c r="B70" s="179" t="s">
        <v>1660</v>
      </c>
    </row>
    <row r="71" spans="2:2" ht="14.85" customHeight="1">
      <c r="B71" s="179" t="s">
        <v>1661</v>
      </c>
    </row>
    <row r="72" spans="2:2" ht="14.85" customHeight="1">
      <c r="B72" s="179" t="s">
        <v>1662</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37" priority="9" operator="equal">
      <formula>"(Invalid Identifier)"</formula>
    </cfRule>
  </conditionalFormatting>
  <conditionalFormatting sqref="C4:I4">
    <cfRule type="cellIs" dxfId="36" priority="8" stopIfTrue="1" operator="equal">
      <formula>"input"</formula>
    </cfRule>
  </conditionalFormatting>
  <conditionalFormatting sqref="J4">
    <cfRule type="cellIs" dxfId="35" priority="6" stopIfTrue="1" operator="equal">
      <formula>"input"</formula>
    </cfRule>
  </conditionalFormatting>
  <conditionalFormatting sqref="J4">
    <cfRule type="cellIs" dxfId="34" priority="7" stopIfTrue="1" operator="equal">
      <formula>"input"</formula>
    </cfRule>
  </conditionalFormatting>
  <conditionalFormatting sqref="K4:X4">
    <cfRule type="cellIs" dxfId="33" priority="4" stopIfTrue="1" operator="equal">
      <formula>"input"</formula>
    </cfRule>
  </conditionalFormatting>
  <conditionalFormatting sqref="K4:X4">
    <cfRule type="cellIs" dxfId="32" priority="5" stopIfTrue="1" operator="equal">
      <formula>"input"</formula>
    </cfRule>
  </conditionalFormatting>
  <conditionalFormatting sqref="Y4">
    <cfRule type="cellIs" dxfId="31" priority="2" stopIfTrue="1" operator="equal">
      <formula>"input"</formula>
    </cfRule>
  </conditionalFormatting>
  <conditionalFormatting sqref="Y4">
    <cfRule type="cellIs" dxfId="30" priority="3" stopIfTrue="1" operator="equal">
      <formula>"input"</formula>
    </cfRule>
  </conditionalFormatting>
  <conditionalFormatting sqref="B4">
    <cfRule type="cellIs" dxfId="29" priority="1" stopIfTrue="1" operator="equal">
      <formula>"input"</formula>
    </cfRule>
  </conditionalFormatting>
  <pageMargins left="0.5" right="0.5" top="0.5" bottom="0.5" header="0.5" footer="0.5"/>
  <pageSetup scale="71" fitToWidth="0" fitToHeight="0" orientation="landscape" r:id="rId1"/>
  <rowBreaks count="1" manualBreakCount="1">
    <brk id="51" max="25" man="1"/>
  </rowBreaks>
  <legacyDrawing r:id="rId2"/>
  <legacyDrawingHF r:id="rId3"/>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72"/>
  <dimension ref="A1:AI764"/>
  <sheetViews>
    <sheetView showGridLines="0" view="pageBreakPreview" zoomScale="80" zoomScaleNormal="100" zoomScaleSheetLayoutView="80" workbookViewId="0">
      <selection activeCell="N6" sqref="N6"/>
    </sheetView>
  </sheetViews>
  <sheetFormatPr defaultRowHeight="12.75" outlineLevelRow="1" outlineLevelCol="1"/>
  <cols>
    <col min="1" max="1" width="4.5" style="179" customWidth="1"/>
    <col min="2" max="2" width="42.1640625" style="179" customWidth="1"/>
    <col min="3" max="3" width="3.5" style="179" customWidth="1"/>
    <col min="4" max="4" width="13.1640625" style="179" customWidth="1"/>
    <col min="5" max="5" width="10.83203125" style="179" hidden="1" customWidth="1" outlineLevel="1"/>
    <col min="6" max="7" width="9.83203125" style="179" hidden="1" customWidth="1" outlineLevel="1"/>
    <col min="8" max="8" width="12.83203125" style="179" customWidth="1" collapsed="1"/>
    <col min="9" max="11" width="12.83203125" style="179" customWidth="1"/>
    <col min="12" max="12" width="2.83203125" style="179" customWidth="1"/>
    <col min="13" max="15" width="12.83203125" style="179" customWidth="1"/>
    <col min="16" max="16" width="2.83203125" style="549" customWidth="1"/>
    <col min="17" max="17" width="12.83203125" style="179" customWidth="1"/>
    <col min="18" max="18" width="2.83203125" style="179" customWidth="1"/>
    <col min="19" max="19" width="11.6640625" style="179" hidden="1" customWidth="1" outlineLevel="1"/>
    <col min="20" max="23" width="8.83203125" style="179" hidden="1" customWidth="1" outlineLevel="1"/>
    <col min="24" max="24" width="12.83203125" style="179" customWidth="1" collapsed="1"/>
    <col min="25" max="25" width="12.83203125" style="179" customWidth="1"/>
    <col min="26" max="26" width="4.5" style="179" customWidth="1"/>
    <col min="27" max="27" width="17.5" style="179" bestFit="1" customWidth="1"/>
    <col min="28" max="28" width="14.33203125" style="179" bestFit="1" customWidth="1"/>
    <col min="29" max="29" width="9.6640625" style="179" bestFit="1" customWidth="1"/>
    <col min="30" max="30" width="10.1640625" style="179" bestFit="1" customWidth="1"/>
    <col min="31" max="16384" width="9.33203125" style="179"/>
  </cols>
  <sheetData>
    <row r="1" spans="2:35" ht="10.7" customHeight="1" thickBot="1">
      <c r="P1" s="179"/>
    </row>
    <row r="2" spans="2:35"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X2" s="187"/>
      <c r="Y2" s="187"/>
      <c r="AA2" s="909" t="s">
        <v>87</v>
      </c>
      <c r="AB2" s="910">
        <f>+'Comp.1'!$AL$2</f>
        <v>43245</v>
      </c>
    </row>
    <row r="3" spans="2:35" ht="15.75" customHeight="1">
      <c r="B3" s="188" t="e">
        <f>VLOOKUP(B4,Outline!$E$8:$G$75,COLUMNS(Outline!$E$8:$G$8),FALSE)</f>
        <v>#REF!</v>
      </c>
      <c r="C3" s="188"/>
      <c r="D3" s="188"/>
      <c r="E3" s="188"/>
      <c r="F3" s="188"/>
      <c r="G3" s="188"/>
      <c r="H3" s="188"/>
      <c r="I3" s="188"/>
      <c r="J3" s="188"/>
      <c r="K3" s="188"/>
      <c r="L3" s="188"/>
      <c r="M3" s="188"/>
      <c r="N3" s="188"/>
      <c r="O3" s="188"/>
      <c r="P3" s="188"/>
      <c r="Q3" s="188"/>
      <c r="R3" s="188"/>
      <c r="S3" s="188"/>
      <c r="T3" s="188"/>
      <c r="U3" s="188"/>
      <c r="V3" s="188"/>
      <c r="W3" s="188"/>
      <c r="X3" s="188"/>
      <c r="Y3" s="188"/>
      <c r="AA3" s="911" t="s">
        <v>462</v>
      </c>
      <c r="AB3" s="912" t="str">
        <f>+'Comp.1'!$AL$3</f>
        <v>F</v>
      </c>
    </row>
    <row r="4" spans="2:35" ht="16.5" customHeight="1" thickBot="1">
      <c r="B4" s="726" t="e">
        <f>"Asset Volatility - "&amp;TEXT(DLOM_OPM!#REF!,"")</f>
        <v>#REF!</v>
      </c>
      <c r="C4" s="726"/>
      <c r="D4" s="726"/>
      <c r="E4" s="726"/>
      <c r="F4" s="726"/>
      <c r="G4" s="726"/>
      <c r="H4" s="726"/>
      <c r="I4" s="726"/>
      <c r="J4" s="727"/>
      <c r="K4" s="727"/>
      <c r="L4" s="727"/>
      <c r="M4" s="727"/>
      <c r="N4" s="727"/>
      <c r="O4" s="727"/>
      <c r="P4" s="727"/>
      <c r="Q4" s="727"/>
      <c r="R4" s="727"/>
      <c r="S4" s="727"/>
      <c r="T4" s="727"/>
      <c r="U4" s="727"/>
      <c r="V4" s="727"/>
      <c r="W4" s="727"/>
      <c r="X4" s="727"/>
      <c r="Y4" s="727" t="str">
        <f>+'MASTER PubCo Inputs'!$C$24</f>
        <v>(in millions of USD)</v>
      </c>
      <c r="AA4" s="911" t="s">
        <v>463</v>
      </c>
      <c r="AB4" s="912" t="str">
        <f>+'Comp.1'!$AL$4</f>
        <v>USD</v>
      </c>
    </row>
    <row r="5" spans="2:35" ht="14.85" customHeight="1" thickTop="1">
      <c r="B5" s="549"/>
      <c r="AA5" s="378" t="s">
        <v>89</v>
      </c>
      <c r="AB5" s="913" t="str">
        <f>+'Comp.1'!$AL$5</f>
        <v>H</v>
      </c>
    </row>
    <row r="6" spans="2:35" ht="14.85" customHeight="1" outlineLevel="1">
      <c r="N6" s="551" t="e">
        <f>DLOM_OPM!#REF!</f>
        <v>#REF!</v>
      </c>
      <c r="O6" s="554" t="e">
        <f>'Risk-Free Rates_Hybrid'!#REF!</f>
        <v>#REF!</v>
      </c>
      <c r="Q6" s="263" t="e">
        <f>HLOOKUP(ROUND(N6,0),'Equity Vol'!$D$8:$K$8,1,TRUE)</f>
        <v>#REF!</v>
      </c>
    </row>
    <row r="7" spans="2:35" ht="14.85" customHeight="1">
      <c r="D7" s="1169" t="s">
        <v>91</v>
      </c>
      <c r="E7" s="1170"/>
      <c r="F7" s="1170"/>
      <c r="G7" s="1170"/>
      <c r="H7" s="1170"/>
      <c r="I7" s="1170"/>
      <c r="J7" s="1170"/>
      <c r="K7" s="1171"/>
      <c r="M7" s="1169" t="s">
        <v>92</v>
      </c>
      <c r="N7" s="1170"/>
      <c r="O7" s="1170"/>
      <c r="P7" s="1172"/>
      <c r="Q7" s="1171"/>
      <c r="S7" s="1169" t="s">
        <v>93</v>
      </c>
      <c r="T7" s="1170"/>
      <c r="U7" s="1170"/>
      <c r="V7" s="1170"/>
      <c r="W7" s="1170"/>
      <c r="X7" s="1173" t="s">
        <v>93</v>
      </c>
      <c r="Y7" s="1174"/>
    </row>
    <row r="8" spans="2:35" s="200" customFormat="1" ht="42.75" customHeight="1">
      <c r="B8" s="1175" t="s">
        <v>733</v>
      </c>
      <c r="D8" s="1176" t="s">
        <v>94</v>
      </c>
      <c r="E8" s="1177" t="s">
        <v>95</v>
      </c>
      <c r="F8" s="1177" t="s">
        <v>96</v>
      </c>
      <c r="G8" s="1177" t="s">
        <v>97</v>
      </c>
      <c r="H8" s="1177" t="s">
        <v>98</v>
      </c>
      <c r="I8" s="1177" t="s">
        <v>99</v>
      </c>
      <c r="J8" s="1177" t="s">
        <v>100</v>
      </c>
      <c r="K8" s="1178" t="s">
        <v>101</v>
      </c>
      <c r="L8" s="265"/>
      <c r="M8" s="1176" t="s">
        <v>73</v>
      </c>
      <c r="N8" s="1177" t="s">
        <v>102</v>
      </c>
      <c r="O8" s="1178" t="s">
        <v>72</v>
      </c>
      <c r="P8" s="1016"/>
      <c r="Q8" s="1179" t="s">
        <v>103</v>
      </c>
      <c r="R8" s="1016"/>
      <c r="S8" s="1176" t="s">
        <v>104</v>
      </c>
      <c r="T8" s="1177" t="s">
        <v>84</v>
      </c>
      <c r="U8" s="1177" t="s">
        <v>85</v>
      </c>
      <c r="V8" s="1177" t="s">
        <v>105</v>
      </c>
      <c r="W8" s="1177" t="s">
        <v>106</v>
      </c>
      <c r="X8" s="1017" t="s">
        <v>107</v>
      </c>
      <c r="Y8" s="1178" t="s">
        <v>3229</v>
      </c>
      <c r="AA8" s="562" t="s">
        <v>108</v>
      </c>
      <c r="AB8" s="454" t="s">
        <v>109</v>
      </c>
      <c r="AC8" s="454" t="s">
        <v>110</v>
      </c>
      <c r="AD8" s="1180"/>
    </row>
    <row r="9" spans="2:35" ht="14.85" customHeight="1"/>
    <row r="10" spans="2:35" ht="14.85" customHeight="1">
      <c r="B10" s="179" t="str">
        <f>'Comp.1'!B12</f>
        <v>Editas Medicine, Inc.</v>
      </c>
      <c r="D10" s="255">
        <f>'Beta Calc'!K10</f>
        <v>1705.3104800000001</v>
      </c>
      <c r="E10" s="255">
        <f>'Beta Calc'!L10</f>
        <v>33.19</v>
      </c>
      <c r="F10" s="255" t="str">
        <f>'Beta Calc'!M10</f>
        <v>n/a</v>
      </c>
      <c r="G10" s="255" t="str">
        <f>'Beta Calc'!N10</f>
        <v>n/a</v>
      </c>
      <c r="H10" s="255">
        <f>SUM(E10:G10)</f>
        <v>33.19</v>
      </c>
      <c r="I10" s="255">
        <f>SUM(D10:G10)</f>
        <v>1738.5004800000002</v>
      </c>
      <c r="J10" s="255">
        <f>'Beta Calc'!Q10</f>
        <v>358.82100000000003</v>
      </c>
      <c r="K10" s="255">
        <f>I10-J10</f>
        <v>1379.6794800000002</v>
      </c>
      <c r="M10" s="384">
        <f>IFERROR('Capital IQ Sheet-GPC'!AT13,"n/a")</f>
        <v>0</v>
      </c>
      <c r="N10" s="255" t="e">
        <f t="shared" ref="N10:O39" si="0">N$6</f>
        <v>#REF!</v>
      </c>
      <c r="O10" s="1181" t="e">
        <f t="shared" si="0"/>
        <v>#REF!</v>
      </c>
      <c r="P10" s="1162"/>
      <c r="Q10" s="1182" t="str">
        <f>IFERROR(HLOOKUP($Q$6,'Equity Vol'!$B$8:$K10,ROWS('Equity Vol'!$C$8:$C10),FALSE),"n/a")</f>
        <v>n/a</v>
      </c>
      <c r="R10" s="303"/>
      <c r="S10" s="1183" t="str">
        <f>IFERROR(IF(Q10="n/a","n/a",Q10^2),"n/a")</f>
        <v>n/a</v>
      </c>
      <c r="T10" s="1183" t="str">
        <f t="shared" ref="T10:T39" si="1">IF(OR(K10="n/a",S10="n/a"),"n/a",IF(H10=0,0,IF(M10=0,(LN(K10/H10)+((O10+(S10/2))*N10))/((S10*N10)^0.5),(LN(K10/H10)+((O10-M10+(S10/2))*N10))/((S10*N10)^0.5))))</f>
        <v>n/a</v>
      </c>
      <c r="U10" s="1184" t="str">
        <f t="shared" ref="U10:U39" si="2">IF(T10="n/a","n/a",IF(H10=0,0,T10-(S10*N10)^0.5))</f>
        <v>n/a</v>
      </c>
      <c r="V10" s="1184" t="str">
        <f t="shared" ref="V10:V39" si="3">IF(OR(T10="n/a",S10="n/a"),"n/a",IF(H10=0,0,NORMSDIST(T10)))</f>
        <v>n/a</v>
      </c>
      <c r="W10" s="1184" t="str">
        <f t="shared" ref="W10:W39" si="4">IF(OR(U10="n/a",S10="n/a"),"n/a",IF(H10=0,0,NORMSDIST(U10)))</f>
        <v>n/a</v>
      </c>
      <c r="X10" s="576" t="str">
        <f t="shared" ref="X10:X39" si="5">IF(OR(K10="n/a",S10="n/a"),"n/a",IF(M10=0,(K10*V10)-((H10*EXP(1)^(-O10*N10))*W10),(K10*(2.718^(-M10*N10))*V10)-(H10*(2.718^(-O10*N10))*W10)))</f>
        <v>n/a</v>
      </c>
      <c r="Y10" s="1182" t="str">
        <f>IFERROR(IF(LEN(B10)&gt;0,IF(H10=0,Q10,IF(ISERROR(Q10/((K10/X10)*V10)),"n/a",Q10/((K10/X10)*V10)))),"n/a")</f>
        <v>n/a</v>
      </c>
      <c r="AA10" s="932" t="str">
        <f>IF('MASTER PubCo Inputs'!B28=0,"",'MASTER PubCo Inputs'!B28)</f>
        <v>NasdaqGS:EDIT</v>
      </c>
      <c r="AB10" s="255">
        <f>'Beta Calc'!Z10</f>
        <v>1379.67948</v>
      </c>
      <c r="AC10" s="933">
        <f t="shared" ref="AC10:AC39" si="6">K10-AB10</f>
        <v>0</v>
      </c>
      <c r="AI10" s="934"/>
    </row>
    <row r="11" spans="2:35" ht="14.85" customHeight="1">
      <c r="B11" s="179" t="str">
        <f>'Comp.1'!B13</f>
        <v>Oxford BioMedica plc</v>
      </c>
      <c r="D11" s="255">
        <f>'Beta Calc'!K11</f>
        <v>655.68985999999995</v>
      </c>
      <c r="E11" s="255">
        <f>'Beta Calc'!L11</f>
        <v>49.826320000000003</v>
      </c>
      <c r="F11" s="255" t="str">
        <f>'Beta Calc'!M11</f>
        <v>n/a</v>
      </c>
      <c r="G11" s="255" t="str">
        <f>'Beta Calc'!N11</f>
        <v>n/a</v>
      </c>
      <c r="H11" s="255">
        <f t="shared" ref="H11:H39" si="7">SUM(E11:G11)</f>
        <v>49.826320000000003</v>
      </c>
      <c r="I11" s="255">
        <f t="shared" ref="I11:I39" si="8">SUM(D11:G11)</f>
        <v>705.51617999999996</v>
      </c>
      <c r="J11" s="255">
        <f>'Beta Calc'!Q11</f>
        <v>19.367439999999998</v>
      </c>
      <c r="K11" s="255">
        <f t="shared" ref="K11:K39" si="9">I11-J11</f>
        <v>686.14873999999998</v>
      </c>
      <c r="M11" s="384">
        <f>IFERROR('Capital IQ Sheet-GPC'!AT14,"n/a")</f>
        <v>0</v>
      </c>
      <c r="N11" s="255" t="e">
        <f t="shared" si="0"/>
        <v>#REF!</v>
      </c>
      <c r="O11" s="1181" t="e">
        <f t="shared" si="0"/>
        <v>#REF!</v>
      </c>
      <c r="P11" s="1162"/>
      <c r="Q11" s="1182" t="str">
        <f>IFERROR(HLOOKUP($Q$6,'Equity Vol'!$B$8:$K11,ROWS('Equity Vol'!$C$8:$C11),FALSE),"n/a")</f>
        <v>n/a</v>
      </c>
      <c r="R11" s="303"/>
      <c r="S11" s="1183" t="str">
        <f t="shared" ref="S11:S39" si="10">IFERROR(IF(Q11="n/a","n/a",Q11^2),"n/a")</f>
        <v>n/a</v>
      </c>
      <c r="T11" s="1183" t="str">
        <f t="shared" si="1"/>
        <v>n/a</v>
      </c>
      <c r="U11" s="1184" t="str">
        <f t="shared" si="2"/>
        <v>n/a</v>
      </c>
      <c r="V11" s="1184" t="str">
        <f t="shared" si="3"/>
        <v>n/a</v>
      </c>
      <c r="W11" s="1184" t="str">
        <f t="shared" si="4"/>
        <v>n/a</v>
      </c>
      <c r="X11" s="576" t="str">
        <f t="shared" si="5"/>
        <v>n/a</v>
      </c>
      <c r="Y11" s="1182" t="str">
        <f t="shared" ref="Y11:Y39" si="11">IFERROR(IF(LEN(B11)&gt;0,IF(H11=0,Q11,IF(ISERROR(Q11/((K11/X11)*V11)),"n/a",Q11/((K11/X11)*V11)))),"n/a")</f>
        <v>n/a</v>
      </c>
      <c r="AA11" s="932" t="str">
        <f>IF('MASTER PubCo Inputs'!B29=0,"",'MASTER PubCo Inputs'!B29)</f>
        <v>LSE:OXB</v>
      </c>
      <c r="AB11" s="255">
        <f>'Beta Calc'!Z11</f>
        <v>685.68294000000003</v>
      </c>
      <c r="AC11" s="933">
        <f t="shared" si="6"/>
        <v>0.4657999999999447</v>
      </c>
      <c r="AI11" s="934"/>
    </row>
    <row r="12" spans="2:35" ht="14.85" customHeight="1">
      <c r="B12" s="179" t="str">
        <f>'Comp.1'!B14</f>
        <v>Fennec Pharmaceuticals Inc.</v>
      </c>
      <c r="D12" s="255">
        <f>'Beta Calc'!K12</f>
        <v>205.66506000000001</v>
      </c>
      <c r="E12" s="255">
        <f>'Beta Calc'!L12</f>
        <v>0</v>
      </c>
      <c r="F12" s="255" t="str">
        <f>'Beta Calc'!M12</f>
        <v>n/a</v>
      </c>
      <c r="G12" s="255" t="str">
        <f>'Beta Calc'!N12</f>
        <v>n/a</v>
      </c>
      <c r="H12" s="255">
        <f t="shared" si="7"/>
        <v>0</v>
      </c>
      <c r="I12" s="255">
        <f t="shared" si="8"/>
        <v>205.66506000000001</v>
      </c>
      <c r="J12" s="255">
        <f>'Beta Calc'!Q12</f>
        <v>26.719000000000001</v>
      </c>
      <c r="K12" s="255">
        <f t="shared" si="9"/>
        <v>178.94606000000002</v>
      </c>
      <c r="M12" s="384">
        <f>IFERROR('Capital IQ Sheet-GPC'!AT15,"n/a")</f>
        <v>0</v>
      </c>
      <c r="N12" s="255" t="e">
        <f t="shared" si="0"/>
        <v>#REF!</v>
      </c>
      <c r="O12" s="1181" t="e">
        <f t="shared" si="0"/>
        <v>#REF!</v>
      </c>
      <c r="P12" s="1162"/>
      <c r="Q12" s="1182" t="str">
        <f>IFERROR(HLOOKUP($Q$6,'Equity Vol'!$B$8:$K12,ROWS('Equity Vol'!$C$8:$C12),FALSE),"n/a")</f>
        <v>n/a</v>
      </c>
      <c r="R12" s="303"/>
      <c r="S12" s="1183" t="str">
        <f t="shared" si="10"/>
        <v>n/a</v>
      </c>
      <c r="T12" s="1183" t="str">
        <f t="shared" si="1"/>
        <v>n/a</v>
      </c>
      <c r="U12" s="1184" t="str">
        <f t="shared" si="2"/>
        <v>n/a</v>
      </c>
      <c r="V12" s="1184" t="str">
        <f t="shared" si="3"/>
        <v>n/a</v>
      </c>
      <c r="W12" s="1184" t="str">
        <f t="shared" si="4"/>
        <v>n/a</v>
      </c>
      <c r="X12" s="576" t="str">
        <f t="shared" si="5"/>
        <v>n/a</v>
      </c>
      <c r="Y12" s="1182" t="str">
        <f t="shared" si="11"/>
        <v>n/a</v>
      </c>
      <c r="AA12" s="932" t="str">
        <f>IF('MASTER PubCo Inputs'!B30=0,"",'MASTER PubCo Inputs'!B30)</f>
        <v>NasdaqCM:FENC</v>
      </c>
      <c r="AB12" s="255">
        <f>'Beta Calc'!Z12</f>
        <v>178.94605999999999</v>
      </c>
      <c r="AC12" s="933">
        <f t="shared" si="6"/>
        <v>0</v>
      </c>
      <c r="AI12" s="934"/>
    </row>
    <row r="13" spans="2:35" ht="14.85" customHeight="1">
      <c r="B13" s="179" t="str">
        <f>'Comp.1'!B15</f>
        <v>ProQR Therapeutics N.V.</v>
      </c>
      <c r="D13" s="255">
        <f>'Beta Calc'!K13</f>
        <v>188.339</v>
      </c>
      <c r="E13" s="255">
        <f>'Beta Calc'!L13</f>
        <v>8.6983700000000006</v>
      </c>
      <c r="F13" s="255" t="str">
        <f>'Beta Calc'!M13</f>
        <v>n/a</v>
      </c>
      <c r="G13" s="255">
        <f>'Beta Calc'!N13</f>
        <v>-4.5629999999999997E-2</v>
      </c>
      <c r="H13" s="255">
        <f t="shared" si="7"/>
        <v>8.6527400000000014</v>
      </c>
      <c r="I13" s="255">
        <f t="shared" si="8"/>
        <v>196.99174000000002</v>
      </c>
      <c r="J13" s="255">
        <f>'Beta Calc'!Q13</f>
        <v>57.755760000000002</v>
      </c>
      <c r="K13" s="255">
        <f t="shared" si="9"/>
        <v>139.23598000000001</v>
      </c>
      <c r="M13" s="384">
        <f>IFERROR('Capital IQ Sheet-GPC'!AT16,"n/a")</f>
        <v>0</v>
      </c>
      <c r="N13" s="255" t="e">
        <f t="shared" si="0"/>
        <v>#REF!</v>
      </c>
      <c r="O13" s="1181" t="e">
        <f t="shared" si="0"/>
        <v>#REF!</v>
      </c>
      <c r="P13" s="1162"/>
      <c r="Q13" s="1182" t="str">
        <f>IFERROR(HLOOKUP($Q$6,'Equity Vol'!$B$8:$K13,ROWS('Equity Vol'!$C$8:$C13),FALSE),"n/a")</f>
        <v>n/a</v>
      </c>
      <c r="R13" s="303"/>
      <c r="S13" s="1183" t="str">
        <f t="shared" si="10"/>
        <v>n/a</v>
      </c>
      <c r="T13" s="1183" t="str">
        <f t="shared" si="1"/>
        <v>n/a</v>
      </c>
      <c r="U13" s="1184" t="str">
        <f t="shared" si="2"/>
        <v>n/a</v>
      </c>
      <c r="V13" s="1184" t="str">
        <f t="shared" si="3"/>
        <v>n/a</v>
      </c>
      <c r="W13" s="1184" t="str">
        <f t="shared" si="4"/>
        <v>n/a</v>
      </c>
      <c r="X13" s="576" t="str">
        <f t="shared" si="5"/>
        <v>n/a</v>
      </c>
      <c r="Y13" s="1182" t="str">
        <f t="shared" si="11"/>
        <v>n/a</v>
      </c>
      <c r="AA13" s="932" t="str">
        <f>IF('MASTER PubCo Inputs'!B31=0,"",'MASTER PubCo Inputs'!B31)</f>
        <v>NasdaqGM:PRQR</v>
      </c>
      <c r="AB13" s="255">
        <f>'Beta Calc'!Z13</f>
        <v>150.9237</v>
      </c>
      <c r="AC13" s="933">
        <f t="shared" si="6"/>
        <v>-11.687719999999985</v>
      </c>
      <c r="AI13" s="934"/>
    </row>
    <row r="14" spans="2:35" ht="14.85" customHeight="1">
      <c r="B14" s="179" t="str">
        <f>'Comp.1'!B16</f>
        <v>Genkyotex SA</v>
      </c>
      <c r="D14" s="255">
        <f>'Beta Calc'!K14</f>
        <v>138.52769000000001</v>
      </c>
      <c r="E14" s="255">
        <f>'Beta Calc'!L14</f>
        <v>0.48391000000000001</v>
      </c>
      <c r="F14" s="255" t="str">
        <f>'Beta Calc'!M14</f>
        <v>n/a</v>
      </c>
      <c r="G14" s="255" t="str">
        <f>'Beta Calc'!N14</f>
        <v>n/a</v>
      </c>
      <c r="H14" s="255">
        <f t="shared" si="7"/>
        <v>0.48391000000000001</v>
      </c>
      <c r="I14" s="255">
        <f t="shared" si="8"/>
        <v>139.01160000000002</v>
      </c>
      <c r="J14" s="255">
        <f>'Beta Calc'!Q14</f>
        <v>13.622719999999999</v>
      </c>
      <c r="K14" s="255">
        <f t="shared" si="9"/>
        <v>125.38888000000001</v>
      </c>
      <c r="M14" s="384">
        <f>IFERROR('Capital IQ Sheet-GPC'!AT17,"n/a")</f>
        <v>0</v>
      </c>
      <c r="N14" s="255" t="e">
        <f t="shared" si="0"/>
        <v>#REF!</v>
      </c>
      <c r="O14" s="1181" t="e">
        <f t="shared" si="0"/>
        <v>#REF!</v>
      </c>
      <c r="P14" s="1162"/>
      <c r="Q14" s="1182" t="str">
        <f>IFERROR(HLOOKUP($Q$6,'Equity Vol'!$B$8:$K14,ROWS('Equity Vol'!$C$8:$C14),FALSE),"n/a")</f>
        <v>n/a</v>
      </c>
      <c r="R14" s="303"/>
      <c r="S14" s="1183" t="str">
        <f t="shared" si="10"/>
        <v>n/a</v>
      </c>
      <c r="T14" s="1183" t="str">
        <f t="shared" si="1"/>
        <v>n/a</v>
      </c>
      <c r="U14" s="1184" t="str">
        <f t="shared" si="2"/>
        <v>n/a</v>
      </c>
      <c r="V14" s="1184" t="str">
        <f t="shared" si="3"/>
        <v>n/a</v>
      </c>
      <c r="W14" s="1184" t="str">
        <f t="shared" si="4"/>
        <v>n/a</v>
      </c>
      <c r="X14" s="576" t="str">
        <f t="shared" si="5"/>
        <v>n/a</v>
      </c>
      <c r="Y14" s="1182" t="str">
        <f t="shared" si="11"/>
        <v>n/a</v>
      </c>
      <c r="AA14" s="932" t="str">
        <f>IF('MASTER PubCo Inputs'!B32=0,"",'MASTER PubCo Inputs'!B32)</f>
        <v>ENXTPA:GKTX</v>
      </c>
      <c r="AB14" s="255">
        <f>'Beta Calc'!Z14</f>
        <v>125.77329</v>
      </c>
      <c r="AC14" s="933">
        <f t="shared" si="6"/>
        <v>-0.38440999999998837</v>
      </c>
      <c r="AI14" s="934"/>
    </row>
    <row r="15" spans="2:35" ht="14.85" customHeight="1">
      <c r="B15" s="179" t="str">
        <f>'Comp.1'!B17</f>
        <v>Novus Therapeutics, Inc.</v>
      </c>
      <c r="D15" s="255">
        <f>'Beta Calc'!K15</f>
        <v>74.033280000000005</v>
      </c>
      <c r="E15" s="255">
        <f>'Beta Calc'!L15</f>
        <v>0</v>
      </c>
      <c r="F15" s="255" t="str">
        <f>'Beta Calc'!M15</f>
        <v>n/a</v>
      </c>
      <c r="G15" s="255" t="str">
        <f>'Beta Calc'!N15</f>
        <v>n/a</v>
      </c>
      <c r="H15" s="255">
        <f t="shared" si="7"/>
        <v>0</v>
      </c>
      <c r="I15" s="255">
        <f t="shared" si="8"/>
        <v>74.033280000000005</v>
      </c>
      <c r="J15" s="255">
        <f>'Beta Calc'!Q15</f>
        <v>22.523</v>
      </c>
      <c r="K15" s="255">
        <f t="shared" si="9"/>
        <v>51.510280000000009</v>
      </c>
      <c r="M15" s="384">
        <f>IFERROR('Capital IQ Sheet-GPC'!AT18,"n/a")</f>
        <v>0</v>
      </c>
      <c r="N15" s="255" t="e">
        <f t="shared" si="0"/>
        <v>#REF!</v>
      </c>
      <c r="O15" s="1181" t="e">
        <f t="shared" si="0"/>
        <v>#REF!</v>
      </c>
      <c r="P15" s="1162"/>
      <c r="Q15" s="1182" t="str">
        <f>IFERROR(HLOOKUP($Q$6,'Equity Vol'!$B$8:$K18,ROWS('Equity Vol'!$C$8:$C18),FALSE),"n/a")</f>
        <v>n/a</v>
      </c>
      <c r="R15" s="303"/>
      <c r="S15" s="1183" t="str">
        <f t="shared" si="10"/>
        <v>n/a</v>
      </c>
      <c r="T15" s="1183" t="str">
        <f t="shared" si="1"/>
        <v>n/a</v>
      </c>
      <c r="U15" s="1184" t="str">
        <f t="shared" si="2"/>
        <v>n/a</v>
      </c>
      <c r="V15" s="1184" t="str">
        <f t="shared" si="3"/>
        <v>n/a</v>
      </c>
      <c r="W15" s="1184" t="str">
        <f t="shared" si="4"/>
        <v>n/a</v>
      </c>
      <c r="X15" s="576" t="str">
        <f t="shared" si="5"/>
        <v>n/a</v>
      </c>
      <c r="Y15" s="1182" t="str">
        <f t="shared" si="11"/>
        <v>n/a</v>
      </c>
      <c r="AA15" s="932" t="str">
        <f>IF('MASTER PubCo Inputs'!B33=0,"",'MASTER PubCo Inputs'!B33)</f>
        <v>NasdaqCM:NVUS</v>
      </c>
      <c r="AB15" s="255">
        <f>'Beta Calc'!Z15</f>
        <v>51.510280000000002</v>
      </c>
      <c r="AC15" s="933">
        <f t="shared" si="6"/>
        <v>0</v>
      </c>
      <c r="AI15" s="934"/>
    </row>
    <row r="16" spans="2:35" ht="14.85" customHeight="1">
      <c r="B16" s="179" t="str">
        <f>'Comp.1'!B18</f>
        <v>Sensorion SA</v>
      </c>
      <c r="D16" s="255">
        <f>'Beta Calc'!K16</f>
        <v>37.159999999999997</v>
      </c>
      <c r="E16" s="255">
        <f>'Beta Calc'!L16</f>
        <v>2.6891699999999998</v>
      </c>
      <c r="F16" s="255">
        <f>'Beta Calc'!M16</f>
        <v>0</v>
      </c>
      <c r="G16" s="255">
        <f>'Beta Calc'!N16</f>
        <v>0</v>
      </c>
      <c r="H16" s="255">
        <f t="shared" si="7"/>
        <v>2.6891699999999998</v>
      </c>
      <c r="I16" s="255">
        <f t="shared" si="8"/>
        <v>39.849169999999994</v>
      </c>
      <c r="J16" s="255">
        <f>'Beta Calc'!Q16</f>
        <v>9.1175599999999992</v>
      </c>
      <c r="K16" s="255">
        <f t="shared" si="9"/>
        <v>30.731609999999996</v>
      </c>
      <c r="M16" s="384">
        <f>IFERROR('Capital IQ Sheet-GPC'!AT19,"n/a")</f>
        <v>0</v>
      </c>
      <c r="N16" s="255" t="e">
        <f t="shared" si="0"/>
        <v>#REF!</v>
      </c>
      <c r="O16" s="1181" t="e">
        <f t="shared" si="0"/>
        <v>#REF!</v>
      </c>
      <c r="P16" s="1162"/>
      <c r="Q16" s="1182" t="str">
        <f>IFERROR(HLOOKUP($Q$6,'Equity Vol'!$B$8:$K18,ROWS('Equity Vol'!$C$8:$C18),FALSE),"n/a")</f>
        <v>n/a</v>
      </c>
      <c r="R16" s="303"/>
      <c r="S16" s="1183" t="str">
        <f t="shared" si="10"/>
        <v>n/a</v>
      </c>
      <c r="T16" s="1183" t="str">
        <f t="shared" si="1"/>
        <v>n/a</v>
      </c>
      <c r="U16" s="1184" t="str">
        <f t="shared" si="2"/>
        <v>n/a</v>
      </c>
      <c r="V16" s="1184" t="str">
        <f t="shared" si="3"/>
        <v>n/a</v>
      </c>
      <c r="W16" s="1184" t="str">
        <f t="shared" si="4"/>
        <v>n/a</v>
      </c>
      <c r="X16" s="576" t="str">
        <f t="shared" si="5"/>
        <v>n/a</v>
      </c>
      <c r="Y16" s="1182" t="str">
        <f t="shared" si="11"/>
        <v>n/a</v>
      </c>
      <c r="AA16" s="932" t="str">
        <f>IF('MASTER PubCo Inputs'!B34=0,"",'MASTER PubCo Inputs'!B34)</f>
        <v>ENXTPA:ALSEN</v>
      </c>
      <c r="AB16" s="255">
        <f>'Beta Calc'!Z16</f>
        <v>30.919689999999999</v>
      </c>
      <c r="AC16" s="933">
        <f t="shared" si="6"/>
        <v>-0.18808000000000291</v>
      </c>
      <c r="AI16" s="934"/>
    </row>
    <row r="17" spans="2:35" ht="14.85" customHeight="1">
      <c r="B17" s="179" t="str">
        <f>'Comp.1'!B19</f>
        <v>Otonomy, Inc.</v>
      </c>
      <c r="D17" s="255">
        <f>'Beta Calc'!K17</f>
        <v>136.06998999999999</v>
      </c>
      <c r="E17" s="255">
        <f>'Beta Calc'!L17</f>
        <v>0</v>
      </c>
      <c r="F17" s="255">
        <f>'Beta Calc'!M17</f>
        <v>0</v>
      </c>
      <c r="G17" s="255">
        <f>'Beta Calc'!N17</f>
        <v>0</v>
      </c>
      <c r="H17" s="255">
        <f t="shared" si="7"/>
        <v>0</v>
      </c>
      <c r="I17" s="255">
        <f t="shared" si="8"/>
        <v>136.06998999999999</v>
      </c>
      <c r="J17" s="255">
        <f>'Beta Calc'!Q17</f>
        <v>110.224</v>
      </c>
      <c r="K17" s="255">
        <f t="shared" si="9"/>
        <v>25.845989999999986</v>
      </c>
      <c r="M17" s="384">
        <f>IFERROR('Capital IQ Sheet-GPC'!AT20,"n/a")</f>
        <v>0</v>
      </c>
      <c r="N17" s="255" t="e">
        <f t="shared" si="0"/>
        <v>#REF!</v>
      </c>
      <c r="O17" s="1181" t="e">
        <f t="shared" si="0"/>
        <v>#REF!</v>
      </c>
      <c r="P17" s="1162"/>
      <c r="Q17" s="1182" t="str">
        <f>IFERROR(HLOOKUP($Q$6,'Equity Vol'!$B$8:$K18,ROWS('Equity Vol'!$C$8:$C18),FALSE),"n/a")</f>
        <v>n/a</v>
      </c>
      <c r="R17" s="303"/>
      <c r="S17" s="1183" t="str">
        <f t="shared" si="10"/>
        <v>n/a</v>
      </c>
      <c r="T17" s="1183" t="str">
        <f t="shared" si="1"/>
        <v>n/a</v>
      </c>
      <c r="U17" s="1184" t="str">
        <f t="shared" si="2"/>
        <v>n/a</v>
      </c>
      <c r="V17" s="1184" t="str">
        <f t="shared" si="3"/>
        <v>n/a</v>
      </c>
      <c r="W17" s="1184" t="str">
        <f t="shared" si="4"/>
        <v>n/a</v>
      </c>
      <c r="X17" s="576" t="str">
        <f t="shared" si="5"/>
        <v>n/a</v>
      </c>
      <c r="Y17" s="1182" t="str">
        <f t="shared" si="11"/>
        <v>n/a</v>
      </c>
      <c r="AA17" s="932" t="str">
        <f>IF('MASTER PubCo Inputs'!B35=0,"",'MASTER PubCo Inputs'!B35)</f>
        <v>NasdaqGS:OTIC</v>
      </c>
      <c r="AB17" s="255">
        <f>'Beta Calc'!Z17</f>
        <v>25.84599</v>
      </c>
      <c r="AC17" s="933">
        <f t="shared" si="6"/>
        <v>0</v>
      </c>
      <c r="AI17" s="934"/>
    </row>
    <row r="18" spans="2:35" ht="14.85" customHeight="1">
      <c r="B18" s="179" t="str">
        <f>'Comp.1'!B20</f>
        <v>Auris Medical Holding AG</v>
      </c>
      <c r="D18" s="255">
        <f>'Beta Calc'!K18</f>
        <v>7.2796900000000004</v>
      </c>
      <c r="E18" s="255">
        <f>'Beta Calc'!L18</f>
        <v>9.06297</v>
      </c>
      <c r="F18" s="255">
        <f>'Beta Calc'!M18</f>
        <v>0</v>
      </c>
      <c r="G18" s="255">
        <f>'Beta Calc'!N18</f>
        <v>0</v>
      </c>
      <c r="H18" s="255">
        <f t="shared" si="7"/>
        <v>9.06297</v>
      </c>
      <c r="I18" s="255">
        <f t="shared" si="8"/>
        <v>16.342660000000002</v>
      </c>
      <c r="J18" s="255">
        <f>'Beta Calc'!Q18</f>
        <v>13.2705</v>
      </c>
      <c r="K18" s="255">
        <f t="shared" si="9"/>
        <v>3.072160000000002</v>
      </c>
      <c r="M18" s="384">
        <f>IFERROR('Capital IQ Sheet-GPC'!AT21,"n/a")</f>
        <v>0</v>
      </c>
      <c r="N18" s="255" t="e">
        <f t="shared" si="0"/>
        <v>#REF!</v>
      </c>
      <c r="O18" s="1181" t="e">
        <f t="shared" si="0"/>
        <v>#REF!</v>
      </c>
      <c r="P18" s="1162"/>
      <c r="Q18" s="1182" t="str">
        <f>IFERROR(HLOOKUP($Q$6,'Equity Vol'!$B$8:$K18,ROWS('Equity Vol'!$C$8:$C18),FALSE),"n/a")</f>
        <v>n/a</v>
      </c>
      <c r="R18" s="303"/>
      <c r="S18" s="1183" t="str">
        <f t="shared" si="10"/>
        <v>n/a</v>
      </c>
      <c r="T18" s="1183" t="str">
        <f t="shared" si="1"/>
        <v>n/a</v>
      </c>
      <c r="U18" s="1184" t="str">
        <f t="shared" si="2"/>
        <v>n/a</v>
      </c>
      <c r="V18" s="1184" t="str">
        <f t="shared" si="3"/>
        <v>n/a</v>
      </c>
      <c r="W18" s="1184" t="str">
        <f t="shared" si="4"/>
        <v>n/a</v>
      </c>
      <c r="X18" s="576" t="str">
        <f t="shared" si="5"/>
        <v>n/a</v>
      </c>
      <c r="Y18" s="1182" t="str">
        <f t="shared" si="11"/>
        <v>n/a</v>
      </c>
      <c r="AA18" s="932" t="str">
        <f>IF('MASTER PubCo Inputs'!B36=0,"",'MASTER PubCo Inputs'!B36)</f>
        <v>NasdaqCM:EARS</v>
      </c>
      <c r="AB18" s="255">
        <f>'Beta Calc'!Z18</f>
        <v>3.0721500000000002</v>
      </c>
      <c r="AC18" s="933">
        <f t="shared" si="6"/>
        <v>1.0000000001841869E-5</v>
      </c>
      <c r="AI18" s="934"/>
    </row>
    <row r="19" spans="2:35" ht="14.85" customHeight="1">
      <c r="B19" s="179" t="str">
        <f>'Comp.1'!B21</f>
        <v>(Invalid Identifier)</v>
      </c>
      <c r="D19" s="255" t="str">
        <f>'Beta Calc'!K19</f>
        <v>(Invalid Identifier)</v>
      </c>
      <c r="E19" s="255" t="str">
        <f>'Beta Calc'!L19</f>
        <v>(Invalid Identifier)</v>
      </c>
      <c r="F19" s="255" t="str">
        <f>'Beta Calc'!M19</f>
        <v>(Invalid Identifier)</v>
      </c>
      <c r="G19" s="255" t="str">
        <f>'Beta Calc'!N19</f>
        <v>(Invalid Identifier)</v>
      </c>
      <c r="H19" s="255">
        <f t="shared" si="7"/>
        <v>0</v>
      </c>
      <c r="I19" s="255">
        <f t="shared" si="8"/>
        <v>0</v>
      </c>
      <c r="J19" s="255" t="str">
        <f>'Beta Calc'!Q19</f>
        <v>(Invalid Identifier)</v>
      </c>
      <c r="K19" s="255" t="e">
        <f t="shared" si="9"/>
        <v>#VALUE!</v>
      </c>
      <c r="M19" s="384" t="str">
        <f>IFERROR('Capital IQ Sheet-GPC'!AT22,"n/a")</f>
        <v>n/a</v>
      </c>
      <c r="N19" s="255" t="e">
        <f t="shared" si="0"/>
        <v>#REF!</v>
      </c>
      <c r="O19" s="1181" t="e">
        <f t="shared" si="0"/>
        <v>#REF!</v>
      </c>
      <c r="P19" s="1162"/>
      <c r="Q19" s="1182" t="str">
        <f>IFERROR(HLOOKUP($Q$6,'Equity Vol'!$B$8:$K18,ROWS('Equity Vol'!$C$8:$C18),FALSE),"n/a")</f>
        <v>n/a</v>
      </c>
      <c r="R19" s="303"/>
      <c r="S19" s="1183" t="str">
        <f t="shared" si="10"/>
        <v>n/a</v>
      </c>
      <c r="T19" s="1183" t="e">
        <f t="shared" si="1"/>
        <v>#VALUE!</v>
      </c>
      <c r="U19" s="1184" t="e">
        <f t="shared" si="2"/>
        <v>#VALUE!</v>
      </c>
      <c r="V19" s="1184" t="e">
        <f t="shared" si="3"/>
        <v>#VALUE!</v>
      </c>
      <c r="W19" s="1184" t="e">
        <f t="shared" si="4"/>
        <v>#VALUE!</v>
      </c>
      <c r="X19" s="576" t="e">
        <f t="shared" si="5"/>
        <v>#VALUE!</v>
      </c>
      <c r="Y19" s="1182" t="str">
        <f t="shared" si="11"/>
        <v>n/a</v>
      </c>
      <c r="AA19" s="932" t="str">
        <f>IF('MASTER PubCo Inputs'!B37=0,"",'MASTER PubCo Inputs'!B37)</f>
        <v>(Invalid Identifier)</v>
      </c>
      <c r="AB19" s="255" t="str">
        <f>'Beta Calc'!Z19</f>
        <v>(Invalid Identifier)</v>
      </c>
      <c r="AC19" s="933" t="e">
        <f t="shared" si="6"/>
        <v>#VALUE!</v>
      </c>
      <c r="AI19" s="934"/>
    </row>
    <row r="20" spans="2:35" ht="14.85" customHeight="1">
      <c r="B20" s="179" t="str">
        <f>'Comp.1'!B22</f>
        <v>(Invalid Identifier)</v>
      </c>
      <c r="D20" s="255" t="str">
        <f>'Beta Calc'!K20</f>
        <v>(Invalid Identifier)</v>
      </c>
      <c r="E20" s="255" t="str">
        <f>'Beta Calc'!L20</f>
        <v>(Invalid Identifier)</v>
      </c>
      <c r="F20" s="255" t="str">
        <f>'Beta Calc'!M20</f>
        <v>(Invalid Identifier)</v>
      </c>
      <c r="G20" s="255" t="str">
        <f>'Beta Calc'!N20</f>
        <v>(Invalid Identifier)</v>
      </c>
      <c r="H20" s="255">
        <f t="shared" si="7"/>
        <v>0</v>
      </c>
      <c r="I20" s="255">
        <f t="shared" si="8"/>
        <v>0</v>
      </c>
      <c r="J20" s="255" t="str">
        <f>'Beta Calc'!Q20</f>
        <v>(Invalid Identifier)</v>
      </c>
      <c r="K20" s="255" t="e">
        <f t="shared" si="9"/>
        <v>#VALUE!</v>
      </c>
      <c r="M20" s="384" t="str">
        <f>IFERROR('Capital IQ Sheet-GPC'!AT23,"n/a")</f>
        <v>n/a</v>
      </c>
      <c r="N20" s="255" t="e">
        <f t="shared" si="0"/>
        <v>#REF!</v>
      </c>
      <c r="O20" s="1181" t="e">
        <f t="shared" si="0"/>
        <v>#REF!</v>
      </c>
      <c r="P20" s="1162"/>
      <c r="Q20" s="1182" t="str">
        <f>IFERROR(HLOOKUP($Q$6,'Equity Vol'!$B$8:$K18,ROWS('Equity Vol'!$C$8:$C18),FALSE),"n/a")</f>
        <v>n/a</v>
      </c>
      <c r="R20" s="303"/>
      <c r="S20" s="1183" t="str">
        <f t="shared" si="10"/>
        <v>n/a</v>
      </c>
      <c r="T20" s="1183" t="e">
        <f t="shared" si="1"/>
        <v>#VALUE!</v>
      </c>
      <c r="U20" s="1184" t="e">
        <f t="shared" si="2"/>
        <v>#VALUE!</v>
      </c>
      <c r="V20" s="1184" t="e">
        <f t="shared" si="3"/>
        <v>#VALUE!</v>
      </c>
      <c r="W20" s="1184" t="e">
        <f t="shared" si="4"/>
        <v>#VALUE!</v>
      </c>
      <c r="X20" s="576" t="e">
        <f t="shared" si="5"/>
        <v>#VALUE!</v>
      </c>
      <c r="Y20" s="1182" t="str">
        <f t="shared" si="11"/>
        <v>n/a</v>
      </c>
      <c r="AA20" s="932" t="str">
        <f>IF('MASTER PubCo Inputs'!B38=0,"",'MASTER PubCo Inputs'!B38)</f>
        <v>(Invalid Identifier)</v>
      </c>
      <c r="AB20" s="255" t="str">
        <f>'Beta Calc'!Z20</f>
        <v>(Invalid Identifier)</v>
      </c>
      <c r="AC20" s="933" t="e">
        <f t="shared" si="6"/>
        <v>#VALUE!</v>
      </c>
      <c r="AI20" s="934"/>
    </row>
    <row r="21" spans="2:35" ht="14.85" customHeight="1">
      <c r="B21" s="179" t="str">
        <f>'Comp.1'!B23</f>
        <v>(Invalid Identifier)</v>
      </c>
      <c r="D21" s="255" t="str">
        <f>'Beta Calc'!K21</f>
        <v>(Invalid Identifier)</v>
      </c>
      <c r="E21" s="255" t="str">
        <f>'Beta Calc'!L21</f>
        <v>(Invalid Identifier)</v>
      </c>
      <c r="F21" s="255" t="str">
        <f>'Beta Calc'!M21</f>
        <v>(Invalid Identifier)</v>
      </c>
      <c r="G21" s="255" t="str">
        <f>'Beta Calc'!N21</f>
        <v>(Invalid Identifier)</v>
      </c>
      <c r="H21" s="255">
        <f t="shared" si="7"/>
        <v>0</v>
      </c>
      <c r="I21" s="255">
        <f t="shared" si="8"/>
        <v>0</v>
      </c>
      <c r="J21" s="255" t="str">
        <f>'Beta Calc'!Q21</f>
        <v>(Invalid Identifier)</v>
      </c>
      <c r="K21" s="255" t="e">
        <f t="shared" si="9"/>
        <v>#VALUE!</v>
      </c>
      <c r="M21" s="384" t="str">
        <f>IFERROR('Capital IQ Sheet-GPC'!AT24,"n/a")</f>
        <v>n/a</v>
      </c>
      <c r="N21" s="255" t="e">
        <f t="shared" si="0"/>
        <v>#REF!</v>
      </c>
      <c r="O21" s="1181" t="e">
        <f t="shared" si="0"/>
        <v>#REF!</v>
      </c>
      <c r="P21" s="1162"/>
      <c r="Q21" s="1182" t="str">
        <f>IFERROR(HLOOKUP($Q$6,'Equity Vol'!$B$8:$K18,ROWS('Equity Vol'!$C$8:$C18),FALSE),"n/a")</f>
        <v>n/a</v>
      </c>
      <c r="R21" s="303"/>
      <c r="S21" s="1183" t="str">
        <f t="shared" si="10"/>
        <v>n/a</v>
      </c>
      <c r="T21" s="1183" t="e">
        <f t="shared" si="1"/>
        <v>#VALUE!</v>
      </c>
      <c r="U21" s="1184" t="e">
        <f t="shared" si="2"/>
        <v>#VALUE!</v>
      </c>
      <c r="V21" s="1184" t="e">
        <f t="shared" si="3"/>
        <v>#VALUE!</v>
      </c>
      <c r="W21" s="1184" t="e">
        <f t="shared" si="4"/>
        <v>#VALUE!</v>
      </c>
      <c r="X21" s="576" t="e">
        <f t="shared" si="5"/>
        <v>#VALUE!</v>
      </c>
      <c r="Y21" s="1182" t="str">
        <f t="shared" si="11"/>
        <v>n/a</v>
      </c>
      <c r="AA21" s="932" t="str">
        <f>IF('MASTER PubCo Inputs'!B39=0,"",'MASTER PubCo Inputs'!B39)</f>
        <v>(Invalid Identifier)</v>
      </c>
      <c r="AB21" s="255" t="str">
        <f>'Beta Calc'!Z21</f>
        <v>(Invalid Identifier)</v>
      </c>
      <c r="AC21" s="933" t="e">
        <f t="shared" si="6"/>
        <v>#VALUE!</v>
      </c>
      <c r="AI21" s="934"/>
    </row>
    <row r="22" spans="2:35" ht="14.85" customHeight="1">
      <c r="B22" s="179" t="str">
        <f>'Comp.1'!B24</f>
        <v>(Invalid Identifier)</v>
      </c>
      <c r="D22" s="255" t="str">
        <f>'Beta Calc'!K22</f>
        <v>(Invalid Identifier)</v>
      </c>
      <c r="E22" s="255" t="str">
        <f>'Beta Calc'!L22</f>
        <v>(Invalid Identifier)</v>
      </c>
      <c r="F22" s="255" t="str">
        <f>'Beta Calc'!M22</f>
        <v>(Invalid Identifier)</v>
      </c>
      <c r="G22" s="255" t="str">
        <f>'Beta Calc'!N22</f>
        <v>(Invalid Identifier)</v>
      </c>
      <c r="H22" s="255">
        <f t="shared" si="7"/>
        <v>0</v>
      </c>
      <c r="I22" s="255">
        <f t="shared" si="8"/>
        <v>0</v>
      </c>
      <c r="J22" s="255" t="str">
        <f>'Beta Calc'!Q22</f>
        <v>(Invalid Identifier)</v>
      </c>
      <c r="K22" s="255" t="e">
        <f t="shared" si="9"/>
        <v>#VALUE!</v>
      </c>
      <c r="M22" s="384" t="str">
        <f>IFERROR('Capital IQ Sheet-GPC'!AT25,"n/a")</f>
        <v>n/a</v>
      </c>
      <c r="N22" s="255" t="e">
        <f t="shared" si="0"/>
        <v>#REF!</v>
      </c>
      <c r="O22" s="1181" t="e">
        <f t="shared" si="0"/>
        <v>#REF!</v>
      </c>
      <c r="P22" s="1162"/>
      <c r="Q22" s="1182" t="str">
        <f>IFERROR(HLOOKUP($Q$6,'Equity Vol'!$B$8:$K18,ROWS('Equity Vol'!$C$8:$C18),FALSE),"n/a")</f>
        <v>n/a</v>
      </c>
      <c r="R22" s="303"/>
      <c r="S22" s="1183" t="str">
        <f t="shared" si="10"/>
        <v>n/a</v>
      </c>
      <c r="T22" s="1183" t="e">
        <f t="shared" si="1"/>
        <v>#VALUE!</v>
      </c>
      <c r="U22" s="1184" t="e">
        <f t="shared" si="2"/>
        <v>#VALUE!</v>
      </c>
      <c r="V22" s="1184" t="e">
        <f t="shared" si="3"/>
        <v>#VALUE!</v>
      </c>
      <c r="W22" s="1184" t="e">
        <f t="shared" si="4"/>
        <v>#VALUE!</v>
      </c>
      <c r="X22" s="576" t="e">
        <f t="shared" si="5"/>
        <v>#VALUE!</v>
      </c>
      <c r="Y22" s="1182" t="str">
        <f t="shared" si="11"/>
        <v>n/a</v>
      </c>
      <c r="AA22" s="932" t="str">
        <f>IF('MASTER PubCo Inputs'!B40=0,"",'MASTER PubCo Inputs'!B40)</f>
        <v>(Invalid Identifier)</v>
      </c>
      <c r="AB22" s="255" t="str">
        <f>'Beta Calc'!Z22</f>
        <v>(Invalid Identifier)</v>
      </c>
      <c r="AC22" s="933" t="e">
        <f t="shared" si="6"/>
        <v>#VALUE!</v>
      </c>
      <c r="AI22" s="934"/>
    </row>
    <row r="23" spans="2:35" ht="14.85" customHeight="1">
      <c r="B23" s="179" t="str">
        <f>'Comp.1'!B25</f>
        <v>(Invalid Identifier)</v>
      </c>
      <c r="D23" s="255" t="str">
        <f>'Beta Calc'!K23</f>
        <v>(Invalid Identifier)</v>
      </c>
      <c r="E23" s="255" t="str">
        <f>'Beta Calc'!L23</f>
        <v>(Invalid Identifier)</v>
      </c>
      <c r="F23" s="255" t="str">
        <f>'Beta Calc'!M23</f>
        <v>(Invalid Identifier)</v>
      </c>
      <c r="G23" s="255" t="str">
        <f>'Beta Calc'!N23</f>
        <v>(Invalid Identifier)</v>
      </c>
      <c r="H23" s="255">
        <f t="shared" si="7"/>
        <v>0</v>
      </c>
      <c r="I23" s="255">
        <f t="shared" si="8"/>
        <v>0</v>
      </c>
      <c r="J23" s="255" t="str">
        <f>'Beta Calc'!Q23</f>
        <v>(Invalid Identifier)</v>
      </c>
      <c r="K23" s="255" t="e">
        <f t="shared" si="9"/>
        <v>#VALUE!</v>
      </c>
      <c r="M23" s="384" t="str">
        <f>IFERROR('Capital IQ Sheet-GPC'!AT26,"n/a")</f>
        <v>n/a</v>
      </c>
      <c r="N23" s="255" t="e">
        <f t="shared" si="0"/>
        <v>#REF!</v>
      </c>
      <c r="O23" s="1181" t="e">
        <f t="shared" si="0"/>
        <v>#REF!</v>
      </c>
      <c r="P23" s="1162"/>
      <c r="Q23" s="1182" t="str">
        <f>IFERROR(HLOOKUP($Q$6,'Equity Vol'!$B$8:$K18,ROWS('Equity Vol'!$C$8:$C18),FALSE),"n/a")</f>
        <v>n/a</v>
      </c>
      <c r="R23" s="303"/>
      <c r="S23" s="1183" t="str">
        <f t="shared" si="10"/>
        <v>n/a</v>
      </c>
      <c r="T23" s="1183" t="e">
        <f t="shared" si="1"/>
        <v>#VALUE!</v>
      </c>
      <c r="U23" s="1184" t="e">
        <f t="shared" si="2"/>
        <v>#VALUE!</v>
      </c>
      <c r="V23" s="1184" t="e">
        <f t="shared" si="3"/>
        <v>#VALUE!</v>
      </c>
      <c r="W23" s="1184" t="e">
        <f t="shared" si="4"/>
        <v>#VALUE!</v>
      </c>
      <c r="X23" s="576" t="e">
        <f t="shared" si="5"/>
        <v>#VALUE!</v>
      </c>
      <c r="Y23" s="1182" t="str">
        <f t="shared" si="11"/>
        <v>n/a</v>
      </c>
      <c r="AA23" s="932" t="str">
        <f>IF('MASTER PubCo Inputs'!B41=0,"",'MASTER PubCo Inputs'!B41)</f>
        <v>(Invalid Identifier)</v>
      </c>
      <c r="AB23" s="255" t="str">
        <f>'Beta Calc'!Z23</f>
        <v>(Invalid Identifier)</v>
      </c>
      <c r="AC23" s="933" t="e">
        <f t="shared" si="6"/>
        <v>#VALUE!</v>
      </c>
      <c r="AI23" s="934"/>
    </row>
    <row r="24" spans="2:35" ht="14.85" customHeight="1">
      <c r="B24" s="179" t="str">
        <f>'Comp.1'!B26</f>
        <v>(Invalid Identifier)</v>
      </c>
      <c r="D24" s="255" t="str">
        <f>'Beta Calc'!K24</f>
        <v>(Invalid Identifier)</v>
      </c>
      <c r="E24" s="255" t="str">
        <f>'Beta Calc'!L24</f>
        <v>(Invalid Identifier)</v>
      </c>
      <c r="F24" s="255" t="str">
        <f>'Beta Calc'!M24</f>
        <v>(Invalid Identifier)</v>
      </c>
      <c r="G24" s="255" t="str">
        <f>'Beta Calc'!N24</f>
        <v>(Invalid Identifier)</v>
      </c>
      <c r="H24" s="255">
        <f t="shared" si="7"/>
        <v>0</v>
      </c>
      <c r="I24" s="255">
        <f t="shared" si="8"/>
        <v>0</v>
      </c>
      <c r="J24" s="255" t="str">
        <f>'Beta Calc'!Q24</f>
        <v>(Invalid Identifier)</v>
      </c>
      <c r="K24" s="255" t="e">
        <f t="shared" si="9"/>
        <v>#VALUE!</v>
      </c>
      <c r="M24" s="384" t="str">
        <f>IFERROR('Capital IQ Sheet-GPC'!AT27,"n/a")</f>
        <v>n/a</v>
      </c>
      <c r="N24" s="255" t="e">
        <f t="shared" si="0"/>
        <v>#REF!</v>
      </c>
      <c r="O24" s="1181" t="e">
        <f t="shared" si="0"/>
        <v>#REF!</v>
      </c>
      <c r="P24" s="1162"/>
      <c r="Q24" s="1182" t="str">
        <f>IFERROR(HLOOKUP($Q$6,'Equity Vol'!$B$8:$K18,ROWS('Equity Vol'!$C$8:$C18),FALSE),"n/a")</f>
        <v>n/a</v>
      </c>
      <c r="R24" s="303"/>
      <c r="S24" s="1183" t="str">
        <f t="shared" si="10"/>
        <v>n/a</v>
      </c>
      <c r="T24" s="1183" t="e">
        <f t="shared" si="1"/>
        <v>#VALUE!</v>
      </c>
      <c r="U24" s="1184" t="e">
        <f t="shared" si="2"/>
        <v>#VALUE!</v>
      </c>
      <c r="V24" s="1184" t="e">
        <f t="shared" si="3"/>
        <v>#VALUE!</v>
      </c>
      <c r="W24" s="1184" t="e">
        <f t="shared" si="4"/>
        <v>#VALUE!</v>
      </c>
      <c r="X24" s="576" t="e">
        <f t="shared" si="5"/>
        <v>#VALUE!</v>
      </c>
      <c r="Y24" s="1182" t="str">
        <f t="shared" si="11"/>
        <v>n/a</v>
      </c>
      <c r="AA24" s="932" t="str">
        <f>IF('MASTER PubCo Inputs'!B42=0,"",'MASTER PubCo Inputs'!B42)</f>
        <v>(Invalid Identifier)</v>
      </c>
      <c r="AB24" s="255" t="str">
        <f>'Beta Calc'!Z24</f>
        <v>(Invalid Identifier)</v>
      </c>
      <c r="AC24" s="933" t="e">
        <f t="shared" si="6"/>
        <v>#VALUE!</v>
      </c>
      <c r="AI24" s="934"/>
    </row>
    <row r="25" spans="2:35" ht="14.85" customHeight="1">
      <c r="B25" s="179" t="str">
        <f>'Comp.1'!B27</f>
        <v>(Invalid Identifier)</v>
      </c>
      <c r="D25" s="255" t="str">
        <f>'Beta Calc'!K25</f>
        <v>(Invalid Identifier)</v>
      </c>
      <c r="E25" s="255" t="str">
        <f>'Beta Calc'!L25</f>
        <v>(Invalid Identifier)</v>
      </c>
      <c r="F25" s="255" t="str">
        <f>'Beta Calc'!M25</f>
        <v>(Invalid Identifier)</v>
      </c>
      <c r="G25" s="255" t="str">
        <f>'Beta Calc'!N25</f>
        <v>(Invalid Identifier)</v>
      </c>
      <c r="H25" s="255">
        <f t="shared" si="7"/>
        <v>0</v>
      </c>
      <c r="I25" s="255">
        <f t="shared" si="8"/>
        <v>0</v>
      </c>
      <c r="J25" s="255" t="str">
        <f>'Beta Calc'!Q25</f>
        <v>(Invalid Identifier)</v>
      </c>
      <c r="K25" s="255" t="e">
        <f t="shared" si="9"/>
        <v>#VALUE!</v>
      </c>
      <c r="M25" s="384" t="str">
        <f>IFERROR('Capital IQ Sheet-GPC'!AT28,"n/a")</f>
        <v>n/a</v>
      </c>
      <c r="N25" s="255" t="e">
        <f t="shared" si="0"/>
        <v>#REF!</v>
      </c>
      <c r="O25" s="1181" t="e">
        <f t="shared" si="0"/>
        <v>#REF!</v>
      </c>
      <c r="P25" s="1162"/>
      <c r="Q25" s="1182" t="str">
        <f>IFERROR(HLOOKUP($Q$6,'Equity Vol'!$B$8:$K18,ROWS('Equity Vol'!$C$8:$C18),FALSE),"n/a")</f>
        <v>n/a</v>
      </c>
      <c r="R25" s="303"/>
      <c r="S25" s="1183" t="str">
        <f t="shared" si="10"/>
        <v>n/a</v>
      </c>
      <c r="T25" s="1183" t="e">
        <f t="shared" si="1"/>
        <v>#VALUE!</v>
      </c>
      <c r="U25" s="1184" t="e">
        <f t="shared" si="2"/>
        <v>#VALUE!</v>
      </c>
      <c r="V25" s="1184" t="e">
        <f t="shared" si="3"/>
        <v>#VALUE!</v>
      </c>
      <c r="W25" s="1184" t="e">
        <f t="shared" si="4"/>
        <v>#VALUE!</v>
      </c>
      <c r="X25" s="576" t="e">
        <f t="shared" si="5"/>
        <v>#VALUE!</v>
      </c>
      <c r="Y25" s="1182" t="str">
        <f t="shared" si="11"/>
        <v>n/a</v>
      </c>
      <c r="AA25" s="932" t="str">
        <f>IF('MASTER PubCo Inputs'!B43=0,"",'MASTER PubCo Inputs'!B43)</f>
        <v>(Invalid Identifier)</v>
      </c>
      <c r="AB25" s="255" t="str">
        <f>'Beta Calc'!Z25</f>
        <v>(Invalid Identifier)</v>
      </c>
      <c r="AC25" s="933" t="e">
        <f t="shared" si="6"/>
        <v>#VALUE!</v>
      </c>
      <c r="AI25" s="934"/>
    </row>
    <row r="26" spans="2:35" ht="14.85" customHeight="1">
      <c r="B26" s="179" t="str">
        <f>'Comp.1'!B28</f>
        <v>(Invalid Identifier)</v>
      </c>
      <c r="D26" s="255" t="str">
        <f>'Beta Calc'!K26</f>
        <v>(Invalid Identifier)</v>
      </c>
      <c r="E26" s="255" t="str">
        <f>'Beta Calc'!L26</f>
        <v>(Invalid Identifier)</v>
      </c>
      <c r="F26" s="255" t="str">
        <f>'Beta Calc'!M26</f>
        <v>(Invalid Identifier)</v>
      </c>
      <c r="G26" s="255" t="str">
        <f>'Beta Calc'!N26</f>
        <v>(Invalid Identifier)</v>
      </c>
      <c r="H26" s="255">
        <f t="shared" si="7"/>
        <v>0</v>
      </c>
      <c r="I26" s="255">
        <f t="shared" si="8"/>
        <v>0</v>
      </c>
      <c r="J26" s="255" t="str">
        <f>'Beta Calc'!Q26</f>
        <v>(Invalid Identifier)</v>
      </c>
      <c r="K26" s="255" t="e">
        <f t="shared" si="9"/>
        <v>#VALUE!</v>
      </c>
      <c r="M26" s="384" t="str">
        <f>IFERROR('Capital IQ Sheet-GPC'!AT29,"n/a")</f>
        <v>n/a</v>
      </c>
      <c r="N26" s="255" t="e">
        <f t="shared" si="0"/>
        <v>#REF!</v>
      </c>
      <c r="O26" s="1181" t="e">
        <f t="shared" si="0"/>
        <v>#REF!</v>
      </c>
      <c r="P26" s="1162"/>
      <c r="Q26" s="1182" t="str">
        <f>IFERROR(HLOOKUP($Q$6,'Equity Vol'!$B$8:$K18,ROWS('Equity Vol'!$C$8:$C18),FALSE),"n/a")</f>
        <v>n/a</v>
      </c>
      <c r="R26" s="303"/>
      <c r="S26" s="1183" t="str">
        <f t="shared" si="10"/>
        <v>n/a</v>
      </c>
      <c r="T26" s="1183" t="e">
        <f t="shared" si="1"/>
        <v>#VALUE!</v>
      </c>
      <c r="U26" s="1184" t="e">
        <f t="shared" si="2"/>
        <v>#VALUE!</v>
      </c>
      <c r="V26" s="1184" t="e">
        <f t="shared" si="3"/>
        <v>#VALUE!</v>
      </c>
      <c r="W26" s="1184" t="e">
        <f t="shared" si="4"/>
        <v>#VALUE!</v>
      </c>
      <c r="X26" s="576" t="e">
        <f t="shared" si="5"/>
        <v>#VALUE!</v>
      </c>
      <c r="Y26" s="1182" t="str">
        <f t="shared" si="11"/>
        <v>n/a</v>
      </c>
      <c r="AA26" s="932" t="str">
        <f>IF('MASTER PubCo Inputs'!B44=0,"",'MASTER PubCo Inputs'!B44)</f>
        <v>(Invalid Identifier)</v>
      </c>
      <c r="AB26" s="255" t="str">
        <f>'Beta Calc'!Z26</f>
        <v>(Invalid Identifier)</v>
      </c>
      <c r="AC26" s="933" t="e">
        <f t="shared" si="6"/>
        <v>#VALUE!</v>
      </c>
      <c r="AI26" s="934"/>
    </row>
    <row r="27" spans="2:35" ht="14.85" customHeight="1">
      <c r="B27" s="179" t="str">
        <f>'Comp.1'!B29</f>
        <v>(Invalid Identifier)</v>
      </c>
      <c r="D27" s="255" t="str">
        <f>'Beta Calc'!K27</f>
        <v>(Invalid Identifier)</v>
      </c>
      <c r="E27" s="255" t="str">
        <f>'Beta Calc'!L27</f>
        <v>(Invalid Identifier)</v>
      </c>
      <c r="F27" s="255" t="str">
        <f>'Beta Calc'!M27</f>
        <v>(Invalid Identifier)</v>
      </c>
      <c r="G27" s="255" t="str">
        <f>'Beta Calc'!N27</f>
        <v>(Invalid Identifier)</v>
      </c>
      <c r="H27" s="255">
        <f t="shared" si="7"/>
        <v>0</v>
      </c>
      <c r="I27" s="255">
        <f t="shared" si="8"/>
        <v>0</v>
      </c>
      <c r="J27" s="255" t="str">
        <f>'Beta Calc'!Q27</f>
        <v>(Invalid Identifier)</v>
      </c>
      <c r="K27" s="255" t="e">
        <f t="shared" si="9"/>
        <v>#VALUE!</v>
      </c>
      <c r="M27" s="384" t="str">
        <f>IFERROR('Capital IQ Sheet-GPC'!AT30,"n/a")</f>
        <v>n/a</v>
      </c>
      <c r="N27" s="255" t="e">
        <f t="shared" si="0"/>
        <v>#REF!</v>
      </c>
      <c r="O27" s="1181" t="e">
        <f t="shared" si="0"/>
        <v>#REF!</v>
      </c>
      <c r="P27" s="1162"/>
      <c r="Q27" s="1182" t="str">
        <f>IFERROR(HLOOKUP($Q$6,'Equity Vol'!$B$8:$K18,ROWS('Equity Vol'!$C$8:$C18),FALSE),"n/a")</f>
        <v>n/a</v>
      </c>
      <c r="R27" s="303"/>
      <c r="S27" s="1183" t="str">
        <f t="shared" si="10"/>
        <v>n/a</v>
      </c>
      <c r="T27" s="1183" t="e">
        <f t="shared" si="1"/>
        <v>#VALUE!</v>
      </c>
      <c r="U27" s="1184" t="e">
        <f t="shared" si="2"/>
        <v>#VALUE!</v>
      </c>
      <c r="V27" s="1184" t="e">
        <f t="shared" si="3"/>
        <v>#VALUE!</v>
      </c>
      <c r="W27" s="1184" t="e">
        <f t="shared" si="4"/>
        <v>#VALUE!</v>
      </c>
      <c r="X27" s="576" t="e">
        <f t="shared" si="5"/>
        <v>#VALUE!</v>
      </c>
      <c r="Y27" s="1182" t="str">
        <f t="shared" si="11"/>
        <v>n/a</v>
      </c>
      <c r="AA27" s="932" t="str">
        <f>IF('MASTER PubCo Inputs'!B45=0,"",'MASTER PubCo Inputs'!B45)</f>
        <v>(Invalid Identifier)</v>
      </c>
      <c r="AB27" s="255" t="str">
        <f>'Beta Calc'!Z27</f>
        <v>(Invalid Identifier)</v>
      </c>
      <c r="AC27" s="933" t="e">
        <f t="shared" si="6"/>
        <v>#VALUE!</v>
      </c>
      <c r="AI27" s="934"/>
    </row>
    <row r="28" spans="2:35" ht="14.85" customHeight="1">
      <c r="B28" s="179" t="str">
        <f>'Comp.1'!B30</f>
        <v>(Invalid Identifier)</v>
      </c>
      <c r="D28" s="255" t="str">
        <f>'Beta Calc'!K28</f>
        <v>(Invalid Identifier)</v>
      </c>
      <c r="E28" s="255" t="str">
        <f>'Beta Calc'!L28</f>
        <v>(Invalid Identifier)</v>
      </c>
      <c r="F28" s="255" t="str">
        <f>'Beta Calc'!M28</f>
        <v>(Invalid Identifier)</v>
      </c>
      <c r="G28" s="255" t="str">
        <f>'Beta Calc'!N28</f>
        <v>(Invalid Identifier)</v>
      </c>
      <c r="H28" s="255">
        <f t="shared" si="7"/>
        <v>0</v>
      </c>
      <c r="I28" s="255">
        <f t="shared" si="8"/>
        <v>0</v>
      </c>
      <c r="J28" s="255" t="str">
        <f>'Beta Calc'!Q28</f>
        <v>(Invalid Identifier)</v>
      </c>
      <c r="K28" s="255" t="e">
        <f t="shared" si="9"/>
        <v>#VALUE!</v>
      </c>
      <c r="M28" s="384" t="str">
        <f>IFERROR('Capital IQ Sheet-GPC'!AT31,"n/a")</f>
        <v>n/a</v>
      </c>
      <c r="N28" s="255" t="e">
        <f t="shared" si="0"/>
        <v>#REF!</v>
      </c>
      <c r="O28" s="1181" t="e">
        <f t="shared" si="0"/>
        <v>#REF!</v>
      </c>
      <c r="P28" s="1162"/>
      <c r="Q28" s="1182" t="str">
        <f>IFERROR(HLOOKUP($Q$6,'Equity Vol'!$B$8:$K18,ROWS('Equity Vol'!$C$8:$C18),FALSE),"n/a")</f>
        <v>n/a</v>
      </c>
      <c r="R28" s="303"/>
      <c r="S28" s="1183" t="str">
        <f t="shared" si="10"/>
        <v>n/a</v>
      </c>
      <c r="T28" s="1183" t="e">
        <f t="shared" si="1"/>
        <v>#VALUE!</v>
      </c>
      <c r="U28" s="1184" t="e">
        <f t="shared" si="2"/>
        <v>#VALUE!</v>
      </c>
      <c r="V28" s="1184" t="e">
        <f t="shared" si="3"/>
        <v>#VALUE!</v>
      </c>
      <c r="W28" s="1184" t="e">
        <f t="shared" si="4"/>
        <v>#VALUE!</v>
      </c>
      <c r="X28" s="576" t="e">
        <f t="shared" si="5"/>
        <v>#VALUE!</v>
      </c>
      <c r="Y28" s="1182" t="str">
        <f t="shared" si="11"/>
        <v>n/a</v>
      </c>
      <c r="AA28" s="932" t="str">
        <f>IF('MASTER PubCo Inputs'!B46=0,"",'MASTER PubCo Inputs'!B46)</f>
        <v>(Invalid Identifier)</v>
      </c>
      <c r="AB28" s="255" t="str">
        <f>'Beta Calc'!Z28</f>
        <v>(Invalid Identifier)</v>
      </c>
      <c r="AC28" s="933" t="e">
        <f t="shared" si="6"/>
        <v>#VALUE!</v>
      </c>
      <c r="AI28" s="934"/>
    </row>
    <row r="29" spans="2:35" ht="14.85" customHeight="1">
      <c r="B29" s="179" t="str">
        <f>'Comp.1'!B31</f>
        <v>(Invalid Identifier)</v>
      </c>
      <c r="D29" s="255" t="str">
        <f>'Beta Calc'!K29</f>
        <v>(Invalid Identifier)</v>
      </c>
      <c r="E29" s="255" t="str">
        <f>'Beta Calc'!L29</f>
        <v>(Invalid Identifier)</v>
      </c>
      <c r="F29" s="255" t="str">
        <f>'Beta Calc'!M29</f>
        <v>(Invalid Identifier)</v>
      </c>
      <c r="G29" s="255" t="str">
        <f>'Beta Calc'!N29</f>
        <v>(Invalid Identifier)</v>
      </c>
      <c r="H29" s="255">
        <f t="shared" si="7"/>
        <v>0</v>
      </c>
      <c r="I29" s="255">
        <f t="shared" si="8"/>
        <v>0</v>
      </c>
      <c r="J29" s="255" t="str">
        <f>'Beta Calc'!Q29</f>
        <v>(Invalid Identifier)</v>
      </c>
      <c r="K29" s="255" t="e">
        <f t="shared" si="9"/>
        <v>#VALUE!</v>
      </c>
      <c r="M29" s="384" t="str">
        <f>IFERROR('Capital IQ Sheet-GPC'!AT32,"n/a")</f>
        <v>n/a</v>
      </c>
      <c r="N29" s="255" t="e">
        <f t="shared" si="0"/>
        <v>#REF!</v>
      </c>
      <c r="O29" s="1181" t="e">
        <f t="shared" si="0"/>
        <v>#REF!</v>
      </c>
      <c r="P29" s="1162"/>
      <c r="Q29" s="1182" t="str">
        <f>IFERROR(HLOOKUP($Q$6,'Equity Vol'!$B$8:$K18,ROWS('Equity Vol'!$C$8:$C18),FALSE),"n/a")</f>
        <v>n/a</v>
      </c>
      <c r="R29" s="303"/>
      <c r="S29" s="1183" t="str">
        <f t="shared" si="10"/>
        <v>n/a</v>
      </c>
      <c r="T29" s="1183" t="e">
        <f t="shared" si="1"/>
        <v>#VALUE!</v>
      </c>
      <c r="U29" s="1184" t="e">
        <f t="shared" si="2"/>
        <v>#VALUE!</v>
      </c>
      <c r="V29" s="1184" t="e">
        <f t="shared" si="3"/>
        <v>#VALUE!</v>
      </c>
      <c r="W29" s="1184" t="e">
        <f t="shared" si="4"/>
        <v>#VALUE!</v>
      </c>
      <c r="X29" s="576" t="e">
        <f t="shared" si="5"/>
        <v>#VALUE!</v>
      </c>
      <c r="Y29" s="1182" t="str">
        <f t="shared" si="11"/>
        <v>n/a</v>
      </c>
      <c r="AA29" s="932" t="str">
        <f>IF('MASTER PubCo Inputs'!B47=0,"",'MASTER PubCo Inputs'!B47)</f>
        <v>(Invalid Identifier)</v>
      </c>
      <c r="AB29" s="255" t="str">
        <f>'Beta Calc'!Z29</f>
        <v>(Invalid Identifier)</v>
      </c>
      <c r="AC29" s="933" t="e">
        <f t="shared" si="6"/>
        <v>#VALUE!</v>
      </c>
      <c r="AI29" s="934"/>
    </row>
    <row r="30" spans="2:35" ht="14.85" customHeight="1">
      <c r="B30" s="179" t="str">
        <f>'Comp.1'!B32</f>
        <v>(Invalid Identifier)</v>
      </c>
      <c r="D30" s="255" t="str">
        <f>'Beta Calc'!K30</f>
        <v>(Invalid Identifier)</v>
      </c>
      <c r="E30" s="255" t="str">
        <f>'Beta Calc'!L30</f>
        <v>(Invalid Identifier)</v>
      </c>
      <c r="F30" s="255" t="str">
        <f>'Beta Calc'!M30</f>
        <v>(Invalid Identifier)</v>
      </c>
      <c r="G30" s="255" t="str">
        <f>'Beta Calc'!N30</f>
        <v>(Invalid Identifier)</v>
      </c>
      <c r="H30" s="255">
        <f t="shared" si="7"/>
        <v>0</v>
      </c>
      <c r="I30" s="255">
        <f t="shared" si="8"/>
        <v>0</v>
      </c>
      <c r="J30" s="255" t="str">
        <f>'Beta Calc'!Q30</f>
        <v>(Invalid Identifier)</v>
      </c>
      <c r="K30" s="255" t="e">
        <f t="shared" si="9"/>
        <v>#VALUE!</v>
      </c>
      <c r="M30" s="384" t="str">
        <f>IFERROR('Capital IQ Sheet-GPC'!AT33,"n/a")</f>
        <v>n/a</v>
      </c>
      <c r="N30" s="255" t="e">
        <f t="shared" si="0"/>
        <v>#REF!</v>
      </c>
      <c r="O30" s="1181" t="e">
        <f t="shared" si="0"/>
        <v>#REF!</v>
      </c>
      <c r="P30" s="1162"/>
      <c r="Q30" s="1182" t="str">
        <f>IFERROR(HLOOKUP($Q$6,'Equity Vol'!$B$8:$K18,ROWS('Equity Vol'!$C$8:$C18),FALSE),"n/a")</f>
        <v>n/a</v>
      </c>
      <c r="R30" s="303"/>
      <c r="S30" s="1183" t="str">
        <f t="shared" si="10"/>
        <v>n/a</v>
      </c>
      <c r="T30" s="1183" t="e">
        <f t="shared" si="1"/>
        <v>#VALUE!</v>
      </c>
      <c r="U30" s="1184" t="e">
        <f t="shared" si="2"/>
        <v>#VALUE!</v>
      </c>
      <c r="V30" s="1184" t="e">
        <f t="shared" si="3"/>
        <v>#VALUE!</v>
      </c>
      <c r="W30" s="1184" t="e">
        <f t="shared" si="4"/>
        <v>#VALUE!</v>
      </c>
      <c r="X30" s="576" t="e">
        <f t="shared" si="5"/>
        <v>#VALUE!</v>
      </c>
      <c r="Y30" s="1182" t="str">
        <f t="shared" si="11"/>
        <v>n/a</v>
      </c>
      <c r="AA30" s="932" t="str">
        <f>IF('MASTER PubCo Inputs'!B48=0,"",'MASTER PubCo Inputs'!B48)</f>
        <v>(Invalid Identifier)</v>
      </c>
      <c r="AB30" s="255" t="str">
        <f>'Beta Calc'!Z30</f>
        <v>(Invalid Identifier)</v>
      </c>
      <c r="AC30" s="933" t="e">
        <f t="shared" si="6"/>
        <v>#VALUE!</v>
      </c>
      <c r="AI30" s="934"/>
    </row>
    <row r="31" spans="2:35" ht="14.85" customHeight="1">
      <c r="B31" s="179" t="str">
        <f>'Comp.1'!B33</f>
        <v>(Invalid Identifier)</v>
      </c>
      <c r="D31" s="255" t="str">
        <f>'Beta Calc'!K31</f>
        <v>(Invalid Identifier)</v>
      </c>
      <c r="E31" s="255" t="str">
        <f>'Beta Calc'!L31</f>
        <v>(Invalid Identifier)</v>
      </c>
      <c r="F31" s="255" t="str">
        <f>'Beta Calc'!M31</f>
        <v>(Invalid Identifier)</v>
      </c>
      <c r="G31" s="255" t="str">
        <f>'Beta Calc'!N31</f>
        <v>(Invalid Identifier)</v>
      </c>
      <c r="H31" s="255">
        <f t="shared" si="7"/>
        <v>0</v>
      </c>
      <c r="I31" s="255">
        <f t="shared" si="8"/>
        <v>0</v>
      </c>
      <c r="J31" s="255" t="str">
        <f>'Beta Calc'!Q31</f>
        <v>(Invalid Identifier)</v>
      </c>
      <c r="K31" s="255" t="e">
        <f t="shared" si="9"/>
        <v>#VALUE!</v>
      </c>
      <c r="M31" s="384" t="str">
        <f>IFERROR('Capital IQ Sheet-GPC'!AT34,"n/a")</f>
        <v>n/a</v>
      </c>
      <c r="N31" s="255" t="e">
        <f t="shared" si="0"/>
        <v>#REF!</v>
      </c>
      <c r="O31" s="1181" t="e">
        <f t="shared" si="0"/>
        <v>#REF!</v>
      </c>
      <c r="P31" s="1162"/>
      <c r="Q31" s="1182" t="str">
        <f>IFERROR(HLOOKUP($Q$6,'Equity Vol'!$B$8:$K18,ROWS('Equity Vol'!$C$8:$C18),FALSE),"n/a")</f>
        <v>n/a</v>
      </c>
      <c r="R31" s="303"/>
      <c r="S31" s="1183" t="str">
        <f t="shared" si="10"/>
        <v>n/a</v>
      </c>
      <c r="T31" s="1183" t="e">
        <f t="shared" si="1"/>
        <v>#VALUE!</v>
      </c>
      <c r="U31" s="1184" t="e">
        <f t="shared" si="2"/>
        <v>#VALUE!</v>
      </c>
      <c r="V31" s="1184" t="e">
        <f t="shared" si="3"/>
        <v>#VALUE!</v>
      </c>
      <c r="W31" s="1184" t="e">
        <f t="shared" si="4"/>
        <v>#VALUE!</v>
      </c>
      <c r="X31" s="576" t="e">
        <f t="shared" si="5"/>
        <v>#VALUE!</v>
      </c>
      <c r="Y31" s="1182" t="str">
        <f t="shared" si="11"/>
        <v>n/a</v>
      </c>
      <c r="AA31" s="932" t="str">
        <f>IF('MASTER PubCo Inputs'!B49=0,"",'MASTER PubCo Inputs'!B49)</f>
        <v>(Invalid Identifier)</v>
      </c>
      <c r="AB31" s="255" t="str">
        <f>'Beta Calc'!Z31</f>
        <v>(Invalid Identifier)</v>
      </c>
      <c r="AC31" s="933" t="e">
        <f t="shared" si="6"/>
        <v>#VALUE!</v>
      </c>
      <c r="AI31" s="934"/>
    </row>
    <row r="32" spans="2:35" ht="14.85" customHeight="1">
      <c r="B32" s="179" t="str">
        <f>'Comp.1'!B34</f>
        <v>(Invalid Identifier)</v>
      </c>
      <c r="D32" s="255" t="str">
        <f>'Beta Calc'!K32</f>
        <v>(Invalid Identifier)</v>
      </c>
      <c r="E32" s="255" t="str">
        <f>'Beta Calc'!L32</f>
        <v>(Invalid Identifier)</v>
      </c>
      <c r="F32" s="255" t="str">
        <f>'Beta Calc'!M32</f>
        <v>(Invalid Identifier)</v>
      </c>
      <c r="G32" s="255" t="str">
        <f>'Beta Calc'!N32</f>
        <v>(Invalid Identifier)</v>
      </c>
      <c r="H32" s="255">
        <f t="shared" si="7"/>
        <v>0</v>
      </c>
      <c r="I32" s="255">
        <f t="shared" si="8"/>
        <v>0</v>
      </c>
      <c r="J32" s="255" t="str">
        <f>'Beta Calc'!Q32</f>
        <v>(Invalid Identifier)</v>
      </c>
      <c r="K32" s="255" t="e">
        <f t="shared" si="9"/>
        <v>#VALUE!</v>
      </c>
      <c r="M32" s="384" t="str">
        <f>IFERROR('Capital IQ Sheet-GPC'!AT35,"n/a")</f>
        <v>n/a</v>
      </c>
      <c r="N32" s="255" t="e">
        <f t="shared" si="0"/>
        <v>#REF!</v>
      </c>
      <c r="O32" s="1181" t="e">
        <f t="shared" si="0"/>
        <v>#REF!</v>
      </c>
      <c r="P32" s="1162"/>
      <c r="Q32" s="1182" t="str">
        <f>IFERROR(HLOOKUP($Q$6,'Equity Vol'!$B$8:$K18,ROWS('Equity Vol'!$C$8:$C18),FALSE),"n/a")</f>
        <v>n/a</v>
      </c>
      <c r="R32" s="303"/>
      <c r="S32" s="1183" t="str">
        <f t="shared" si="10"/>
        <v>n/a</v>
      </c>
      <c r="T32" s="1183" t="e">
        <f t="shared" si="1"/>
        <v>#VALUE!</v>
      </c>
      <c r="U32" s="1184" t="e">
        <f t="shared" si="2"/>
        <v>#VALUE!</v>
      </c>
      <c r="V32" s="1184" t="e">
        <f t="shared" si="3"/>
        <v>#VALUE!</v>
      </c>
      <c r="W32" s="1184" t="e">
        <f t="shared" si="4"/>
        <v>#VALUE!</v>
      </c>
      <c r="X32" s="576" t="e">
        <f t="shared" si="5"/>
        <v>#VALUE!</v>
      </c>
      <c r="Y32" s="1182" t="str">
        <f t="shared" si="11"/>
        <v>n/a</v>
      </c>
      <c r="AA32" s="932" t="str">
        <f>IF('MASTER PubCo Inputs'!B50=0,"",'MASTER PubCo Inputs'!B50)</f>
        <v>(Invalid Identifier)</v>
      </c>
      <c r="AB32" s="255" t="str">
        <f>'Beta Calc'!Z32</f>
        <v>(Invalid Identifier)</v>
      </c>
      <c r="AC32" s="933" t="e">
        <f t="shared" si="6"/>
        <v>#VALUE!</v>
      </c>
      <c r="AI32" s="934"/>
    </row>
    <row r="33" spans="2:35" ht="14.85" customHeight="1">
      <c r="B33" s="179" t="str">
        <f>'Comp.1'!B35</f>
        <v>(Invalid Identifier)</v>
      </c>
      <c r="D33" s="255" t="str">
        <f>'Beta Calc'!K33</f>
        <v>(Invalid Identifier)</v>
      </c>
      <c r="E33" s="255" t="str">
        <f>'Beta Calc'!L33</f>
        <v>(Invalid Identifier)</v>
      </c>
      <c r="F33" s="255" t="str">
        <f>'Beta Calc'!M33</f>
        <v>(Invalid Identifier)</v>
      </c>
      <c r="G33" s="255" t="str">
        <f>'Beta Calc'!N33</f>
        <v>(Invalid Identifier)</v>
      </c>
      <c r="H33" s="255">
        <f t="shared" si="7"/>
        <v>0</v>
      </c>
      <c r="I33" s="255">
        <f t="shared" si="8"/>
        <v>0</v>
      </c>
      <c r="J33" s="255" t="str">
        <f>'Beta Calc'!Q33</f>
        <v>(Invalid Identifier)</v>
      </c>
      <c r="K33" s="255" t="e">
        <f t="shared" si="9"/>
        <v>#VALUE!</v>
      </c>
      <c r="M33" s="384" t="str">
        <f>IFERROR('Capital IQ Sheet-GPC'!AT36,"n/a")</f>
        <v>n/a</v>
      </c>
      <c r="N33" s="255" t="e">
        <f t="shared" si="0"/>
        <v>#REF!</v>
      </c>
      <c r="O33" s="1181" t="e">
        <f t="shared" si="0"/>
        <v>#REF!</v>
      </c>
      <c r="P33" s="1162"/>
      <c r="Q33" s="1182" t="str">
        <f>IFERROR(HLOOKUP($Q$6,'Equity Vol'!$B$8:$K18,ROWS('Equity Vol'!$C$8:$C18),FALSE),"n/a")</f>
        <v>n/a</v>
      </c>
      <c r="R33" s="303"/>
      <c r="S33" s="1183" t="str">
        <f t="shared" si="10"/>
        <v>n/a</v>
      </c>
      <c r="T33" s="1183" t="e">
        <f t="shared" si="1"/>
        <v>#VALUE!</v>
      </c>
      <c r="U33" s="1184" t="e">
        <f t="shared" si="2"/>
        <v>#VALUE!</v>
      </c>
      <c r="V33" s="1184" t="e">
        <f t="shared" si="3"/>
        <v>#VALUE!</v>
      </c>
      <c r="W33" s="1184" t="e">
        <f t="shared" si="4"/>
        <v>#VALUE!</v>
      </c>
      <c r="X33" s="576" t="e">
        <f t="shared" si="5"/>
        <v>#VALUE!</v>
      </c>
      <c r="Y33" s="1182" t="str">
        <f t="shared" si="11"/>
        <v>n/a</v>
      </c>
      <c r="AA33" s="932" t="str">
        <f>IF('MASTER PubCo Inputs'!B51=0,"",'MASTER PubCo Inputs'!B51)</f>
        <v>(Invalid Identifier)</v>
      </c>
      <c r="AB33" s="255" t="str">
        <f>'Beta Calc'!Z33</f>
        <v>(Invalid Identifier)</v>
      </c>
      <c r="AC33" s="933" t="e">
        <f t="shared" si="6"/>
        <v>#VALUE!</v>
      </c>
      <c r="AI33" s="934"/>
    </row>
    <row r="34" spans="2:35" ht="14.85" customHeight="1">
      <c r="B34" s="179" t="str">
        <f>'Comp.1'!B36</f>
        <v>(Invalid Identifier)</v>
      </c>
      <c r="D34" s="255" t="str">
        <f>'Beta Calc'!K34</f>
        <v>(Invalid Identifier)</v>
      </c>
      <c r="E34" s="255" t="str">
        <f>'Beta Calc'!L34</f>
        <v>(Invalid Identifier)</v>
      </c>
      <c r="F34" s="255" t="str">
        <f>'Beta Calc'!M34</f>
        <v>(Invalid Identifier)</v>
      </c>
      <c r="G34" s="255" t="str">
        <f>'Beta Calc'!N34</f>
        <v>(Invalid Identifier)</v>
      </c>
      <c r="H34" s="255">
        <f t="shared" si="7"/>
        <v>0</v>
      </c>
      <c r="I34" s="255">
        <f t="shared" si="8"/>
        <v>0</v>
      </c>
      <c r="J34" s="255" t="str">
        <f>'Beta Calc'!Q34</f>
        <v>(Invalid Identifier)</v>
      </c>
      <c r="K34" s="255" t="e">
        <f t="shared" si="9"/>
        <v>#VALUE!</v>
      </c>
      <c r="M34" s="384" t="str">
        <f>IFERROR('Capital IQ Sheet-GPC'!AT37,"n/a")</f>
        <v>n/a</v>
      </c>
      <c r="N34" s="255" t="e">
        <f t="shared" si="0"/>
        <v>#REF!</v>
      </c>
      <c r="O34" s="1181" t="e">
        <f t="shared" si="0"/>
        <v>#REF!</v>
      </c>
      <c r="P34" s="1162"/>
      <c r="Q34" s="1182" t="str">
        <f>IFERROR(HLOOKUP($Q$6,'Equity Vol'!$B$8:$K18,ROWS('Equity Vol'!$C$8:$C18),FALSE),"n/a")</f>
        <v>n/a</v>
      </c>
      <c r="R34" s="303"/>
      <c r="S34" s="1183" t="str">
        <f t="shared" si="10"/>
        <v>n/a</v>
      </c>
      <c r="T34" s="1183" t="e">
        <f t="shared" si="1"/>
        <v>#VALUE!</v>
      </c>
      <c r="U34" s="1184" t="e">
        <f t="shared" si="2"/>
        <v>#VALUE!</v>
      </c>
      <c r="V34" s="1184" t="e">
        <f t="shared" si="3"/>
        <v>#VALUE!</v>
      </c>
      <c r="W34" s="1184" t="e">
        <f t="shared" si="4"/>
        <v>#VALUE!</v>
      </c>
      <c r="X34" s="576" t="e">
        <f t="shared" si="5"/>
        <v>#VALUE!</v>
      </c>
      <c r="Y34" s="1182" t="str">
        <f t="shared" si="11"/>
        <v>n/a</v>
      </c>
      <c r="AA34" s="932" t="str">
        <f>IF('MASTER PubCo Inputs'!B52=0,"",'MASTER PubCo Inputs'!B52)</f>
        <v>(Invalid Identifier)</v>
      </c>
      <c r="AB34" s="255" t="str">
        <f>'Beta Calc'!Z34</f>
        <v>(Invalid Identifier)</v>
      </c>
      <c r="AC34" s="933" t="e">
        <f t="shared" si="6"/>
        <v>#VALUE!</v>
      </c>
      <c r="AI34" s="934"/>
    </row>
    <row r="35" spans="2:35" ht="14.85" customHeight="1">
      <c r="B35" s="179" t="str">
        <f>'Comp.1'!B37</f>
        <v>(Invalid Identifier)</v>
      </c>
      <c r="D35" s="255" t="str">
        <f>'Beta Calc'!K35</f>
        <v>(Invalid Identifier)</v>
      </c>
      <c r="E35" s="255" t="str">
        <f>'Beta Calc'!L35</f>
        <v>(Invalid Identifier)</v>
      </c>
      <c r="F35" s="255" t="str">
        <f>'Beta Calc'!M35</f>
        <v>(Invalid Identifier)</v>
      </c>
      <c r="G35" s="255" t="str">
        <f>'Beta Calc'!N35</f>
        <v>(Invalid Identifier)</v>
      </c>
      <c r="H35" s="255">
        <f t="shared" si="7"/>
        <v>0</v>
      </c>
      <c r="I35" s="255">
        <f t="shared" si="8"/>
        <v>0</v>
      </c>
      <c r="J35" s="255" t="str">
        <f>'Beta Calc'!Q35</f>
        <v>(Invalid Identifier)</v>
      </c>
      <c r="K35" s="255" t="e">
        <f t="shared" si="9"/>
        <v>#VALUE!</v>
      </c>
      <c r="M35" s="384" t="str">
        <f>IFERROR('Capital IQ Sheet-GPC'!AT38,"n/a")</f>
        <v>n/a</v>
      </c>
      <c r="N35" s="255" t="e">
        <f t="shared" si="0"/>
        <v>#REF!</v>
      </c>
      <c r="O35" s="1181" t="e">
        <f t="shared" si="0"/>
        <v>#REF!</v>
      </c>
      <c r="P35" s="1162"/>
      <c r="Q35" s="1182" t="str">
        <f>IFERROR(HLOOKUP($Q$6,'Equity Vol'!$B$8:$K18,ROWS('Equity Vol'!$C$8:$C18),FALSE),"n/a")</f>
        <v>n/a</v>
      </c>
      <c r="R35" s="303"/>
      <c r="S35" s="1183" t="str">
        <f t="shared" si="10"/>
        <v>n/a</v>
      </c>
      <c r="T35" s="1183" t="e">
        <f t="shared" si="1"/>
        <v>#VALUE!</v>
      </c>
      <c r="U35" s="1184" t="e">
        <f t="shared" si="2"/>
        <v>#VALUE!</v>
      </c>
      <c r="V35" s="1184" t="e">
        <f t="shared" si="3"/>
        <v>#VALUE!</v>
      </c>
      <c r="W35" s="1184" t="e">
        <f t="shared" si="4"/>
        <v>#VALUE!</v>
      </c>
      <c r="X35" s="576" t="e">
        <f t="shared" si="5"/>
        <v>#VALUE!</v>
      </c>
      <c r="Y35" s="1182" t="str">
        <f t="shared" si="11"/>
        <v>n/a</v>
      </c>
      <c r="AA35" s="932" t="str">
        <f>IF('MASTER PubCo Inputs'!B53=0,"",'MASTER PubCo Inputs'!B53)</f>
        <v>CPSE:WDH</v>
      </c>
      <c r="AB35" s="255" t="str">
        <f>'Beta Calc'!Z35</f>
        <v>(Invalid Identifier)</v>
      </c>
      <c r="AC35" s="933" t="e">
        <f t="shared" si="6"/>
        <v>#VALUE!</v>
      </c>
      <c r="AI35" s="934"/>
    </row>
    <row r="36" spans="2:35" ht="14.85" customHeight="1">
      <c r="B36" s="179" t="str">
        <f>'Comp.1'!B38</f>
        <v>(Invalid Identifier)</v>
      </c>
      <c r="D36" s="255" t="str">
        <f>'Beta Calc'!K36</f>
        <v>(Invalid Identifier)</v>
      </c>
      <c r="E36" s="255" t="str">
        <f>'Beta Calc'!L36</f>
        <v>(Invalid Identifier)</v>
      </c>
      <c r="F36" s="255" t="str">
        <f>'Beta Calc'!M36</f>
        <v>(Invalid Identifier)</v>
      </c>
      <c r="G36" s="255" t="str">
        <f>'Beta Calc'!N36</f>
        <v>(Invalid Identifier)</v>
      </c>
      <c r="H36" s="255">
        <f t="shared" si="7"/>
        <v>0</v>
      </c>
      <c r="I36" s="255">
        <f t="shared" si="8"/>
        <v>0</v>
      </c>
      <c r="J36" s="255" t="str">
        <f>'Beta Calc'!Q36</f>
        <v>(Invalid Identifier)</v>
      </c>
      <c r="K36" s="255" t="e">
        <f t="shared" si="9"/>
        <v>#VALUE!</v>
      </c>
      <c r="M36" s="384" t="str">
        <f>IFERROR('Capital IQ Sheet-GPC'!AT39,"n/a")</f>
        <v>n/a</v>
      </c>
      <c r="N36" s="255" t="e">
        <f t="shared" si="0"/>
        <v>#REF!</v>
      </c>
      <c r="O36" s="1181" t="e">
        <f t="shared" si="0"/>
        <v>#REF!</v>
      </c>
      <c r="P36" s="1162"/>
      <c r="Q36" s="1182" t="str">
        <f>IFERROR(HLOOKUP($Q$6,'Equity Vol'!$B$8:$K18,ROWS('Equity Vol'!$C$8:$C18),FALSE),"n/a")</f>
        <v>n/a</v>
      </c>
      <c r="R36" s="303"/>
      <c r="S36" s="1183" t="str">
        <f t="shared" si="10"/>
        <v>n/a</v>
      </c>
      <c r="T36" s="1183" t="e">
        <f t="shared" si="1"/>
        <v>#VALUE!</v>
      </c>
      <c r="U36" s="1184" t="e">
        <f t="shared" si="2"/>
        <v>#VALUE!</v>
      </c>
      <c r="V36" s="1184" t="e">
        <f t="shared" si="3"/>
        <v>#VALUE!</v>
      </c>
      <c r="W36" s="1184" t="e">
        <f t="shared" si="4"/>
        <v>#VALUE!</v>
      </c>
      <c r="X36" s="576" t="e">
        <f t="shared" si="5"/>
        <v>#VALUE!</v>
      </c>
      <c r="Y36" s="1182" t="str">
        <f t="shared" si="11"/>
        <v>n/a</v>
      </c>
      <c r="AA36" s="932" t="str">
        <f>IF('MASTER PubCo Inputs'!B54=0,"",'MASTER PubCo Inputs'!B54)</f>
        <v>ASX:COH</v>
      </c>
      <c r="AB36" s="255" t="str">
        <f>'Beta Calc'!Z36</f>
        <v>(Invalid Identifier)</v>
      </c>
      <c r="AC36" s="933" t="e">
        <f t="shared" si="6"/>
        <v>#VALUE!</v>
      </c>
      <c r="AI36" s="934"/>
    </row>
    <row r="37" spans="2:35" ht="14.85" customHeight="1">
      <c r="B37" s="179" t="str">
        <f>'Comp.1'!B39</f>
        <v>(Invalid Identifier)</v>
      </c>
      <c r="D37" s="255" t="str">
        <f>'Beta Calc'!K37</f>
        <v>(Invalid Identifier)</v>
      </c>
      <c r="E37" s="255" t="str">
        <f>'Beta Calc'!L37</f>
        <v>(Invalid Identifier)</v>
      </c>
      <c r="F37" s="255" t="str">
        <f>'Beta Calc'!M37</f>
        <v>(Invalid Identifier)</v>
      </c>
      <c r="G37" s="255" t="str">
        <f>'Beta Calc'!N37</f>
        <v>(Invalid Identifier)</v>
      </c>
      <c r="H37" s="255">
        <f t="shared" si="7"/>
        <v>0</v>
      </c>
      <c r="I37" s="255">
        <f t="shared" si="8"/>
        <v>0</v>
      </c>
      <c r="J37" s="255" t="str">
        <f>'Beta Calc'!Q37</f>
        <v>(Invalid Identifier)</v>
      </c>
      <c r="K37" s="255" t="e">
        <f t="shared" si="9"/>
        <v>#VALUE!</v>
      </c>
      <c r="M37" s="384" t="str">
        <f>IFERROR('Capital IQ Sheet-GPC'!AT40,"n/a")</f>
        <v>n/a</v>
      </c>
      <c r="N37" s="255" t="e">
        <f t="shared" si="0"/>
        <v>#REF!</v>
      </c>
      <c r="O37" s="1181" t="e">
        <f t="shared" si="0"/>
        <v>#REF!</v>
      </c>
      <c r="P37" s="1162"/>
      <c r="Q37" s="1182" t="str">
        <f>IFERROR(HLOOKUP($Q$6,'Equity Vol'!$B$8:$K18,ROWS('Equity Vol'!$C$8:$C18),FALSE),"n/a")</f>
        <v>n/a</v>
      </c>
      <c r="R37" s="303"/>
      <c r="S37" s="1183" t="str">
        <f t="shared" si="10"/>
        <v>n/a</v>
      </c>
      <c r="T37" s="1183" t="e">
        <f t="shared" si="1"/>
        <v>#VALUE!</v>
      </c>
      <c r="U37" s="1184" t="e">
        <f t="shared" si="2"/>
        <v>#VALUE!</v>
      </c>
      <c r="V37" s="1184" t="e">
        <f t="shared" si="3"/>
        <v>#VALUE!</v>
      </c>
      <c r="W37" s="1184" t="e">
        <f t="shared" si="4"/>
        <v>#VALUE!</v>
      </c>
      <c r="X37" s="576" t="e">
        <f t="shared" si="5"/>
        <v>#VALUE!</v>
      </c>
      <c r="Y37" s="1182" t="str">
        <f t="shared" si="11"/>
        <v>n/a</v>
      </c>
      <c r="AA37" s="932" t="str">
        <f>IF('MASTER PubCo Inputs'!B55=0,"",'MASTER PubCo Inputs'!B55)</f>
        <v>BIT:AMP</v>
      </c>
      <c r="AB37" s="255" t="str">
        <f>'Beta Calc'!Z37</f>
        <v>(Invalid Identifier)</v>
      </c>
      <c r="AC37" s="933" t="e">
        <f t="shared" si="6"/>
        <v>#VALUE!</v>
      </c>
      <c r="AI37" s="934"/>
    </row>
    <row r="38" spans="2:35" ht="14.85" customHeight="1">
      <c r="B38" s="179" t="str">
        <f>'Comp.1'!B40</f>
        <v>(Invalid Identifier)</v>
      </c>
      <c r="D38" s="255" t="str">
        <f>'Beta Calc'!K38</f>
        <v>(Invalid Identifier)</v>
      </c>
      <c r="E38" s="255" t="str">
        <f>'Beta Calc'!L38</f>
        <v>(Invalid Identifier)</v>
      </c>
      <c r="F38" s="255" t="str">
        <f>'Beta Calc'!M38</f>
        <v>(Invalid Identifier)</v>
      </c>
      <c r="G38" s="255" t="str">
        <f>'Beta Calc'!N38</f>
        <v>(Invalid Identifier)</v>
      </c>
      <c r="H38" s="255">
        <f t="shared" si="7"/>
        <v>0</v>
      </c>
      <c r="I38" s="255">
        <f t="shared" si="8"/>
        <v>0</v>
      </c>
      <c r="J38" s="255" t="str">
        <f>'Beta Calc'!Q38</f>
        <v>(Invalid Identifier)</v>
      </c>
      <c r="K38" s="255" t="e">
        <f t="shared" si="9"/>
        <v>#VALUE!</v>
      </c>
      <c r="M38" s="384" t="str">
        <f>IFERROR('Capital IQ Sheet-GPC'!AT41,"n/a")</f>
        <v>n/a</v>
      </c>
      <c r="N38" s="255" t="e">
        <f t="shared" si="0"/>
        <v>#REF!</v>
      </c>
      <c r="O38" s="1181" t="e">
        <f t="shared" si="0"/>
        <v>#REF!</v>
      </c>
      <c r="P38" s="1162"/>
      <c r="Q38" s="1182" t="str">
        <f>IFERROR(HLOOKUP($Q$6,'Equity Vol'!$B$8:$K18,ROWS('Equity Vol'!$C$8:$C18),FALSE),"n/a")</f>
        <v>n/a</v>
      </c>
      <c r="R38" s="303"/>
      <c r="S38" s="1183" t="str">
        <f t="shared" si="10"/>
        <v>n/a</v>
      </c>
      <c r="T38" s="1183" t="e">
        <f t="shared" si="1"/>
        <v>#VALUE!</v>
      </c>
      <c r="U38" s="1184" t="e">
        <f t="shared" si="2"/>
        <v>#VALUE!</v>
      </c>
      <c r="V38" s="1184" t="e">
        <f t="shared" si="3"/>
        <v>#VALUE!</v>
      </c>
      <c r="W38" s="1184" t="e">
        <f t="shared" si="4"/>
        <v>#VALUE!</v>
      </c>
      <c r="X38" s="576" t="e">
        <f t="shared" si="5"/>
        <v>#VALUE!</v>
      </c>
      <c r="Y38" s="1182" t="str">
        <f t="shared" si="11"/>
        <v>n/a</v>
      </c>
      <c r="AA38" s="932" t="str">
        <f>IF('MASTER PubCo Inputs'!B56=0,"",'MASTER PubCo Inputs'!B56)</f>
        <v>OM:ELOS B</v>
      </c>
      <c r="AB38" s="255" t="str">
        <f>'Beta Calc'!Z38</f>
        <v>(Invalid Identifier)</v>
      </c>
      <c r="AC38" s="933" t="e">
        <f t="shared" si="6"/>
        <v>#VALUE!</v>
      </c>
      <c r="AI38" s="934"/>
    </row>
    <row r="39" spans="2:35" ht="14.85" customHeight="1">
      <c r="B39" s="179" t="str">
        <f>'Comp.1'!B41</f>
        <v>(Invalid Identifier)</v>
      </c>
      <c r="D39" s="255" t="str">
        <f>'Beta Calc'!K39</f>
        <v>(Invalid Identifier)</v>
      </c>
      <c r="E39" s="255" t="str">
        <f>'Beta Calc'!L39</f>
        <v>(Invalid Identifier)</v>
      </c>
      <c r="F39" s="255" t="str">
        <f>'Beta Calc'!M39</f>
        <v>(Invalid Identifier)</v>
      </c>
      <c r="G39" s="255" t="str">
        <f>'Beta Calc'!N39</f>
        <v>(Invalid Identifier)</v>
      </c>
      <c r="H39" s="255">
        <f t="shared" si="7"/>
        <v>0</v>
      </c>
      <c r="I39" s="255">
        <f t="shared" si="8"/>
        <v>0</v>
      </c>
      <c r="J39" s="255" t="str">
        <f>'Beta Calc'!Q39</f>
        <v>(Invalid Identifier)</v>
      </c>
      <c r="K39" s="255" t="e">
        <f t="shared" si="9"/>
        <v>#VALUE!</v>
      </c>
      <c r="M39" s="384" t="str">
        <f>IFERROR('Capital IQ Sheet-GPC'!AT42,"n/a")</f>
        <v>n/a</v>
      </c>
      <c r="N39" s="255" t="e">
        <f t="shared" si="0"/>
        <v>#REF!</v>
      </c>
      <c r="O39" s="1181" t="e">
        <f t="shared" si="0"/>
        <v>#REF!</v>
      </c>
      <c r="P39" s="1162"/>
      <c r="Q39" s="1182" t="str">
        <f>IFERROR(HLOOKUP($Q$6,'Equity Vol'!$B$8:$K18,ROWS('Equity Vol'!$C$8:$C18),FALSE),"n/a")</f>
        <v>n/a</v>
      </c>
      <c r="R39" s="303"/>
      <c r="S39" s="1183" t="str">
        <f t="shared" si="10"/>
        <v>n/a</v>
      </c>
      <c r="T39" s="1183" t="e">
        <f t="shared" si="1"/>
        <v>#VALUE!</v>
      </c>
      <c r="U39" s="1184" t="e">
        <f t="shared" si="2"/>
        <v>#VALUE!</v>
      </c>
      <c r="V39" s="1184" t="e">
        <f t="shared" si="3"/>
        <v>#VALUE!</v>
      </c>
      <c r="W39" s="1184" t="e">
        <f t="shared" si="4"/>
        <v>#VALUE!</v>
      </c>
      <c r="X39" s="576" t="e">
        <f t="shared" si="5"/>
        <v>#VALUE!</v>
      </c>
      <c r="Y39" s="1182" t="str">
        <f t="shared" si="11"/>
        <v>n/a</v>
      </c>
      <c r="AA39" s="932" t="str">
        <f>IF('MASTER PubCo Inputs'!B57=0,"",'MASTER PubCo Inputs'!B57)</f>
        <v>(Invalid Identifier)</v>
      </c>
      <c r="AB39" s="255" t="str">
        <f>'Beta Calc'!Z39</f>
        <v>(Invalid Identifier)</v>
      </c>
      <c r="AC39" s="933" t="e">
        <f t="shared" si="6"/>
        <v>#VALUE!</v>
      </c>
      <c r="AI39" s="934"/>
    </row>
    <row r="40" spans="2:35" ht="14.85" customHeight="1">
      <c r="D40" s="255"/>
      <c r="E40" s="255"/>
      <c r="F40" s="255"/>
      <c r="G40" s="255"/>
      <c r="H40" s="255"/>
      <c r="I40" s="255"/>
      <c r="J40" s="255"/>
      <c r="K40" s="255"/>
      <c r="R40" s="549"/>
    </row>
    <row r="41" spans="2:35" ht="14.85" customHeight="1">
      <c r="B41" s="935" t="s">
        <v>111</v>
      </c>
      <c r="C41" s="936"/>
      <c r="D41" s="938">
        <f>MAX(D10:D39)</f>
        <v>1705.3104800000001</v>
      </c>
      <c r="E41" s="938">
        <f t="shared" ref="E41:K41" si="12">MAX(E10:E39)</f>
        <v>49.826320000000003</v>
      </c>
      <c r="F41" s="938">
        <f t="shared" si="12"/>
        <v>0</v>
      </c>
      <c r="G41" s="938">
        <f t="shared" si="12"/>
        <v>0</v>
      </c>
      <c r="H41" s="938">
        <f t="shared" si="12"/>
        <v>49.826320000000003</v>
      </c>
      <c r="I41" s="938">
        <f t="shared" si="12"/>
        <v>1738.5004800000002</v>
      </c>
      <c r="J41" s="938">
        <f t="shared" si="12"/>
        <v>358.82100000000003</v>
      </c>
      <c r="K41" s="938" t="e">
        <f t="shared" si="12"/>
        <v>#VALUE!</v>
      </c>
      <c r="L41" s="936"/>
      <c r="M41" s="1044">
        <f>MAX(M10:M39)</f>
        <v>0</v>
      </c>
      <c r="N41" s="938" t="e">
        <f>MAX(N10:N39)</f>
        <v>#REF!</v>
      </c>
      <c r="O41" s="1185" t="e">
        <f>MAX(O10:O39)</f>
        <v>#REF!</v>
      </c>
      <c r="P41" s="1186"/>
      <c r="Q41" s="1187">
        <f>MAX(Q10:Q39)</f>
        <v>0</v>
      </c>
      <c r="R41" s="1188"/>
      <c r="S41" s="1189">
        <f>MAX(S10:S40)</f>
        <v>0</v>
      </c>
      <c r="T41" s="1189" t="e">
        <f>MAX(T10:T40)</f>
        <v>#VALUE!</v>
      </c>
      <c r="U41" s="1190" t="e">
        <f>MAX(U10:U40)</f>
        <v>#VALUE!</v>
      </c>
      <c r="V41" s="1190" t="e">
        <f>MAX(V10:V40)</f>
        <v>#VALUE!</v>
      </c>
      <c r="W41" s="1190" t="e">
        <f>MAX(W10:W40)</f>
        <v>#VALUE!</v>
      </c>
      <c r="X41" s="938" t="e">
        <f>MAX(X10:X39)</f>
        <v>#VALUE!</v>
      </c>
      <c r="Y41" s="1191">
        <f>MAX(Y10:Y39)</f>
        <v>0</v>
      </c>
      <c r="AB41" s="1192" t="e">
        <f>+'Asset Vol_M&amp;A Late'!Y48</f>
        <v>#REF!</v>
      </c>
      <c r="AC41" s="1193" t="s">
        <v>1621</v>
      </c>
      <c r="AD41" s="1193"/>
      <c r="AE41" s="1193"/>
      <c r="AF41" s="591"/>
    </row>
    <row r="42" spans="2:35" ht="14.85" customHeight="1">
      <c r="B42" s="941" t="s">
        <v>115</v>
      </c>
      <c r="C42" s="942"/>
      <c r="D42" s="944">
        <f t="shared" ref="D42:K42" si="13">QUARTILE(D10:D39,3)</f>
        <v>205.66506000000001</v>
      </c>
      <c r="E42" s="944">
        <f t="shared" si="13"/>
        <v>9.06297</v>
      </c>
      <c r="F42" s="944">
        <f t="shared" si="13"/>
        <v>0</v>
      </c>
      <c r="G42" s="944">
        <f t="shared" si="13"/>
        <v>0</v>
      </c>
      <c r="H42" s="944">
        <f t="shared" si="13"/>
        <v>0</v>
      </c>
      <c r="I42" s="944">
        <f t="shared" si="13"/>
        <v>33.972542499999996</v>
      </c>
      <c r="J42" s="944">
        <f t="shared" si="13"/>
        <v>57.755760000000002</v>
      </c>
      <c r="K42" s="944" t="e">
        <f t="shared" si="13"/>
        <v>#VALUE!</v>
      </c>
      <c r="L42" s="942"/>
      <c r="M42" s="1046">
        <f>QUARTILE(M10:M39,3)</f>
        <v>0</v>
      </c>
      <c r="N42" s="944" t="e">
        <f>QUARTILE(N10:N39,3)</f>
        <v>#REF!</v>
      </c>
      <c r="O42" s="1194" t="e">
        <f>QUARTILE(O10:O39,3)</f>
        <v>#REF!</v>
      </c>
      <c r="P42" s="1195"/>
      <c r="Q42" s="1196" t="e">
        <f>QUARTILE(Q10:Q39,3)</f>
        <v>#NUM!</v>
      </c>
      <c r="R42" s="1197"/>
      <c r="S42" s="1198" t="e">
        <f>QUARTILE(S10:S40,3)</f>
        <v>#NUM!</v>
      </c>
      <c r="T42" s="1198" t="e">
        <f>QUARTILE(T10:T40,3)</f>
        <v>#VALUE!</v>
      </c>
      <c r="U42" s="1199" t="e">
        <f>QUARTILE(U10:U40,3)</f>
        <v>#VALUE!</v>
      </c>
      <c r="V42" s="1199" t="e">
        <f>QUARTILE(V10:V40,3)</f>
        <v>#VALUE!</v>
      </c>
      <c r="W42" s="1199" t="e">
        <f>QUARTILE(W10:W40,3)</f>
        <v>#VALUE!</v>
      </c>
      <c r="X42" s="944" t="e">
        <f>QUARTILE(X10:X39,3)</f>
        <v>#VALUE!</v>
      </c>
      <c r="Y42" s="1200" t="e">
        <f>QUARTILE(Y10:Y39,3)</f>
        <v>#NUM!</v>
      </c>
      <c r="AB42" s="1201">
        <f>+'Asset Vol_M&amp;A Late'!Y50</f>
        <v>0.31</v>
      </c>
      <c r="AC42" s="179" t="s">
        <v>1622</v>
      </c>
      <c r="AF42" s="339"/>
    </row>
    <row r="43" spans="2:35" ht="14.85" customHeight="1">
      <c r="B43" s="941" t="s">
        <v>113</v>
      </c>
      <c r="C43" s="942"/>
      <c r="D43" s="944">
        <f>AVERAGE(D10:D39)</f>
        <v>349.7861166666666</v>
      </c>
      <c r="E43" s="944">
        <f t="shared" ref="E43:K43" si="14">AVERAGE(E10:E39)</f>
        <v>11.550082222222223</v>
      </c>
      <c r="F43" s="944">
        <f t="shared" si="14"/>
        <v>0</v>
      </c>
      <c r="G43" s="944">
        <f t="shared" si="14"/>
        <v>-1.1407499999999999E-2</v>
      </c>
      <c r="H43" s="944">
        <f t="shared" si="14"/>
        <v>3.463503666666667</v>
      </c>
      <c r="I43" s="944">
        <f t="shared" si="14"/>
        <v>108.39933866666665</v>
      </c>
      <c r="J43" s="944">
        <f t="shared" si="14"/>
        <v>70.157886666666684</v>
      </c>
      <c r="K43" s="944" t="e">
        <f t="shared" si="14"/>
        <v>#VALUE!</v>
      </c>
      <c r="L43" s="942"/>
      <c r="M43" s="1046">
        <f>AVERAGE(M10:M39)</f>
        <v>0</v>
      </c>
      <c r="N43" s="944" t="e">
        <f>AVERAGE(N10:N39)</f>
        <v>#REF!</v>
      </c>
      <c r="O43" s="1194" t="e">
        <f>AVERAGE(O10:O39)</f>
        <v>#REF!</v>
      </c>
      <c r="P43" s="1195"/>
      <c r="Q43" s="1196" t="e">
        <f>AVERAGE(Q10:Q39)</f>
        <v>#DIV/0!</v>
      </c>
      <c r="R43" s="1197"/>
      <c r="S43" s="1198" t="e">
        <f>AVERAGE(S10:S40)</f>
        <v>#DIV/0!</v>
      </c>
      <c r="T43" s="1198" t="e">
        <f>AVERAGE(T10:T40)</f>
        <v>#VALUE!</v>
      </c>
      <c r="U43" s="1199" t="e">
        <f>AVERAGE(U10:U40)</f>
        <v>#VALUE!</v>
      </c>
      <c r="V43" s="1199" t="e">
        <f>AVERAGE(V10:V40)</f>
        <v>#VALUE!</v>
      </c>
      <c r="W43" s="1199" t="e">
        <f>AVERAGE(W10:W40)</f>
        <v>#VALUE!</v>
      </c>
      <c r="X43" s="944" t="e">
        <f>AVERAGE(X10:X39)</f>
        <v>#VALUE!</v>
      </c>
      <c r="Y43" s="1200" t="e">
        <f>AVERAGE(Y10:Y39)</f>
        <v>#DIV/0!</v>
      </c>
      <c r="AB43" s="1201" t="e">
        <f>+'Asset Vol_M&amp;A Late'!Y44</f>
        <v>#NUM!</v>
      </c>
      <c r="AC43" s="179" t="s">
        <v>1620</v>
      </c>
      <c r="AF43" s="1202" t="s">
        <v>2035</v>
      </c>
    </row>
    <row r="44" spans="2:35" ht="14.85" customHeight="1">
      <c r="B44" s="941" t="s">
        <v>44</v>
      </c>
      <c r="C44" s="942"/>
      <c r="D44" s="944">
        <f>MEDIAN(D10:D39)</f>
        <v>138.52769000000001</v>
      </c>
      <c r="E44" s="944">
        <f t="shared" ref="E44:K44" si="15">MEDIAN(E10:E39)</f>
        <v>2.6891699999999998</v>
      </c>
      <c r="F44" s="944">
        <f t="shared" si="15"/>
        <v>0</v>
      </c>
      <c r="G44" s="944">
        <f t="shared" si="15"/>
        <v>0</v>
      </c>
      <c r="H44" s="944">
        <f t="shared" si="15"/>
        <v>0</v>
      </c>
      <c r="I44" s="944">
        <f t="shared" si="15"/>
        <v>0</v>
      </c>
      <c r="J44" s="944">
        <f t="shared" si="15"/>
        <v>22.523</v>
      </c>
      <c r="K44" s="944" t="e">
        <f t="shared" si="15"/>
        <v>#VALUE!</v>
      </c>
      <c r="L44" s="942"/>
      <c r="M44" s="1046">
        <f>MEDIAN(M10:M39)</f>
        <v>0</v>
      </c>
      <c r="N44" s="944" t="e">
        <f>MEDIAN(N10:N39)</f>
        <v>#REF!</v>
      </c>
      <c r="O44" s="1194" t="e">
        <f>MEDIAN(O10:O39)</f>
        <v>#REF!</v>
      </c>
      <c r="P44" s="1195"/>
      <c r="Q44" s="1196" t="e">
        <f>MEDIAN(Q10:Q39)</f>
        <v>#NUM!</v>
      </c>
      <c r="R44" s="1197"/>
      <c r="S44" s="1198" t="e">
        <f>MEDIAN(S10:S40)</f>
        <v>#NUM!</v>
      </c>
      <c r="T44" s="1198" t="e">
        <f>MEDIAN(T10:T40)</f>
        <v>#VALUE!</v>
      </c>
      <c r="U44" s="1199" t="e">
        <f>MEDIAN(U10:U40)</f>
        <v>#VALUE!</v>
      </c>
      <c r="V44" s="1199" t="e">
        <f>MEDIAN(V10:V40)</f>
        <v>#VALUE!</v>
      </c>
      <c r="W44" s="1199" t="e">
        <f>MEDIAN(W10:W40)</f>
        <v>#VALUE!</v>
      </c>
      <c r="X44" s="944" t="e">
        <f>MEDIAN(X10:X39)</f>
        <v>#VALUE!</v>
      </c>
      <c r="Y44" s="1200" t="e">
        <f>MEDIAN(Y10:Y39)</f>
        <v>#NUM!</v>
      </c>
      <c r="AB44" s="1203" t="e">
        <f>IF(ROUND(AB41,3)=ROUND(AB43,3),"","Update Volatility - OPM")</f>
        <v>#REF!</v>
      </c>
      <c r="AF44" s="339"/>
    </row>
    <row r="45" spans="2:35" ht="14.85" customHeight="1">
      <c r="B45" s="941" t="s">
        <v>114</v>
      </c>
      <c r="C45" s="942"/>
      <c r="D45" s="944">
        <f>QUARTILE(D10:D39,1)</f>
        <v>74.033280000000005</v>
      </c>
      <c r="E45" s="944">
        <f t="shared" ref="E45:K45" si="16">QUARTILE(E10:E39,1)</f>
        <v>0</v>
      </c>
      <c r="F45" s="944">
        <f t="shared" si="16"/>
        <v>0</v>
      </c>
      <c r="G45" s="944">
        <f t="shared" si="16"/>
        <v>-1.1407500000000001E-2</v>
      </c>
      <c r="H45" s="944">
        <f t="shared" si="16"/>
        <v>0</v>
      </c>
      <c r="I45" s="944">
        <f t="shared" si="16"/>
        <v>0</v>
      </c>
      <c r="J45" s="944">
        <f t="shared" si="16"/>
        <v>13.622719999999999</v>
      </c>
      <c r="K45" s="944" t="e">
        <f t="shared" si="16"/>
        <v>#VALUE!</v>
      </c>
      <c r="L45" s="942"/>
      <c r="M45" s="1046">
        <f>QUARTILE(M10:M39,1)</f>
        <v>0</v>
      </c>
      <c r="N45" s="944" t="e">
        <f>QUARTILE(N10:N39,1)</f>
        <v>#REF!</v>
      </c>
      <c r="O45" s="1194" t="e">
        <f>QUARTILE(O10:O39,1)</f>
        <v>#REF!</v>
      </c>
      <c r="P45" s="1195"/>
      <c r="Q45" s="1196" t="e">
        <f>QUARTILE(Q10:Q39,1)</f>
        <v>#NUM!</v>
      </c>
      <c r="R45" s="1197"/>
      <c r="S45" s="1198" t="e">
        <f>QUARTILE(S10:S40,1)</f>
        <v>#NUM!</v>
      </c>
      <c r="T45" s="1198" t="e">
        <f>QUARTILE(T10:T40,1)</f>
        <v>#VALUE!</v>
      </c>
      <c r="U45" s="1199" t="e">
        <f>QUARTILE(U10:U40,1)</f>
        <v>#VALUE!</v>
      </c>
      <c r="V45" s="1199" t="e">
        <f>QUARTILE(V10:V40,1)</f>
        <v>#VALUE!</v>
      </c>
      <c r="W45" s="1199" t="e">
        <f>QUARTILE(W10:W40,1)</f>
        <v>#VALUE!</v>
      </c>
      <c r="X45" s="944" t="e">
        <f>QUARTILE(X10:X39,1)</f>
        <v>#VALUE!</v>
      </c>
      <c r="Y45" s="1200" t="e">
        <f>QUARTILE(Y10:Y39,1)</f>
        <v>#NUM!</v>
      </c>
      <c r="AB45" s="1204" t="e">
        <f>IF(ROUND(AB42,3)=ROUND(AB43,3),"","Update Volatility - DLOM")</f>
        <v>#NUM!</v>
      </c>
      <c r="AC45" s="264"/>
      <c r="AD45" s="264"/>
      <c r="AE45" s="264"/>
      <c r="AF45" s="701"/>
    </row>
    <row r="46" spans="2:35" ht="14.85" customHeight="1">
      <c r="B46" s="946" t="s">
        <v>112</v>
      </c>
      <c r="C46" s="663"/>
      <c r="D46" s="672">
        <f t="shared" ref="D46:K46" si="17">MIN(D10:D39)</f>
        <v>7.2796900000000004</v>
      </c>
      <c r="E46" s="672">
        <f t="shared" si="17"/>
        <v>0</v>
      </c>
      <c r="F46" s="672">
        <f t="shared" si="17"/>
        <v>0</v>
      </c>
      <c r="G46" s="672">
        <f t="shared" si="17"/>
        <v>-4.5629999999999997E-2</v>
      </c>
      <c r="H46" s="672">
        <f t="shared" si="17"/>
        <v>0</v>
      </c>
      <c r="I46" s="672">
        <f t="shared" si="17"/>
        <v>0</v>
      </c>
      <c r="J46" s="672">
        <f t="shared" si="17"/>
        <v>9.1175599999999992</v>
      </c>
      <c r="K46" s="672" t="e">
        <f t="shared" si="17"/>
        <v>#VALUE!</v>
      </c>
      <c r="L46" s="663"/>
      <c r="M46" s="1048">
        <f>MIN(M10:M39)</f>
        <v>0</v>
      </c>
      <c r="N46" s="672" t="e">
        <f>MIN(N10:N39)</f>
        <v>#REF!</v>
      </c>
      <c r="O46" s="1205" t="e">
        <f>MIN(O10:O39)</f>
        <v>#REF!</v>
      </c>
      <c r="P46" s="1206"/>
      <c r="Q46" s="1207">
        <f>MIN(Q10:Q39)</f>
        <v>0</v>
      </c>
      <c r="R46" s="1208"/>
      <c r="S46" s="1209">
        <f>MIN(S10:S40)</f>
        <v>0</v>
      </c>
      <c r="T46" s="1209" t="e">
        <f>MIN(T10:T40)</f>
        <v>#VALUE!</v>
      </c>
      <c r="U46" s="1210" t="e">
        <f>MIN(U10:U40)</f>
        <v>#VALUE!</v>
      </c>
      <c r="V46" s="1210" t="e">
        <f>MIN(V10:V40)</f>
        <v>#VALUE!</v>
      </c>
      <c r="W46" s="1210" t="e">
        <f>MIN(W10:W40)</f>
        <v>#VALUE!</v>
      </c>
      <c r="X46" s="672" t="e">
        <f>MIN(X10:X39)</f>
        <v>#VALUE!</v>
      </c>
      <c r="Y46" s="1211">
        <f>MIN(Y10:Y39)</f>
        <v>0</v>
      </c>
      <c r="AB46" s="324" t="e">
        <f>IF(K48&lt;&gt;K50,"Check","")</f>
        <v>#REF!</v>
      </c>
    </row>
    <row r="47" spans="2:35" ht="14.85" customHeight="1">
      <c r="AB47" s="865" t="e">
        <f>IF(AND(AB44=$AF$45,AB46=$AF$45,AB45=$AF$45),"","Check")</f>
        <v>#REF!</v>
      </c>
    </row>
    <row r="48" spans="2:35" ht="14.85" customHeight="1">
      <c r="B48" s="1212" t="str">
        <f>B2</f>
        <v>Decibel Therapeutics, Inc.</v>
      </c>
      <c r="C48" s="1213" t="s">
        <v>260</v>
      </c>
      <c r="D48" s="1214"/>
      <c r="E48" s="1214"/>
      <c r="F48" s="1214"/>
      <c r="G48" s="1214"/>
      <c r="H48" s="1215" t="e">
        <f>-'Val Summ_Hybrid'!#REF!/1000</f>
        <v>#REF!</v>
      </c>
      <c r="I48" s="1216">
        <f>SUM(D48:G48)</f>
        <v>0</v>
      </c>
      <c r="J48" s="1214"/>
      <c r="K48" s="1215" t="e">
        <f>'Val Summ_Hybrid'!#REF!/1000</f>
        <v>#REF!</v>
      </c>
      <c r="L48" s="1214"/>
      <c r="M48" s="1217" t="e">
        <f>DLOM_OPM!#REF!</f>
        <v>#REF!</v>
      </c>
      <c r="N48" s="1218" t="e">
        <f>N$6</f>
        <v>#REF!</v>
      </c>
      <c r="O48" s="1219" t="e">
        <f>O$6</f>
        <v>#REF!</v>
      </c>
      <c r="P48" s="1220"/>
      <c r="Q48" s="1221">
        <v>0.31</v>
      </c>
      <c r="R48" s="1214"/>
      <c r="S48" s="1222">
        <f>IF(Q48="n/a","n/a",Q48^2)</f>
        <v>9.6100000000000005E-2</v>
      </c>
      <c r="T48" s="1222" t="e">
        <f>IF(OR(K48="n/a",S48="n/a"),"n/a",IF(H48=0,0,IF(M48=0,(LN(K48/H48)+((O48+(S48/2))*N48))/((S48*N48)^0.5),(LN(K48/H48)+((O48-M48+(S48/2))*N48))/((S48*N48)^0.5))))</f>
        <v>#REF!</v>
      </c>
      <c r="U48" s="1223" t="e">
        <f>IF(T48="n/a","n/a",IF(H48=0,0,T48-(S48*N48)^0.5))</f>
        <v>#REF!</v>
      </c>
      <c r="V48" s="1223" t="e">
        <f>IF(OR(T48="n/a",S48="n/a"),"n/a",IF(H48=0,0,NORMSDIST(T48)))</f>
        <v>#REF!</v>
      </c>
      <c r="W48" s="1223" t="e">
        <f>IF(OR(U48="n/a",S48="n/a"),"n/a",IF(H48=0,0,NORMSDIST(U48)))</f>
        <v>#REF!</v>
      </c>
      <c r="X48" s="1223" t="e">
        <f>IF(OR(K48="n/a",S48="n/a"),"n/a",IF(M48=0,(K48*V48)-((H48*EXP(1)^(-O48*N48))*W48),(K48*(2.718^(-M48*N48))*V48)-(H48*(2.718^(-O48*N48))*W48)))</f>
        <v>#REF!</v>
      </c>
      <c r="Y48" s="1224" t="e">
        <f>IF(LEN(B48)&gt;0,IF(H48=0,Q48,IF(ISERROR(Q48/((K48/X48)*V48)),"n/a",Q48/((K48/X48)*V48))))</f>
        <v>#REF!</v>
      </c>
    </row>
    <row r="49" spans="1:25" ht="14.85" customHeight="1"/>
    <row r="50" spans="1:25" ht="14.85" customHeight="1">
      <c r="B50" s="1212" t="str">
        <f>B48</f>
        <v>Decibel Therapeutics, Inc.</v>
      </c>
      <c r="C50" s="1213" t="s">
        <v>299</v>
      </c>
      <c r="D50" s="1214"/>
      <c r="E50" s="1214"/>
      <c r="F50" s="1214"/>
      <c r="G50" s="1214"/>
      <c r="H50" s="1215"/>
      <c r="I50" s="1216" t="e">
        <f>K50+J50</f>
        <v>#REF!</v>
      </c>
      <c r="J50" s="1214"/>
      <c r="K50" s="1225" t="e">
        <f>K48</f>
        <v>#REF!</v>
      </c>
      <c r="L50" s="1214"/>
      <c r="M50" s="1226" t="e">
        <f>M48</f>
        <v>#REF!</v>
      </c>
      <c r="N50" s="1218" t="e">
        <f>N$6</f>
        <v>#REF!</v>
      </c>
      <c r="O50" s="1219" t="e">
        <f>O$6</f>
        <v>#REF!</v>
      </c>
      <c r="P50" s="1220"/>
      <c r="Q50" s="1221">
        <v>0.31</v>
      </c>
      <c r="R50" s="1214"/>
      <c r="S50" s="1222">
        <f>IF(Q50="n/a","n/a",Q50^2)</f>
        <v>9.6100000000000005E-2</v>
      </c>
      <c r="T50" s="1222" t="e">
        <f>IF(OR(K50="n/a",S50="n/a"),"n/a",IF(H50=0,0,IF(M50=0,(LN(K50/H50)+((O50+(S50/2))*N50))/((S50*N50)^0.5),(LN(K50/H50)+((O50-M50+(S50/2))*N50))/((S50*N50)^0.5))))</f>
        <v>#REF!</v>
      </c>
      <c r="U50" s="1223" t="e">
        <f>IF(T50="n/a","n/a",IF(H50=0,0,T50-(S50*N50)^0.5))</f>
        <v>#REF!</v>
      </c>
      <c r="V50" s="1223" t="e">
        <f>IF(OR(T50="n/a",S50="n/a"),"n/a",IF(H50=0,0,NORMSDIST(T50)))</f>
        <v>#REF!</v>
      </c>
      <c r="W50" s="1223" t="e">
        <f>IF(OR(U50="n/a",S50="n/a"),"n/a",IF(H50=0,0,NORMSDIST(U50)))</f>
        <v>#REF!</v>
      </c>
      <c r="X50" s="1223" t="e">
        <f>IF(OR(K50="n/a",S50="n/a"),"n/a",IF(M50=0,(K50*V50)-((H50*EXP(1)^(-O50*N50))*W50),(K50*(2.718^(-M50*N50))*V50)-(H50*(2.718^(-O50*N50))*W50)))</f>
        <v>#REF!</v>
      </c>
      <c r="Y50" s="1224">
        <f>IF(LEN(B50)&gt;0,IF(H50=0,Q50,IF(ISERROR(Q50/((K50/X50)*V50)),"n/a",Q50/((K50/X50)*V50))))</f>
        <v>0.31</v>
      </c>
    </row>
    <row r="51" spans="1:25" ht="14.85" customHeight="1"/>
    <row r="52" spans="1:25" ht="14.85" customHeight="1">
      <c r="B52" s="272" t="s">
        <v>86</v>
      </c>
    </row>
    <row r="53" spans="1:25" ht="14.85" customHeight="1">
      <c r="A53" s="273" t="s">
        <v>261</v>
      </c>
      <c r="B53" s="202" t="s">
        <v>3230</v>
      </c>
    </row>
    <row r="54" spans="1:25" s="275" customFormat="1" ht="14.85" customHeight="1">
      <c r="A54" s="1227" t="s">
        <v>260</v>
      </c>
      <c r="B54" s="1228" t="s">
        <v>961</v>
      </c>
      <c r="P54" s="1229"/>
    </row>
    <row r="55" spans="1:25" s="275" customFormat="1" ht="14.85" customHeight="1">
      <c r="A55" s="1227" t="s">
        <v>299</v>
      </c>
      <c r="B55" s="1228" t="s">
        <v>962</v>
      </c>
      <c r="P55" s="1229"/>
    </row>
    <row r="56" spans="1:25" ht="14.85" customHeight="1"/>
    <row r="57" spans="1:25" ht="14.85" customHeight="1">
      <c r="B57" s="272" t="s">
        <v>116</v>
      </c>
    </row>
    <row r="58" spans="1:25" ht="14.85" customHeight="1"/>
    <row r="59" spans="1:25" ht="14.85" customHeight="1">
      <c r="B59" s="179" t="s">
        <v>1650</v>
      </c>
    </row>
    <row r="60" spans="1:25" ht="14.85" customHeight="1">
      <c r="B60" s="179" t="s">
        <v>1651</v>
      </c>
    </row>
    <row r="61" spans="1:25" ht="14.85" customHeight="1">
      <c r="B61" s="179" t="s">
        <v>1652</v>
      </c>
    </row>
    <row r="62" spans="1:25" ht="14.85" customHeight="1">
      <c r="B62" s="179" t="s">
        <v>1653</v>
      </c>
    </row>
    <row r="63" spans="1:25" ht="14.85" customHeight="1">
      <c r="B63" s="179" t="s">
        <v>1654</v>
      </c>
    </row>
    <row r="64" spans="1:25" ht="14.85" customHeight="1">
      <c r="B64" s="179" t="s">
        <v>1655</v>
      </c>
    </row>
    <row r="65" spans="2:2" ht="14.85" customHeight="1">
      <c r="B65" s="179" t="s">
        <v>1656</v>
      </c>
    </row>
    <row r="66" spans="2:2" ht="14.85" customHeight="1"/>
    <row r="67" spans="2:2" ht="14.85" customHeight="1">
      <c r="B67" s="179" t="s">
        <v>1657</v>
      </c>
    </row>
    <row r="68" spans="2:2" ht="14.85" customHeight="1">
      <c r="B68" s="179" t="s">
        <v>1658</v>
      </c>
    </row>
    <row r="69" spans="2:2" ht="14.85" customHeight="1">
      <c r="B69" s="179" t="s">
        <v>1659</v>
      </c>
    </row>
    <row r="70" spans="2:2" ht="14.85" customHeight="1">
      <c r="B70" s="179" t="s">
        <v>1660</v>
      </c>
    </row>
    <row r="71" spans="2:2" ht="14.85" customHeight="1">
      <c r="B71" s="179" t="s">
        <v>1661</v>
      </c>
    </row>
    <row r="72" spans="2:2" ht="14.85" customHeight="1">
      <c r="B72" s="179" t="s">
        <v>1662</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28" priority="9" operator="equal">
      <formula>"(Invalid Identifier)"</formula>
    </cfRule>
  </conditionalFormatting>
  <conditionalFormatting sqref="C4:I4">
    <cfRule type="cellIs" dxfId="27" priority="8" stopIfTrue="1" operator="equal">
      <formula>"input"</formula>
    </cfRule>
  </conditionalFormatting>
  <conditionalFormatting sqref="J4">
    <cfRule type="cellIs" dxfId="26" priority="6" stopIfTrue="1" operator="equal">
      <formula>"input"</formula>
    </cfRule>
  </conditionalFormatting>
  <conditionalFormatting sqref="J4">
    <cfRule type="cellIs" dxfId="25" priority="7" stopIfTrue="1" operator="equal">
      <formula>"input"</formula>
    </cfRule>
  </conditionalFormatting>
  <conditionalFormatting sqref="K4:X4">
    <cfRule type="cellIs" dxfId="24" priority="4" stopIfTrue="1" operator="equal">
      <formula>"input"</formula>
    </cfRule>
  </conditionalFormatting>
  <conditionalFormatting sqref="K4:X4">
    <cfRule type="cellIs" dxfId="23" priority="5" stopIfTrue="1" operator="equal">
      <formula>"input"</formula>
    </cfRule>
  </conditionalFormatting>
  <conditionalFormatting sqref="Y4">
    <cfRule type="cellIs" dxfId="22" priority="2" stopIfTrue="1" operator="equal">
      <formula>"input"</formula>
    </cfRule>
  </conditionalFormatting>
  <conditionalFormatting sqref="Y4">
    <cfRule type="cellIs" dxfId="21" priority="3" stopIfTrue="1" operator="equal">
      <formula>"input"</formula>
    </cfRule>
  </conditionalFormatting>
  <conditionalFormatting sqref="B4">
    <cfRule type="cellIs" dxfId="20" priority="1" stopIfTrue="1" operator="equal">
      <formula>"input"</formula>
    </cfRule>
  </conditionalFormatting>
  <pageMargins left="0.5" right="0.5" top="0.5" bottom="0.5" header="0.5" footer="0.5"/>
  <pageSetup scale="72" fitToWidth="0" fitToHeight="0" orientation="landscape" r:id="rId1"/>
  <legacyDrawing r:id="rId2"/>
  <legacyDrawingHF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50"/>
  <dimension ref="B1:AI764"/>
  <sheetViews>
    <sheetView showGridLines="0" view="pageBreakPreview" zoomScale="80" zoomScaleNormal="100" zoomScaleSheetLayoutView="80" workbookViewId="0">
      <selection activeCell="B18" sqref="A18:XFD41"/>
    </sheetView>
  </sheetViews>
  <sheetFormatPr defaultRowHeight="12.75" outlineLevelRow="1" outlineLevelCol="1"/>
  <cols>
    <col min="1" max="1" width="4.5" style="179" customWidth="1"/>
    <col min="2" max="2" width="51.33203125" style="179" customWidth="1"/>
    <col min="3" max="3" width="11.83203125" style="179" customWidth="1"/>
    <col min="4" max="4" width="2.83203125" style="179" customWidth="1"/>
    <col min="5" max="6" width="15.1640625" style="179" hidden="1" customWidth="1" outlineLevel="1"/>
    <col min="7" max="7" width="11.83203125" style="179" customWidth="1" collapsed="1"/>
    <col min="8" max="8" width="2.83203125" style="179" customWidth="1"/>
    <col min="9" max="10" width="15.1640625" style="179" hidden="1" customWidth="1" outlineLevel="1"/>
    <col min="11" max="11" width="15.1640625" style="179" customWidth="1" collapsed="1"/>
    <col min="12" max="13" width="15.1640625" style="179" customWidth="1"/>
    <col min="14" max="14" width="2.83203125" style="179" customWidth="1"/>
    <col min="15" max="16" width="14.83203125" style="179" hidden="1" customWidth="1" outlineLevel="1"/>
    <col min="17" max="17" width="11.83203125" style="179" customWidth="1" collapsed="1"/>
    <col min="18" max="18" width="2.83203125" style="179" customWidth="1"/>
    <col min="19" max="20" width="14.83203125" style="179" hidden="1" customWidth="1" outlineLevel="1"/>
    <col min="21" max="21" width="9.83203125" style="179" customWidth="1" collapsed="1"/>
    <col min="22" max="23" width="9.83203125" style="179" customWidth="1"/>
    <col min="24" max="24" width="4.5" style="179" customWidth="1"/>
    <col min="25" max="32" width="12.83203125" style="179" customWidth="1"/>
    <col min="33" max="33" width="1.83203125" style="179" customWidth="1"/>
    <col min="34" max="34" width="15.33203125" style="179" bestFit="1" customWidth="1"/>
    <col min="35" max="35" width="14.33203125" style="179" bestFit="1" customWidth="1"/>
    <col min="36" max="36" width="1.83203125" style="179" customWidth="1"/>
    <col min="37" max="16384" width="9.33203125" style="179"/>
  </cols>
  <sheetData>
    <row r="1" spans="2:35" ht="10.7" customHeight="1" thickBot="1">
      <c r="Y1" s="991"/>
      <c r="Z1" s="992" t="s">
        <v>870</v>
      </c>
      <c r="AA1" s="992" t="s">
        <v>871</v>
      </c>
      <c r="AB1" s="993" t="s">
        <v>110</v>
      </c>
    </row>
    <row r="2" spans="2:35"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Y2" s="492" t="str">
        <f>+C8</f>
        <v>Enterprise Value</v>
      </c>
      <c r="Z2" s="698" t="e">
        <f ca="1">SUM('GPC Linked'!H13:H42)</f>
        <v>#NAME?</v>
      </c>
      <c r="AA2" s="698">
        <f>+SUM('Capital IQ Sheet-GPC'!H13:H42)</f>
        <v>2632.3535799999995</v>
      </c>
      <c r="AB2" s="339" t="e">
        <f ca="1">Z2=AA2</f>
        <v>#NAME?</v>
      </c>
      <c r="AH2" s="909" t="s">
        <v>87</v>
      </c>
      <c r="AI2" s="910">
        <f>'MASTER PubCo Inputs'!$C$6</f>
        <v>43245</v>
      </c>
    </row>
    <row r="3" spans="2:35" ht="15.75" customHeight="1">
      <c r="B3" s="188" t="e">
        <f>VLOOKUP(B4,Outline!$E$8:$G$75,COLUMNS(Outline!$E$8:$G$8),FALSE)</f>
        <v>#N/A</v>
      </c>
      <c r="C3" s="188"/>
      <c r="D3" s="188"/>
      <c r="E3" s="188"/>
      <c r="F3" s="188"/>
      <c r="G3" s="188"/>
      <c r="H3" s="188"/>
      <c r="I3" s="188"/>
      <c r="J3" s="188"/>
      <c r="K3" s="188"/>
      <c r="L3" s="188"/>
      <c r="M3" s="188"/>
      <c r="N3" s="188"/>
      <c r="O3" s="188"/>
      <c r="P3" s="188"/>
      <c r="Q3" s="188"/>
      <c r="R3" s="188"/>
      <c r="S3" s="188"/>
      <c r="T3" s="188"/>
      <c r="U3" s="188"/>
      <c r="V3" s="188"/>
      <c r="W3" s="188"/>
      <c r="Y3" s="492" t="str">
        <f>+G8</f>
        <v>LTM</v>
      </c>
      <c r="Z3" s="698" t="e">
        <f ca="1">+SUM('GPC Linked'!Z13:Z42)</f>
        <v>#NAME?</v>
      </c>
      <c r="AA3" s="698">
        <f>+SUM('Capital IQ Sheet-GPC'!Z13:Z42)</f>
        <v>-299.53426999999999</v>
      </c>
      <c r="AB3" s="339" t="e">
        <f ca="1">Z3=AA3</f>
        <v>#NAME?</v>
      </c>
      <c r="AH3" s="911" t="s">
        <v>462</v>
      </c>
      <c r="AI3" s="994" t="s">
        <v>464</v>
      </c>
    </row>
    <row r="4" spans="2:35" ht="16.5" customHeight="1" thickBot="1">
      <c r="B4" s="726" t="s">
        <v>739</v>
      </c>
      <c r="C4" s="726"/>
      <c r="D4" s="1633"/>
      <c r="E4" s="726"/>
      <c r="F4" s="726"/>
      <c r="G4" s="726"/>
      <c r="H4" s="726"/>
      <c r="I4" s="726"/>
      <c r="J4" s="727"/>
      <c r="K4" s="727"/>
      <c r="L4" s="727"/>
      <c r="M4" s="727"/>
      <c r="N4" s="727"/>
      <c r="O4" s="727"/>
      <c r="P4" s="727"/>
      <c r="Q4" s="727"/>
      <c r="R4" s="727"/>
      <c r="S4" s="727"/>
      <c r="T4" s="727"/>
      <c r="U4" s="727"/>
      <c r="V4" s="727"/>
      <c r="W4" s="727" t="str">
        <f>+'MASTER PubCo Inputs'!$C$24</f>
        <v>(in millions of USD)</v>
      </c>
      <c r="Y4" s="995">
        <f>+K8</f>
        <v>2018</v>
      </c>
      <c r="Z4" s="996" t="e">
        <f ca="1">+SUM('GPC Linked'!AC13:AC42)</f>
        <v>#NAME?</v>
      </c>
      <c r="AA4" s="996">
        <f>+SUM('Capital IQ Sheet-GPC'!AC13:AC42)</f>
        <v>-137.88953000000001</v>
      </c>
      <c r="AB4" s="701" t="e">
        <f ca="1">Z4=AA4</f>
        <v>#NAME?</v>
      </c>
      <c r="AH4" s="911" t="s">
        <v>463</v>
      </c>
      <c r="AI4" s="994" t="s">
        <v>465</v>
      </c>
    </row>
    <row r="5" spans="2:35" ht="14.85" customHeight="1" thickTop="1">
      <c r="B5" s="963"/>
      <c r="C5" s="963"/>
      <c r="AH5" s="378" t="s">
        <v>89</v>
      </c>
      <c r="AI5" s="997" t="s">
        <v>90</v>
      </c>
    </row>
    <row r="6" spans="2:35" ht="14.85" customHeight="1">
      <c r="I6" s="998" t="s">
        <v>331</v>
      </c>
      <c r="J6" s="1001"/>
      <c r="K6" s="998" t="s">
        <v>331</v>
      </c>
      <c r="L6" s="1000"/>
      <c r="M6" s="1001"/>
      <c r="S6" s="998" t="s">
        <v>331</v>
      </c>
      <c r="T6" s="1001"/>
      <c r="U6" s="998" t="s">
        <v>331</v>
      </c>
      <c r="V6" s="1000"/>
      <c r="W6" s="1001"/>
      <c r="Y6" s="1005" t="s">
        <v>958</v>
      </c>
      <c r="Z6" s="1006">
        <v>50</v>
      </c>
      <c r="AA6" s="1005" t="s">
        <v>959</v>
      </c>
      <c r="AB6" s="1006">
        <v>0</v>
      </c>
    </row>
    <row r="7" spans="2:35" ht="14.85" customHeight="1">
      <c r="E7" s="1007" t="s">
        <v>713</v>
      </c>
      <c r="F7" s="841"/>
      <c r="G7" s="1008" t="s">
        <v>712</v>
      </c>
      <c r="H7" s="842"/>
      <c r="I7" s="1007" t="s">
        <v>711</v>
      </c>
      <c r="J7" s="841"/>
      <c r="K7" s="1007" t="s">
        <v>711</v>
      </c>
      <c r="L7" s="840"/>
      <c r="M7" s="841"/>
      <c r="O7" s="1035" t="s">
        <v>332</v>
      </c>
      <c r="P7" s="1035"/>
      <c r="Q7" s="1008" t="s">
        <v>332</v>
      </c>
      <c r="R7" s="842"/>
      <c r="S7" s="1036"/>
      <c r="T7" s="1037"/>
      <c r="U7" s="1007" t="s">
        <v>332</v>
      </c>
      <c r="V7" s="840"/>
      <c r="W7" s="841"/>
      <c r="Y7" s="972" t="s">
        <v>91</v>
      </c>
      <c r="Z7" s="973"/>
      <c r="AA7" s="973"/>
      <c r="AB7" s="973"/>
      <c r="AC7" s="973"/>
      <c r="AD7" s="973"/>
      <c r="AE7" s="973"/>
      <c r="AF7" s="974"/>
    </row>
    <row r="8" spans="2:35" s="200" customFormat="1" ht="14.85" customHeight="1">
      <c r="B8" s="1010" t="s">
        <v>733</v>
      </c>
      <c r="C8" s="924" t="s">
        <v>147</v>
      </c>
      <c r="D8" s="265"/>
      <c r="E8" s="1013" t="s">
        <v>353</v>
      </c>
      <c r="F8" s="1038" t="s">
        <v>329</v>
      </c>
      <c r="G8" s="980" t="s">
        <v>330</v>
      </c>
      <c r="H8" s="1016"/>
      <c r="I8" s="1017">
        <f>J8-1</f>
        <v>2016</v>
      </c>
      <c r="J8" s="1019">
        <f>K8-1</f>
        <v>2017</v>
      </c>
      <c r="K8" s="1017">
        <f>YEAR($AI$2)</f>
        <v>2018</v>
      </c>
      <c r="L8" s="1018">
        <f>K8+1</f>
        <v>2019</v>
      </c>
      <c r="M8" s="1019">
        <f>L8+1</f>
        <v>2020</v>
      </c>
      <c r="N8" s="265"/>
      <c r="O8" s="1016" t="str">
        <f>E8</f>
        <v>LTM-2</v>
      </c>
      <c r="P8" s="1016" t="str">
        <f>F8</f>
        <v>LTM-1</v>
      </c>
      <c r="Q8" s="980" t="str">
        <f>G8</f>
        <v>LTM</v>
      </c>
      <c r="R8" s="1016"/>
      <c r="S8" s="1013">
        <f>I8</f>
        <v>2016</v>
      </c>
      <c r="T8" s="1038">
        <f>J8</f>
        <v>2017</v>
      </c>
      <c r="U8" s="1017">
        <f>K8</f>
        <v>2018</v>
      </c>
      <c r="V8" s="1018">
        <f>L8</f>
        <v>2019</v>
      </c>
      <c r="W8" s="1019">
        <f>M8</f>
        <v>2020</v>
      </c>
      <c r="Y8" s="1020" t="s">
        <v>94</v>
      </c>
      <c r="Z8" s="1021" t="s">
        <v>95</v>
      </c>
      <c r="AA8" s="1021" t="s">
        <v>96</v>
      </c>
      <c r="AB8" s="1021" t="s">
        <v>97</v>
      </c>
      <c r="AC8" s="1021" t="s">
        <v>98</v>
      </c>
      <c r="AD8" s="1021" t="s">
        <v>99</v>
      </c>
      <c r="AE8" s="1021" t="s">
        <v>100</v>
      </c>
      <c r="AF8" s="1023" t="s">
        <v>101</v>
      </c>
      <c r="AH8" s="562" t="s">
        <v>108</v>
      </c>
    </row>
    <row r="9" spans="2:35" ht="14.85" customHeight="1"/>
    <row r="10" spans="2:35" ht="14.85" customHeight="1">
      <c r="B10" s="410" t="s">
        <v>467</v>
      </c>
      <c r="C10" s="309"/>
      <c r="D10" s="182"/>
      <c r="E10" s="309"/>
      <c r="F10" s="309"/>
      <c r="G10" s="309"/>
      <c r="H10" s="309"/>
      <c r="I10" s="309"/>
      <c r="J10" s="309"/>
      <c r="K10" s="309"/>
      <c r="L10" s="309"/>
      <c r="M10" s="309"/>
      <c r="O10" s="182"/>
      <c r="P10" s="182"/>
      <c r="Q10" s="182"/>
      <c r="R10" s="182"/>
      <c r="S10" s="182"/>
      <c r="T10" s="182"/>
      <c r="U10" s="182"/>
      <c r="V10" s="182"/>
      <c r="W10" s="182"/>
      <c r="AH10" s="934"/>
    </row>
    <row r="11" spans="2:35" s="549" customFormat="1" ht="14.85" customHeight="1">
      <c r="B11" s="548"/>
      <c r="C11" s="857"/>
      <c r="D11" s="548"/>
      <c r="E11" s="857"/>
      <c r="F11" s="857"/>
      <c r="G11" s="857"/>
      <c r="H11" s="857"/>
      <c r="I11" s="857"/>
      <c r="J11" s="857"/>
      <c r="K11" s="857"/>
      <c r="L11" s="857"/>
      <c r="M11" s="857"/>
      <c r="O11" s="548"/>
      <c r="P11" s="548"/>
      <c r="Q11" s="548"/>
      <c r="R11" s="548"/>
      <c r="S11" s="548"/>
      <c r="T11" s="548"/>
      <c r="U11" s="548"/>
      <c r="V11" s="548"/>
      <c r="W11" s="548"/>
      <c r="Y11" s="179"/>
      <c r="Z11" s="179"/>
      <c r="AA11" s="179"/>
      <c r="AB11" s="179"/>
      <c r="AC11" s="179"/>
      <c r="AD11" s="179"/>
      <c r="AE11" s="179"/>
      <c r="AF11" s="179"/>
    </row>
    <row r="12" spans="2:35" ht="14.85" customHeight="1">
      <c r="B12" s="179" t="str">
        <f>'Comp.1'!B12</f>
        <v>Editas Medicine, Inc.</v>
      </c>
      <c r="C12" s="576">
        <f>'Comp.1'!C12</f>
        <v>1379.6794800000002</v>
      </c>
      <c r="E12" s="576">
        <f>'Capital IQ Sheet-GPC'!X13</f>
        <v>-47.414999999999999</v>
      </c>
      <c r="F12" s="576">
        <f>'Capital IQ Sheet-GPC'!Y13</f>
        <v>-108.33</v>
      </c>
      <c r="G12" s="576">
        <f>'Capital IQ Sheet-GPC'!Z13</f>
        <v>-118.062</v>
      </c>
      <c r="H12" s="255"/>
      <c r="I12" s="576">
        <f>'Capital IQ Sheet-GPC'!AA13</f>
        <v>-95.986000000000004</v>
      </c>
      <c r="J12" s="576">
        <f>'Capital IQ Sheet-GPC'!AB13</f>
        <v>-117.25</v>
      </c>
      <c r="K12" s="576">
        <f>'Capital IQ Sheet-GPC'!AC13</f>
        <v>-111.62622</v>
      </c>
      <c r="L12" s="576">
        <f>'Capital IQ Sheet-GPC'!AD13</f>
        <v>-131.72726</v>
      </c>
      <c r="M12" s="576">
        <f>'Capital IQ Sheet-GPC'!AE13</f>
        <v>-162.44784999999999</v>
      </c>
      <c r="O12" s="930">
        <f>IF(ISERROR($C12/E12), "n/a", $C12/E12)</f>
        <v>-29.097953812084789</v>
      </c>
      <c r="P12" s="930">
        <f>IF(ISERROR($C12/F12), "n/a", $C12/F12)</f>
        <v>-12.735894765992802</v>
      </c>
      <c r="Q12" s="930" t="str">
        <f>IFERROR(IF(($C12/G12)&gt;$Z$6, "NM", IF(($C12/G12)&lt;$AB$6, "NM", $C12/G12)),"n/a")</f>
        <v>NM</v>
      </c>
      <c r="S12" s="930">
        <f>IF(ISERROR($C12/I12), "n/a", $C12/I12)</f>
        <v>-14.373757422957517</v>
      </c>
      <c r="T12" s="930">
        <f>IF(ISERROR($C12/J12), "n/a", $C12/J12)</f>
        <v>-11.766989168443498</v>
      </c>
      <c r="U12" s="930" t="str">
        <f>IFERROR(IF(($C12/K12)&gt;$Z$6, "NM", IF(($C12/K12)&lt;$AB$6, "NM", $C12/K12)),"n/a")</f>
        <v>NM</v>
      </c>
      <c r="V12" s="930" t="str">
        <f>IFERROR(IF(($C12/L12)&gt;$Z$6, "NM", IF(($C12/L12)&lt;$AB$6, "NM", $C12/L12)),"n/a")</f>
        <v>NM</v>
      </c>
      <c r="W12" s="930" t="str">
        <f>IFERROR(IF(($C12/M12)&gt;$Z$6, "NM", IF(($C12/M12)&lt;$AB$6, "NM", $C12/M12)),"n/a")</f>
        <v>NM</v>
      </c>
      <c r="Y12" s="255">
        <f>'Comp.1'!AB12</f>
        <v>1705.3104800000001</v>
      </c>
      <c r="Z12" s="255">
        <f>'Comp.1'!AC12</f>
        <v>33.19</v>
      </c>
      <c r="AA12" s="255" t="str">
        <f>'Comp.1'!AD12</f>
        <v>n/a</v>
      </c>
      <c r="AB12" s="255" t="str">
        <f>'Comp.1'!AE12</f>
        <v>n/a</v>
      </c>
      <c r="AC12" s="255">
        <f>SUM(Z12:AB12)</f>
        <v>33.19</v>
      </c>
      <c r="AD12" s="255">
        <f>SUM(Y12:AB12)</f>
        <v>1738.5004800000002</v>
      </c>
      <c r="AE12" s="255">
        <f>'Comp.1'!AH12</f>
        <v>358.82100000000003</v>
      </c>
      <c r="AF12" s="576">
        <f>IF(ISERROR(AD12-AE12), "n/a", AD12-AE12)</f>
        <v>1379.6794800000002</v>
      </c>
      <c r="AH12" s="932" t="str">
        <f>IF('MASTER PubCo Inputs'!C28="","",'MASTER PubCo Inputs'!C28)</f>
        <v>IQ252050056</v>
      </c>
      <c r="AI12" s="179" t="str">
        <f>'Comp.1'!AL12</f>
        <v>Editas Medicine, Inc. operates as a genome editing company. It focuses on treating patients with genetically defined diseases by correcting their disease causing genes. The company develops a proprietary genome editing platform based on CRISPR technology to target genetically defined diseases with an initial focus on debilitating illnesses where there are no approved treatments. It develops EDIT-101 for Leber Congenital Amaurosis type 10, a genetic form of vision loss that leads to blindness in childhood. The company also develops other therapies for eye diseases, such as Herpes Simplex Virus 1 that causes lifelong infections primarily leading to ocular and oral disease; and Usher Syndrome 2A, which is a form of retinitis pigmentosa that also includes hearing loss. In addition, it develops hematopoietic stem cells for treating sickle cell disease and beta thalassemia. Editas Medicine, Inc. has a collaboration and license agreement with Juno Therapeutics, Inc. for the research and development of engineered T cells with chimeric antigen receptors and T cell receptors; and strategic alliance and option agreement with Allergan Pharmaceuticals International Limited for the research and development of medicines for ocular diseases. The company was formerly known as Gengine, Inc. and changed its name to Editas Medicine Inc. in November 2013. Editas Medicine, Inc. was founded in 2013 and is based in Cambridge, Massachusetts.</v>
      </c>
    </row>
    <row r="13" spans="2:35" ht="14.85" customHeight="1">
      <c r="B13" s="179" t="str">
        <f>'Comp.1'!B13</f>
        <v>Oxford BioMedica plc</v>
      </c>
      <c r="C13" s="576">
        <f>'Comp.1'!C13</f>
        <v>686.14873999999998</v>
      </c>
      <c r="E13" s="576">
        <f>'Capital IQ Sheet-GPC'!X14</f>
        <v>-18.368970000000001</v>
      </c>
      <c r="F13" s="576">
        <f>'Capital IQ Sheet-GPC'!Y14</f>
        <v>-9.4305599999999998</v>
      </c>
      <c r="G13" s="576">
        <f>'Capital IQ Sheet-GPC'!Z14</f>
        <v>-4.8523399999999999</v>
      </c>
      <c r="H13" s="255"/>
      <c r="I13" s="576">
        <f>'Capital IQ Sheet-GPC'!AA14</f>
        <v>-9.4305599999999998</v>
      </c>
      <c r="J13" s="576">
        <f>'Capital IQ Sheet-GPC'!AB14</f>
        <v>-4.8523399999999999</v>
      </c>
      <c r="K13" s="576">
        <f>'Capital IQ Sheet-GPC'!AC14</f>
        <v>5.2200100000000003</v>
      </c>
      <c r="L13" s="576">
        <f>'Capital IQ Sheet-GPC'!AD14</f>
        <v>6.3925799999999997</v>
      </c>
      <c r="M13" s="576">
        <f>'Capital IQ Sheet-GPC'!AE14</f>
        <v>20.616499999999998</v>
      </c>
      <c r="O13" s="930">
        <f t="shared" ref="O13:O41" si="0">IF(ISERROR($C13/E13), "n/a", $C13/E13)</f>
        <v>-37.353686134824102</v>
      </c>
      <c r="P13" s="930">
        <f t="shared" ref="P13:P41" si="1">IF(ISERROR($C13/F13), "n/a", $C13/F13)</f>
        <v>-72.758005887243172</v>
      </c>
      <c r="Q13" s="930" t="str">
        <f t="shared" ref="Q13:Q41" si="2">IFERROR(IF(($C13/G13)&gt;$Z$6, "NM", IF(($C13/G13)&lt;$AB$6, "NM", $C13/G13)),"n/a")</f>
        <v>NM</v>
      </c>
      <c r="S13" s="930">
        <f t="shared" ref="S13:S41" si="3">IF(ISERROR($C13/I13), "n/a", $C13/I13)</f>
        <v>-72.758005887243172</v>
      </c>
      <c r="T13" s="930">
        <f t="shared" ref="T13:T41" si="4">IF(ISERROR($C13/J13), "n/a", $C13/J13)</f>
        <v>-141.40574238408686</v>
      </c>
      <c r="U13" s="930" t="str">
        <f t="shared" ref="U13:U41" si="5">IFERROR(IF(($C13/K13)&gt;$Z$6, "NM", IF(($C13/K13)&lt;$AB$6, "NM", $C13/K13)),"n/a")</f>
        <v>NM</v>
      </c>
      <c r="V13" s="930" t="str">
        <f t="shared" ref="V13:V41" si="6">IFERROR(IF(($C13/L13)&gt;$Z$6, "NM", IF(($C13/L13)&lt;$AB$6, "NM", $C13/L13)),"n/a")</f>
        <v>NM</v>
      </c>
      <c r="W13" s="930">
        <f t="shared" ref="W13:W41" si="7">IFERROR(IF(($C13/M13)&gt;$Z$6, "NM", IF(($C13/M13)&lt;$AB$6, "NM", $C13/M13)),"n/a")</f>
        <v>33.281533722988868</v>
      </c>
      <c r="Y13" s="255">
        <f>'Comp.1'!AB13</f>
        <v>655.68985999999995</v>
      </c>
      <c r="Z13" s="255">
        <f>'Comp.1'!AC13</f>
        <v>49.826320000000003</v>
      </c>
      <c r="AA13" s="255" t="str">
        <f>'Comp.1'!AD13</f>
        <v>n/a</v>
      </c>
      <c r="AB13" s="255" t="str">
        <f>'Comp.1'!AE13</f>
        <v>n/a</v>
      </c>
      <c r="AC13" s="255">
        <f t="shared" ref="AC13:AC41" si="8">SUM(Z13:AB13)</f>
        <v>49.826320000000003</v>
      </c>
      <c r="AD13" s="255">
        <f t="shared" ref="AD13:AD41" si="9">SUM(Y13:AB13)</f>
        <v>705.51617999999996</v>
      </c>
      <c r="AE13" s="255">
        <f>'Comp.1'!AH13</f>
        <v>19.367439999999998</v>
      </c>
      <c r="AF13" s="576">
        <f t="shared" ref="AF13:AF41" si="10">IF(ISERROR(AD13-AE13), "n/a", AD13-AE13)</f>
        <v>686.14873999999998</v>
      </c>
      <c r="AH13" s="932" t="str">
        <f>IF('MASTER PubCo Inputs'!C29="","",'MASTER PubCo Inputs'!C29)</f>
        <v>IQ613227</v>
      </c>
      <c r="AI13" s="179" t="str">
        <f>'Comp.1'!AL13</f>
        <v>Oxford BioMedica plc, a biopharmaceutical company, engages in the research, development, and bioprocessing of lentiviral vector and cell therapy products for the treatment of various cancers, Parkinson’s, central nervous system disorders, and ocular conditions in Europe and internationally. The company operates through Platform and Product segments. Its LentiVector platform technology integrates genes into non-dividing cells in the brain and retinal cells in the eye, as well as accommodates multiple therapeutic genes. The company’s products under development include OXB-102 that is in Phase I/IIa study preparation for the treatment of Parkinson's disease; OXB-202, which is in a Phase I/IIa trial preparation for the prevention of corneal graft rejection; and OXB-302, a gene-based cancer immunotherapy product that has completed pre-clinical development for use in the treatment of a range of cancers, as well as OXB-201 that has completed Phase I trial for the treatment of wet age-related macular degeneration and diabetic retinopathy. It is also developing gene-based therapies, such as SAR 422459 that is in a Phase II trial for the treatment of Stargardt disease; and SAR 421869, which is in Phase I/II trial for the treatment of Usher syndrome 1B. The company has partnerships with Novartis, Sanofi, GlaxoSmithKline, Bioverativ, Orchard Therapeutics, GC LabCell, the UK Cystic Fibrosis Gene Therapy Consortium, Imperial Innovations, and Immune Design. Oxford BioMedica plc was founded in 1995 and is headquartered in Oxford, the United Kingdom.</v>
      </c>
    </row>
    <row r="14" spans="2:35" ht="14.85" customHeight="1">
      <c r="B14" s="179" t="str">
        <f>'Comp.1'!B14</f>
        <v>Fennec Pharmaceuticals Inc.</v>
      </c>
      <c r="C14" s="576">
        <f>'Comp.1'!C14</f>
        <v>178.94606000000002</v>
      </c>
      <c r="E14" s="576" t="str">
        <f>'Capital IQ Sheet-GPC'!X15</f>
        <v>n/a</v>
      </c>
      <c r="F14" s="576" t="str">
        <f>'Capital IQ Sheet-GPC'!Y15</f>
        <v>n/a</v>
      </c>
      <c r="G14" s="576" t="str">
        <f>'Capital IQ Sheet-GPC'!Z15</f>
        <v>n/a</v>
      </c>
      <c r="H14" s="255"/>
      <c r="I14" s="576" t="str">
        <f>'Capital IQ Sheet-GPC'!AA15</f>
        <v>n/a</v>
      </c>
      <c r="J14" s="576" t="str">
        <f>'Capital IQ Sheet-GPC'!AB15</f>
        <v>n/a</v>
      </c>
      <c r="K14" s="576" t="str">
        <f>'Capital IQ Sheet-GPC'!AC15</f>
        <v>n/a</v>
      </c>
      <c r="L14" s="576" t="str">
        <f>'Capital IQ Sheet-GPC'!AD15</f>
        <v>n/a</v>
      </c>
      <c r="M14" s="576" t="str">
        <f>'Capital IQ Sheet-GPC'!AE15</f>
        <v>n/a</v>
      </c>
      <c r="O14" s="930" t="str">
        <f t="shared" si="0"/>
        <v>n/a</v>
      </c>
      <c r="P14" s="930" t="str">
        <f t="shared" si="1"/>
        <v>n/a</v>
      </c>
      <c r="Q14" s="930" t="str">
        <f t="shared" si="2"/>
        <v>n/a</v>
      </c>
      <c r="S14" s="930" t="str">
        <f t="shared" si="3"/>
        <v>n/a</v>
      </c>
      <c r="T14" s="930" t="str">
        <f t="shared" si="4"/>
        <v>n/a</v>
      </c>
      <c r="U14" s="930" t="str">
        <f t="shared" si="5"/>
        <v>n/a</v>
      </c>
      <c r="V14" s="930" t="str">
        <f t="shared" si="6"/>
        <v>n/a</v>
      </c>
      <c r="W14" s="930" t="str">
        <f t="shared" si="7"/>
        <v>n/a</v>
      </c>
      <c r="Y14" s="255">
        <f>'Comp.1'!AB14</f>
        <v>205.66506000000001</v>
      </c>
      <c r="Z14" s="255">
        <f>'Comp.1'!AC14</f>
        <v>0</v>
      </c>
      <c r="AA14" s="255" t="str">
        <f>'Comp.1'!AD14</f>
        <v>n/a</v>
      </c>
      <c r="AB14" s="255" t="str">
        <f>'Comp.1'!AE14</f>
        <v>n/a</v>
      </c>
      <c r="AC14" s="255">
        <f t="shared" si="8"/>
        <v>0</v>
      </c>
      <c r="AD14" s="255">
        <f t="shared" si="9"/>
        <v>205.66506000000001</v>
      </c>
      <c r="AE14" s="255">
        <f>'Comp.1'!AH14</f>
        <v>26.719000000000001</v>
      </c>
      <c r="AF14" s="576">
        <f t="shared" si="10"/>
        <v>178.94606000000002</v>
      </c>
      <c r="AH14" s="932" t="str">
        <f>IF('MASTER PubCo Inputs'!C30="","",'MASTER PubCo Inputs'!C30)</f>
        <v>IQ1455350</v>
      </c>
      <c r="AI14" s="179" t="str">
        <f>'Comp.1'!AL14</f>
        <v>Fennec Pharmaceuticals Inc., a biopharmaceutical company, develops product candidates for use in the treatment of cancer in the United States. Its lead product candidate is the Sodium Thiosulfate, which has completed the Phase III clinical trial for the prevention of cisplatin induced hearing loss or ototoxicity in children. The company was formerly known as Adherex Technologies Inc. and changed its name to Fennec Pharmaceuticals Inc. in September 2014. Fennec Pharmaceuticals Inc. was founded in 1996 and is based in Research Triangle Park, North Carolina.</v>
      </c>
    </row>
    <row r="15" spans="2:35" ht="14.85" customHeight="1">
      <c r="B15" s="179" t="str">
        <f>'Comp.1'!B15</f>
        <v>ProQR Therapeutics N.V.</v>
      </c>
      <c r="C15" s="576">
        <f>'Comp.1'!C15</f>
        <v>139.23598000000001</v>
      </c>
      <c r="E15" s="576">
        <f>'Capital IQ Sheet-GPC'!X16</f>
        <v>-28.805869999999999</v>
      </c>
      <c r="F15" s="576">
        <f>'Capital IQ Sheet-GPC'!Y16</f>
        <v>-40.514090000000003</v>
      </c>
      <c r="G15" s="576">
        <f>'Capital IQ Sheet-GPC'!Z16</f>
        <v>-47.411140000000003</v>
      </c>
      <c r="H15" s="255"/>
      <c r="I15" s="576">
        <f>'Capital IQ Sheet-GPC'!AA16</f>
        <v>-40.514090000000003</v>
      </c>
      <c r="J15" s="576">
        <f>'Capital IQ Sheet-GPC'!AB16</f>
        <v>-47.411140000000003</v>
      </c>
      <c r="K15" s="576" t="str">
        <f>'Capital IQ Sheet-GPC'!AC16</f>
        <v>n/a</v>
      </c>
      <c r="L15" s="576" t="str">
        <f>'Capital IQ Sheet-GPC'!AD16</f>
        <v>n/a</v>
      </c>
      <c r="M15" s="576" t="str">
        <f>'Capital IQ Sheet-GPC'!AE16</f>
        <v>n/a</v>
      </c>
      <c r="O15" s="930">
        <f t="shared" si="0"/>
        <v>-4.8335974577403844</v>
      </c>
      <c r="P15" s="930">
        <f t="shared" si="1"/>
        <v>-3.4367297895621007</v>
      </c>
      <c r="Q15" s="930" t="str">
        <f t="shared" si="2"/>
        <v>NM</v>
      </c>
      <c r="S15" s="930">
        <f t="shared" si="3"/>
        <v>-3.4367297895621007</v>
      </c>
      <c r="T15" s="930">
        <f t="shared" si="4"/>
        <v>-2.9367777277660907</v>
      </c>
      <c r="U15" s="930" t="str">
        <f t="shared" si="5"/>
        <v>n/a</v>
      </c>
      <c r="V15" s="930" t="str">
        <f t="shared" si="6"/>
        <v>n/a</v>
      </c>
      <c r="W15" s="930" t="str">
        <f t="shared" si="7"/>
        <v>n/a</v>
      </c>
      <c r="Y15" s="255">
        <f>'Comp.1'!AB15</f>
        <v>188.339</v>
      </c>
      <c r="Z15" s="255">
        <f>'Comp.1'!AC15</f>
        <v>8.6983700000000006</v>
      </c>
      <c r="AA15" s="255" t="str">
        <f>'Comp.1'!AD15</f>
        <v>n/a</v>
      </c>
      <c r="AB15" s="255">
        <f>'Comp.1'!AE15</f>
        <v>-4.5629999999999997E-2</v>
      </c>
      <c r="AC15" s="255">
        <f t="shared" si="8"/>
        <v>8.6527400000000014</v>
      </c>
      <c r="AD15" s="255">
        <f t="shared" si="9"/>
        <v>196.99174000000002</v>
      </c>
      <c r="AE15" s="255">
        <f>'Comp.1'!AH15</f>
        <v>57.755760000000002</v>
      </c>
      <c r="AF15" s="576">
        <f t="shared" si="10"/>
        <v>139.23598000000001</v>
      </c>
      <c r="AH15" s="932" t="str">
        <f>IF('MASTER PubCo Inputs'!C31="","",'MASTER PubCo Inputs'!C31)</f>
        <v>IQ224193775</v>
      </c>
      <c r="AI15" s="179" t="str">
        <f>'Comp.1'!AL15</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16" spans="2:35" ht="14.85" customHeight="1">
      <c r="B16" s="179" t="str">
        <f>'Comp.1'!B16</f>
        <v>Genkyotex SA</v>
      </c>
      <c r="C16" s="576">
        <f>'Comp.1'!C16</f>
        <v>125.38888000000001</v>
      </c>
      <c r="E16" s="576" t="str">
        <f>'Capital IQ Sheet-GPC'!X17</f>
        <v>n/a</v>
      </c>
      <c r="F16" s="576">
        <f>'Capital IQ Sheet-GPC'!Y17</f>
        <v>-6.1796699999999998</v>
      </c>
      <c r="G16" s="576">
        <f>'Capital IQ Sheet-GPC'!Z17</f>
        <v>-16.318439999999999</v>
      </c>
      <c r="H16" s="255"/>
      <c r="I16" s="576">
        <f>'Capital IQ Sheet-GPC'!AA17</f>
        <v>-6.1796699999999998</v>
      </c>
      <c r="J16" s="576">
        <f>'Capital IQ Sheet-GPC'!AB17</f>
        <v>-16.318439999999999</v>
      </c>
      <c r="K16" s="576">
        <f>'Capital IQ Sheet-GPC'!AC17</f>
        <v>-18.883320000000001</v>
      </c>
      <c r="L16" s="576">
        <f>'Capital IQ Sheet-GPC'!AD17</f>
        <v>-44.760460000000002</v>
      </c>
      <c r="M16" s="576">
        <f>'Capital IQ Sheet-GPC'!AE17</f>
        <v>-65.275670000000005</v>
      </c>
      <c r="O16" s="930" t="str">
        <f t="shared" si="0"/>
        <v>n/a</v>
      </c>
      <c r="P16" s="930">
        <f t="shared" si="1"/>
        <v>-20.290546258942634</v>
      </c>
      <c r="Q16" s="930" t="str">
        <f t="shared" si="2"/>
        <v>NM</v>
      </c>
      <c r="S16" s="930">
        <f t="shared" si="3"/>
        <v>-20.290546258942634</v>
      </c>
      <c r="T16" s="930">
        <f t="shared" si="4"/>
        <v>-7.6838766450714662</v>
      </c>
      <c r="U16" s="930" t="str">
        <f t="shared" si="5"/>
        <v>NM</v>
      </c>
      <c r="V16" s="930" t="str">
        <f t="shared" si="6"/>
        <v>NM</v>
      </c>
      <c r="W16" s="930" t="str">
        <f t="shared" si="7"/>
        <v>NM</v>
      </c>
      <c r="Y16" s="255">
        <f>'Comp.1'!AB16</f>
        <v>138.52769000000001</v>
      </c>
      <c r="Z16" s="255">
        <f>'Comp.1'!AC16</f>
        <v>0.48391000000000001</v>
      </c>
      <c r="AA16" s="255" t="str">
        <f>'Comp.1'!AD16</f>
        <v>n/a</v>
      </c>
      <c r="AB16" s="255" t="str">
        <f>'Comp.1'!AE16</f>
        <v>n/a</v>
      </c>
      <c r="AC16" s="255">
        <f t="shared" si="8"/>
        <v>0.48391000000000001</v>
      </c>
      <c r="AD16" s="255">
        <f t="shared" si="9"/>
        <v>139.01160000000002</v>
      </c>
      <c r="AE16" s="255">
        <f>'Comp.1'!AH16</f>
        <v>13.622719999999999</v>
      </c>
      <c r="AF16" s="576">
        <f t="shared" si="10"/>
        <v>125.38888000000001</v>
      </c>
      <c r="AH16" s="932" t="str">
        <f>IF('MASTER PubCo Inputs'!C32="","",'MASTER PubCo Inputs'!C32)</f>
        <v>IQ25750031</v>
      </c>
      <c r="AI16" s="179" t="str">
        <f>'Comp.1'!AL16</f>
        <v>Genkyotex S.A., a biopharmaceutical company, develops oral small molecule NOX therapeutics. Its platform enables the identification of orally available small-molecules that selectively inhibit NOX enzymes amplifying various disease processes, such as fibrosis, inflammation, pain processing, cancer development, and neurodegeneration. The company’s lead product candidate is GKT831, a NOX1 and NOX4 inhibitor, which is evaluated in a Phase II clinical trial in primary biliary cholangitis a fibrotic orphan disease and in an investigator-initiated Phase II clinical trial in type 1 diabetes and kidney disease. Its preclinical stage product candidate is GKT771, a NOX1 inhibitor targeting various pathways in angiogenesis, pain processing, and inflammation. The company’s research programs include brain penetrant NOX inhibitors to address CNS disorders; NOX inhibitors to address hearing loss; and NOX inhibitors in oncology. Genkyotex S.A. has a partnership with Serum Institute of India Ltd for the development of prophylactic vaccines. The company was founded in 2006 and is based in Saint Julien En Genevois, France.</v>
      </c>
    </row>
    <row r="17" spans="2:35" ht="14.85" customHeight="1">
      <c r="B17" s="179" t="str">
        <f>'Comp.1'!B17</f>
        <v>Novus Therapeutics, Inc.</v>
      </c>
      <c r="C17" s="576">
        <f>'Comp.1'!C17</f>
        <v>51.510280000000009</v>
      </c>
      <c r="E17" s="576">
        <f>'Capital IQ Sheet-GPC'!X18</f>
        <v>-1.145</v>
      </c>
      <c r="F17" s="576">
        <f>'Capital IQ Sheet-GPC'!Y18</f>
        <v>-5.4619999999999997</v>
      </c>
      <c r="G17" s="576">
        <f>'Capital IQ Sheet-GPC'!Z18</f>
        <v>-10.483000000000001</v>
      </c>
      <c r="H17" s="255"/>
      <c r="I17" s="576">
        <f>'Capital IQ Sheet-GPC'!AA18</f>
        <v>-5.093</v>
      </c>
      <c r="J17" s="576">
        <f>'Capital IQ Sheet-GPC'!AB18</f>
        <v>-9.0990000000000002</v>
      </c>
      <c r="K17" s="576">
        <f>'Capital IQ Sheet-GPC'!AC18</f>
        <v>-12.6</v>
      </c>
      <c r="L17" s="576">
        <f>'Capital IQ Sheet-GPC'!AD18</f>
        <v>-13.6</v>
      </c>
      <c r="M17" s="576" t="str">
        <f>'Capital IQ Sheet-GPC'!AE18</f>
        <v>n/a</v>
      </c>
      <c r="O17" s="930">
        <f t="shared" si="0"/>
        <v>-44.987144104803498</v>
      </c>
      <c r="P17" s="930">
        <f t="shared" si="1"/>
        <v>-9.4306627608934477</v>
      </c>
      <c r="Q17" s="930" t="str">
        <f t="shared" si="2"/>
        <v>NM</v>
      </c>
      <c r="S17" s="930">
        <f t="shared" si="3"/>
        <v>-10.113936775967016</v>
      </c>
      <c r="T17" s="930">
        <f t="shared" si="4"/>
        <v>-5.6610924277393124</v>
      </c>
      <c r="U17" s="930" t="str">
        <f t="shared" si="5"/>
        <v>NM</v>
      </c>
      <c r="V17" s="930" t="str">
        <f t="shared" si="6"/>
        <v>NM</v>
      </c>
      <c r="W17" s="930" t="str">
        <f t="shared" si="7"/>
        <v>n/a</v>
      </c>
      <c r="Y17" s="255">
        <f>'Comp.1'!AB17</f>
        <v>74.033280000000005</v>
      </c>
      <c r="Z17" s="255">
        <f>'Comp.1'!AC17</f>
        <v>0</v>
      </c>
      <c r="AA17" s="255" t="str">
        <f>'Comp.1'!AD17</f>
        <v>n/a</v>
      </c>
      <c r="AB17" s="255" t="str">
        <f>'Comp.1'!AE17</f>
        <v>n/a</v>
      </c>
      <c r="AC17" s="255">
        <f t="shared" si="8"/>
        <v>0</v>
      </c>
      <c r="AD17" s="255">
        <f t="shared" si="9"/>
        <v>74.033280000000005</v>
      </c>
      <c r="AE17" s="255">
        <f>'Comp.1'!AH17</f>
        <v>22.523</v>
      </c>
      <c r="AF17" s="576">
        <f t="shared" si="10"/>
        <v>51.510280000000009</v>
      </c>
      <c r="AH17" s="932" t="str">
        <f>IF('MASTER PubCo Inputs'!C33="","",'MASTER PubCo Inputs'!C33)</f>
        <v>IQ62494905</v>
      </c>
      <c r="AI17" s="179" t="str">
        <f>'Comp.1'!AL17</f>
        <v>Novus Therapeutics, Inc., a pharmaceutical company, focuses on developing products for patients with disorders of ear, nose, and throat. Its lead product is (OP-02), a surfactant-based combination drug product for patients at risk for, or with, otitis media (OM) (middle ear inflammation with or without infection). The company also has a foam-based drug delivery technology (OP-01) that could be used to deliver drugs into the ear, nose, and sinus cavities. Novus Therapeutics, Inc. is headquartered in Irvine, California.</v>
      </c>
    </row>
    <row r="18" spans="2:35" ht="14.85" hidden="1" customHeight="1" outlineLevel="1">
      <c r="B18" s="179" t="str">
        <f>'Comp.1'!B18</f>
        <v>Sensorion SA</v>
      </c>
      <c r="C18" s="576">
        <f>'Comp.1'!C18</f>
        <v>30.731609999999996</v>
      </c>
      <c r="E18" s="576">
        <f>'Capital IQ Sheet-GPC'!X19</f>
        <v>-5.6414799999999996</v>
      </c>
      <c r="F18" s="576">
        <f>'Capital IQ Sheet-GPC'!Y19</f>
        <v>-9.4783200000000001</v>
      </c>
      <c r="G18" s="576">
        <f>'Capital IQ Sheet-GPC'!Z19</f>
        <v>-11.535640000000001</v>
      </c>
      <c r="H18" s="255"/>
      <c r="I18" s="576">
        <f>'Capital IQ Sheet-GPC'!AA19</f>
        <v>-9.4783200000000001</v>
      </c>
      <c r="J18" s="576">
        <f>'Capital IQ Sheet-GPC'!AB19</f>
        <v>-11.535640000000001</v>
      </c>
      <c r="K18" s="576" t="str">
        <f>'Capital IQ Sheet-GPC'!AC19</f>
        <v>n/a</v>
      </c>
      <c r="L18" s="576" t="str">
        <f>'Capital IQ Sheet-GPC'!AD19</f>
        <v>n/a</v>
      </c>
      <c r="M18" s="576" t="str">
        <f>'Capital IQ Sheet-GPC'!AE19</f>
        <v>n/a</v>
      </c>
      <c r="O18" s="930">
        <f t="shared" si="0"/>
        <v>-5.447437551848096</v>
      </c>
      <c r="P18" s="930">
        <f t="shared" si="1"/>
        <v>-3.242305598460486</v>
      </c>
      <c r="Q18" s="930" t="str">
        <f t="shared" si="2"/>
        <v>NM</v>
      </c>
      <c r="S18" s="930">
        <f t="shared" si="3"/>
        <v>-3.242305598460486</v>
      </c>
      <c r="T18" s="930">
        <f t="shared" si="4"/>
        <v>-2.6640576508975657</v>
      </c>
      <c r="U18" s="930" t="str">
        <f t="shared" si="5"/>
        <v>n/a</v>
      </c>
      <c r="V18" s="930" t="str">
        <f t="shared" si="6"/>
        <v>n/a</v>
      </c>
      <c r="W18" s="930" t="str">
        <f t="shared" si="7"/>
        <v>n/a</v>
      </c>
      <c r="Y18" s="255">
        <f>'Comp.1'!AB18</f>
        <v>37.159999999999997</v>
      </c>
      <c r="Z18" s="255">
        <f>'Comp.1'!AC18</f>
        <v>2.6891699999999998</v>
      </c>
      <c r="AA18" s="255">
        <f>'Comp.1'!AD18</f>
        <v>0</v>
      </c>
      <c r="AB18" s="255">
        <f>'Comp.1'!AE18</f>
        <v>0</v>
      </c>
      <c r="AC18" s="255">
        <f t="shared" si="8"/>
        <v>2.6891699999999998</v>
      </c>
      <c r="AD18" s="255">
        <f t="shared" si="9"/>
        <v>39.849169999999994</v>
      </c>
      <c r="AE18" s="255">
        <f>'Comp.1'!AH18</f>
        <v>9.1175599999999992</v>
      </c>
      <c r="AF18" s="576">
        <f t="shared" si="10"/>
        <v>30.731609999999996</v>
      </c>
      <c r="AH18" s="932" t="str">
        <f>IF('MASTER PubCo Inputs'!C34="","",'MASTER PubCo Inputs'!C34)</f>
        <v>IQ201049094</v>
      </c>
      <c r="AI18" s="179" t="str">
        <f>'Comp.1'!AL18</f>
        <v>Sensorion SA, a biopharmaceutical company, develops therapies for the treatment of inner ear disorders. The company develops SENS-111, which is in phase II clinical trials to treat acute unilateral vestibulopathy; and SENS-401 that is in phase I clinical trials to treat sudden sensorineural hearing loss. It also develops SENS-300, which is under the pre-clinical stage for use in inner ear toxicity treatment. The company has a strategic collaboration with Cochlear Limited to study combination therapies for cochlear implant patients. Sensorion SA was founded in 2009 and is headquartered in Montpellier, France.</v>
      </c>
    </row>
    <row r="19" spans="2:35" ht="14.85" hidden="1" customHeight="1" outlineLevel="1">
      <c r="B19" s="179" t="str">
        <f>'Comp.1'!B19</f>
        <v>Otonomy, Inc.</v>
      </c>
      <c r="C19" s="576">
        <f>'Comp.1'!C19</f>
        <v>25.845989999999986</v>
      </c>
      <c r="E19" s="576">
        <f>'Capital IQ Sheet-GPC'!X20</f>
        <v>-75.781000000000006</v>
      </c>
      <c r="F19" s="576">
        <f>'Capital IQ Sheet-GPC'!Y20</f>
        <v>-111.059</v>
      </c>
      <c r="G19" s="576">
        <f>'Capital IQ Sheet-GPC'!Z20</f>
        <v>-68.695999999999998</v>
      </c>
      <c r="H19" s="255"/>
      <c r="I19" s="576">
        <f>'Capital IQ Sheet-GPC'!AA20</f>
        <v>-110.17100000000001</v>
      </c>
      <c r="J19" s="576">
        <f>'Capital IQ Sheet-GPC'!AB20</f>
        <v>-85.912000000000006</v>
      </c>
      <c r="K19" s="576" t="str">
        <f>'Capital IQ Sheet-GPC'!AC20</f>
        <v>n/a</v>
      </c>
      <c r="L19" s="576" t="str">
        <f>'Capital IQ Sheet-GPC'!AD20</f>
        <v>n/a</v>
      </c>
      <c r="M19" s="576" t="str">
        <f>'Capital IQ Sheet-GPC'!AE20</f>
        <v>n/a</v>
      </c>
      <c r="O19" s="930">
        <f t="shared" si="0"/>
        <v>-0.34106161174964678</v>
      </c>
      <c r="P19" s="930">
        <f t="shared" si="1"/>
        <v>-0.23272305711378624</v>
      </c>
      <c r="Q19" s="930" t="str">
        <f t="shared" si="2"/>
        <v>NM</v>
      </c>
      <c r="S19" s="930">
        <f t="shared" si="3"/>
        <v>-0.23459885087727247</v>
      </c>
      <c r="T19" s="930">
        <f t="shared" si="4"/>
        <v>-0.30084260638793164</v>
      </c>
      <c r="U19" s="930" t="str">
        <f t="shared" si="5"/>
        <v>n/a</v>
      </c>
      <c r="V19" s="930" t="str">
        <f t="shared" si="6"/>
        <v>n/a</v>
      </c>
      <c r="W19" s="930" t="str">
        <f t="shared" si="7"/>
        <v>n/a</v>
      </c>
      <c r="Y19" s="255">
        <f>'Comp.1'!AB19</f>
        <v>136.06998999999999</v>
      </c>
      <c r="Z19" s="255">
        <f>'Comp.1'!AC19</f>
        <v>0</v>
      </c>
      <c r="AA19" s="255">
        <f>'Comp.1'!AD19</f>
        <v>0</v>
      </c>
      <c r="AB19" s="255">
        <f>'Comp.1'!AE19</f>
        <v>0</v>
      </c>
      <c r="AC19" s="255">
        <f t="shared" si="8"/>
        <v>0</v>
      </c>
      <c r="AD19" s="255">
        <f t="shared" si="9"/>
        <v>136.06998999999999</v>
      </c>
      <c r="AE19" s="255">
        <f>'Comp.1'!AH19</f>
        <v>110.224</v>
      </c>
      <c r="AF19" s="576">
        <f t="shared" si="10"/>
        <v>25.845989999999986</v>
      </c>
      <c r="AH19" s="932" t="str">
        <f>IF('MASTER PubCo Inputs'!C35="","",'MASTER PubCo Inputs'!C35)</f>
        <v>IQ60978778</v>
      </c>
      <c r="AI19" s="179" t="str">
        <f>'Comp.1'!AL19</f>
        <v>Otonomy, Inc., a biopharmaceutical company, engages in the development and commercialization of therapeutics for otology in the United States. It offers OTIPRIO, a ciprofloxacin otic suspension for use during tympanostomy tube placement surgery in pediatric patients. The company also develops OTIVIDEX, a sustained-exposure formulation of the steroid dexamethasone in Phase III clinical trial for the treatment of Ménière’s disease; and OTO- 313, a sustained-exposure formulation of N-methyl-D-aspartate receptor antagonist gacyclidine, which has completed a Phase 1 clinical safety trial for the treatment of tinnitus. In addition, it develops OTO-413, a sustained exposure formulation of brain-derived neurotrophic factor for the repair of cochlear synaptopathy and the treatment of speech-in-noise hearing difficulties; OTO-5XX, an otoprotectant for the prevention of cisplatin-induced hearing loss; and OTO-6XX induces hair cell regeneration for the treatment of severe hearing loss. The company has license agreements with University of California and DURECT Corporation. Otonomy, Inc. was founded in 2008 and is headquartered in San Diego, California.</v>
      </c>
    </row>
    <row r="20" spans="2:35" ht="14.85" hidden="1" customHeight="1" outlineLevel="1">
      <c r="B20" s="179" t="str">
        <f>'Comp.1'!B20</f>
        <v>Auris Medical Holding AG</v>
      </c>
      <c r="C20" s="576">
        <f>'Comp.1'!C20</f>
        <v>3.072160000000002</v>
      </c>
      <c r="E20" s="576">
        <f>'Capital IQ Sheet-GPC'!X21</f>
        <v>-32.326450000000001</v>
      </c>
      <c r="F20" s="576">
        <f>'Capital IQ Sheet-GPC'!Y21</f>
        <v>-30.156189999999999</v>
      </c>
      <c r="G20" s="576">
        <f>'Capital IQ Sheet-GPC'!Z21</f>
        <v>-22.175709999999999</v>
      </c>
      <c r="H20" s="255"/>
      <c r="I20" s="576">
        <f>'Capital IQ Sheet-GPC'!AA21</f>
        <v>-29.657679999999999</v>
      </c>
      <c r="J20" s="576">
        <f>'Capital IQ Sheet-GPC'!AB21</f>
        <v>-24.871189999999999</v>
      </c>
      <c r="K20" s="576" t="str">
        <f>'Capital IQ Sheet-GPC'!AC21</f>
        <v>n/a</v>
      </c>
      <c r="L20" s="576" t="str">
        <f>'Capital IQ Sheet-GPC'!AD21</f>
        <v>n/a</v>
      </c>
      <c r="M20" s="576" t="str">
        <f>'Capital IQ Sheet-GPC'!AE21</f>
        <v>n/a</v>
      </c>
      <c r="O20" s="930">
        <f t="shared" si="0"/>
        <v>-9.5035489514004839E-2</v>
      </c>
      <c r="P20" s="930">
        <f t="shared" si="1"/>
        <v>-0.10187493844547345</v>
      </c>
      <c r="Q20" s="930" t="str">
        <f t="shared" si="2"/>
        <v>NM</v>
      </c>
      <c r="S20" s="930">
        <f t="shared" si="3"/>
        <v>-0.10358733387102437</v>
      </c>
      <c r="T20" s="930">
        <f t="shared" si="4"/>
        <v>-0.12352283907605556</v>
      </c>
      <c r="U20" s="930" t="str">
        <f t="shared" si="5"/>
        <v>n/a</v>
      </c>
      <c r="V20" s="930" t="str">
        <f t="shared" si="6"/>
        <v>n/a</v>
      </c>
      <c r="W20" s="930" t="str">
        <f t="shared" si="7"/>
        <v>n/a</v>
      </c>
      <c r="Y20" s="255">
        <f>'Comp.1'!AB20</f>
        <v>7.2796900000000004</v>
      </c>
      <c r="Z20" s="255">
        <f>'Comp.1'!AC20</f>
        <v>9.06297</v>
      </c>
      <c r="AA20" s="255">
        <f>'Comp.1'!AD20</f>
        <v>0</v>
      </c>
      <c r="AB20" s="255">
        <f>'Comp.1'!AE20</f>
        <v>0</v>
      </c>
      <c r="AC20" s="255">
        <f t="shared" si="8"/>
        <v>9.06297</v>
      </c>
      <c r="AD20" s="255">
        <f t="shared" si="9"/>
        <v>16.342660000000002</v>
      </c>
      <c r="AE20" s="255">
        <f>'Comp.1'!AH20</f>
        <v>13.2705</v>
      </c>
      <c r="AF20" s="576">
        <f t="shared" si="10"/>
        <v>3.072160000000002</v>
      </c>
      <c r="AH20" s="932" t="str">
        <f>IF('MASTER PubCo Inputs'!C36="","",'MASTER PubCo Inputs'!C36)</f>
        <v>IQ42726152</v>
      </c>
      <c r="AI20" s="179" t="str">
        <f>'Comp.1'!AL20</f>
        <v>Auris Medical Holding AG, a clinical-stage biopharmaceutical company, focuses on the development of novel products for the treatment of inner ear disorders. Its product candidates include AM-101, which is in phase III clinical development for the treatment of acute inner ear tinnitus; and AM-111 that is in phase III clinical development for the treatment of acute inner ear hearing loss. The company is also developing AM-125 for the treatment of vestibular disorders; and other pre-clinical stage products comprising AM-102 and AM-123. It has a collaboration and license agreement with Xigen S.A. to develop, manufacture, and commercialize pharmaceutical products, as well as drug delivery devices and formulations for local administration of therapeutic substances to the inner ear for the treatment of ear disorders. The company was formerly known as Auris Medical AG and changed its name to Auris Medical Holding AG in April 2014. Auris Medical Holding AG was founded in 1998 and is headquartered in Zug, Switzerland.</v>
      </c>
    </row>
    <row r="21" spans="2:35" ht="14.85" hidden="1" customHeight="1" outlineLevel="1">
      <c r="B21" s="179" t="str">
        <f>'Comp.1'!B21</f>
        <v>(Invalid Identifier)</v>
      </c>
      <c r="C21" s="576" t="str">
        <f>'Comp.1'!C21</f>
        <v>n/a</v>
      </c>
      <c r="E21" s="576" t="str">
        <f>'Capital IQ Sheet-GPC'!X22</f>
        <v>(Invalid Identifier)</v>
      </c>
      <c r="F21" s="576" t="str">
        <f>'Capital IQ Sheet-GPC'!Y22</f>
        <v>(Invalid Identifier)</v>
      </c>
      <c r="G21" s="576" t="str">
        <f>'Capital IQ Sheet-GPC'!Z22</f>
        <v>(Invalid Identifier)</v>
      </c>
      <c r="H21" s="255"/>
      <c r="I21" s="576" t="str">
        <f>'Capital IQ Sheet-GPC'!AA22</f>
        <v>(Invalid Identifier)</v>
      </c>
      <c r="J21" s="576" t="str">
        <f>'Capital IQ Sheet-GPC'!AB22</f>
        <v>(Invalid Identifier)</v>
      </c>
      <c r="K21" s="576" t="str">
        <f>'Capital IQ Sheet-GPC'!AC22</f>
        <v>(Invalid Identifier)</v>
      </c>
      <c r="L21" s="576" t="str">
        <f>'Capital IQ Sheet-GPC'!AD22</f>
        <v>(Invalid Identifier)</v>
      </c>
      <c r="M21" s="576" t="str">
        <f>'Capital IQ Sheet-GPC'!AE22</f>
        <v>(Invalid Identifier)</v>
      </c>
      <c r="O21" s="930" t="str">
        <f t="shared" si="0"/>
        <v>n/a</v>
      </c>
      <c r="P21" s="930" t="str">
        <f t="shared" si="1"/>
        <v>n/a</v>
      </c>
      <c r="Q21" s="930" t="str">
        <f t="shared" si="2"/>
        <v>n/a</v>
      </c>
      <c r="S21" s="930" t="str">
        <f t="shared" si="3"/>
        <v>n/a</v>
      </c>
      <c r="T21" s="930" t="str">
        <f t="shared" si="4"/>
        <v>n/a</v>
      </c>
      <c r="U21" s="930" t="str">
        <f t="shared" si="5"/>
        <v>n/a</v>
      </c>
      <c r="V21" s="930" t="str">
        <f t="shared" si="6"/>
        <v>n/a</v>
      </c>
      <c r="W21" s="930" t="str">
        <f t="shared" si="7"/>
        <v>n/a</v>
      </c>
      <c r="Y21" s="255" t="str">
        <f>'Comp.1'!AB21</f>
        <v>(Invalid Identifier)</v>
      </c>
      <c r="Z21" s="255" t="str">
        <f>'Comp.1'!AC21</f>
        <v>(Invalid Identifier)</v>
      </c>
      <c r="AA21" s="255" t="str">
        <f>'Comp.1'!AD21</f>
        <v>(Invalid Identifier)</v>
      </c>
      <c r="AB21" s="255" t="str">
        <f>'Comp.1'!AE21</f>
        <v>(Invalid Identifier)</v>
      </c>
      <c r="AC21" s="255">
        <f t="shared" si="8"/>
        <v>0</v>
      </c>
      <c r="AD21" s="255">
        <f t="shared" si="9"/>
        <v>0</v>
      </c>
      <c r="AE21" s="255" t="str">
        <f>'Comp.1'!AH21</f>
        <v>(Invalid Identifier)</v>
      </c>
      <c r="AF21" s="576" t="str">
        <f t="shared" si="10"/>
        <v>n/a</v>
      </c>
      <c r="AH21" s="932" t="str">
        <f>IF('MASTER PubCo Inputs'!C37="","",'MASTER PubCo Inputs'!C37)</f>
        <v>(Invalid Identifier)</v>
      </c>
      <c r="AI21" s="179" t="str">
        <f>'Comp.1'!AL21</f>
        <v>(Invalid Identifier)</v>
      </c>
    </row>
    <row r="22" spans="2:35" ht="14.85" hidden="1" customHeight="1" outlineLevel="1">
      <c r="B22" s="179" t="str">
        <f>'Comp.1'!B22</f>
        <v>(Invalid Identifier)</v>
      </c>
      <c r="C22" s="576" t="str">
        <f>'Comp.1'!C22</f>
        <v>n/a</v>
      </c>
      <c r="E22" s="576" t="str">
        <f>'Capital IQ Sheet-GPC'!X23</f>
        <v>(Invalid Identifier)</v>
      </c>
      <c r="F22" s="576" t="str">
        <f>'Capital IQ Sheet-GPC'!Y23</f>
        <v>(Invalid Identifier)</v>
      </c>
      <c r="G22" s="576" t="str">
        <f>'Capital IQ Sheet-GPC'!Z23</f>
        <v>(Invalid Identifier)</v>
      </c>
      <c r="H22" s="255"/>
      <c r="I22" s="576" t="str">
        <f>'Capital IQ Sheet-GPC'!AA23</f>
        <v>(Invalid Identifier)</v>
      </c>
      <c r="J22" s="576" t="str">
        <f>'Capital IQ Sheet-GPC'!AB23</f>
        <v>(Invalid Identifier)</v>
      </c>
      <c r="K22" s="576" t="str">
        <f>'Capital IQ Sheet-GPC'!AC23</f>
        <v>(Invalid Identifier)</v>
      </c>
      <c r="L22" s="576" t="str">
        <f>'Capital IQ Sheet-GPC'!AD23</f>
        <v>(Invalid Identifier)</v>
      </c>
      <c r="M22" s="576" t="str">
        <f>'Capital IQ Sheet-GPC'!AE23</f>
        <v>(Invalid Identifier)</v>
      </c>
      <c r="O22" s="930" t="str">
        <f t="shared" si="0"/>
        <v>n/a</v>
      </c>
      <c r="P22" s="930" t="str">
        <f t="shared" si="1"/>
        <v>n/a</v>
      </c>
      <c r="Q22" s="930" t="str">
        <f t="shared" si="2"/>
        <v>n/a</v>
      </c>
      <c r="S22" s="930" t="str">
        <f t="shared" si="3"/>
        <v>n/a</v>
      </c>
      <c r="T22" s="930" t="str">
        <f t="shared" si="4"/>
        <v>n/a</v>
      </c>
      <c r="U22" s="930" t="str">
        <f t="shared" si="5"/>
        <v>n/a</v>
      </c>
      <c r="V22" s="930" t="str">
        <f t="shared" si="6"/>
        <v>n/a</v>
      </c>
      <c r="W22" s="930" t="str">
        <f t="shared" si="7"/>
        <v>n/a</v>
      </c>
      <c r="Y22" s="255" t="str">
        <f>'Comp.1'!AB22</f>
        <v>(Invalid Identifier)</v>
      </c>
      <c r="Z22" s="255" t="str">
        <f>'Comp.1'!AC22</f>
        <v>(Invalid Identifier)</v>
      </c>
      <c r="AA22" s="255" t="str">
        <f>'Comp.1'!AD22</f>
        <v>(Invalid Identifier)</v>
      </c>
      <c r="AB22" s="255" t="str">
        <f>'Comp.1'!AE22</f>
        <v>(Invalid Identifier)</v>
      </c>
      <c r="AC22" s="255">
        <f t="shared" si="8"/>
        <v>0</v>
      </c>
      <c r="AD22" s="255">
        <f t="shared" si="9"/>
        <v>0</v>
      </c>
      <c r="AE22" s="255" t="str">
        <f>'Comp.1'!AH22</f>
        <v>(Invalid Identifier)</v>
      </c>
      <c r="AF22" s="576" t="str">
        <f t="shared" si="10"/>
        <v>n/a</v>
      </c>
      <c r="AH22" s="932" t="str">
        <f>IF('MASTER PubCo Inputs'!C38="","",'MASTER PubCo Inputs'!C38)</f>
        <v>(Invalid Identifier)</v>
      </c>
      <c r="AI22" s="179" t="str">
        <f>'Comp.1'!AL22</f>
        <v>(Invalid Identifier)</v>
      </c>
    </row>
    <row r="23" spans="2:35" ht="14.85" hidden="1" customHeight="1" outlineLevel="1">
      <c r="B23" s="179" t="str">
        <f>'Comp.1'!B23</f>
        <v>(Invalid Identifier)</v>
      </c>
      <c r="C23" s="576" t="str">
        <f>'Comp.1'!C23</f>
        <v>n/a</v>
      </c>
      <c r="E23" s="576" t="str">
        <f>'Capital IQ Sheet-GPC'!X24</f>
        <v>(Invalid Identifier)</v>
      </c>
      <c r="F23" s="576" t="str">
        <f>'Capital IQ Sheet-GPC'!Y24</f>
        <v>(Invalid Identifier)</v>
      </c>
      <c r="G23" s="576" t="str">
        <f>'Capital IQ Sheet-GPC'!Z24</f>
        <v>(Invalid Identifier)</v>
      </c>
      <c r="H23" s="255"/>
      <c r="I23" s="576" t="str">
        <f>'Capital IQ Sheet-GPC'!AA24</f>
        <v>(Invalid Identifier)</v>
      </c>
      <c r="J23" s="576" t="str">
        <f>'Capital IQ Sheet-GPC'!AB24</f>
        <v>(Invalid Identifier)</v>
      </c>
      <c r="K23" s="576" t="str">
        <f>'Capital IQ Sheet-GPC'!AC24</f>
        <v>(Invalid Identifier)</v>
      </c>
      <c r="L23" s="576" t="str">
        <f>'Capital IQ Sheet-GPC'!AD24</f>
        <v>(Invalid Identifier)</v>
      </c>
      <c r="M23" s="576" t="str">
        <f>'Capital IQ Sheet-GPC'!AE24</f>
        <v>(Invalid Identifier)</v>
      </c>
      <c r="O23" s="930" t="str">
        <f t="shared" si="0"/>
        <v>n/a</v>
      </c>
      <c r="P23" s="930" t="str">
        <f t="shared" si="1"/>
        <v>n/a</v>
      </c>
      <c r="Q23" s="930" t="str">
        <f t="shared" si="2"/>
        <v>n/a</v>
      </c>
      <c r="S23" s="930" t="str">
        <f t="shared" si="3"/>
        <v>n/a</v>
      </c>
      <c r="T23" s="930" t="str">
        <f t="shared" si="4"/>
        <v>n/a</v>
      </c>
      <c r="U23" s="930" t="str">
        <f t="shared" si="5"/>
        <v>n/a</v>
      </c>
      <c r="V23" s="930" t="str">
        <f t="shared" si="6"/>
        <v>n/a</v>
      </c>
      <c r="W23" s="930" t="str">
        <f t="shared" si="7"/>
        <v>n/a</v>
      </c>
      <c r="Y23" s="255" t="str">
        <f>'Comp.1'!AB23</f>
        <v>(Invalid Identifier)</v>
      </c>
      <c r="Z23" s="255" t="str">
        <f>'Comp.1'!AC23</f>
        <v>(Invalid Identifier)</v>
      </c>
      <c r="AA23" s="255" t="str">
        <f>'Comp.1'!AD23</f>
        <v>(Invalid Identifier)</v>
      </c>
      <c r="AB23" s="255" t="str">
        <f>'Comp.1'!AE23</f>
        <v>(Invalid Identifier)</v>
      </c>
      <c r="AC23" s="255">
        <f t="shared" si="8"/>
        <v>0</v>
      </c>
      <c r="AD23" s="255">
        <f t="shared" si="9"/>
        <v>0</v>
      </c>
      <c r="AE23" s="255" t="str">
        <f>'Comp.1'!AH23</f>
        <v>(Invalid Identifier)</v>
      </c>
      <c r="AF23" s="576" t="str">
        <f t="shared" si="10"/>
        <v>n/a</v>
      </c>
      <c r="AH23" s="932" t="str">
        <f>IF('MASTER PubCo Inputs'!C39="","",'MASTER PubCo Inputs'!C39)</f>
        <v>(Invalid Identifier)</v>
      </c>
      <c r="AI23" s="179" t="str">
        <f>'Comp.1'!AL23</f>
        <v>(Invalid Identifier)</v>
      </c>
    </row>
    <row r="24" spans="2:35" ht="14.85" hidden="1" customHeight="1" outlineLevel="1">
      <c r="B24" s="179" t="str">
        <f>'Comp.1'!B24</f>
        <v>(Invalid Identifier)</v>
      </c>
      <c r="C24" s="576" t="str">
        <f>'Comp.1'!C24</f>
        <v>n/a</v>
      </c>
      <c r="E24" s="576" t="str">
        <f>'Capital IQ Sheet-GPC'!X25</f>
        <v>(Invalid Identifier)</v>
      </c>
      <c r="F24" s="576" t="str">
        <f>'Capital IQ Sheet-GPC'!Y25</f>
        <v>(Invalid Identifier)</v>
      </c>
      <c r="G24" s="576" t="str">
        <f>'Capital IQ Sheet-GPC'!Z25</f>
        <v>(Invalid Identifier)</v>
      </c>
      <c r="H24" s="255"/>
      <c r="I24" s="576" t="str">
        <f>'Capital IQ Sheet-GPC'!AA25</f>
        <v>(Invalid Identifier)</v>
      </c>
      <c r="J24" s="576" t="str">
        <f>'Capital IQ Sheet-GPC'!AB25</f>
        <v>(Invalid Identifier)</v>
      </c>
      <c r="K24" s="576" t="str">
        <f>'Capital IQ Sheet-GPC'!AC25</f>
        <v>(Invalid Identifier)</v>
      </c>
      <c r="L24" s="576" t="str">
        <f>'Capital IQ Sheet-GPC'!AD25</f>
        <v>(Invalid Identifier)</v>
      </c>
      <c r="M24" s="576" t="str">
        <f>'Capital IQ Sheet-GPC'!AE25</f>
        <v>(Invalid Identifier)</v>
      </c>
      <c r="O24" s="930" t="str">
        <f t="shared" si="0"/>
        <v>n/a</v>
      </c>
      <c r="P24" s="930" t="str">
        <f t="shared" si="1"/>
        <v>n/a</v>
      </c>
      <c r="Q24" s="930" t="str">
        <f t="shared" si="2"/>
        <v>n/a</v>
      </c>
      <c r="S24" s="930" t="str">
        <f t="shared" si="3"/>
        <v>n/a</v>
      </c>
      <c r="T24" s="930" t="str">
        <f t="shared" si="4"/>
        <v>n/a</v>
      </c>
      <c r="U24" s="930" t="str">
        <f t="shared" si="5"/>
        <v>n/a</v>
      </c>
      <c r="V24" s="930" t="str">
        <f t="shared" si="6"/>
        <v>n/a</v>
      </c>
      <c r="W24" s="930" t="str">
        <f t="shared" si="7"/>
        <v>n/a</v>
      </c>
      <c r="Y24" s="255" t="str">
        <f>'Comp.1'!AB24</f>
        <v>(Invalid Identifier)</v>
      </c>
      <c r="Z24" s="255" t="str">
        <f>'Comp.1'!AC24</f>
        <v>(Invalid Identifier)</v>
      </c>
      <c r="AA24" s="255" t="str">
        <f>'Comp.1'!AD24</f>
        <v>(Invalid Identifier)</v>
      </c>
      <c r="AB24" s="255" t="str">
        <f>'Comp.1'!AE24</f>
        <v>(Invalid Identifier)</v>
      </c>
      <c r="AC24" s="255">
        <f t="shared" si="8"/>
        <v>0</v>
      </c>
      <c r="AD24" s="255">
        <f t="shared" si="9"/>
        <v>0</v>
      </c>
      <c r="AE24" s="255" t="str">
        <f>'Comp.1'!AH24</f>
        <v>(Invalid Identifier)</v>
      </c>
      <c r="AF24" s="576" t="str">
        <f t="shared" si="10"/>
        <v>n/a</v>
      </c>
      <c r="AH24" s="932" t="str">
        <f>IF('MASTER PubCo Inputs'!C40="","",'MASTER PubCo Inputs'!C40)</f>
        <v>(Invalid Identifier)</v>
      </c>
      <c r="AI24" s="179" t="str">
        <f>'Comp.1'!AL24</f>
        <v>(Invalid Identifier)</v>
      </c>
    </row>
    <row r="25" spans="2:35" ht="14.85" hidden="1" customHeight="1" outlineLevel="1">
      <c r="B25" s="179" t="str">
        <f>'Comp.1'!B25</f>
        <v>(Invalid Identifier)</v>
      </c>
      <c r="C25" s="576" t="str">
        <f>'Comp.1'!C25</f>
        <v>n/a</v>
      </c>
      <c r="E25" s="576" t="str">
        <f>'Capital IQ Sheet-GPC'!X26</f>
        <v>(Invalid Identifier)</v>
      </c>
      <c r="F25" s="576" t="str">
        <f>'Capital IQ Sheet-GPC'!Y26</f>
        <v>(Invalid Identifier)</v>
      </c>
      <c r="G25" s="576" t="str">
        <f>'Capital IQ Sheet-GPC'!Z26</f>
        <v>(Invalid Identifier)</v>
      </c>
      <c r="H25" s="255"/>
      <c r="I25" s="576" t="str">
        <f>'Capital IQ Sheet-GPC'!AA26</f>
        <v>(Invalid Identifier)</v>
      </c>
      <c r="J25" s="576" t="str">
        <f>'Capital IQ Sheet-GPC'!AB26</f>
        <v>(Invalid Identifier)</v>
      </c>
      <c r="K25" s="576" t="str">
        <f>'Capital IQ Sheet-GPC'!AC26</f>
        <v>(Invalid Identifier)</v>
      </c>
      <c r="L25" s="576" t="str">
        <f>'Capital IQ Sheet-GPC'!AD26</f>
        <v>(Invalid Identifier)</v>
      </c>
      <c r="M25" s="576" t="str">
        <f>'Capital IQ Sheet-GPC'!AE26</f>
        <v>(Invalid Identifier)</v>
      </c>
      <c r="O25" s="930" t="str">
        <f t="shared" si="0"/>
        <v>n/a</v>
      </c>
      <c r="P25" s="930" t="str">
        <f t="shared" si="1"/>
        <v>n/a</v>
      </c>
      <c r="Q25" s="930" t="str">
        <f t="shared" si="2"/>
        <v>n/a</v>
      </c>
      <c r="S25" s="930" t="str">
        <f t="shared" si="3"/>
        <v>n/a</v>
      </c>
      <c r="T25" s="930" t="str">
        <f t="shared" si="4"/>
        <v>n/a</v>
      </c>
      <c r="U25" s="930" t="str">
        <f t="shared" si="5"/>
        <v>n/a</v>
      </c>
      <c r="V25" s="930" t="str">
        <f t="shared" si="6"/>
        <v>n/a</v>
      </c>
      <c r="W25" s="930" t="str">
        <f t="shared" si="7"/>
        <v>n/a</v>
      </c>
      <c r="Y25" s="255" t="str">
        <f>'Comp.1'!AB25</f>
        <v>(Invalid Identifier)</v>
      </c>
      <c r="Z25" s="255" t="str">
        <f>'Comp.1'!AC25</f>
        <v>(Invalid Identifier)</v>
      </c>
      <c r="AA25" s="255" t="str">
        <f>'Comp.1'!AD25</f>
        <v>(Invalid Identifier)</v>
      </c>
      <c r="AB25" s="255" t="str">
        <f>'Comp.1'!AE25</f>
        <v>(Invalid Identifier)</v>
      </c>
      <c r="AC25" s="255">
        <f t="shared" si="8"/>
        <v>0</v>
      </c>
      <c r="AD25" s="255">
        <f t="shared" si="9"/>
        <v>0</v>
      </c>
      <c r="AE25" s="255" t="str">
        <f>'Comp.1'!AH25</f>
        <v>(Invalid Identifier)</v>
      </c>
      <c r="AF25" s="576" t="str">
        <f t="shared" si="10"/>
        <v>n/a</v>
      </c>
      <c r="AH25" s="932" t="str">
        <f>IF('MASTER PubCo Inputs'!C41="","",'MASTER PubCo Inputs'!C41)</f>
        <v>(Invalid Identifier)</v>
      </c>
      <c r="AI25" s="179" t="str">
        <f>'Comp.1'!AL25</f>
        <v>(Invalid Identifier)</v>
      </c>
    </row>
    <row r="26" spans="2:35" ht="14.85" hidden="1" customHeight="1" outlineLevel="1">
      <c r="B26" s="179" t="str">
        <f>'Comp.1'!B26</f>
        <v>(Invalid Identifier)</v>
      </c>
      <c r="C26" s="576" t="str">
        <f>'Comp.1'!C26</f>
        <v>n/a</v>
      </c>
      <c r="E26" s="576" t="str">
        <f>'Capital IQ Sheet-GPC'!X27</f>
        <v>(Invalid Identifier)</v>
      </c>
      <c r="F26" s="576" t="str">
        <f>'Capital IQ Sheet-GPC'!Y27</f>
        <v>(Invalid Identifier)</v>
      </c>
      <c r="G26" s="576" t="str">
        <f>'Capital IQ Sheet-GPC'!Z27</f>
        <v>(Invalid Identifier)</v>
      </c>
      <c r="H26" s="255"/>
      <c r="I26" s="576" t="str">
        <f>'Capital IQ Sheet-GPC'!AA27</f>
        <v>(Invalid Identifier)</v>
      </c>
      <c r="J26" s="576" t="str">
        <f>'Capital IQ Sheet-GPC'!AB27</f>
        <v>(Invalid Identifier)</v>
      </c>
      <c r="K26" s="576" t="str">
        <f>'Capital IQ Sheet-GPC'!AC27</f>
        <v>(Invalid Identifier)</v>
      </c>
      <c r="L26" s="576" t="str">
        <f>'Capital IQ Sheet-GPC'!AD27</f>
        <v>(Invalid Identifier)</v>
      </c>
      <c r="M26" s="576" t="str">
        <f>'Capital IQ Sheet-GPC'!AE27</f>
        <v>(Invalid Identifier)</v>
      </c>
      <c r="O26" s="930" t="str">
        <f t="shared" si="0"/>
        <v>n/a</v>
      </c>
      <c r="P26" s="930" t="str">
        <f t="shared" si="1"/>
        <v>n/a</v>
      </c>
      <c r="Q26" s="930" t="str">
        <f t="shared" si="2"/>
        <v>n/a</v>
      </c>
      <c r="S26" s="930" t="str">
        <f t="shared" si="3"/>
        <v>n/a</v>
      </c>
      <c r="T26" s="930" t="str">
        <f t="shared" si="4"/>
        <v>n/a</v>
      </c>
      <c r="U26" s="930" t="str">
        <f t="shared" si="5"/>
        <v>n/a</v>
      </c>
      <c r="V26" s="930" t="str">
        <f t="shared" si="6"/>
        <v>n/a</v>
      </c>
      <c r="W26" s="930" t="str">
        <f t="shared" si="7"/>
        <v>n/a</v>
      </c>
      <c r="Y26" s="255" t="str">
        <f>'Comp.1'!AB26</f>
        <v>(Invalid Identifier)</v>
      </c>
      <c r="Z26" s="255" t="str">
        <f>'Comp.1'!AC26</f>
        <v>(Invalid Identifier)</v>
      </c>
      <c r="AA26" s="255" t="str">
        <f>'Comp.1'!AD26</f>
        <v>(Invalid Identifier)</v>
      </c>
      <c r="AB26" s="255" t="str">
        <f>'Comp.1'!AE26</f>
        <v>(Invalid Identifier)</v>
      </c>
      <c r="AC26" s="255">
        <f t="shared" si="8"/>
        <v>0</v>
      </c>
      <c r="AD26" s="255">
        <f t="shared" si="9"/>
        <v>0</v>
      </c>
      <c r="AE26" s="255" t="str">
        <f>'Comp.1'!AH26</f>
        <v>(Invalid Identifier)</v>
      </c>
      <c r="AF26" s="576" t="str">
        <f t="shared" si="10"/>
        <v>n/a</v>
      </c>
      <c r="AH26" s="932" t="str">
        <f>IF('MASTER PubCo Inputs'!C42="","",'MASTER PubCo Inputs'!C42)</f>
        <v>(Invalid Identifier)</v>
      </c>
      <c r="AI26" s="179" t="str">
        <f>'Comp.1'!AL26</f>
        <v>(Invalid Identifier)</v>
      </c>
    </row>
    <row r="27" spans="2:35" ht="14.85" hidden="1" customHeight="1" outlineLevel="1">
      <c r="B27" s="179" t="str">
        <f>'Comp.1'!B27</f>
        <v>(Invalid Identifier)</v>
      </c>
      <c r="C27" s="576" t="str">
        <f>'Comp.1'!C27</f>
        <v>n/a</v>
      </c>
      <c r="E27" s="576" t="str">
        <f>'Capital IQ Sheet-GPC'!X28</f>
        <v>(Invalid Identifier)</v>
      </c>
      <c r="F27" s="576" t="str">
        <f>'Capital IQ Sheet-GPC'!Y28</f>
        <v>(Invalid Identifier)</v>
      </c>
      <c r="G27" s="576" t="str">
        <f>'Capital IQ Sheet-GPC'!Z28</f>
        <v>(Invalid Identifier)</v>
      </c>
      <c r="H27" s="255"/>
      <c r="I27" s="576" t="str">
        <f>'Capital IQ Sheet-GPC'!AA28</f>
        <v>(Invalid Identifier)</v>
      </c>
      <c r="J27" s="576" t="str">
        <f>'Capital IQ Sheet-GPC'!AB28</f>
        <v>(Invalid Identifier)</v>
      </c>
      <c r="K27" s="576" t="str">
        <f>'Capital IQ Sheet-GPC'!AC28</f>
        <v>(Invalid Identifier)</v>
      </c>
      <c r="L27" s="576" t="str">
        <f>'Capital IQ Sheet-GPC'!AD28</f>
        <v>(Invalid Identifier)</v>
      </c>
      <c r="M27" s="576" t="str">
        <f>'Capital IQ Sheet-GPC'!AE28</f>
        <v>(Invalid Identifier)</v>
      </c>
      <c r="O27" s="930" t="str">
        <f t="shared" si="0"/>
        <v>n/a</v>
      </c>
      <c r="P27" s="930" t="str">
        <f t="shared" si="1"/>
        <v>n/a</v>
      </c>
      <c r="Q27" s="930" t="str">
        <f t="shared" si="2"/>
        <v>n/a</v>
      </c>
      <c r="S27" s="930" t="str">
        <f t="shared" si="3"/>
        <v>n/a</v>
      </c>
      <c r="T27" s="930" t="str">
        <f t="shared" si="4"/>
        <v>n/a</v>
      </c>
      <c r="U27" s="930" t="str">
        <f t="shared" si="5"/>
        <v>n/a</v>
      </c>
      <c r="V27" s="930" t="str">
        <f t="shared" si="6"/>
        <v>n/a</v>
      </c>
      <c r="W27" s="930" t="str">
        <f t="shared" si="7"/>
        <v>n/a</v>
      </c>
      <c r="Y27" s="255" t="str">
        <f>'Comp.1'!AB27</f>
        <v>(Invalid Identifier)</v>
      </c>
      <c r="Z27" s="255" t="str">
        <f>'Comp.1'!AC27</f>
        <v>(Invalid Identifier)</v>
      </c>
      <c r="AA27" s="255" t="str">
        <f>'Comp.1'!AD27</f>
        <v>(Invalid Identifier)</v>
      </c>
      <c r="AB27" s="255" t="str">
        <f>'Comp.1'!AE27</f>
        <v>(Invalid Identifier)</v>
      </c>
      <c r="AC27" s="255">
        <f t="shared" si="8"/>
        <v>0</v>
      </c>
      <c r="AD27" s="255">
        <f t="shared" si="9"/>
        <v>0</v>
      </c>
      <c r="AE27" s="255" t="str">
        <f>'Comp.1'!AH27</f>
        <v>(Invalid Identifier)</v>
      </c>
      <c r="AF27" s="576" t="str">
        <f t="shared" si="10"/>
        <v>n/a</v>
      </c>
      <c r="AH27" s="932" t="str">
        <f>IF('MASTER PubCo Inputs'!C43="","",'MASTER PubCo Inputs'!C43)</f>
        <v>(Invalid Identifier)</v>
      </c>
      <c r="AI27" s="179" t="str">
        <f>'Comp.1'!AL27</f>
        <v>(Invalid Identifier)</v>
      </c>
    </row>
    <row r="28" spans="2:35" ht="14.85" hidden="1" customHeight="1" outlineLevel="1">
      <c r="B28" s="179" t="str">
        <f>'Comp.1'!B28</f>
        <v>(Invalid Identifier)</v>
      </c>
      <c r="C28" s="576" t="str">
        <f>'Comp.1'!C28</f>
        <v>n/a</v>
      </c>
      <c r="E28" s="576" t="str">
        <f>'Capital IQ Sheet-GPC'!X29</f>
        <v>(Invalid Identifier)</v>
      </c>
      <c r="F28" s="576" t="str">
        <f>'Capital IQ Sheet-GPC'!Y29</f>
        <v>(Invalid Identifier)</v>
      </c>
      <c r="G28" s="576" t="str">
        <f>'Capital IQ Sheet-GPC'!Z29</f>
        <v>(Invalid Identifier)</v>
      </c>
      <c r="H28" s="255"/>
      <c r="I28" s="576" t="str">
        <f>'Capital IQ Sheet-GPC'!AA29</f>
        <v>(Invalid Identifier)</v>
      </c>
      <c r="J28" s="576" t="str">
        <f>'Capital IQ Sheet-GPC'!AB29</f>
        <v>(Invalid Identifier)</v>
      </c>
      <c r="K28" s="576" t="str">
        <f>'Capital IQ Sheet-GPC'!AC29</f>
        <v>(Invalid Identifier)</v>
      </c>
      <c r="L28" s="576" t="str">
        <f>'Capital IQ Sheet-GPC'!AD29</f>
        <v>(Invalid Identifier)</v>
      </c>
      <c r="M28" s="576" t="str">
        <f>'Capital IQ Sheet-GPC'!AE29</f>
        <v>(Invalid Identifier)</v>
      </c>
      <c r="O28" s="930" t="str">
        <f t="shared" si="0"/>
        <v>n/a</v>
      </c>
      <c r="P28" s="930" t="str">
        <f t="shared" si="1"/>
        <v>n/a</v>
      </c>
      <c r="Q28" s="930" t="str">
        <f t="shared" si="2"/>
        <v>n/a</v>
      </c>
      <c r="S28" s="930" t="str">
        <f t="shared" si="3"/>
        <v>n/a</v>
      </c>
      <c r="T28" s="930" t="str">
        <f t="shared" si="4"/>
        <v>n/a</v>
      </c>
      <c r="U28" s="930" t="str">
        <f t="shared" si="5"/>
        <v>n/a</v>
      </c>
      <c r="V28" s="930" t="str">
        <f t="shared" si="6"/>
        <v>n/a</v>
      </c>
      <c r="W28" s="930" t="str">
        <f t="shared" si="7"/>
        <v>n/a</v>
      </c>
      <c r="Y28" s="255" t="str">
        <f>'Comp.1'!AB28</f>
        <v>(Invalid Identifier)</v>
      </c>
      <c r="Z28" s="255" t="str">
        <f>'Comp.1'!AC28</f>
        <v>(Invalid Identifier)</v>
      </c>
      <c r="AA28" s="255" t="str">
        <f>'Comp.1'!AD28</f>
        <v>(Invalid Identifier)</v>
      </c>
      <c r="AB28" s="255" t="str">
        <f>'Comp.1'!AE28</f>
        <v>(Invalid Identifier)</v>
      </c>
      <c r="AC28" s="255">
        <f t="shared" si="8"/>
        <v>0</v>
      </c>
      <c r="AD28" s="255">
        <f t="shared" si="9"/>
        <v>0</v>
      </c>
      <c r="AE28" s="255" t="str">
        <f>'Comp.1'!AH28</f>
        <v>(Invalid Identifier)</v>
      </c>
      <c r="AF28" s="576" t="str">
        <f t="shared" si="10"/>
        <v>n/a</v>
      </c>
      <c r="AH28" s="932" t="str">
        <f>IF('MASTER PubCo Inputs'!C44="","",'MASTER PubCo Inputs'!C44)</f>
        <v>(Invalid Identifier)</v>
      </c>
      <c r="AI28" s="179" t="str">
        <f>'Comp.1'!AL28</f>
        <v>(Invalid Identifier)</v>
      </c>
    </row>
    <row r="29" spans="2:35" ht="14.85" hidden="1" customHeight="1" outlineLevel="1">
      <c r="B29" s="179" t="str">
        <f>'Comp.1'!B29</f>
        <v>(Invalid Identifier)</v>
      </c>
      <c r="C29" s="576" t="str">
        <f>'Comp.1'!C29</f>
        <v>n/a</v>
      </c>
      <c r="E29" s="576" t="str">
        <f>'Capital IQ Sheet-GPC'!X30</f>
        <v>(Invalid Identifier)</v>
      </c>
      <c r="F29" s="576" t="str">
        <f>'Capital IQ Sheet-GPC'!Y30</f>
        <v>(Invalid Identifier)</v>
      </c>
      <c r="G29" s="576" t="str">
        <f>'Capital IQ Sheet-GPC'!Z30</f>
        <v>(Invalid Identifier)</v>
      </c>
      <c r="H29" s="255"/>
      <c r="I29" s="576" t="str">
        <f>'Capital IQ Sheet-GPC'!AA30</f>
        <v>(Invalid Identifier)</v>
      </c>
      <c r="J29" s="576" t="str">
        <f>'Capital IQ Sheet-GPC'!AB30</f>
        <v>(Invalid Identifier)</v>
      </c>
      <c r="K29" s="576" t="str">
        <f>'Capital IQ Sheet-GPC'!AC30</f>
        <v>(Invalid Identifier)</v>
      </c>
      <c r="L29" s="576" t="str">
        <f>'Capital IQ Sheet-GPC'!AD30</f>
        <v>(Invalid Identifier)</v>
      </c>
      <c r="M29" s="576" t="str">
        <f>'Capital IQ Sheet-GPC'!AE30</f>
        <v>(Invalid Identifier)</v>
      </c>
      <c r="O29" s="930" t="str">
        <f t="shared" si="0"/>
        <v>n/a</v>
      </c>
      <c r="P29" s="930" t="str">
        <f t="shared" si="1"/>
        <v>n/a</v>
      </c>
      <c r="Q29" s="930" t="str">
        <f t="shared" si="2"/>
        <v>n/a</v>
      </c>
      <c r="S29" s="930" t="str">
        <f t="shared" si="3"/>
        <v>n/a</v>
      </c>
      <c r="T29" s="930" t="str">
        <f t="shared" si="4"/>
        <v>n/a</v>
      </c>
      <c r="U29" s="930" t="str">
        <f t="shared" si="5"/>
        <v>n/a</v>
      </c>
      <c r="V29" s="930" t="str">
        <f t="shared" si="6"/>
        <v>n/a</v>
      </c>
      <c r="W29" s="930" t="str">
        <f t="shared" si="7"/>
        <v>n/a</v>
      </c>
      <c r="Y29" s="255" t="str">
        <f>'Comp.1'!AB29</f>
        <v>(Invalid Identifier)</v>
      </c>
      <c r="Z29" s="255" t="str">
        <f>'Comp.1'!AC29</f>
        <v>(Invalid Identifier)</v>
      </c>
      <c r="AA29" s="255" t="str">
        <f>'Comp.1'!AD29</f>
        <v>(Invalid Identifier)</v>
      </c>
      <c r="AB29" s="255" t="str">
        <f>'Comp.1'!AE29</f>
        <v>(Invalid Identifier)</v>
      </c>
      <c r="AC29" s="255">
        <f t="shared" si="8"/>
        <v>0</v>
      </c>
      <c r="AD29" s="255">
        <f t="shared" si="9"/>
        <v>0</v>
      </c>
      <c r="AE29" s="255" t="str">
        <f>'Comp.1'!AH29</f>
        <v>(Invalid Identifier)</v>
      </c>
      <c r="AF29" s="576" t="str">
        <f t="shared" si="10"/>
        <v>n/a</v>
      </c>
      <c r="AH29" s="932" t="str">
        <f>IF('MASTER PubCo Inputs'!C45="","",'MASTER PubCo Inputs'!C45)</f>
        <v>(Invalid Identifier)</v>
      </c>
      <c r="AI29" s="179" t="str">
        <f>'Comp.1'!AL29</f>
        <v>(Invalid Identifier)</v>
      </c>
    </row>
    <row r="30" spans="2:35" ht="14.85" hidden="1" customHeight="1" outlineLevel="1">
      <c r="B30" s="179" t="str">
        <f>'Comp.1'!B30</f>
        <v>(Invalid Identifier)</v>
      </c>
      <c r="C30" s="576" t="str">
        <f>'Comp.1'!C30</f>
        <v>n/a</v>
      </c>
      <c r="E30" s="576" t="str">
        <f>'Capital IQ Sheet-GPC'!X31</f>
        <v>(Invalid Identifier)</v>
      </c>
      <c r="F30" s="576" t="str">
        <f>'Capital IQ Sheet-GPC'!Y31</f>
        <v>(Invalid Identifier)</v>
      </c>
      <c r="G30" s="576" t="str">
        <f>'Capital IQ Sheet-GPC'!Z31</f>
        <v>(Invalid Identifier)</v>
      </c>
      <c r="H30" s="255"/>
      <c r="I30" s="576" t="str">
        <f>'Capital IQ Sheet-GPC'!AA31</f>
        <v>(Invalid Identifier)</v>
      </c>
      <c r="J30" s="576" t="str">
        <f>'Capital IQ Sheet-GPC'!AB31</f>
        <v>(Invalid Identifier)</v>
      </c>
      <c r="K30" s="576" t="str">
        <f>'Capital IQ Sheet-GPC'!AC31</f>
        <v>(Invalid Identifier)</v>
      </c>
      <c r="L30" s="576" t="str">
        <f>'Capital IQ Sheet-GPC'!AD31</f>
        <v>(Invalid Identifier)</v>
      </c>
      <c r="M30" s="576" t="str">
        <f>'Capital IQ Sheet-GPC'!AE31</f>
        <v>(Invalid Identifier)</v>
      </c>
      <c r="O30" s="930" t="str">
        <f t="shared" si="0"/>
        <v>n/a</v>
      </c>
      <c r="P30" s="930" t="str">
        <f t="shared" si="1"/>
        <v>n/a</v>
      </c>
      <c r="Q30" s="930" t="str">
        <f t="shared" si="2"/>
        <v>n/a</v>
      </c>
      <c r="S30" s="930" t="str">
        <f t="shared" si="3"/>
        <v>n/a</v>
      </c>
      <c r="T30" s="930" t="str">
        <f t="shared" si="4"/>
        <v>n/a</v>
      </c>
      <c r="U30" s="930" t="str">
        <f t="shared" si="5"/>
        <v>n/a</v>
      </c>
      <c r="V30" s="930" t="str">
        <f t="shared" si="6"/>
        <v>n/a</v>
      </c>
      <c r="W30" s="930" t="str">
        <f t="shared" si="7"/>
        <v>n/a</v>
      </c>
      <c r="Y30" s="255" t="str">
        <f>'Comp.1'!AB30</f>
        <v>(Invalid Identifier)</v>
      </c>
      <c r="Z30" s="255" t="str">
        <f>'Comp.1'!AC30</f>
        <v>(Invalid Identifier)</v>
      </c>
      <c r="AA30" s="255" t="str">
        <f>'Comp.1'!AD30</f>
        <v>(Invalid Identifier)</v>
      </c>
      <c r="AB30" s="255" t="str">
        <f>'Comp.1'!AE30</f>
        <v>(Invalid Identifier)</v>
      </c>
      <c r="AC30" s="255">
        <f t="shared" si="8"/>
        <v>0</v>
      </c>
      <c r="AD30" s="255">
        <f t="shared" si="9"/>
        <v>0</v>
      </c>
      <c r="AE30" s="255" t="str">
        <f>'Comp.1'!AH30</f>
        <v>(Invalid Identifier)</v>
      </c>
      <c r="AF30" s="576" t="str">
        <f t="shared" si="10"/>
        <v>n/a</v>
      </c>
      <c r="AH30" s="932" t="str">
        <f>IF('MASTER PubCo Inputs'!C46="","",'MASTER PubCo Inputs'!C46)</f>
        <v>(Invalid Identifier)</v>
      </c>
      <c r="AI30" s="179" t="str">
        <f>'Comp.1'!AL30</f>
        <v>(Invalid Identifier)</v>
      </c>
    </row>
    <row r="31" spans="2:35" ht="14.85" hidden="1" customHeight="1" outlineLevel="1">
      <c r="B31" s="179" t="str">
        <f>'Comp.1'!B31</f>
        <v>(Invalid Identifier)</v>
      </c>
      <c r="C31" s="576" t="str">
        <f>'Comp.1'!C31</f>
        <v>n/a</v>
      </c>
      <c r="E31" s="576" t="str">
        <f>'Capital IQ Sheet-GPC'!X32</f>
        <v>(Invalid Identifier)</v>
      </c>
      <c r="F31" s="576" t="str">
        <f>'Capital IQ Sheet-GPC'!Y32</f>
        <v>(Invalid Identifier)</v>
      </c>
      <c r="G31" s="576" t="str">
        <f>'Capital IQ Sheet-GPC'!Z32</f>
        <v>(Invalid Identifier)</v>
      </c>
      <c r="H31" s="255"/>
      <c r="I31" s="576" t="str">
        <f>'Capital IQ Sheet-GPC'!AA32</f>
        <v>(Invalid Identifier)</v>
      </c>
      <c r="J31" s="576" t="str">
        <f>'Capital IQ Sheet-GPC'!AB32</f>
        <v>(Invalid Identifier)</v>
      </c>
      <c r="K31" s="576" t="str">
        <f>'Capital IQ Sheet-GPC'!AC32</f>
        <v>(Invalid Identifier)</v>
      </c>
      <c r="L31" s="576" t="str">
        <f>'Capital IQ Sheet-GPC'!AD32</f>
        <v>(Invalid Identifier)</v>
      </c>
      <c r="M31" s="576" t="str">
        <f>'Capital IQ Sheet-GPC'!AE32</f>
        <v>(Invalid Identifier)</v>
      </c>
      <c r="O31" s="930" t="str">
        <f t="shared" si="0"/>
        <v>n/a</v>
      </c>
      <c r="P31" s="930" t="str">
        <f t="shared" si="1"/>
        <v>n/a</v>
      </c>
      <c r="Q31" s="930" t="str">
        <f t="shared" si="2"/>
        <v>n/a</v>
      </c>
      <c r="S31" s="930" t="str">
        <f t="shared" si="3"/>
        <v>n/a</v>
      </c>
      <c r="T31" s="930" t="str">
        <f t="shared" si="4"/>
        <v>n/a</v>
      </c>
      <c r="U31" s="930" t="str">
        <f t="shared" si="5"/>
        <v>n/a</v>
      </c>
      <c r="V31" s="930" t="str">
        <f t="shared" si="6"/>
        <v>n/a</v>
      </c>
      <c r="W31" s="930" t="str">
        <f t="shared" si="7"/>
        <v>n/a</v>
      </c>
      <c r="Y31" s="255" t="str">
        <f>'Comp.1'!AB31</f>
        <v>(Invalid Identifier)</v>
      </c>
      <c r="Z31" s="255" t="str">
        <f>'Comp.1'!AC31</f>
        <v>(Invalid Identifier)</v>
      </c>
      <c r="AA31" s="255" t="str">
        <f>'Comp.1'!AD31</f>
        <v>(Invalid Identifier)</v>
      </c>
      <c r="AB31" s="255" t="str">
        <f>'Comp.1'!AE31</f>
        <v>(Invalid Identifier)</v>
      </c>
      <c r="AC31" s="255">
        <f t="shared" si="8"/>
        <v>0</v>
      </c>
      <c r="AD31" s="255">
        <f t="shared" si="9"/>
        <v>0</v>
      </c>
      <c r="AE31" s="255" t="str">
        <f>'Comp.1'!AH31</f>
        <v>(Invalid Identifier)</v>
      </c>
      <c r="AF31" s="576" t="str">
        <f t="shared" si="10"/>
        <v>n/a</v>
      </c>
      <c r="AH31" s="932" t="str">
        <f>IF('MASTER PubCo Inputs'!C47="","",'MASTER PubCo Inputs'!C47)</f>
        <v>(Invalid Identifier)</v>
      </c>
      <c r="AI31" s="179" t="str">
        <f>'Comp.1'!AL31</f>
        <v>(Invalid Identifier)</v>
      </c>
    </row>
    <row r="32" spans="2:35" ht="14.85" hidden="1" customHeight="1" outlineLevel="1">
      <c r="B32" s="179" t="str">
        <f>'Comp.1'!B32</f>
        <v>(Invalid Identifier)</v>
      </c>
      <c r="C32" s="576" t="str">
        <f>'Comp.1'!C32</f>
        <v>n/a</v>
      </c>
      <c r="E32" s="576" t="str">
        <f>'Capital IQ Sheet-GPC'!X33</f>
        <v>(Invalid Identifier)</v>
      </c>
      <c r="F32" s="576" t="str">
        <f>'Capital IQ Sheet-GPC'!Y33</f>
        <v>(Invalid Identifier)</v>
      </c>
      <c r="G32" s="576" t="str">
        <f>'Capital IQ Sheet-GPC'!Z33</f>
        <v>(Invalid Identifier)</v>
      </c>
      <c r="H32" s="255"/>
      <c r="I32" s="576" t="str">
        <f>'Capital IQ Sheet-GPC'!AA33</f>
        <v>(Invalid Identifier)</v>
      </c>
      <c r="J32" s="576" t="str">
        <f>'Capital IQ Sheet-GPC'!AB33</f>
        <v>(Invalid Identifier)</v>
      </c>
      <c r="K32" s="576" t="str">
        <f>'Capital IQ Sheet-GPC'!AC33</f>
        <v>(Invalid Identifier)</v>
      </c>
      <c r="L32" s="576" t="str">
        <f>'Capital IQ Sheet-GPC'!AD33</f>
        <v>(Invalid Identifier)</v>
      </c>
      <c r="M32" s="576" t="str">
        <f>'Capital IQ Sheet-GPC'!AE33</f>
        <v>(Invalid Identifier)</v>
      </c>
      <c r="O32" s="930" t="str">
        <f t="shared" si="0"/>
        <v>n/a</v>
      </c>
      <c r="P32" s="930" t="str">
        <f t="shared" si="1"/>
        <v>n/a</v>
      </c>
      <c r="Q32" s="930" t="str">
        <f t="shared" si="2"/>
        <v>n/a</v>
      </c>
      <c r="S32" s="930" t="str">
        <f t="shared" si="3"/>
        <v>n/a</v>
      </c>
      <c r="T32" s="930" t="str">
        <f t="shared" si="4"/>
        <v>n/a</v>
      </c>
      <c r="U32" s="930" t="str">
        <f t="shared" si="5"/>
        <v>n/a</v>
      </c>
      <c r="V32" s="930" t="str">
        <f t="shared" si="6"/>
        <v>n/a</v>
      </c>
      <c r="W32" s="930" t="str">
        <f t="shared" si="7"/>
        <v>n/a</v>
      </c>
      <c r="Y32" s="255" t="str">
        <f>'Comp.1'!AB32</f>
        <v>(Invalid Identifier)</v>
      </c>
      <c r="Z32" s="255" t="str">
        <f>'Comp.1'!AC32</f>
        <v>(Invalid Identifier)</v>
      </c>
      <c r="AA32" s="255" t="str">
        <f>'Comp.1'!AD32</f>
        <v>(Invalid Identifier)</v>
      </c>
      <c r="AB32" s="255" t="str">
        <f>'Comp.1'!AE32</f>
        <v>(Invalid Identifier)</v>
      </c>
      <c r="AC32" s="255">
        <f t="shared" si="8"/>
        <v>0</v>
      </c>
      <c r="AD32" s="255">
        <f t="shared" si="9"/>
        <v>0</v>
      </c>
      <c r="AE32" s="255" t="str">
        <f>'Comp.1'!AH32</f>
        <v>(Invalid Identifier)</v>
      </c>
      <c r="AF32" s="576" t="str">
        <f t="shared" si="10"/>
        <v>n/a</v>
      </c>
      <c r="AH32" s="932" t="str">
        <f>IF('MASTER PubCo Inputs'!C48="","",'MASTER PubCo Inputs'!C48)</f>
        <v>(Invalid Identifier)</v>
      </c>
      <c r="AI32" s="179" t="str">
        <f>'Comp.1'!AL32</f>
        <v>(Invalid Identifier)</v>
      </c>
    </row>
    <row r="33" spans="2:35" ht="14.85" hidden="1" customHeight="1" outlineLevel="1">
      <c r="B33" s="179" t="str">
        <f>'Comp.1'!B33</f>
        <v>(Invalid Identifier)</v>
      </c>
      <c r="C33" s="576" t="str">
        <f>'Comp.1'!C33</f>
        <v>n/a</v>
      </c>
      <c r="E33" s="576" t="str">
        <f>'Capital IQ Sheet-GPC'!X34</f>
        <v>(Invalid Identifier)</v>
      </c>
      <c r="F33" s="576" t="str">
        <f>'Capital IQ Sheet-GPC'!Y34</f>
        <v>(Invalid Identifier)</v>
      </c>
      <c r="G33" s="576" t="str">
        <f>'Capital IQ Sheet-GPC'!Z34</f>
        <v>(Invalid Identifier)</v>
      </c>
      <c r="H33" s="255"/>
      <c r="I33" s="576" t="str">
        <f>'Capital IQ Sheet-GPC'!AA34</f>
        <v>(Invalid Identifier)</v>
      </c>
      <c r="J33" s="576" t="str">
        <f>'Capital IQ Sheet-GPC'!AB34</f>
        <v>(Invalid Identifier)</v>
      </c>
      <c r="K33" s="576" t="str">
        <f>'Capital IQ Sheet-GPC'!AC34</f>
        <v>(Invalid Identifier)</v>
      </c>
      <c r="L33" s="576" t="str">
        <f>'Capital IQ Sheet-GPC'!AD34</f>
        <v>(Invalid Identifier)</v>
      </c>
      <c r="M33" s="576" t="str">
        <f>'Capital IQ Sheet-GPC'!AE34</f>
        <v>(Invalid Identifier)</v>
      </c>
      <c r="O33" s="930" t="str">
        <f t="shared" si="0"/>
        <v>n/a</v>
      </c>
      <c r="P33" s="930" t="str">
        <f t="shared" si="1"/>
        <v>n/a</v>
      </c>
      <c r="Q33" s="930" t="str">
        <f t="shared" si="2"/>
        <v>n/a</v>
      </c>
      <c r="S33" s="930" t="str">
        <f t="shared" si="3"/>
        <v>n/a</v>
      </c>
      <c r="T33" s="930" t="str">
        <f t="shared" si="4"/>
        <v>n/a</v>
      </c>
      <c r="U33" s="930" t="str">
        <f t="shared" si="5"/>
        <v>n/a</v>
      </c>
      <c r="V33" s="930" t="str">
        <f t="shared" si="6"/>
        <v>n/a</v>
      </c>
      <c r="W33" s="930" t="str">
        <f t="shared" si="7"/>
        <v>n/a</v>
      </c>
      <c r="Y33" s="255" t="str">
        <f>'Comp.1'!AB33</f>
        <v>(Invalid Identifier)</v>
      </c>
      <c r="Z33" s="255" t="str">
        <f>'Comp.1'!AC33</f>
        <v>(Invalid Identifier)</v>
      </c>
      <c r="AA33" s="255" t="str">
        <f>'Comp.1'!AD33</f>
        <v>(Invalid Identifier)</v>
      </c>
      <c r="AB33" s="255" t="str">
        <f>'Comp.1'!AE33</f>
        <v>(Invalid Identifier)</v>
      </c>
      <c r="AC33" s="255">
        <f t="shared" si="8"/>
        <v>0</v>
      </c>
      <c r="AD33" s="255">
        <f t="shared" si="9"/>
        <v>0</v>
      </c>
      <c r="AE33" s="255" t="str">
        <f>'Comp.1'!AH33</f>
        <v>(Invalid Identifier)</v>
      </c>
      <c r="AF33" s="576" t="str">
        <f t="shared" si="10"/>
        <v>n/a</v>
      </c>
      <c r="AH33" s="932" t="str">
        <f>IF('MASTER PubCo Inputs'!C49="","",'MASTER PubCo Inputs'!C49)</f>
        <v>(Invalid Identifier)</v>
      </c>
      <c r="AI33" s="179" t="str">
        <f>'Comp.1'!AL33</f>
        <v>(Invalid Identifier)</v>
      </c>
    </row>
    <row r="34" spans="2:35" ht="14.85" hidden="1" customHeight="1" outlineLevel="1">
      <c r="B34" s="179" t="str">
        <f>'Comp.1'!B34</f>
        <v>(Invalid Identifier)</v>
      </c>
      <c r="C34" s="576" t="str">
        <f>'Comp.1'!C34</f>
        <v>n/a</v>
      </c>
      <c r="E34" s="576" t="str">
        <f>'Capital IQ Sheet-GPC'!X35</f>
        <v>(Invalid Identifier)</v>
      </c>
      <c r="F34" s="576" t="str">
        <f>'Capital IQ Sheet-GPC'!Y35</f>
        <v>(Invalid Identifier)</v>
      </c>
      <c r="G34" s="576" t="str">
        <f>'Capital IQ Sheet-GPC'!Z35</f>
        <v>(Invalid Identifier)</v>
      </c>
      <c r="H34" s="255"/>
      <c r="I34" s="576" t="str">
        <f>'Capital IQ Sheet-GPC'!AA35</f>
        <v>(Invalid Identifier)</v>
      </c>
      <c r="J34" s="576" t="str">
        <f>'Capital IQ Sheet-GPC'!AB35</f>
        <v>(Invalid Identifier)</v>
      </c>
      <c r="K34" s="576" t="str">
        <f>'Capital IQ Sheet-GPC'!AC35</f>
        <v>(Invalid Identifier)</v>
      </c>
      <c r="L34" s="576" t="str">
        <f>'Capital IQ Sheet-GPC'!AD35</f>
        <v>(Invalid Identifier)</v>
      </c>
      <c r="M34" s="576" t="str">
        <f>'Capital IQ Sheet-GPC'!AE35</f>
        <v>(Invalid Identifier)</v>
      </c>
      <c r="O34" s="930" t="str">
        <f t="shared" si="0"/>
        <v>n/a</v>
      </c>
      <c r="P34" s="930" t="str">
        <f t="shared" si="1"/>
        <v>n/a</v>
      </c>
      <c r="Q34" s="930" t="str">
        <f t="shared" si="2"/>
        <v>n/a</v>
      </c>
      <c r="S34" s="930" t="str">
        <f t="shared" si="3"/>
        <v>n/a</v>
      </c>
      <c r="T34" s="930" t="str">
        <f t="shared" si="4"/>
        <v>n/a</v>
      </c>
      <c r="U34" s="930" t="str">
        <f t="shared" si="5"/>
        <v>n/a</v>
      </c>
      <c r="V34" s="930" t="str">
        <f t="shared" si="6"/>
        <v>n/a</v>
      </c>
      <c r="W34" s="930" t="str">
        <f t="shared" si="7"/>
        <v>n/a</v>
      </c>
      <c r="Y34" s="255" t="str">
        <f>'Comp.1'!AB34</f>
        <v>(Invalid Identifier)</v>
      </c>
      <c r="Z34" s="255" t="str">
        <f>'Comp.1'!AC34</f>
        <v>(Invalid Identifier)</v>
      </c>
      <c r="AA34" s="255" t="str">
        <f>'Comp.1'!AD34</f>
        <v>(Invalid Identifier)</v>
      </c>
      <c r="AB34" s="255" t="str">
        <f>'Comp.1'!AE34</f>
        <v>(Invalid Identifier)</v>
      </c>
      <c r="AC34" s="255">
        <f t="shared" si="8"/>
        <v>0</v>
      </c>
      <c r="AD34" s="255">
        <f t="shared" si="9"/>
        <v>0</v>
      </c>
      <c r="AE34" s="255" t="str">
        <f>'Comp.1'!AH34</f>
        <v>(Invalid Identifier)</v>
      </c>
      <c r="AF34" s="576" t="str">
        <f t="shared" si="10"/>
        <v>n/a</v>
      </c>
      <c r="AH34" s="932" t="str">
        <f>IF('MASTER PubCo Inputs'!C50="","",'MASTER PubCo Inputs'!C50)</f>
        <v>(Invalid Identifier)</v>
      </c>
      <c r="AI34" s="179" t="str">
        <f>'Comp.1'!AL34</f>
        <v>(Invalid Identifier)</v>
      </c>
    </row>
    <row r="35" spans="2:35" ht="14.85" hidden="1" customHeight="1" outlineLevel="1">
      <c r="B35" s="179" t="str">
        <f>'Comp.1'!B35</f>
        <v>(Invalid Identifier)</v>
      </c>
      <c r="C35" s="576" t="str">
        <f>'Comp.1'!C35</f>
        <v>n/a</v>
      </c>
      <c r="E35" s="576" t="str">
        <f>'Capital IQ Sheet-GPC'!X36</f>
        <v>(Invalid Identifier)</v>
      </c>
      <c r="F35" s="576" t="str">
        <f>'Capital IQ Sheet-GPC'!Y36</f>
        <v>(Invalid Identifier)</v>
      </c>
      <c r="G35" s="576" t="str">
        <f>'Capital IQ Sheet-GPC'!Z36</f>
        <v>(Invalid Identifier)</v>
      </c>
      <c r="H35" s="255"/>
      <c r="I35" s="576" t="str">
        <f>'Capital IQ Sheet-GPC'!AA36</f>
        <v>(Invalid Identifier)</v>
      </c>
      <c r="J35" s="576" t="str">
        <f>'Capital IQ Sheet-GPC'!AB36</f>
        <v>(Invalid Identifier)</v>
      </c>
      <c r="K35" s="576" t="str">
        <f>'Capital IQ Sheet-GPC'!AC36</f>
        <v>(Invalid Identifier)</v>
      </c>
      <c r="L35" s="576" t="str">
        <f>'Capital IQ Sheet-GPC'!AD36</f>
        <v>(Invalid Identifier)</v>
      </c>
      <c r="M35" s="576" t="str">
        <f>'Capital IQ Sheet-GPC'!AE36</f>
        <v>(Invalid Identifier)</v>
      </c>
      <c r="O35" s="930" t="str">
        <f t="shared" si="0"/>
        <v>n/a</v>
      </c>
      <c r="P35" s="930" t="str">
        <f t="shared" si="1"/>
        <v>n/a</v>
      </c>
      <c r="Q35" s="930" t="str">
        <f t="shared" si="2"/>
        <v>n/a</v>
      </c>
      <c r="S35" s="930" t="str">
        <f t="shared" si="3"/>
        <v>n/a</v>
      </c>
      <c r="T35" s="930" t="str">
        <f t="shared" si="4"/>
        <v>n/a</v>
      </c>
      <c r="U35" s="930" t="str">
        <f t="shared" si="5"/>
        <v>n/a</v>
      </c>
      <c r="V35" s="930" t="str">
        <f t="shared" si="6"/>
        <v>n/a</v>
      </c>
      <c r="W35" s="930" t="str">
        <f t="shared" si="7"/>
        <v>n/a</v>
      </c>
      <c r="Y35" s="255" t="str">
        <f>'Comp.1'!AB35</f>
        <v>(Invalid Identifier)</v>
      </c>
      <c r="Z35" s="255" t="str">
        <f>'Comp.1'!AC35</f>
        <v>(Invalid Identifier)</v>
      </c>
      <c r="AA35" s="255" t="str">
        <f>'Comp.1'!AD35</f>
        <v>(Invalid Identifier)</v>
      </c>
      <c r="AB35" s="255" t="str">
        <f>'Comp.1'!AE35</f>
        <v>(Invalid Identifier)</v>
      </c>
      <c r="AC35" s="255">
        <f t="shared" si="8"/>
        <v>0</v>
      </c>
      <c r="AD35" s="255">
        <f t="shared" si="9"/>
        <v>0</v>
      </c>
      <c r="AE35" s="255" t="str">
        <f>'Comp.1'!AH35</f>
        <v>(Invalid Identifier)</v>
      </c>
      <c r="AF35" s="576" t="str">
        <f t="shared" si="10"/>
        <v>n/a</v>
      </c>
      <c r="AH35" s="932" t="str">
        <f>IF('MASTER PubCo Inputs'!C51="","",'MASTER PubCo Inputs'!C51)</f>
        <v>(Invalid Identifier)</v>
      </c>
      <c r="AI35" s="179" t="str">
        <f>'Comp.1'!AL35</f>
        <v>(Invalid Identifier)</v>
      </c>
    </row>
    <row r="36" spans="2:35" ht="14.85" hidden="1" customHeight="1" outlineLevel="1">
      <c r="B36" s="179" t="str">
        <f>'Comp.1'!B36</f>
        <v>(Invalid Identifier)</v>
      </c>
      <c r="C36" s="576" t="str">
        <f>'Comp.1'!C36</f>
        <v>n/a</v>
      </c>
      <c r="E36" s="576" t="str">
        <f>'Capital IQ Sheet-GPC'!X37</f>
        <v>(Invalid Identifier)</v>
      </c>
      <c r="F36" s="576" t="str">
        <f>'Capital IQ Sheet-GPC'!Y37</f>
        <v>(Invalid Identifier)</v>
      </c>
      <c r="G36" s="576" t="str">
        <f>'Capital IQ Sheet-GPC'!Z37</f>
        <v>(Invalid Identifier)</v>
      </c>
      <c r="H36" s="255"/>
      <c r="I36" s="576" t="str">
        <f>'Capital IQ Sheet-GPC'!AA37</f>
        <v>(Invalid Identifier)</v>
      </c>
      <c r="J36" s="576" t="str">
        <f>'Capital IQ Sheet-GPC'!AB37</f>
        <v>(Invalid Identifier)</v>
      </c>
      <c r="K36" s="576" t="str">
        <f>'Capital IQ Sheet-GPC'!AC37</f>
        <v>(Invalid Identifier)</v>
      </c>
      <c r="L36" s="576" t="str">
        <f>'Capital IQ Sheet-GPC'!AD37</f>
        <v>(Invalid Identifier)</v>
      </c>
      <c r="M36" s="576" t="str">
        <f>'Capital IQ Sheet-GPC'!AE37</f>
        <v>(Invalid Identifier)</v>
      </c>
      <c r="O36" s="930" t="str">
        <f t="shared" si="0"/>
        <v>n/a</v>
      </c>
      <c r="P36" s="930" t="str">
        <f t="shared" si="1"/>
        <v>n/a</v>
      </c>
      <c r="Q36" s="930" t="str">
        <f t="shared" si="2"/>
        <v>n/a</v>
      </c>
      <c r="S36" s="930" t="str">
        <f t="shared" si="3"/>
        <v>n/a</v>
      </c>
      <c r="T36" s="930" t="str">
        <f t="shared" si="4"/>
        <v>n/a</v>
      </c>
      <c r="U36" s="930" t="str">
        <f t="shared" si="5"/>
        <v>n/a</v>
      </c>
      <c r="V36" s="930" t="str">
        <f t="shared" si="6"/>
        <v>n/a</v>
      </c>
      <c r="W36" s="930" t="str">
        <f t="shared" si="7"/>
        <v>n/a</v>
      </c>
      <c r="Y36" s="255" t="str">
        <f>'Comp.1'!AB36</f>
        <v>(Invalid Identifier)</v>
      </c>
      <c r="Z36" s="255" t="str">
        <f>'Comp.1'!AC36</f>
        <v>(Invalid Identifier)</v>
      </c>
      <c r="AA36" s="255" t="str">
        <f>'Comp.1'!AD36</f>
        <v>(Invalid Identifier)</v>
      </c>
      <c r="AB36" s="255" t="str">
        <f>'Comp.1'!AE36</f>
        <v>(Invalid Identifier)</v>
      </c>
      <c r="AC36" s="255">
        <f t="shared" si="8"/>
        <v>0</v>
      </c>
      <c r="AD36" s="255">
        <f t="shared" si="9"/>
        <v>0</v>
      </c>
      <c r="AE36" s="255" t="str">
        <f>'Comp.1'!AH36</f>
        <v>(Invalid Identifier)</v>
      </c>
      <c r="AF36" s="576" t="str">
        <f t="shared" si="10"/>
        <v>n/a</v>
      </c>
      <c r="AH36" s="932" t="str">
        <f>IF('MASTER PubCo Inputs'!C52="","",'MASTER PubCo Inputs'!C52)</f>
        <v>(Invalid Identifier)</v>
      </c>
      <c r="AI36" s="179" t="str">
        <f>'Comp.1'!AL36</f>
        <v>(Invalid Identifier)</v>
      </c>
    </row>
    <row r="37" spans="2:35" ht="14.85" hidden="1" customHeight="1" outlineLevel="1">
      <c r="B37" s="179" t="str">
        <f>'Comp.1'!B37</f>
        <v>(Invalid Identifier)</v>
      </c>
      <c r="C37" s="576" t="str">
        <f>'Comp.1'!C37</f>
        <v>n/a</v>
      </c>
      <c r="E37" s="576" t="str">
        <f>'Capital IQ Sheet-GPC'!X38</f>
        <v>(Invalid Identifier)</v>
      </c>
      <c r="F37" s="576" t="str">
        <f>'Capital IQ Sheet-GPC'!Y38</f>
        <v>(Invalid Identifier)</v>
      </c>
      <c r="G37" s="576" t="str">
        <f>'Capital IQ Sheet-GPC'!Z38</f>
        <v>(Invalid Identifier)</v>
      </c>
      <c r="H37" s="255"/>
      <c r="I37" s="576" t="str">
        <f>'Capital IQ Sheet-GPC'!AA38</f>
        <v>(Invalid Identifier)</v>
      </c>
      <c r="J37" s="576" t="str">
        <f>'Capital IQ Sheet-GPC'!AB38</f>
        <v>(Invalid Identifier)</v>
      </c>
      <c r="K37" s="576" t="str">
        <f>'Capital IQ Sheet-GPC'!AC38</f>
        <v>(Invalid Identifier)</v>
      </c>
      <c r="L37" s="576" t="str">
        <f>'Capital IQ Sheet-GPC'!AD38</f>
        <v>(Invalid Identifier)</v>
      </c>
      <c r="M37" s="576" t="str">
        <f>'Capital IQ Sheet-GPC'!AE38</f>
        <v>(Invalid Identifier)</v>
      </c>
      <c r="O37" s="930" t="str">
        <f t="shared" si="0"/>
        <v>n/a</v>
      </c>
      <c r="P37" s="930" t="str">
        <f t="shared" si="1"/>
        <v>n/a</v>
      </c>
      <c r="Q37" s="930" t="str">
        <f t="shared" si="2"/>
        <v>n/a</v>
      </c>
      <c r="S37" s="930" t="str">
        <f t="shared" si="3"/>
        <v>n/a</v>
      </c>
      <c r="T37" s="930" t="str">
        <f t="shared" si="4"/>
        <v>n/a</v>
      </c>
      <c r="U37" s="930" t="str">
        <f t="shared" si="5"/>
        <v>n/a</v>
      </c>
      <c r="V37" s="930" t="str">
        <f t="shared" si="6"/>
        <v>n/a</v>
      </c>
      <c r="W37" s="930" t="str">
        <f t="shared" si="7"/>
        <v>n/a</v>
      </c>
      <c r="Y37" s="255" t="str">
        <f>'Comp.1'!AB37</f>
        <v>(Invalid Identifier)</v>
      </c>
      <c r="Z37" s="255" t="str">
        <f>'Comp.1'!AC37</f>
        <v>(Invalid Identifier)</v>
      </c>
      <c r="AA37" s="255" t="str">
        <f>'Comp.1'!AD37</f>
        <v>(Invalid Identifier)</v>
      </c>
      <c r="AB37" s="255" t="str">
        <f>'Comp.1'!AE37</f>
        <v>(Invalid Identifier)</v>
      </c>
      <c r="AC37" s="255">
        <f t="shared" si="8"/>
        <v>0</v>
      </c>
      <c r="AD37" s="255">
        <f t="shared" si="9"/>
        <v>0</v>
      </c>
      <c r="AE37" s="255" t="str">
        <f>'Comp.1'!AH37</f>
        <v>(Invalid Identifier)</v>
      </c>
      <c r="AF37" s="576" t="str">
        <f t="shared" si="10"/>
        <v>n/a</v>
      </c>
      <c r="AH37" s="932" t="str">
        <f>IF('MASTER PubCo Inputs'!C53="","",'MASTER PubCo Inputs'!C53)</f>
        <v>(Invalid Identifier)</v>
      </c>
      <c r="AI37" s="179" t="str">
        <f>'Comp.1'!AL37</f>
        <v>(Invalid Identifier)</v>
      </c>
    </row>
    <row r="38" spans="2:35" ht="14.85" hidden="1" customHeight="1" outlineLevel="1">
      <c r="B38" s="179" t="str">
        <f>'Comp.1'!B38</f>
        <v>(Invalid Identifier)</v>
      </c>
      <c r="C38" s="576" t="str">
        <f>'Comp.1'!C38</f>
        <v>n/a</v>
      </c>
      <c r="E38" s="576" t="str">
        <f>'Capital IQ Sheet-GPC'!X39</f>
        <v>(Invalid Identifier)</v>
      </c>
      <c r="F38" s="576" t="str">
        <f>'Capital IQ Sheet-GPC'!Y39</f>
        <v>(Invalid Identifier)</v>
      </c>
      <c r="G38" s="576" t="str">
        <f>'Capital IQ Sheet-GPC'!Z39</f>
        <v>(Invalid Identifier)</v>
      </c>
      <c r="H38" s="255"/>
      <c r="I38" s="576" t="str">
        <f>'Capital IQ Sheet-GPC'!AA39</f>
        <v>(Invalid Identifier)</v>
      </c>
      <c r="J38" s="576" t="str">
        <f>'Capital IQ Sheet-GPC'!AB39</f>
        <v>(Invalid Identifier)</v>
      </c>
      <c r="K38" s="576" t="str">
        <f>'Capital IQ Sheet-GPC'!AC39</f>
        <v>(Invalid Identifier)</v>
      </c>
      <c r="L38" s="576" t="str">
        <f>'Capital IQ Sheet-GPC'!AD39</f>
        <v>(Invalid Identifier)</v>
      </c>
      <c r="M38" s="576" t="str">
        <f>'Capital IQ Sheet-GPC'!AE39</f>
        <v>(Invalid Identifier)</v>
      </c>
      <c r="O38" s="930" t="str">
        <f t="shared" si="0"/>
        <v>n/a</v>
      </c>
      <c r="P38" s="930" t="str">
        <f t="shared" si="1"/>
        <v>n/a</v>
      </c>
      <c r="Q38" s="930" t="str">
        <f t="shared" si="2"/>
        <v>n/a</v>
      </c>
      <c r="S38" s="930" t="str">
        <f t="shared" si="3"/>
        <v>n/a</v>
      </c>
      <c r="T38" s="930" t="str">
        <f t="shared" si="4"/>
        <v>n/a</v>
      </c>
      <c r="U38" s="930" t="str">
        <f t="shared" si="5"/>
        <v>n/a</v>
      </c>
      <c r="V38" s="930" t="str">
        <f t="shared" si="6"/>
        <v>n/a</v>
      </c>
      <c r="W38" s="930" t="str">
        <f t="shared" si="7"/>
        <v>n/a</v>
      </c>
      <c r="Y38" s="255" t="str">
        <f>'Comp.1'!AB38</f>
        <v>(Invalid Identifier)</v>
      </c>
      <c r="Z38" s="255" t="str">
        <f>'Comp.1'!AC38</f>
        <v>(Invalid Identifier)</v>
      </c>
      <c r="AA38" s="255" t="str">
        <f>'Comp.1'!AD38</f>
        <v>(Invalid Identifier)</v>
      </c>
      <c r="AB38" s="255" t="str">
        <f>'Comp.1'!AE38</f>
        <v>(Invalid Identifier)</v>
      </c>
      <c r="AC38" s="255">
        <f t="shared" si="8"/>
        <v>0</v>
      </c>
      <c r="AD38" s="255">
        <f t="shared" si="9"/>
        <v>0</v>
      </c>
      <c r="AE38" s="255" t="str">
        <f>'Comp.1'!AH38</f>
        <v>(Invalid Identifier)</v>
      </c>
      <c r="AF38" s="576" t="str">
        <f t="shared" si="10"/>
        <v>n/a</v>
      </c>
      <c r="AH38" s="932" t="str">
        <f>IF('MASTER PubCo Inputs'!C54="","",'MASTER PubCo Inputs'!C54)</f>
        <v>(Invalid Identifier)</v>
      </c>
      <c r="AI38" s="179" t="str">
        <f>'Comp.1'!AL38</f>
        <v>(Invalid Identifier)</v>
      </c>
    </row>
    <row r="39" spans="2:35" ht="14.85" hidden="1" customHeight="1" outlineLevel="1">
      <c r="B39" s="179" t="str">
        <f>'Comp.1'!B39</f>
        <v>(Invalid Identifier)</v>
      </c>
      <c r="C39" s="576" t="str">
        <f>'Comp.1'!C39</f>
        <v>n/a</v>
      </c>
      <c r="E39" s="576" t="str">
        <f>'Capital IQ Sheet-GPC'!X40</f>
        <v>(Invalid Identifier)</v>
      </c>
      <c r="F39" s="576" t="str">
        <f>'Capital IQ Sheet-GPC'!Y40</f>
        <v>(Invalid Identifier)</v>
      </c>
      <c r="G39" s="576" t="str">
        <f>'Capital IQ Sheet-GPC'!Z40</f>
        <v>(Invalid Identifier)</v>
      </c>
      <c r="H39" s="255"/>
      <c r="I39" s="576" t="str">
        <f>'Capital IQ Sheet-GPC'!AA40</f>
        <v>(Invalid Identifier)</v>
      </c>
      <c r="J39" s="576" t="str">
        <f>'Capital IQ Sheet-GPC'!AB40</f>
        <v>(Invalid Identifier)</v>
      </c>
      <c r="K39" s="576" t="str">
        <f>'Capital IQ Sheet-GPC'!AC40</f>
        <v>(Invalid Identifier)</v>
      </c>
      <c r="L39" s="576" t="str">
        <f>'Capital IQ Sheet-GPC'!AD40</f>
        <v>(Invalid Identifier)</v>
      </c>
      <c r="M39" s="576" t="str">
        <f>'Capital IQ Sheet-GPC'!AE40</f>
        <v>(Invalid Identifier)</v>
      </c>
      <c r="O39" s="930" t="str">
        <f t="shared" si="0"/>
        <v>n/a</v>
      </c>
      <c r="P39" s="930" t="str">
        <f t="shared" si="1"/>
        <v>n/a</v>
      </c>
      <c r="Q39" s="930" t="str">
        <f t="shared" si="2"/>
        <v>n/a</v>
      </c>
      <c r="S39" s="930" t="str">
        <f t="shared" si="3"/>
        <v>n/a</v>
      </c>
      <c r="T39" s="930" t="str">
        <f t="shared" si="4"/>
        <v>n/a</v>
      </c>
      <c r="U39" s="930" t="str">
        <f t="shared" si="5"/>
        <v>n/a</v>
      </c>
      <c r="V39" s="930" t="str">
        <f t="shared" si="6"/>
        <v>n/a</v>
      </c>
      <c r="W39" s="930" t="str">
        <f t="shared" si="7"/>
        <v>n/a</v>
      </c>
      <c r="Y39" s="255" t="str">
        <f>'Comp.1'!AB39</f>
        <v>(Invalid Identifier)</v>
      </c>
      <c r="Z39" s="255" t="str">
        <f>'Comp.1'!AC39</f>
        <v>(Invalid Identifier)</v>
      </c>
      <c r="AA39" s="255" t="str">
        <f>'Comp.1'!AD39</f>
        <v>(Invalid Identifier)</v>
      </c>
      <c r="AB39" s="255" t="str">
        <f>'Comp.1'!AE39</f>
        <v>(Invalid Identifier)</v>
      </c>
      <c r="AC39" s="255">
        <f t="shared" si="8"/>
        <v>0</v>
      </c>
      <c r="AD39" s="255">
        <f t="shared" si="9"/>
        <v>0</v>
      </c>
      <c r="AE39" s="255" t="str">
        <f>'Comp.1'!AH39</f>
        <v>(Invalid Identifier)</v>
      </c>
      <c r="AF39" s="576" t="str">
        <f t="shared" si="10"/>
        <v>n/a</v>
      </c>
      <c r="AH39" s="932" t="str">
        <f>IF('MASTER PubCo Inputs'!C55="","",'MASTER PubCo Inputs'!C55)</f>
        <v>(Invalid Identifier)</v>
      </c>
      <c r="AI39" s="179" t="str">
        <f>'Comp.1'!AL39</f>
        <v>(Invalid Identifier)</v>
      </c>
    </row>
    <row r="40" spans="2:35" ht="14.85" hidden="1" customHeight="1" outlineLevel="1">
      <c r="B40" s="179" t="str">
        <f>'Comp.1'!B40</f>
        <v>(Invalid Identifier)</v>
      </c>
      <c r="C40" s="576" t="str">
        <f>'Comp.1'!C40</f>
        <v>n/a</v>
      </c>
      <c r="E40" s="576" t="str">
        <f>'Capital IQ Sheet-GPC'!X41</f>
        <v>(Invalid Identifier)</v>
      </c>
      <c r="F40" s="576" t="str">
        <f>'Capital IQ Sheet-GPC'!Y41</f>
        <v>(Invalid Identifier)</v>
      </c>
      <c r="G40" s="576" t="str">
        <f>'Capital IQ Sheet-GPC'!Z41</f>
        <v>(Invalid Identifier)</v>
      </c>
      <c r="H40" s="255"/>
      <c r="I40" s="576" t="str">
        <f>'Capital IQ Sheet-GPC'!AA41</f>
        <v>(Invalid Identifier)</v>
      </c>
      <c r="J40" s="576" t="str">
        <f>'Capital IQ Sheet-GPC'!AB41</f>
        <v>(Invalid Identifier)</v>
      </c>
      <c r="K40" s="576" t="str">
        <f>'Capital IQ Sheet-GPC'!AC41</f>
        <v>(Invalid Identifier)</v>
      </c>
      <c r="L40" s="576" t="str">
        <f>'Capital IQ Sheet-GPC'!AD41</f>
        <v>(Invalid Identifier)</v>
      </c>
      <c r="M40" s="576" t="str">
        <f>'Capital IQ Sheet-GPC'!AE41</f>
        <v>(Invalid Identifier)</v>
      </c>
      <c r="O40" s="930" t="str">
        <f t="shared" si="0"/>
        <v>n/a</v>
      </c>
      <c r="P40" s="930" t="str">
        <f t="shared" si="1"/>
        <v>n/a</v>
      </c>
      <c r="Q40" s="930" t="str">
        <f t="shared" si="2"/>
        <v>n/a</v>
      </c>
      <c r="S40" s="930" t="str">
        <f t="shared" si="3"/>
        <v>n/a</v>
      </c>
      <c r="T40" s="930" t="str">
        <f t="shared" si="4"/>
        <v>n/a</v>
      </c>
      <c r="U40" s="930" t="str">
        <f t="shared" si="5"/>
        <v>n/a</v>
      </c>
      <c r="V40" s="930" t="str">
        <f t="shared" si="6"/>
        <v>n/a</v>
      </c>
      <c r="W40" s="930" t="str">
        <f t="shared" si="7"/>
        <v>n/a</v>
      </c>
      <c r="Y40" s="255" t="str">
        <f>'Comp.1'!AB40</f>
        <v>(Invalid Identifier)</v>
      </c>
      <c r="Z40" s="255" t="str">
        <f>'Comp.1'!AC40</f>
        <v>(Invalid Identifier)</v>
      </c>
      <c r="AA40" s="255" t="str">
        <f>'Comp.1'!AD40</f>
        <v>(Invalid Identifier)</v>
      </c>
      <c r="AB40" s="255" t="str">
        <f>'Comp.1'!AE40</f>
        <v>(Invalid Identifier)</v>
      </c>
      <c r="AC40" s="255">
        <f t="shared" si="8"/>
        <v>0</v>
      </c>
      <c r="AD40" s="255">
        <f t="shared" si="9"/>
        <v>0</v>
      </c>
      <c r="AE40" s="255" t="str">
        <f>'Comp.1'!AH40</f>
        <v>(Invalid Identifier)</v>
      </c>
      <c r="AF40" s="576" t="str">
        <f t="shared" si="10"/>
        <v>n/a</v>
      </c>
      <c r="AH40" s="932" t="str">
        <f>IF('MASTER PubCo Inputs'!C56="","",'MASTER PubCo Inputs'!C56)</f>
        <v>(Invalid Identifier)</v>
      </c>
      <c r="AI40" s="179" t="str">
        <f>'Comp.1'!AL40</f>
        <v>(Invalid Identifier)</v>
      </c>
    </row>
    <row r="41" spans="2:35" ht="14.85" hidden="1" customHeight="1" outlineLevel="1">
      <c r="B41" s="179" t="str">
        <f>'Comp.1'!B41</f>
        <v>(Invalid Identifier)</v>
      </c>
      <c r="C41" s="576" t="str">
        <f>'Comp.1'!C41</f>
        <v>n/a</v>
      </c>
      <c r="E41" s="576" t="str">
        <f>'Capital IQ Sheet-GPC'!X42</f>
        <v>(Invalid Identifier)</v>
      </c>
      <c r="F41" s="576" t="str">
        <f>'Capital IQ Sheet-GPC'!Y42</f>
        <v>(Invalid Identifier)</v>
      </c>
      <c r="G41" s="576" t="str">
        <f>'Capital IQ Sheet-GPC'!Z42</f>
        <v>(Invalid Identifier)</v>
      </c>
      <c r="H41" s="255"/>
      <c r="I41" s="576" t="str">
        <f>'Capital IQ Sheet-GPC'!AA42</f>
        <v>(Invalid Identifier)</v>
      </c>
      <c r="J41" s="576" t="str">
        <f>'Capital IQ Sheet-GPC'!AB42</f>
        <v>(Invalid Identifier)</v>
      </c>
      <c r="K41" s="576" t="str">
        <f>'Capital IQ Sheet-GPC'!AC42</f>
        <v>(Invalid Identifier)</v>
      </c>
      <c r="L41" s="576" t="str">
        <f>'Capital IQ Sheet-GPC'!AD42</f>
        <v>(Invalid Identifier)</v>
      </c>
      <c r="M41" s="576" t="str">
        <f>'Capital IQ Sheet-GPC'!AE42</f>
        <v>(Invalid Identifier)</v>
      </c>
      <c r="O41" s="930" t="str">
        <f t="shared" si="0"/>
        <v>n/a</v>
      </c>
      <c r="P41" s="930" t="str">
        <f t="shared" si="1"/>
        <v>n/a</v>
      </c>
      <c r="Q41" s="930" t="str">
        <f t="shared" si="2"/>
        <v>n/a</v>
      </c>
      <c r="S41" s="930" t="str">
        <f t="shared" si="3"/>
        <v>n/a</v>
      </c>
      <c r="T41" s="930" t="str">
        <f t="shared" si="4"/>
        <v>n/a</v>
      </c>
      <c r="U41" s="930" t="str">
        <f t="shared" si="5"/>
        <v>n/a</v>
      </c>
      <c r="V41" s="930" t="str">
        <f t="shared" si="6"/>
        <v>n/a</v>
      </c>
      <c r="W41" s="930" t="str">
        <f t="shared" si="7"/>
        <v>n/a</v>
      </c>
      <c r="Y41" s="255" t="str">
        <f>'Comp.1'!AB41</f>
        <v>(Invalid Identifier)</v>
      </c>
      <c r="Z41" s="255" t="str">
        <f>'Comp.1'!AC41</f>
        <v>(Invalid Identifier)</v>
      </c>
      <c r="AA41" s="255" t="str">
        <f>'Comp.1'!AD41</f>
        <v>(Invalid Identifier)</v>
      </c>
      <c r="AB41" s="255" t="str">
        <f>'Comp.1'!AE41</f>
        <v>(Invalid Identifier)</v>
      </c>
      <c r="AC41" s="255">
        <f t="shared" si="8"/>
        <v>0</v>
      </c>
      <c r="AD41" s="255">
        <f t="shared" si="9"/>
        <v>0</v>
      </c>
      <c r="AE41" s="255" t="str">
        <f>'Comp.1'!AH41</f>
        <v>(Invalid Identifier)</v>
      </c>
      <c r="AF41" s="576" t="str">
        <f t="shared" si="10"/>
        <v>n/a</v>
      </c>
      <c r="AH41" s="932" t="str">
        <f>IF('MASTER PubCo Inputs'!C57="","",'MASTER PubCo Inputs'!C57)</f>
        <v>(Invalid Identifier)</v>
      </c>
      <c r="AI41" s="179" t="str">
        <f>'Comp.1'!AL41</f>
        <v>(Invalid Identifier)</v>
      </c>
    </row>
    <row r="42" spans="2:35" ht="14.85" customHeight="1" collapsed="1">
      <c r="C42" s="255"/>
      <c r="E42" s="255"/>
      <c r="F42" s="255"/>
      <c r="G42" s="255"/>
      <c r="H42" s="255"/>
      <c r="I42" s="255"/>
      <c r="J42" s="255"/>
      <c r="K42" s="255"/>
      <c r="L42" s="255"/>
      <c r="M42" s="255"/>
    </row>
    <row r="43" spans="2:35" ht="14.85" customHeight="1">
      <c r="B43" s="665" t="s">
        <v>111</v>
      </c>
      <c r="C43" s="1025">
        <f>MAX(C12:C42)</f>
        <v>1379.6794800000002</v>
      </c>
      <c r="D43" s="666"/>
      <c r="E43" s="1025">
        <f>MAX(E12:E42)</f>
        <v>-1.145</v>
      </c>
      <c r="F43" s="1025">
        <f>MAX(F12:F42)</f>
        <v>-5.4619999999999997</v>
      </c>
      <c r="G43" s="1025">
        <f>MAX(G12:G42)</f>
        <v>-4.8523399999999999</v>
      </c>
      <c r="H43" s="1025"/>
      <c r="I43" s="1025">
        <f>MAX(I12:I42)</f>
        <v>-5.093</v>
      </c>
      <c r="J43" s="1025">
        <f>MAX(J12:J42)</f>
        <v>-4.8523399999999999</v>
      </c>
      <c r="K43" s="1025">
        <f>MAX(K12:K42)</f>
        <v>5.2200100000000003</v>
      </c>
      <c r="L43" s="1025">
        <f>MAX(L12:L42)</f>
        <v>6.3925799999999997</v>
      </c>
      <c r="M43" s="1025">
        <f>MAX(M12:M42)</f>
        <v>20.616499999999998</v>
      </c>
      <c r="N43" s="1027"/>
      <c r="O43" s="1028">
        <f>MAX(O12:O42)</f>
        <v>-9.5035489514004839E-2</v>
      </c>
      <c r="P43" s="1028">
        <f>MAX(P12:P42)</f>
        <v>-0.10187493844547345</v>
      </c>
      <c r="Q43" s="1028">
        <f>MAX(Q12:Q42)</f>
        <v>0</v>
      </c>
      <c r="R43" s="1027"/>
      <c r="S43" s="1028">
        <f>MAX(S12:S42)</f>
        <v>-0.10358733387102437</v>
      </c>
      <c r="T43" s="1028">
        <f>MAX(T12:T42)</f>
        <v>-0.12352283907605556</v>
      </c>
      <c r="U43" s="1028">
        <f>MAX(U12:U42)</f>
        <v>0</v>
      </c>
      <c r="V43" s="1028">
        <f>MAX(V12:V42)</f>
        <v>0</v>
      </c>
      <c r="W43" s="1029">
        <f>MAX(W12:W42)</f>
        <v>33.281533722988868</v>
      </c>
      <c r="X43" s="548"/>
      <c r="Y43" s="548"/>
    </row>
    <row r="44" spans="2:35" ht="14.85" customHeight="1">
      <c r="B44" s="1030" t="s">
        <v>115</v>
      </c>
      <c r="C44" s="944">
        <f>QUARTILE(C12:C42,3)</f>
        <v>178.94606000000002</v>
      </c>
      <c r="D44" s="942"/>
      <c r="E44" s="944">
        <f>QUARTILE(E12:E42,3)</f>
        <v>-12.005224999999999</v>
      </c>
      <c r="F44" s="944">
        <f>QUARTILE(F12:F42,3)</f>
        <v>-8.6178375000000003</v>
      </c>
      <c r="G44" s="944">
        <f>QUARTILE(G12:G42,3)</f>
        <v>-11.272480000000002</v>
      </c>
      <c r="H44" s="944"/>
      <c r="I44" s="944">
        <f>QUARTILE(I12:I42,3)</f>
        <v>-8.6178375000000003</v>
      </c>
      <c r="J44" s="944">
        <f>QUARTILE(J12:J42,3)</f>
        <v>-10.926480000000002</v>
      </c>
      <c r="K44" s="944">
        <f>QUARTILE(K12:K42,3)</f>
        <v>-8.1449974999999988</v>
      </c>
      <c r="L44" s="944">
        <f>QUARTILE(L12:L42,3)</f>
        <v>-8.6018550000000005</v>
      </c>
      <c r="M44" s="944">
        <f>QUARTILE(M12:M42,3)</f>
        <v>-22.329585000000002</v>
      </c>
      <c r="N44" s="1031"/>
      <c r="O44" s="943">
        <f>QUARTILE(O12:O42,3)</f>
        <v>-2.5873295347450158</v>
      </c>
      <c r="P44" s="943">
        <f>QUARTILE(P12:P42,3)</f>
        <v>-2.4899099631238109</v>
      </c>
      <c r="Q44" s="943" t="e">
        <f>QUARTILE(Q12:Q42,3)</f>
        <v>#NUM!</v>
      </c>
      <c r="R44" s="1031"/>
      <c r="S44" s="943">
        <f>QUARTILE(S12:S42,3)</f>
        <v>-2.4903789115646826</v>
      </c>
      <c r="T44" s="943">
        <f>QUARTILE(T12:T42,3)</f>
        <v>-2.0732538897701573</v>
      </c>
      <c r="U44" s="943" t="e">
        <f>QUARTILE(U12:U42,3)</f>
        <v>#NUM!</v>
      </c>
      <c r="V44" s="943" t="e">
        <f>QUARTILE(V12:V42,3)</f>
        <v>#NUM!</v>
      </c>
      <c r="W44" s="1032">
        <f>QUARTILE(W12:W42,3)</f>
        <v>33.281533722988868</v>
      </c>
      <c r="X44" s="548"/>
      <c r="Y44" s="548"/>
    </row>
    <row r="45" spans="2:35" ht="14.85" customHeight="1">
      <c r="B45" s="1030" t="s">
        <v>113</v>
      </c>
      <c r="C45" s="944">
        <f>AVERAGE(C12:C42)</f>
        <v>291.17324222222226</v>
      </c>
      <c r="D45" s="942"/>
      <c r="E45" s="944">
        <f>AVERAGE(E12:E42)</f>
        <v>-29.926252857142856</v>
      </c>
      <c r="F45" s="944">
        <f>AVERAGE(F12:F42)</f>
        <v>-40.076228749999991</v>
      </c>
      <c r="G45" s="944">
        <f>AVERAGE(G12:G42)</f>
        <v>-37.441783749999999</v>
      </c>
      <c r="H45" s="944"/>
      <c r="I45" s="944">
        <f>AVERAGE(I12:I42)</f>
        <v>-38.313789999999997</v>
      </c>
      <c r="J45" s="944">
        <f>AVERAGE(J12:J42)</f>
        <v>-39.656218750000001</v>
      </c>
      <c r="K45" s="944">
        <f>AVERAGE(K12:K42)</f>
        <v>-34.472382500000002</v>
      </c>
      <c r="L45" s="944">
        <f>AVERAGE(L12:L42)</f>
        <v>-45.923785000000002</v>
      </c>
      <c r="M45" s="944">
        <f>AVERAGE(M12:M42)</f>
        <v>-69.035673333333321</v>
      </c>
      <c r="N45" s="1031"/>
      <c r="O45" s="943">
        <f>AVERAGE(O12:O42)</f>
        <v>-17.450845166080647</v>
      </c>
      <c r="P45" s="943">
        <f>AVERAGE(P12:P42)</f>
        <v>-15.278592882081741</v>
      </c>
      <c r="Q45" s="943" t="e">
        <f>AVERAGE(Q12:Q42)</f>
        <v>#DIV/0!</v>
      </c>
      <c r="R45" s="1031"/>
      <c r="S45" s="943">
        <f>AVERAGE(S12:S42)</f>
        <v>-15.569183489735153</v>
      </c>
      <c r="T45" s="943">
        <f>AVERAGE(T12:T42)</f>
        <v>-21.567862681183602</v>
      </c>
      <c r="U45" s="943" t="e">
        <f>AVERAGE(U12:U42)</f>
        <v>#DIV/0!</v>
      </c>
      <c r="V45" s="943" t="e">
        <f>AVERAGE(V12:V42)</f>
        <v>#DIV/0!</v>
      </c>
      <c r="W45" s="1032">
        <f>AVERAGE(W12:W42)</f>
        <v>33.281533722988868</v>
      </c>
      <c r="X45" s="548"/>
      <c r="Y45" s="548"/>
    </row>
    <row r="46" spans="2:35" ht="14.85" customHeight="1">
      <c r="B46" s="1030" t="s">
        <v>44</v>
      </c>
      <c r="C46" s="944">
        <f>MEDIAN(C12:C42)</f>
        <v>125.38888000000001</v>
      </c>
      <c r="D46" s="942"/>
      <c r="E46" s="944">
        <f>MEDIAN(E12:E42)</f>
        <v>-28.805869999999999</v>
      </c>
      <c r="F46" s="944">
        <f>MEDIAN(F12:F42)</f>
        <v>-19.817254999999999</v>
      </c>
      <c r="G46" s="944">
        <f>MEDIAN(G12:G42)</f>
        <v>-19.247074999999999</v>
      </c>
      <c r="H46" s="944"/>
      <c r="I46" s="944">
        <f>MEDIAN(I12:I42)</f>
        <v>-19.567999999999998</v>
      </c>
      <c r="J46" s="944">
        <f>MEDIAN(J12:J42)</f>
        <v>-20.594814999999997</v>
      </c>
      <c r="K46" s="944">
        <f>MEDIAN(K12:K42)</f>
        <v>-15.74166</v>
      </c>
      <c r="L46" s="944">
        <f>MEDIAN(L12:L42)</f>
        <v>-29.180230000000002</v>
      </c>
      <c r="M46" s="944">
        <f>MEDIAN(M12:M42)</f>
        <v>-65.275670000000005</v>
      </c>
      <c r="N46" s="1031"/>
      <c r="O46" s="943">
        <f>MEDIAN(O12:O42)</f>
        <v>-5.447437551848096</v>
      </c>
      <c r="P46" s="943">
        <f>MEDIAN(P12:P42)</f>
        <v>-6.4336962752277742</v>
      </c>
      <c r="Q46" s="943" t="e">
        <f>MEDIAN(Q12:Q42)</f>
        <v>#NUM!</v>
      </c>
      <c r="R46" s="1031"/>
      <c r="S46" s="943">
        <f>MEDIAN(S12:S42)</f>
        <v>-6.7753332827645583</v>
      </c>
      <c r="T46" s="943">
        <f>MEDIAN(T12:T42)</f>
        <v>-4.2989350777527013</v>
      </c>
      <c r="U46" s="943" t="e">
        <f>MEDIAN(U12:U42)</f>
        <v>#NUM!</v>
      </c>
      <c r="V46" s="943" t="e">
        <f>MEDIAN(V12:V42)</f>
        <v>#NUM!</v>
      </c>
      <c r="W46" s="1032">
        <f>MEDIAN(W12:W42)</f>
        <v>33.281533722988868</v>
      </c>
      <c r="X46" s="548"/>
      <c r="Y46" s="548"/>
    </row>
    <row r="47" spans="2:35" ht="14.85" customHeight="1">
      <c r="B47" s="1030" t="s">
        <v>114</v>
      </c>
      <c r="C47" s="944">
        <f>QUARTILE(C12:C42,1)</f>
        <v>30.731609999999996</v>
      </c>
      <c r="D47" s="942"/>
      <c r="E47" s="944">
        <f>QUARTILE(E12:E42,1)</f>
        <v>-39.870725</v>
      </c>
      <c r="F47" s="944">
        <f>QUARTILE(F12:F42,1)</f>
        <v>-57.468067499999997</v>
      </c>
      <c r="G47" s="944">
        <f>QUARTILE(G12:G42,1)</f>
        <v>-52.732354999999998</v>
      </c>
      <c r="H47" s="944"/>
      <c r="I47" s="944">
        <f>QUARTILE(I12:I42,1)</f>
        <v>-54.382067500000005</v>
      </c>
      <c r="J47" s="944">
        <f>QUARTILE(J12:J42,1)</f>
        <v>-57.036355</v>
      </c>
      <c r="K47" s="944">
        <f>QUARTILE(K12:K42,1)</f>
        <v>-42.069045000000003</v>
      </c>
      <c r="L47" s="944">
        <f>QUARTILE(L12:L42,1)</f>
        <v>-66.502160000000003</v>
      </c>
      <c r="M47" s="944">
        <f>QUARTILE(M12:M42,1)</f>
        <v>-113.86176</v>
      </c>
      <c r="N47" s="1031"/>
      <c r="O47" s="943">
        <f>QUARTILE(O12:O42,1)</f>
        <v>-33.225819973454449</v>
      </c>
      <c r="P47" s="943">
        <f>QUARTILE(P12:P42,1)</f>
        <v>-14.624557639230259</v>
      </c>
      <c r="Q47" s="943" t="e">
        <f>QUARTILE(Q12:Q42,1)</f>
        <v>#NUM!</v>
      </c>
      <c r="R47" s="1031"/>
      <c r="S47" s="943">
        <f>QUARTILE(S12:S42,1)</f>
        <v>-15.852954631953796</v>
      </c>
      <c r="T47" s="943">
        <f>QUARTILE(T12:T42,1)</f>
        <v>-8.7046547759144737</v>
      </c>
      <c r="U47" s="943" t="e">
        <f>QUARTILE(U12:U42,1)</f>
        <v>#NUM!</v>
      </c>
      <c r="V47" s="943" t="e">
        <f>QUARTILE(V12:V42,1)</f>
        <v>#NUM!</v>
      </c>
      <c r="W47" s="1032">
        <f>QUARTILE(W12:W42,1)</f>
        <v>33.281533722988868</v>
      </c>
      <c r="X47" s="548"/>
      <c r="Y47" s="548"/>
    </row>
    <row r="48" spans="2:35" ht="14.85" customHeight="1">
      <c r="B48" s="946" t="s">
        <v>112</v>
      </c>
      <c r="C48" s="672">
        <f>MIN(C12:C42)</f>
        <v>3.072160000000002</v>
      </c>
      <c r="D48" s="663"/>
      <c r="E48" s="672">
        <f>MIN(E12:E42)</f>
        <v>-75.781000000000006</v>
      </c>
      <c r="F48" s="672">
        <f>MIN(F12:F42)</f>
        <v>-111.059</v>
      </c>
      <c r="G48" s="672">
        <f>MIN(G12:G42)</f>
        <v>-118.062</v>
      </c>
      <c r="H48" s="672"/>
      <c r="I48" s="672">
        <f>MIN(I12:I42)</f>
        <v>-110.17100000000001</v>
      </c>
      <c r="J48" s="672">
        <f>MIN(J12:J42)</f>
        <v>-117.25</v>
      </c>
      <c r="K48" s="672">
        <f>MIN(K12:K42)</f>
        <v>-111.62622</v>
      </c>
      <c r="L48" s="672">
        <f>MIN(L12:L42)</f>
        <v>-131.72726</v>
      </c>
      <c r="M48" s="672">
        <f>MIN(M12:M42)</f>
        <v>-162.44784999999999</v>
      </c>
      <c r="N48" s="1033"/>
      <c r="O48" s="947">
        <f>MIN(O12:O42)</f>
        <v>-44.987144104803498</v>
      </c>
      <c r="P48" s="947">
        <f>MIN(P12:P42)</f>
        <v>-72.758005887243172</v>
      </c>
      <c r="Q48" s="947">
        <f>MIN(Q12:Q42)</f>
        <v>0</v>
      </c>
      <c r="R48" s="1033"/>
      <c r="S48" s="947">
        <f>MIN(S12:S42)</f>
        <v>-72.758005887243172</v>
      </c>
      <c r="T48" s="947">
        <f>MIN(T12:T42)</f>
        <v>-141.40574238408686</v>
      </c>
      <c r="U48" s="947">
        <f>MIN(U12:U42)</f>
        <v>0</v>
      </c>
      <c r="V48" s="947">
        <f>MIN(V12:V42)</f>
        <v>0</v>
      </c>
      <c r="W48" s="1034">
        <f>MIN(W12:W42)</f>
        <v>33.281533722988868</v>
      </c>
      <c r="X48" s="548"/>
      <c r="Y48" s="548"/>
    </row>
    <row r="49" spans="2:2" ht="14.85" customHeight="1"/>
    <row r="50" spans="2:2" ht="14.85" customHeight="1">
      <c r="B50" s="272" t="s">
        <v>116</v>
      </c>
    </row>
    <row r="51" spans="2:2" ht="14.85" customHeight="1">
      <c r="B51" s="272"/>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2:C41">
    <cfRule type="cellIs" dxfId="19" priority="15" operator="equal">
      <formula>"(Invalid Identifier)"</formula>
    </cfRule>
  </conditionalFormatting>
  <conditionalFormatting sqref="C4:I4">
    <cfRule type="cellIs" dxfId="18" priority="14" stopIfTrue="1" operator="equal">
      <formula>"input"</formula>
    </cfRule>
  </conditionalFormatting>
  <conditionalFormatting sqref="J4">
    <cfRule type="cellIs" dxfId="17" priority="12" stopIfTrue="1" operator="equal">
      <formula>"input"</formula>
    </cfRule>
  </conditionalFormatting>
  <conditionalFormatting sqref="J4">
    <cfRule type="cellIs" dxfId="16" priority="13" stopIfTrue="1" operator="equal">
      <formula>"input"</formula>
    </cfRule>
  </conditionalFormatting>
  <conditionalFormatting sqref="K4:M4">
    <cfRule type="cellIs" dxfId="15" priority="10" stopIfTrue="1" operator="equal">
      <formula>"input"</formula>
    </cfRule>
  </conditionalFormatting>
  <conditionalFormatting sqref="K4:M4">
    <cfRule type="cellIs" dxfId="14" priority="11" stopIfTrue="1" operator="equal">
      <formula>"input"</formula>
    </cfRule>
  </conditionalFormatting>
  <conditionalFormatting sqref="N4">
    <cfRule type="cellIs" dxfId="13" priority="8" stopIfTrue="1" operator="equal">
      <formula>"input"</formula>
    </cfRule>
  </conditionalFormatting>
  <conditionalFormatting sqref="N4">
    <cfRule type="cellIs" dxfId="12" priority="9" stopIfTrue="1" operator="equal">
      <formula>"input"</formula>
    </cfRule>
  </conditionalFormatting>
  <conditionalFormatting sqref="O4:V4">
    <cfRule type="cellIs" dxfId="11" priority="6" stopIfTrue="1" operator="equal">
      <formula>"input"</formula>
    </cfRule>
  </conditionalFormatting>
  <conditionalFormatting sqref="O4:V4">
    <cfRule type="cellIs" dxfId="10" priority="7" stopIfTrue="1" operator="equal">
      <formula>"input"</formula>
    </cfRule>
  </conditionalFormatting>
  <conditionalFormatting sqref="W4">
    <cfRule type="cellIs" dxfId="9" priority="2" stopIfTrue="1" operator="equal">
      <formula>"input"</formula>
    </cfRule>
  </conditionalFormatting>
  <conditionalFormatting sqref="W4">
    <cfRule type="cellIs" dxfId="8" priority="3" stopIfTrue="1" operator="equal">
      <formula>"input"</formula>
    </cfRule>
  </conditionalFormatting>
  <conditionalFormatting sqref="B4">
    <cfRule type="cellIs" dxfId="7" priority="1" stopIfTrue="1" operator="equal">
      <formula>"input"</formula>
    </cfRule>
  </conditionalFormatting>
  <pageMargins left="0.5" right="0.5" top="0.5" bottom="0.5" header="0.5" footer="0.5"/>
  <pageSetup scale="84" fitToWidth="0" fitToHeight="0" orientation="landscape" r:id="rId1"/>
  <legacyDrawingHF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29"/>
  <dimension ref="B1:AC764"/>
  <sheetViews>
    <sheetView showGridLines="0" view="pageBreakPreview" zoomScale="80" zoomScaleNormal="100" zoomScaleSheetLayoutView="80" workbookViewId="0">
      <selection activeCell="B18" sqref="A18:XFD41"/>
    </sheetView>
  </sheetViews>
  <sheetFormatPr defaultRowHeight="12.75" outlineLevelRow="1"/>
  <cols>
    <col min="1" max="1" width="4.5" style="179" customWidth="1"/>
    <col min="2" max="2" width="72.6640625" style="179" bestFit="1" customWidth="1"/>
    <col min="3" max="3" width="2.83203125" style="179" customWidth="1"/>
    <col min="4" max="7" width="15.83203125" style="179" customWidth="1"/>
    <col min="8" max="8" width="2.83203125" style="179" customWidth="1"/>
    <col min="9" max="11" width="15.83203125" style="179" customWidth="1"/>
    <col min="12" max="12" width="2.83203125" style="179" customWidth="1"/>
    <col min="13" max="15" width="11.83203125" style="179" customWidth="1"/>
    <col min="16" max="16" width="2.83203125" style="179" customWidth="1"/>
    <col min="17" max="19" width="11.83203125" style="179" customWidth="1"/>
    <col min="20" max="20" width="2.83203125" style="179" customWidth="1"/>
    <col min="21" max="23" width="11.83203125" style="179" customWidth="1"/>
    <col min="24" max="24" width="4.5" style="179" customWidth="1"/>
    <col min="25" max="25" width="2.83203125" style="179" customWidth="1"/>
    <col min="26" max="26" width="15.33203125" style="179" bestFit="1" customWidth="1"/>
    <col min="27" max="27" width="14.33203125" style="179" bestFit="1" customWidth="1"/>
    <col min="28" max="28" width="15.33203125" style="179" bestFit="1" customWidth="1"/>
    <col min="29" max="29" width="9.5" style="179" bestFit="1" customWidth="1"/>
    <col min="30" max="33" width="9.33203125" style="179"/>
    <col min="34" max="34" width="8.83203125" style="179" customWidth="1"/>
    <col min="35" max="16384" width="9.33203125" style="179"/>
  </cols>
  <sheetData>
    <row r="1" spans="2:29" ht="10.7" customHeight="1" thickBot="1"/>
    <row r="2" spans="2:29" ht="16.5" customHeight="1" thickTop="1">
      <c r="B2" s="187" t="str">
        <f>'MASTER PubCo Inputs'!$C$5</f>
        <v>Decibel Therapeutics, Inc.</v>
      </c>
      <c r="C2" s="187"/>
      <c r="D2" s="187"/>
      <c r="E2" s="187"/>
      <c r="F2" s="187"/>
      <c r="G2" s="187"/>
      <c r="H2" s="187"/>
      <c r="I2" s="187"/>
      <c r="J2" s="187"/>
      <c r="K2" s="187"/>
      <c r="L2" s="187"/>
      <c r="M2" s="187"/>
      <c r="N2" s="187"/>
      <c r="O2" s="187"/>
      <c r="P2" s="187"/>
      <c r="Q2" s="187"/>
      <c r="R2" s="187"/>
      <c r="S2" s="187"/>
      <c r="T2" s="187"/>
      <c r="U2" s="187"/>
      <c r="V2" s="187"/>
      <c r="W2" s="187"/>
      <c r="Z2" s="909" t="s">
        <v>87</v>
      </c>
      <c r="AA2" s="910">
        <f>+'Comp.1'!$AL$2</f>
        <v>43245</v>
      </c>
    </row>
    <row r="3" spans="2:29" ht="15.75" customHeight="1">
      <c r="B3" s="188" t="e">
        <f>VLOOKUP(B4,Outline!$E$8:$G$75,COLUMNS(Outline!$E$8:$G$8),FALSE)</f>
        <v>#N/A</v>
      </c>
      <c r="C3" s="188"/>
      <c r="D3" s="188"/>
      <c r="E3" s="188"/>
      <c r="F3" s="188"/>
      <c r="G3" s="188"/>
      <c r="H3" s="188"/>
      <c r="I3" s="188"/>
      <c r="J3" s="188"/>
      <c r="K3" s="188"/>
      <c r="L3" s="188"/>
      <c r="M3" s="188"/>
      <c r="N3" s="188"/>
      <c r="O3" s="188"/>
      <c r="P3" s="188"/>
      <c r="Q3" s="188"/>
      <c r="R3" s="188"/>
      <c r="S3" s="188"/>
      <c r="T3" s="188"/>
      <c r="U3" s="188"/>
      <c r="V3" s="188"/>
      <c r="W3" s="188"/>
      <c r="Z3" s="911" t="s">
        <v>462</v>
      </c>
      <c r="AA3" s="912" t="str">
        <f>+'Comp.1'!$AL$3</f>
        <v>F</v>
      </c>
    </row>
    <row r="4" spans="2:29" ht="16.5" customHeight="1" thickBot="1">
      <c r="B4" s="726" t="s">
        <v>741</v>
      </c>
      <c r="C4" s="726"/>
      <c r="D4" s="726"/>
      <c r="E4" s="726"/>
      <c r="F4" s="726"/>
      <c r="G4" s="726"/>
      <c r="H4" s="726"/>
      <c r="I4" s="726"/>
      <c r="J4" s="727"/>
      <c r="K4" s="727" t="str">
        <f>+'MASTER PubCo Inputs'!$C$24</f>
        <v>(in millions of USD)</v>
      </c>
      <c r="L4" s="726"/>
      <c r="M4" s="727"/>
      <c r="N4" s="727"/>
      <c r="O4" s="727"/>
      <c r="P4" s="727"/>
      <c r="Q4" s="727"/>
      <c r="R4" s="727"/>
      <c r="S4" s="727"/>
      <c r="T4" s="727"/>
      <c r="U4" s="727"/>
      <c r="V4" s="727"/>
      <c r="W4" s="727" t="str">
        <f>+'MASTER PubCo Inputs'!$C$24</f>
        <v>(in millions of USD)</v>
      </c>
      <c r="Z4" s="911" t="s">
        <v>463</v>
      </c>
      <c r="AA4" s="912" t="str">
        <f>+'Comp.1'!$AL$4</f>
        <v>USD</v>
      </c>
    </row>
    <row r="5" spans="2:29" ht="14.85" customHeight="1" thickTop="1">
      <c r="Z5" s="378" t="s">
        <v>89</v>
      </c>
      <c r="AA5" s="913" t="str">
        <f>+'Comp.1'!$AL$5</f>
        <v>H</v>
      </c>
    </row>
    <row r="6" spans="2:29" ht="14.85" customHeight="1">
      <c r="D6" s="611" t="s">
        <v>330</v>
      </c>
      <c r="E6" s="1039"/>
      <c r="F6" s="1039"/>
      <c r="G6" s="1040"/>
    </row>
    <row r="7" spans="2:29" ht="14.85" customHeight="1">
      <c r="D7" s="608" t="s">
        <v>347</v>
      </c>
      <c r="E7" s="609"/>
      <c r="F7" s="610"/>
      <c r="G7" s="977"/>
      <c r="I7" s="608" t="s">
        <v>699</v>
      </c>
      <c r="J7" s="609"/>
      <c r="K7" s="610"/>
      <c r="M7" s="2091" t="s">
        <v>852</v>
      </c>
      <c r="N7" s="2092"/>
      <c r="O7" s="2093"/>
      <c r="Q7" s="608" t="s">
        <v>218</v>
      </c>
      <c r="R7" s="609"/>
      <c r="S7" s="610"/>
      <c r="U7" s="608" t="s">
        <v>354</v>
      </c>
      <c r="V7" s="609"/>
      <c r="W7" s="610"/>
      <c r="Z7" s="1005" t="s">
        <v>958</v>
      </c>
      <c r="AA7" s="1041">
        <v>1</v>
      </c>
      <c r="AB7" s="1005" t="s">
        <v>959</v>
      </c>
      <c r="AC7" s="1041">
        <v>-1</v>
      </c>
    </row>
    <row r="8" spans="2:29" s="200" customFormat="1" ht="14.85" customHeight="1">
      <c r="B8" s="1042" t="s">
        <v>733</v>
      </c>
      <c r="D8" s="1013" t="s">
        <v>345</v>
      </c>
      <c r="E8" s="1014" t="s">
        <v>175</v>
      </c>
      <c r="F8" s="1014" t="s">
        <v>176</v>
      </c>
      <c r="G8" s="1043" t="s">
        <v>346</v>
      </c>
      <c r="H8" s="265"/>
      <c r="I8" s="1013" t="s">
        <v>353</v>
      </c>
      <c r="J8" s="1014" t="s">
        <v>329</v>
      </c>
      <c r="K8" s="1043" t="s">
        <v>330</v>
      </c>
      <c r="L8" s="265"/>
      <c r="M8" s="1013" t="s">
        <v>353</v>
      </c>
      <c r="N8" s="1014" t="s">
        <v>329</v>
      </c>
      <c r="O8" s="1038" t="s">
        <v>330</v>
      </c>
      <c r="P8" s="265"/>
      <c r="Q8" s="921" t="s">
        <v>353</v>
      </c>
      <c r="R8" s="922" t="s">
        <v>329</v>
      </c>
      <c r="S8" s="924" t="s">
        <v>330</v>
      </c>
      <c r="T8" s="265"/>
      <c r="U8" s="921" t="s">
        <v>353</v>
      </c>
      <c r="V8" s="922" t="s">
        <v>329</v>
      </c>
      <c r="W8" s="924" t="s">
        <v>330</v>
      </c>
      <c r="X8" s="179"/>
      <c r="Z8" s="562" t="s">
        <v>108</v>
      </c>
    </row>
    <row r="9" spans="2:29" ht="14.85" customHeight="1"/>
    <row r="10" spans="2:29" ht="14.85" customHeight="1">
      <c r="B10" s="179" t="str">
        <f>'Comp.1'!B12</f>
        <v>Editas Medicine, Inc.</v>
      </c>
      <c r="D10" s="384" t="str">
        <f>'Capital IQ Sheet-GPC'!AF13</f>
        <v>n/a</v>
      </c>
      <c r="E10" s="384" t="str">
        <f>'Capital IQ Sheet-GPC'!AG13</f>
        <v>n/a</v>
      </c>
      <c r="F10" s="384" t="str">
        <f>'Capital IQ Sheet-GPC'!AH13</f>
        <v>n/a</v>
      </c>
      <c r="G10" s="384" t="str">
        <f>'Capital IQ Sheet-GPC'!AI13</f>
        <v>n/a</v>
      </c>
      <c r="I10" s="576">
        <f>'Capital IQ Sheet-GPC'!AJ13</f>
        <v>-7.24</v>
      </c>
      <c r="J10" s="576">
        <f>'Capital IQ Sheet-GPC'!AK13</f>
        <v>-33.052999999999997</v>
      </c>
      <c r="K10" s="576">
        <f>'Capital IQ Sheet-GPC'!AL13</f>
        <v>-27.003</v>
      </c>
      <c r="M10" s="384" t="str">
        <f>IFERROR(IF(I10/'Comp.1'!H12&gt;$AA$7,"NM",IF((I10/'Comp.1'!H12)&lt;$AC$7,"NM",I10/'Comp.1'!H12)),"n/a")</f>
        <v>NM</v>
      </c>
      <c r="N10" s="384" t="str">
        <f>IFERROR(IF(J10/'Comp.1'!I12&gt;$AA$7,"NM",IF((J10/'Comp.1'!I12)&lt;$AC$7,"NM",J10/'Comp.1'!I12)),"n/a")</f>
        <v>NM</v>
      </c>
      <c r="O10" s="384" t="str">
        <f>IFERROR(IF(K10/'Comp.1'!J12&gt;$AA$7,"NM",IF((K10/'Comp.1'!J12)&lt;$AC$7,"NM",K10/'Comp.1'!J12)),"n/a")</f>
        <v>NM</v>
      </c>
      <c r="P10" s="255"/>
      <c r="Q10" s="576">
        <f>'Capital IQ Sheet-GPC'!AM13</f>
        <v>-2.069</v>
      </c>
      <c r="R10" s="576">
        <f>'Capital IQ Sheet-GPC'!AN13</f>
        <v>-3.206</v>
      </c>
      <c r="S10" s="576">
        <f>'Capital IQ Sheet-GPC'!AO13</f>
        <v>-2.4140000000000001</v>
      </c>
      <c r="U10" s="384">
        <f>IFERROR(IF(Q10/'Comp.1'!H12&gt;$AA$7,"NM",IF((Q10/'Comp.1'!H12)&lt;$AC$7,"NM",Q10/'Comp.1'!H12)),"n/a")</f>
        <v>-0.85004108463434669</v>
      </c>
      <c r="V10" s="384">
        <f>IFERROR(IF(R10/'Comp.1'!I12&gt;$AA$7,"NM",IF((R10/'Comp.1'!I12)&lt;$AC$7,"NM",R10/'Comp.1'!I12)),"n/a")</f>
        <v>-0.54064080944350756</v>
      </c>
      <c r="W10" s="384">
        <f>IFERROR(IF(S10/'Comp.1'!J12&gt;$AA$7,"NM",IF((S10/'Comp.1'!J12)&lt;$AC$7,"NM",S10/'Comp.1'!J12)),"n/a")</f>
        <v>-0.14222588817533732</v>
      </c>
      <c r="Z10" s="932" t="str">
        <f>IF('MASTER PubCo Inputs'!B28="","",'MASTER PubCo Inputs'!B28)</f>
        <v>NasdaqGS:EDIT</v>
      </c>
      <c r="AA10" s="179" t="str">
        <f>'Comp.2'!AI12</f>
        <v>Editas Medicine, Inc. operates as a genome editing company. It focuses on treating patients with genetically defined diseases by correcting their disease causing genes. The company develops a proprietary genome editing platform based on CRISPR technology to target genetically defined diseases with an initial focus on debilitating illnesses where there are no approved treatments. It develops EDIT-101 for Leber Congenital Amaurosis type 10, a genetic form of vision loss that leads to blindness in childhood. The company also develops other therapies for eye diseases, such as Herpes Simplex Virus 1 that causes lifelong infections primarily leading to ocular and oral disease; and Usher Syndrome 2A, which is a form of retinitis pigmentosa that also includes hearing loss. In addition, it develops hematopoietic stem cells for treating sickle cell disease and beta thalassemia. Editas Medicine, Inc. has a collaboration and license agreement with Juno Therapeutics, Inc. for the research and development of engineered T cells with chimeric antigen receptors and T cell receptors; and strategic alliance and option agreement with Allergan Pharmaceuticals International Limited for the research and development of medicines for ocular diseases. The company was formerly known as Gengine, Inc. and changed its name to Editas Medicine Inc. in November 2013. Editas Medicine, Inc. was founded in 2013 and is based in Cambridge, Massachusetts.</v>
      </c>
    </row>
    <row r="11" spans="2:29" ht="14.85" customHeight="1">
      <c r="B11" s="179" t="str">
        <f>'Comp.1'!B13</f>
        <v>Oxford BioMedica plc</v>
      </c>
      <c r="D11" s="384">
        <f>'Capital IQ Sheet-GPC'!AF14</f>
        <v>0.50939000000000001</v>
      </c>
      <c r="E11" s="384">
        <f>'Capital IQ Sheet-GPC'!AG14</f>
        <v>-9.5503999999999992E-2</v>
      </c>
      <c r="F11" s="384">
        <f>'Capital IQ Sheet-GPC'!AH14</f>
        <v>-0.211891</v>
      </c>
      <c r="G11" s="384">
        <f>'Capital IQ Sheet-GPC'!AI14</f>
        <v>-0.23987700000000001</v>
      </c>
      <c r="I11" s="576">
        <f>'Capital IQ Sheet-GPC'!AJ14</f>
        <v>4.7013699999999998</v>
      </c>
      <c r="J11" s="576">
        <f>'Capital IQ Sheet-GPC'!AK14</f>
        <v>3.4447899999999998</v>
      </c>
      <c r="K11" s="576">
        <f>'Capital IQ Sheet-GPC'!AL14</f>
        <v>1.20295</v>
      </c>
      <c r="M11" s="384">
        <f>IFERROR(IF(I11/'Comp.1'!H13&gt;$AA$7,"NM",IF((I11/'Comp.1'!H13)&lt;$AC$7,"NM",I11/'Comp.1'!H13)),"n/a")</f>
        <v>0.20038966563432126</v>
      </c>
      <c r="N11" s="384">
        <f>IFERROR(IF(J11/'Comp.1'!I13&gt;$AA$7,"NM",IF((J11/'Comp.1'!I13)&lt;$AC$7,"NM",J11/'Comp.1'!I13)),"n/a")</f>
        <v>0.10044656981024792</v>
      </c>
      <c r="O11" s="384">
        <f>IFERROR(IF(K11/'Comp.1'!J13&gt;$AA$7,"NM",IF((K11/'Comp.1'!J13)&lt;$AC$7,"NM",K11/'Comp.1'!J13)),"n/a")</f>
        <v>2.3676575945331013E-2</v>
      </c>
      <c r="P11" s="255"/>
      <c r="Q11" s="576">
        <f>'Capital IQ Sheet-GPC'!AM14</f>
        <v>-24.651230000000002</v>
      </c>
      <c r="R11" s="576">
        <f>'Capital IQ Sheet-GPC'!AN14</f>
        <v>-7.97363</v>
      </c>
      <c r="S11" s="576">
        <f>'Capital IQ Sheet-GPC'!AO14</f>
        <v>-2.6613500000000001</v>
      </c>
      <c r="U11" s="384" t="str">
        <f>IFERROR(IF(Q11/'Comp.1'!H13&gt;$AA$7,"NM",IF((Q11/'Comp.1'!H13)&lt;$AC$7,"NM",Q11/'Comp.1'!H13)),"n/a")</f>
        <v>NM</v>
      </c>
      <c r="V11" s="384">
        <f>IFERROR(IF(R11/'Comp.1'!I13&gt;$AA$7,"NM",IF((R11/'Comp.1'!I13)&lt;$AC$7,"NM",R11/'Comp.1'!I13)),"n/a")</f>
        <v>-0.23250293412256978</v>
      </c>
      <c r="W11" s="384">
        <f>IFERROR(IF(S11/'Comp.1'!J13&gt;$AA$7,"NM",IF((S11/'Comp.1'!J13)&lt;$AC$7,"NM",S11/'Comp.1'!J13)),"n/a")</f>
        <v>-5.2380943008526283E-2</v>
      </c>
      <c r="Z11" s="932" t="str">
        <f>IF('MASTER PubCo Inputs'!B29="","",'MASTER PubCo Inputs'!B29)</f>
        <v>LSE:OXB</v>
      </c>
      <c r="AA11" s="179" t="str">
        <f>'Comp.2'!AI13</f>
        <v>Oxford BioMedica plc, a biopharmaceutical company, engages in the research, development, and bioprocessing of lentiviral vector and cell therapy products for the treatment of various cancers, Parkinson’s, central nervous system disorders, and ocular conditions in Europe and internationally. The company operates through Platform and Product segments. Its LentiVector platform technology integrates genes into non-dividing cells in the brain and retinal cells in the eye, as well as accommodates multiple therapeutic genes. The company’s products under development include OXB-102 that is in Phase I/IIa study preparation for the treatment of Parkinson's disease; OXB-202, which is in a Phase I/IIa trial preparation for the prevention of corneal graft rejection; and OXB-302, a gene-based cancer immunotherapy product that has completed pre-clinical development for use in the treatment of a range of cancers, as well as OXB-201 that has completed Phase I trial for the treatment of wet age-related macular degeneration and diabetic retinopathy. It is also developing gene-based therapies, such as SAR 422459 that is in a Phase II trial for the treatment of Stargardt disease; and SAR 421869, which is in Phase I/II trial for the treatment of Usher syndrome 1B. The company has partnerships with Novartis, Sanofi, GlaxoSmithKline, Bioverativ, Orchard Therapeutics, GC LabCell, the UK Cystic Fibrosis Gene Therapy Consortium, Imperial Innovations, and Immune Design. Oxford BioMedica plc was founded in 1995 and is headquartered in Oxford, the United Kingdom.</v>
      </c>
    </row>
    <row r="12" spans="2:29" ht="14.85" customHeight="1">
      <c r="B12" s="179" t="str">
        <f>'Comp.1'!B14</f>
        <v>Fennec Pharmaceuticals Inc.</v>
      </c>
      <c r="D12" s="384" t="str">
        <f>'Capital IQ Sheet-GPC'!AF15</f>
        <v>n/a</v>
      </c>
      <c r="E12" s="384" t="str">
        <f>'Capital IQ Sheet-GPC'!AG15</f>
        <v>n/a</v>
      </c>
      <c r="F12" s="384" t="str">
        <f>'Capital IQ Sheet-GPC'!AH15</f>
        <v>n/a</v>
      </c>
      <c r="G12" s="384" t="str">
        <f>'Capital IQ Sheet-GPC'!AI15</f>
        <v>n/a</v>
      </c>
      <c r="I12" s="576">
        <f>'Capital IQ Sheet-GPC'!AJ15</f>
        <v>-0.30199999999999999</v>
      </c>
      <c r="J12" s="576">
        <f>'Capital IQ Sheet-GPC'!AK15</f>
        <v>-0.39</v>
      </c>
      <c r="K12" s="576">
        <f>'Capital IQ Sheet-GPC'!AL15</f>
        <v>-1.056</v>
      </c>
      <c r="M12" s="384" t="str">
        <f>IFERROR(IF(I12/'Comp.1'!H14&gt;$AA$7,"NM",IF((I12/'Comp.1'!H14)&lt;$AC$7,"NM",I12/'Comp.1'!H14)),"n/a")</f>
        <v>n/a</v>
      </c>
      <c r="N12" s="384" t="str">
        <f>IFERROR(IF(J12/'Comp.1'!I14&gt;$AA$7,"NM",IF((J12/'Comp.1'!I14)&lt;$AC$7,"NM",J12/'Comp.1'!I14)),"n/a")</f>
        <v>n/a</v>
      </c>
      <c r="O12" s="384" t="str">
        <f>IFERROR(IF(K12/'Comp.1'!J14&gt;$AA$7,"NM",IF((K12/'Comp.1'!J14)&lt;$AC$7,"NM",K12/'Comp.1'!J14)),"n/a")</f>
        <v>n/a</v>
      </c>
      <c r="P12" s="255"/>
      <c r="Q12" s="576" t="str">
        <f>'Capital IQ Sheet-GPC'!AM15</f>
        <v>n/a</v>
      </c>
      <c r="R12" s="576" t="str">
        <f>'Capital IQ Sheet-GPC'!AN15</f>
        <v>n/a</v>
      </c>
      <c r="S12" s="576" t="str">
        <f>'Capital IQ Sheet-GPC'!AO15</f>
        <v>n/a</v>
      </c>
      <c r="U12" s="384" t="str">
        <f>IFERROR(IF(Q12/'Comp.1'!H14&gt;$AA$7,"NM",IF((Q12/'Comp.1'!H14)&lt;$AC$7,"NM",Q12/'Comp.1'!H14)),"n/a")</f>
        <v>n/a</v>
      </c>
      <c r="V12" s="384" t="str">
        <f>IFERROR(IF(R12/'Comp.1'!I14&gt;$AA$7,"NM",IF((R12/'Comp.1'!I14)&lt;$AC$7,"NM",R12/'Comp.1'!I14)),"n/a")</f>
        <v>n/a</v>
      </c>
      <c r="W12" s="384" t="str">
        <f>IFERROR(IF(S12/'Comp.1'!J14&gt;$AA$7,"NM",IF((S12/'Comp.1'!J14)&lt;$AC$7,"NM",S12/'Comp.1'!J14)),"n/a")</f>
        <v>n/a</v>
      </c>
      <c r="Z12" s="932" t="str">
        <f>IF('MASTER PubCo Inputs'!B30="","",'MASTER PubCo Inputs'!B30)</f>
        <v>NasdaqCM:FENC</v>
      </c>
      <c r="AA12" s="179" t="str">
        <f>'Comp.2'!AI14</f>
        <v>Fennec Pharmaceuticals Inc., a biopharmaceutical company, develops product candidates for use in the treatment of cancer in the United States. Its lead product candidate is the Sodium Thiosulfate, which has completed the Phase III clinical trial for the prevention of cisplatin induced hearing loss or ototoxicity in children. The company was formerly known as Adherex Technologies Inc. and changed its name to Fennec Pharmaceuticals Inc. in September 2014. Fennec Pharmaceuticals Inc. was founded in 1996 and is based in Research Triangle Park, North Carolina.</v>
      </c>
    </row>
    <row r="13" spans="2:29" ht="14.85" customHeight="1">
      <c r="B13" s="179" t="str">
        <f>'Comp.1'!B15</f>
        <v>ProQR Therapeutics N.V.</v>
      </c>
      <c r="D13" s="384">
        <f>'Capital IQ Sheet-GPC'!AF16</f>
        <v>1</v>
      </c>
      <c r="E13" s="384" t="str">
        <f>'Capital IQ Sheet-GPC'!AG16</f>
        <v>n/a</v>
      </c>
      <c r="F13" s="384" t="str">
        <f>'Capital IQ Sheet-GPC'!AH16</f>
        <v>n/a</v>
      </c>
      <c r="G13" s="384" t="str">
        <f>'Capital IQ Sheet-GPC'!AI16</f>
        <v>n/a</v>
      </c>
      <c r="I13" s="576">
        <f>'Capital IQ Sheet-GPC'!AJ16</f>
        <v>-2.7879499999999999</v>
      </c>
      <c r="J13" s="576">
        <f>'Capital IQ Sheet-GPC'!AK16</f>
        <v>-4.1116900000000003</v>
      </c>
      <c r="K13" s="576">
        <f>'Capital IQ Sheet-GPC'!AL16</f>
        <v>-4.8919300000000003</v>
      </c>
      <c r="M13" s="384">
        <f>IFERROR(IF(I13/'Comp.1'!H15&gt;$AA$7,"NM",IF((I13/'Comp.1'!H15)&lt;$AC$7,"NM",I13/'Comp.1'!H15)),"n/a")</f>
        <v>-0.80520737060998149</v>
      </c>
      <c r="N13" s="384" t="str">
        <f>IFERROR(IF(J13/'Comp.1'!I15&gt;$AA$7,"NM",IF((J13/'Comp.1'!I15)&lt;$AC$7,"NM",J13/'Comp.1'!I15)),"n/a")</f>
        <v>NM</v>
      </c>
      <c r="O13" s="384" t="str">
        <f>IFERROR(IF(K13/'Comp.1'!J15&gt;$AA$7,"NM",IF((K13/'Comp.1'!J15)&lt;$AC$7,"NM",K13/'Comp.1'!J15)),"n/a")</f>
        <v>NM</v>
      </c>
      <c r="P13" s="255"/>
      <c r="Q13" s="576">
        <f>'Capital IQ Sheet-GPC'!AM16</f>
        <v>-1.4075500000000001</v>
      </c>
      <c r="R13" s="576">
        <f>'Capital IQ Sheet-GPC'!AN16</f>
        <v>-2.68025</v>
      </c>
      <c r="S13" s="576">
        <f>'Capital IQ Sheet-GPC'!AO16</f>
        <v>-0.14529</v>
      </c>
      <c r="U13" s="384">
        <f>IFERROR(IF(Q13/'Comp.1'!H15&gt;$AA$7,"NM",IF((Q13/'Comp.1'!H15)&lt;$AC$7,"NM",Q13/'Comp.1'!H15)),"n/a")</f>
        <v>-0.40652437615526804</v>
      </c>
      <c r="V13" s="384" t="str">
        <f>IFERROR(IF(R13/'Comp.1'!I15&gt;$AA$7,"NM",IF((R13/'Comp.1'!I15)&lt;$AC$7,"NM",R13/'Comp.1'!I15)),"n/a")</f>
        <v>NM</v>
      </c>
      <c r="W13" s="384">
        <f>IFERROR(IF(S13/'Comp.1'!J15&gt;$AA$7,"NM",IF((S13/'Comp.1'!J15)&lt;$AC$7,"NM",S13/'Comp.1'!J15)),"n/a")</f>
        <v>-0.13907741200570514</v>
      </c>
      <c r="Z13" s="932" t="str">
        <f>IF('MASTER PubCo Inputs'!B31="","",'MASTER PubCo Inputs'!B31)</f>
        <v>NasdaqGM:PRQR</v>
      </c>
      <c r="AA13" s="179" t="str">
        <f>'Comp.2'!AI15</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14" spans="2:29" ht="14.85" customHeight="1">
      <c r="B14" s="179" t="str">
        <f>'Comp.1'!B16</f>
        <v>Genkyotex SA</v>
      </c>
      <c r="D14" s="384" t="str">
        <f>'Capital IQ Sheet-GPC'!AF17</f>
        <v>n/a</v>
      </c>
      <c r="E14" s="384" t="str">
        <f>'Capital IQ Sheet-GPC'!AG17</f>
        <v>n/a</v>
      </c>
      <c r="F14" s="384" t="str">
        <f>'Capital IQ Sheet-GPC'!AH17</f>
        <v>n/a</v>
      </c>
      <c r="G14" s="384" t="str">
        <f>'Capital IQ Sheet-GPC'!AI17</f>
        <v>n/a</v>
      </c>
      <c r="I14" s="576" t="str">
        <f>'Capital IQ Sheet-GPC'!AJ17</f>
        <v>n/a</v>
      </c>
      <c r="J14" s="576">
        <f>'Capital IQ Sheet-GPC'!AK17</f>
        <v>-1.0113000000000001</v>
      </c>
      <c r="K14" s="576">
        <f>'Capital IQ Sheet-GPC'!AL17</f>
        <v>3.6971699999999998</v>
      </c>
      <c r="M14" s="384" t="str">
        <f>IFERROR(IF(I14/'Comp.1'!H16&gt;$AA$7,"NM",IF((I14/'Comp.1'!H16)&lt;$AC$7,"NM",I14/'Comp.1'!H16)),"n/a")</f>
        <v>n/a</v>
      </c>
      <c r="N14" s="384" t="str">
        <f>IFERROR(IF(J14/'Comp.1'!I16&gt;$AA$7,"NM",IF((J14/'Comp.1'!I16)&lt;$AC$7,"NM",J14/'Comp.1'!I16)),"n/a")</f>
        <v>n/a</v>
      </c>
      <c r="O14" s="384" t="str">
        <f>IFERROR(IF(K14/'Comp.1'!J16&gt;$AA$7,"NM",IF((K14/'Comp.1'!J16)&lt;$AC$7,"NM",K14/'Comp.1'!J16)),"n/a")</f>
        <v>n/a</v>
      </c>
      <c r="P14" s="255"/>
      <c r="Q14" s="576" t="str">
        <f>'Capital IQ Sheet-GPC'!AM17</f>
        <v>n/a</v>
      </c>
      <c r="R14" s="576" t="str">
        <f>'Capital IQ Sheet-GPC'!AN17</f>
        <v>n/a</v>
      </c>
      <c r="S14" s="576">
        <f>'Capital IQ Sheet-GPC'!AO17</f>
        <v>-2.3999999999999998E-3</v>
      </c>
      <c r="U14" s="384" t="str">
        <f>IFERROR(IF(Q14/'Comp.1'!H16&gt;$AA$7,"NM",IF((Q14/'Comp.1'!H16)&lt;$AC$7,"NM",Q14/'Comp.1'!H16)),"n/a")</f>
        <v>n/a</v>
      </c>
      <c r="V14" s="384" t="str">
        <f>IFERROR(IF(R14/'Comp.1'!I16&gt;$AA$7,"NM",IF((R14/'Comp.1'!I16)&lt;$AC$7,"NM",R14/'Comp.1'!I16)),"n/a")</f>
        <v>n/a</v>
      </c>
      <c r="W14" s="384" t="str">
        <f>IFERROR(IF(S14/'Comp.1'!J16&gt;$AA$7,"NM",IF((S14/'Comp.1'!J16)&lt;$AC$7,"NM",S14/'Comp.1'!J16)),"n/a")</f>
        <v>n/a</v>
      </c>
      <c r="Z14" s="932" t="str">
        <f>IF('MASTER PubCo Inputs'!B32="","",'MASTER PubCo Inputs'!B32)</f>
        <v>ENXTPA:GKTX</v>
      </c>
      <c r="AA14" s="179" t="str">
        <f>'Comp.2'!AI16</f>
        <v>Genkyotex S.A., a biopharmaceutical company, develops oral small molecule NOX therapeutics. Its platform enables the identification of orally available small-molecules that selectively inhibit NOX enzymes amplifying various disease processes, such as fibrosis, inflammation, pain processing, cancer development, and neurodegeneration. The company’s lead product candidate is GKT831, a NOX1 and NOX4 inhibitor, which is evaluated in a Phase II clinical trial in primary biliary cholangitis a fibrotic orphan disease and in an investigator-initiated Phase II clinical trial in type 1 diabetes and kidney disease. Its preclinical stage product candidate is GKT771, a NOX1 inhibitor targeting various pathways in angiogenesis, pain processing, and inflammation. The company’s research programs include brain penetrant NOX inhibitors to address CNS disorders; NOX inhibitors to address hearing loss; and NOX inhibitors in oncology. Genkyotex S.A. has a partnership with Serum Institute of India Ltd for the development of prophylactic vaccines. The company was founded in 2006 and is based in Saint Julien En Genevois, France.</v>
      </c>
    </row>
    <row r="15" spans="2:29" ht="14.85" customHeight="1">
      <c r="B15" s="179" t="str">
        <f>'Comp.1'!B17</f>
        <v>Novus Therapeutics, Inc.</v>
      </c>
      <c r="D15" s="384" t="str">
        <f>'Capital IQ Sheet-GPC'!AF18</f>
        <v>n/a</v>
      </c>
      <c r="E15" s="384" t="str">
        <f>'Capital IQ Sheet-GPC'!AG18</f>
        <v>n/a</v>
      </c>
      <c r="F15" s="384" t="str">
        <f>'Capital IQ Sheet-GPC'!AH18</f>
        <v>n/a</v>
      </c>
      <c r="G15" s="384" t="str">
        <f>'Capital IQ Sheet-GPC'!AI18</f>
        <v>n/a</v>
      </c>
      <c r="I15" s="576">
        <f>'Capital IQ Sheet-GPC'!AJ18</f>
        <v>-8.7999999999999995E-2</v>
      </c>
      <c r="J15" s="576" t="str">
        <f>'Capital IQ Sheet-GPC'!AK18</f>
        <v>n/a</v>
      </c>
      <c r="K15" s="576">
        <f>'Capital IQ Sheet-GPC'!AL18</f>
        <v>-0.114</v>
      </c>
      <c r="M15" s="384" t="str">
        <f>IFERROR(IF(I15/'Comp.1'!H17&gt;$AA$7,"NM",IF((I15/'Comp.1'!H17)&lt;$AC$7,"NM",I15/'Comp.1'!H17)),"n/a")</f>
        <v>n/a</v>
      </c>
      <c r="N15" s="384" t="str">
        <f>IFERROR(IF(J15/'Comp.1'!I17&gt;$AA$7,"NM",IF((J15/'Comp.1'!I17)&lt;$AC$7,"NM",J15/'Comp.1'!I17)),"n/a")</f>
        <v>n/a</v>
      </c>
      <c r="O15" s="384" t="str">
        <f>IFERROR(IF(K15/'Comp.1'!J17&gt;$AA$7,"NM",IF((K15/'Comp.1'!J17)&lt;$AC$7,"NM",K15/'Comp.1'!J17)),"n/a")</f>
        <v>n/a</v>
      </c>
      <c r="P15" s="255"/>
      <c r="Q15" s="576" t="str">
        <f>'Capital IQ Sheet-GPC'!AM18</f>
        <v>n/a</v>
      </c>
      <c r="R15" s="576">
        <f>'Capital IQ Sheet-GPC'!AN18</f>
        <v>-4.0000000000000001E-3</v>
      </c>
      <c r="S15" s="576" t="str">
        <f>'Capital IQ Sheet-GPC'!AO18</f>
        <v>n/a</v>
      </c>
      <c r="U15" s="384" t="str">
        <f>IFERROR(IF(Q15/'Comp.1'!H17&gt;$AA$7,"NM",IF((Q15/'Comp.1'!H17)&lt;$AC$7,"NM",Q15/'Comp.1'!H17)),"n/a")</f>
        <v>n/a</v>
      </c>
      <c r="V15" s="384" t="str">
        <f>IFERROR(IF(R15/'Comp.1'!I17&gt;$AA$7,"NM",IF((R15/'Comp.1'!I17)&lt;$AC$7,"NM",R15/'Comp.1'!I17)),"n/a")</f>
        <v>n/a</v>
      </c>
      <c r="W15" s="384" t="str">
        <f>IFERROR(IF(S15/'Comp.1'!J17&gt;$AA$7,"NM",IF((S15/'Comp.1'!J17)&lt;$AC$7,"NM",S15/'Comp.1'!J17)),"n/a")</f>
        <v>n/a</v>
      </c>
      <c r="Z15" s="932" t="str">
        <f>IF('MASTER PubCo Inputs'!B33="","",'MASTER PubCo Inputs'!B33)</f>
        <v>NasdaqCM:NVUS</v>
      </c>
      <c r="AA15" s="179" t="str">
        <f>'Comp.2'!AI17</f>
        <v>Novus Therapeutics, Inc., a pharmaceutical company, focuses on developing products for patients with disorders of ear, nose, and throat. Its lead product is (OP-02), a surfactant-based combination drug product for patients at risk for, or with, otitis media (OM) (middle ear inflammation with or without infection). The company also has a foam-based drug delivery technology (OP-01) that could be used to deliver drugs into the ear, nose, and sinus cavities. Novus Therapeutics, Inc. is headquartered in Irvine, California.</v>
      </c>
    </row>
    <row r="16" spans="2:29" ht="14.85" hidden="1" customHeight="1" outlineLevel="1">
      <c r="B16" s="179" t="str">
        <f>'Comp.1'!B18</f>
        <v>Sensorion SA</v>
      </c>
      <c r="D16" s="384" t="str">
        <f>'Capital IQ Sheet-GPC'!AF19</f>
        <v>n/a</v>
      </c>
      <c r="E16" s="384" t="str">
        <f>'Capital IQ Sheet-GPC'!AG19</f>
        <v>n/a</v>
      </c>
      <c r="F16" s="384" t="str">
        <f>'Capital IQ Sheet-GPC'!AH19</f>
        <v>n/a</v>
      </c>
      <c r="G16" s="384" t="str">
        <f>'Capital IQ Sheet-GPC'!AI19</f>
        <v>n/a</v>
      </c>
      <c r="I16" s="576">
        <f>'Capital IQ Sheet-GPC'!AJ19</f>
        <v>0.54310000000000003</v>
      </c>
      <c r="J16" s="576">
        <f>'Capital IQ Sheet-GPC'!AK19</f>
        <v>0.69857000000000002</v>
      </c>
      <c r="K16" s="576">
        <f>'Capital IQ Sheet-GPC'!AL19</f>
        <v>0.87277000000000005</v>
      </c>
      <c r="M16" s="384" t="str">
        <f>IFERROR(IF(I16/'Comp.1'!H18&gt;$AA$7,"NM",IF((I16/'Comp.1'!H18)&lt;$AC$7,"NM",I16/'Comp.1'!H18)),"n/a")</f>
        <v>NM</v>
      </c>
      <c r="N16" s="384" t="str">
        <f>IFERROR(IF(J16/'Comp.1'!I18&gt;$AA$7,"NM",IF((J16/'Comp.1'!I18)&lt;$AC$7,"NM",J16/'Comp.1'!I18)),"n/a")</f>
        <v>NM</v>
      </c>
      <c r="O16" s="384" t="str">
        <f>IFERROR(IF(K16/'Comp.1'!J18&gt;$AA$7,"NM",IF((K16/'Comp.1'!J18)&lt;$AC$7,"NM",K16/'Comp.1'!J18)),"n/a")</f>
        <v>NM</v>
      </c>
      <c r="P16" s="255"/>
      <c r="Q16" s="576">
        <f>'Capital IQ Sheet-GPC'!AM19</f>
        <v>-0.1724</v>
      </c>
      <c r="R16" s="576">
        <f>'Capital IQ Sheet-GPC'!AN19</f>
        <v>0</v>
      </c>
      <c r="S16" s="576">
        <f>'Capital IQ Sheet-GPC'!AO19</f>
        <v>0</v>
      </c>
      <c r="U16" s="384" t="str">
        <f>IFERROR(IF(Q16/'Comp.1'!H18&gt;$AA$7,"NM",IF((Q16/'Comp.1'!H18)&lt;$AC$7,"NM",Q16/'Comp.1'!H18)),"n/a")</f>
        <v>NM</v>
      </c>
      <c r="V16" s="384">
        <f>IFERROR(IF(R16/'Comp.1'!I18&gt;$AA$7,"NM",IF((R16/'Comp.1'!I18)&lt;$AC$7,"NM",R16/'Comp.1'!I18)),"n/a")</f>
        <v>0</v>
      </c>
      <c r="W16" s="384">
        <f>IFERROR(IF(S16/'Comp.1'!J18&gt;$AA$7,"NM",IF((S16/'Comp.1'!J18)&lt;$AC$7,"NM",S16/'Comp.1'!J18)),"n/a")</f>
        <v>0</v>
      </c>
      <c r="Z16" s="932" t="str">
        <f>IF('MASTER PubCo Inputs'!B34="","",'MASTER PubCo Inputs'!B34)</f>
        <v>ENXTPA:ALSEN</v>
      </c>
      <c r="AA16" s="179" t="str">
        <f>'Comp.2'!AI18</f>
        <v>Sensorion SA, a biopharmaceutical company, develops therapies for the treatment of inner ear disorders. The company develops SENS-111, which is in phase II clinical trials to treat acute unilateral vestibulopathy; and SENS-401 that is in phase I clinical trials to treat sudden sensorineural hearing loss. It also develops SENS-300, which is under the pre-clinical stage for use in inner ear toxicity treatment. The company has a strategic collaboration with Cochlear Limited to study combination therapies for cochlear implant patients. Sensorion SA was founded in 2009 and is headquartered in Montpellier, France.</v>
      </c>
    </row>
    <row r="17" spans="2:27" ht="14.85" hidden="1" customHeight="1" outlineLevel="1">
      <c r="B17" s="179" t="str">
        <f>'Comp.1'!B19</f>
        <v>Otonomy, Inc.</v>
      </c>
      <c r="D17" s="384">
        <f>'Capital IQ Sheet-GPC'!AF20</f>
        <v>-1.1263779999999999</v>
      </c>
      <c r="E17" s="384" t="str">
        <f>'Capital IQ Sheet-GPC'!AG20</f>
        <v>n/a</v>
      </c>
      <c r="F17" s="384" t="str">
        <f>'Capital IQ Sheet-GPC'!AH20</f>
        <v>n/a</v>
      </c>
      <c r="G17" s="384" t="str">
        <f>'Capital IQ Sheet-GPC'!AI20</f>
        <v>n/a</v>
      </c>
      <c r="I17" s="576">
        <f>'Capital IQ Sheet-GPC'!AJ20</f>
        <v>-5.2510000000000003</v>
      </c>
      <c r="J17" s="576">
        <f>'Capital IQ Sheet-GPC'!AK20</f>
        <v>-3.923</v>
      </c>
      <c r="K17" s="576">
        <f>'Capital IQ Sheet-GPC'!AL20</f>
        <v>-4.4560000000000004</v>
      </c>
      <c r="M17" s="384" t="str">
        <f>IFERROR(IF(I17/'Comp.1'!H19&gt;$AA$7,"NM",IF((I17/'Comp.1'!H19)&lt;$AC$7,"NM",I17/'Comp.1'!H19)),"n/a")</f>
        <v>NM</v>
      </c>
      <c r="N17" s="384" t="str">
        <f>IFERROR(IF(J17/'Comp.1'!I19&gt;$AA$7,"NM",IF((J17/'Comp.1'!I19)&lt;$AC$7,"NM",J17/'Comp.1'!I19)),"n/a")</f>
        <v>NM</v>
      </c>
      <c r="O17" s="384" t="str">
        <f>IFERROR(IF(K17/'Comp.1'!J19&gt;$AA$7,"NM",IF((K17/'Comp.1'!J19)&lt;$AC$7,"NM",K17/'Comp.1'!J19)),"n/a")</f>
        <v>NM</v>
      </c>
      <c r="P17" s="255"/>
      <c r="Q17" s="576">
        <f>'Capital IQ Sheet-GPC'!AM20</f>
        <v>-1.921</v>
      </c>
      <c r="R17" s="576">
        <f>'Capital IQ Sheet-GPC'!AN20</f>
        <v>-2.8780000000000001</v>
      </c>
      <c r="S17" s="576">
        <f>'Capital IQ Sheet-GPC'!AO20</f>
        <v>-0.97299999999999998</v>
      </c>
      <c r="U17" s="384" t="str">
        <f>IFERROR(IF(Q17/'Comp.1'!H19&gt;$AA$7,"NM",IF((Q17/'Comp.1'!H19)&lt;$AC$7,"NM",Q17/'Comp.1'!H19)),"n/a")</f>
        <v>NM</v>
      </c>
      <c r="V17" s="384" t="str">
        <f>IFERROR(IF(R17/'Comp.1'!I19&gt;$AA$7,"NM",IF((R17/'Comp.1'!I19)&lt;$AC$7,"NM",R17/'Comp.1'!I19)),"n/a")</f>
        <v>NM</v>
      </c>
      <c r="W17" s="384">
        <f>IFERROR(IF(S17/'Comp.1'!J19&gt;$AA$7,"NM",IF((S17/'Comp.1'!J19)&lt;$AC$7,"NM",S17/'Comp.1'!J19)),"n/a")</f>
        <v>-0.82527565733672603</v>
      </c>
      <c r="Z17" s="932" t="str">
        <f>IF('MASTER PubCo Inputs'!B35="","",'MASTER PubCo Inputs'!B35)</f>
        <v>NasdaqGS:OTIC</v>
      </c>
      <c r="AA17" s="179" t="str">
        <f>'Comp.2'!AI19</f>
        <v>Otonomy, Inc., a biopharmaceutical company, engages in the development and commercialization of therapeutics for otology in the United States. It offers OTIPRIO, a ciprofloxacin otic suspension for use during tympanostomy tube placement surgery in pediatric patients. The company also develops OTIVIDEX, a sustained-exposure formulation of the steroid dexamethasone in Phase III clinical trial for the treatment of Ménière’s disease; and OTO- 313, a sustained-exposure formulation of N-methyl-D-aspartate receptor antagonist gacyclidine, which has completed a Phase 1 clinical safety trial for the treatment of tinnitus. In addition, it develops OTO-413, a sustained exposure formulation of brain-derived neurotrophic factor for the repair of cochlear synaptopathy and the treatment of speech-in-noise hearing difficulties; OTO-5XX, an otoprotectant for the prevention of cisplatin-induced hearing loss; and OTO-6XX induces hair cell regeneration for the treatment of severe hearing loss. The company has license agreements with University of California and DURECT Corporation. Otonomy, Inc. was founded in 2008 and is headquartered in San Diego, California.</v>
      </c>
    </row>
    <row r="18" spans="2:27" ht="14.85" hidden="1" customHeight="1" outlineLevel="1">
      <c r="B18" s="179" t="str">
        <f>'Comp.1'!B20</f>
        <v>Auris Medical Holding AG</v>
      </c>
      <c r="D18" s="384">
        <f>'Capital IQ Sheet-GPC'!AF21</f>
        <v>0</v>
      </c>
      <c r="E18" s="384">
        <f>'Capital IQ Sheet-GPC'!AG21</f>
        <v>0</v>
      </c>
      <c r="F18" s="384">
        <f>'Capital IQ Sheet-GPC'!AH21</f>
        <v>0</v>
      </c>
      <c r="G18" s="384">
        <f>'Capital IQ Sheet-GPC'!AI21</f>
        <v>0</v>
      </c>
      <c r="I18" s="576">
        <f>'Capital IQ Sheet-GPC'!AJ21</f>
        <v>-5.2408999999999999</v>
      </c>
      <c r="J18" s="576">
        <f>'Capital IQ Sheet-GPC'!AK21</f>
        <v>-5.9532600000000002</v>
      </c>
      <c r="K18" s="576">
        <f>'Capital IQ Sheet-GPC'!AL21</f>
        <v>-4.6525699999999999</v>
      </c>
      <c r="M18" s="384" t="str">
        <f>IFERROR(IF(I18/'Comp.1'!H20&gt;$AA$7,"NM",IF((I18/'Comp.1'!H20)&lt;$AC$7,"NM",I18/'Comp.1'!H20)),"n/a")</f>
        <v>n/a</v>
      </c>
      <c r="N18" s="384" t="str">
        <f>IFERROR(IF(J18/'Comp.1'!I20&gt;$AA$7,"NM",IF((J18/'Comp.1'!I20)&lt;$AC$7,"NM",J18/'Comp.1'!I20)),"n/a")</f>
        <v>n/a</v>
      </c>
      <c r="O18" s="384" t="str">
        <f>IFERROR(IF(K18/'Comp.1'!J20&gt;$AA$7,"NM",IF((K18/'Comp.1'!J20)&lt;$AC$7,"NM",K18/'Comp.1'!J20)),"n/a")</f>
        <v>n/a</v>
      </c>
      <c r="P18" s="255"/>
      <c r="Q18" s="576">
        <f>'Capital IQ Sheet-GPC'!AM21</f>
        <v>-8.3379999999999996E-2</v>
      </c>
      <c r="R18" s="576">
        <f>'Capital IQ Sheet-GPC'!AN21</f>
        <v>-0.24428</v>
      </c>
      <c r="S18" s="576">
        <f>'Capital IQ Sheet-GPC'!AO21</f>
        <v>-6.7000000000000002E-3</v>
      </c>
      <c r="U18" s="384" t="str">
        <f>IFERROR(IF(Q18/'Comp.1'!H20&gt;$AA$7,"NM",IF((Q18/'Comp.1'!H20)&lt;$AC$7,"NM",Q18/'Comp.1'!H20)),"n/a")</f>
        <v>n/a</v>
      </c>
      <c r="V18" s="384" t="str">
        <f>IFERROR(IF(R18/'Comp.1'!I20&gt;$AA$7,"NM",IF((R18/'Comp.1'!I20)&lt;$AC$7,"NM",R18/'Comp.1'!I20)),"n/a")</f>
        <v>n/a</v>
      </c>
      <c r="W18" s="384" t="str">
        <f>IFERROR(IF(S18/'Comp.1'!J20&gt;$AA$7,"NM",IF((S18/'Comp.1'!J20)&lt;$AC$7,"NM",S18/'Comp.1'!J20)),"n/a")</f>
        <v>n/a</v>
      </c>
      <c r="Z18" s="932" t="str">
        <f>IF('MASTER PubCo Inputs'!B36="","",'MASTER PubCo Inputs'!B36)</f>
        <v>NasdaqCM:EARS</v>
      </c>
      <c r="AA18" s="179" t="str">
        <f>'Comp.2'!AI20</f>
        <v>Auris Medical Holding AG, a clinical-stage biopharmaceutical company, focuses on the development of novel products for the treatment of inner ear disorders. Its product candidates include AM-101, which is in phase III clinical development for the treatment of acute inner ear tinnitus; and AM-111 that is in phase III clinical development for the treatment of acute inner ear hearing loss. The company is also developing AM-125 for the treatment of vestibular disorders; and other pre-clinical stage products comprising AM-102 and AM-123. It has a collaboration and license agreement with Xigen S.A. to develop, manufacture, and commercialize pharmaceutical products, as well as drug delivery devices and formulations for local administration of therapeutic substances to the inner ear for the treatment of ear disorders. The company was formerly known as Auris Medical AG and changed its name to Auris Medical Holding AG in April 2014. Auris Medical Holding AG was founded in 1998 and is headquartered in Zug, Switzerland.</v>
      </c>
    </row>
    <row r="19" spans="2:27" ht="14.85" hidden="1" customHeight="1" outlineLevel="1">
      <c r="B19" s="179" t="str">
        <f>'Comp.1'!B21</f>
        <v>(Invalid Identifier)</v>
      </c>
      <c r="D19" s="384" t="str">
        <f>'Capital IQ Sheet-GPC'!AF22</f>
        <v>n/a</v>
      </c>
      <c r="E19" s="384" t="str">
        <f>'Capital IQ Sheet-GPC'!AG22</f>
        <v>n/a</v>
      </c>
      <c r="F19" s="384" t="str">
        <f>'Capital IQ Sheet-GPC'!AH22</f>
        <v>n/a</v>
      </c>
      <c r="G19" s="384" t="str">
        <f>'Capital IQ Sheet-GPC'!AI22</f>
        <v>n/a</v>
      </c>
      <c r="I19" s="576" t="str">
        <f>'Capital IQ Sheet-GPC'!AJ22</f>
        <v>(Invalid Identifier)</v>
      </c>
      <c r="J19" s="576" t="str">
        <f>'Capital IQ Sheet-GPC'!AK22</f>
        <v>(Invalid Identifier)</v>
      </c>
      <c r="K19" s="576" t="str">
        <f>'Capital IQ Sheet-GPC'!AL22</f>
        <v>(Invalid Identifier)</v>
      </c>
      <c r="M19" s="384" t="str">
        <f>IFERROR(IF(I19/'Comp.1'!H21&gt;$AA$7,"NM",IF((I19/'Comp.1'!H21)&lt;$AC$7,"NM",I19/'Comp.1'!H21)),"n/a")</f>
        <v>n/a</v>
      </c>
      <c r="N19" s="384" t="str">
        <f>IFERROR(IF(J19/'Comp.1'!I21&gt;$AA$7,"NM",IF((J19/'Comp.1'!I21)&lt;$AC$7,"NM",J19/'Comp.1'!I21)),"n/a")</f>
        <v>n/a</v>
      </c>
      <c r="O19" s="384" t="str">
        <f>IFERROR(IF(K19/'Comp.1'!J21&gt;$AA$7,"NM",IF((K19/'Comp.1'!J21)&lt;$AC$7,"NM",K19/'Comp.1'!J21)),"n/a")</f>
        <v>n/a</v>
      </c>
      <c r="P19" s="255"/>
      <c r="Q19" s="576" t="str">
        <f>'Capital IQ Sheet-GPC'!AM22</f>
        <v>(Invalid Identifier)</v>
      </c>
      <c r="R19" s="576" t="str">
        <f>'Capital IQ Sheet-GPC'!AN22</f>
        <v>(Invalid Identifier)</v>
      </c>
      <c r="S19" s="576" t="str">
        <f>'Capital IQ Sheet-GPC'!AO22</f>
        <v>(Invalid Identifier)</v>
      </c>
      <c r="U19" s="384" t="str">
        <f>IFERROR(IF(Q19/'Comp.1'!H21&gt;$AA$7,"NM",IF((Q19/'Comp.1'!H21)&lt;$AC$7,"NM",Q19/'Comp.1'!H21)),"n/a")</f>
        <v>n/a</v>
      </c>
      <c r="V19" s="384" t="str">
        <f>IFERROR(IF(R19/'Comp.1'!I21&gt;$AA$7,"NM",IF((R19/'Comp.1'!I21)&lt;$AC$7,"NM",R19/'Comp.1'!I21)),"n/a")</f>
        <v>n/a</v>
      </c>
      <c r="W19" s="384" t="str">
        <f>IFERROR(IF(S19/'Comp.1'!J21&gt;$AA$7,"NM",IF((S19/'Comp.1'!J21)&lt;$AC$7,"NM",S19/'Comp.1'!J21)),"n/a")</f>
        <v>n/a</v>
      </c>
      <c r="Z19" s="932" t="str">
        <f>IF('MASTER PubCo Inputs'!B37="","",'MASTER PubCo Inputs'!B37)</f>
        <v>(Invalid Identifier)</v>
      </c>
      <c r="AA19" s="179" t="str">
        <f>'Comp.2'!AI21</f>
        <v>(Invalid Identifier)</v>
      </c>
    </row>
    <row r="20" spans="2:27" ht="14.85" hidden="1" customHeight="1" outlineLevel="1">
      <c r="B20" s="179" t="str">
        <f>'Comp.1'!B22</f>
        <v>(Invalid Identifier)</v>
      </c>
      <c r="D20" s="384" t="str">
        <f>'Capital IQ Sheet-GPC'!AF23</f>
        <v>n/a</v>
      </c>
      <c r="E20" s="384" t="str">
        <f>'Capital IQ Sheet-GPC'!AG23</f>
        <v>n/a</v>
      </c>
      <c r="F20" s="384" t="str">
        <f>'Capital IQ Sheet-GPC'!AH23</f>
        <v>n/a</v>
      </c>
      <c r="G20" s="384" t="str">
        <f>'Capital IQ Sheet-GPC'!AI23</f>
        <v>n/a</v>
      </c>
      <c r="I20" s="576" t="str">
        <f>'Capital IQ Sheet-GPC'!AJ23</f>
        <v>(Invalid Identifier)</v>
      </c>
      <c r="J20" s="576" t="str">
        <f>'Capital IQ Sheet-GPC'!AK23</f>
        <v>(Invalid Identifier)</v>
      </c>
      <c r="K20" s="576" t="str">
        <f>'Capital IQ Sheet-GPC'!AL23</f>
        <v>(Invalid Identifier)</v>
      </c>
      <c r="M20" s="384" t="str">
        <f>IFERROR(IF(I20/'Comp.1'!H22&gt;$AA$7,"NM",IF((I20/'Comp.1'!H22)&lt;$AC$7,"NM",I20/'Comp.1'!H22)),"n/a")</f>
        <v>n/a</v>
      </c>
      <c r="N20" s="384" t="str">
        <f>IFERROR(IF(J20/'Comp.1'!I22&gt;$AA$7,"NM",IF((J20/'Comp.1'!I22)&lt;$AC$7,"NM",J20/'Comp.1'!I22)),"n/a")</f>
        <v>n/a</v>
      </c>
      <c r="O20" s="384" t="str">
        <f>IFERROR(IF(K20/'Comp.1'!J22&gt;$AA$7,"NM",IF((K20/'Comp.1'!J22)&lt;$AC$7,"NM",K20/'Comp.1'!J22)),"n/a")</f>
        <v>n/a</v>
      </c>
      <c r="P20" s="255"/>
      <c r="Q20" s="576" t="str">
        <f>'Capital IQ Sheet-GPC'!AM23</f>
        <v>(Invalid Identifier)</v>
      </c>
      <c r="R20" s="576" t="str">
        <f>'Capital IQ Sheet-GPC'!AN23</f>
        <v>(Invalid Identifier)</v>
      </c>
      <c r="S20" s="576" t="str">
        <f>'Capital IQ Sheet-GPC'!AO23</f>
        <v>(Invalid Identifier)</v>
      </c>
      <c r="U20" s="384" t="str">
        <f>IFERROR(IF(Q20/'Comp.1'!H22&gt;$AA$7,"NM",IF((Q20/'Comp.1'!H22)&lt;$AC$7,"NM",Q20/'Comp.1'!H22)),"n/a")</f>
        <v>n/a</v>
      </c>
      <c r="V20" s="384" t="str">
        <f>IFERROR(IF(R20/'Comp.1'!I22&gt;$AA$7,"NM",IF((R20/'Comp.1'!I22)&lt;$AC$7,"NM",R20/'Comp.1'!I22)),"n/a")</f>
        <v>n/a</v>
      </c>
      <c r="W20" s="384" t="str">
        <f>IFERROR(IF(S20/'Comp.1'!J22&gt;$AA$7,"NM",IF((S20/'Comp.1'!J22)&lt;$AC$7,"NM",S20/'Comp.1'!J22)),"n/a")</f>
        <v>n/a</v>
      </c>
      <c r="Z20" s="932" t="str">
        <f>IF('MASTER PubCo Inputs'!B38="","",'MASTER PubCo Inputs'!B38)</f>
        <v>(Invalid Identifier)</v>
      </c>
      <c r="AA20" s="179" t="str">
        <f>'Comp.2'!AI22</f>
        <v>(Invalid Identifier)</v>
      </c>
    </row>
    <row r="21" spans="2:27" ht="14.85" hidden="1" customHeight="1" outlineLevel="1">
      <c r="B21" s="179" t="str">
        <f>'Comp.1'!B23</f>
        <v>(Invalid Identifier)</v>
      </c>
      <c r="D21" s="384" t="str">
        <f>'Capital IQ Sheet-GPC'!AF24</f>
        <v>n/a</v>
      </c>
      <c r="E21" s="384" t="str">
        <f>'Capital IQ Sheet-GPC'!AG24</f>
        <v>n/a</v>
      </c>
      <c r="F21" s="384" t="str">
        <f>'Capital IQ Sheet-GPC'!AH24</f>
        <v>n/a</v>
      </c>
      <c r="G21" s="384" t="str">
        <f>'Capital IQ Sheet-GPC'!AI24</f>
        <v>n/a</v>
      </c>
      <c r="I21" s="576" t="str">
        <f>'Capital IQ Sheet-GPC'!AJ24</f>
        <v>(Invalid Identifier)</v>
      </c>
      <c r="J21" s="576" t="str">
        <f>'Capital IQ Sheet-GPC'!AK24</f>
        <v>(Invalid Identifier)</v>
      </c>
      <c r="K21" s="576" t="str">
        <f>'Capital IQ Sheet-GPC'!AL24</f>
        <v>(Invalid Identifier)</v>
      </c>
      <c r="M21" s="384" t="str">
        <f>IFERROR(IF(I21/'Comp.1'!H23&gt;$AA$7,"NM",IF((I21/'Comp.1'!H23)&lt;$AC$7,"NM",I21/'Comp.1'!H23)),"n/a")</f>
        <v>n/a</v>
      </c>
      <c r="N21" s="384" t="str">
        <f>IFERROR(IF(J21/'Comp.1'!I23&gt;$AA$7,"NM",IF((J21/'Comp.1'!I23)&lt;$AC$7,"NM",J21/'Comp.1'!I23)),"n/a")</f>
        <v>n/a</v>
      </c>
      <c r="O21" s="384" t="str">
        <f>IFERROR(IF(K21/'Comp.1'!J23&gt;$AA$7,"NM",IF((K21/'Comp.1'!J23)&lt;$AC$7,"NM",K21/'Comp.1'!J23)),"n/a")</f>
        <v>n/a</v>
      </c>
      <c r="P21" s="255"/>
      <c r="Q21" s="576" t="str">
        <f>'Capital IQ Sheet-GPC'!AM24</f>
        <v>(Invalid Identifier)</v>
      </c>
      <c r="R21" s="576" t="str">
        <f>'Capital IQ Sheet-GPC'!AN24</f>
        <v>(Invalid Identifier)</v>
      </c>
      <c r="S21" s="576" t="str">
        <f>'Capital IQ Sheet-GPC'!AO24</f>
        <v>(Invalid Identifier)</v>
      </c>
      <c r="U21" s="384" t="str">
        <f>IFERROR(IF(Q21/'Comp.1'!H23&gt;$AA$7,"NM",IF((Q21/'Comp.1'!H23)&lt;$AC$7,"NM",Q21/'Comp.1'!H23)),"n/a")</f>
        <v>n/a</v>
      </c>
      <c r="V21" s="384" t="str">
        <f>IFERROR(IF(R21/'Comp.1'!I23&gt;$AA$7,"NM",IF((R21/'Comp.1'!I23)&lt;$AC$7,"NM",R21/'Comp.1'!I23)),"n/a")</f>
        <v>n/a</v>
      </c>
      <c r="W21" s="384" t="str">
        <f>IFERROR(IF(S21/'Comp.1'!J23&gt;$AA$7,"NM",IF((S21/'Comp.1'!J23)&lt;$AC$7,"NM",S21/'Comp.1'!J23)),"n/a")</f>
        <v>n/a</v>
      </c>
      <c r="Z21" s="932" t="str">
        <f>IF('MASTER PubCo Inputs'!B39="","",'MASTER PubCo Inputs'!B39)</f>
        <v>(Invalid Identifier)</v>
      </c>
      <c r="AA21" s="179" t="str">
        <f>'Comp.2'!AI23</f>
        <v>(Invalid Identifier)</v>
      </c>
    </row>
    <row r="22" spans="2:27" ht="14.85" hidden="1" customHeight="1" outlineLevel="1">
      <c r="B22" s="179" t="str">
        <f>'Comp.1'!B24</f>
        <v>(Invalid Identifier)</v>
      </c>
      <c r="D22" s="384" t="str">
        <f>'Capital IQ Sheet-GPC'!AF25</f>
        <v>n/a</v>
      </c>
      <c r="E22" s="384" t="str">
        <f>'Capital IQ Sheet-GPC'!AG25</f>
        <v>n/a</v>
      </c>
      <c r="F22" s="384" t="str">
        <f>'Capital IQ Sheet-GPC'!AH25</f>
        <v>n/a</v>
      </c>
      <c r="G22" s="384" t="str">
        <f>'Capital IQ Sheet-GPC'!AI25</f>
        <v>n/a</v>
      </c>
      <c r="I22" s="576" t="str">
        <f>'Capital IQ Sheet-GPC'!AJ25</f>
        <v>(Invalid Identifier)</v>
      </c>
      <c r="J22" s="576" t="str">
        <f>'Capital IQ Sheet-GPC'!AK25</f>
        <v>(Invalid Identifier)</v>
      </c>
      <c r="K22" s="576" t="str">
        <f>'Capital IQ Sheet-GPC'!AL25</f>
        <v>(Invalid Identifier)</v>
      </c>
      <c r="M22" s="384" t="str">
        <f>IFERROR(IF(I22/'Comp.1'!H24&gt;$AA$7,"NM",IF((I22/'Comp.1'!H24)&lt;$AC$7,"NM",I22/'Comp.1'!H24)),"n/a")</f>
        <v>n/a</v>
      </c>
      <c r="N22" s="384" t="str">
        <f>IFERROR(IF(J22/'Comp.1'!I24&gt;$AA$7,"NM",IF((J22/'Comp.1'!I24)&lt;$AC$7,"NM",J22/'Comp.1'!I24)),"n/a")</f>
        <v>n/a</v>
      </c>
      <c r="O22" s="384" t="str">
        <f>IFERROR(IF(K22/'Comp.1'!J24&gt;$AA$7,"NM",IF((K22/'Comp.1'!J24)&lt;$AC$7,"NM",K22/'Comp.1'!J24)),"n/a")</f>
        <v>n/a</v>
      </c>
      <c r="P22" s="255"/>
      <c r="Q22" s="576" t="str">
        <f>'Capital IQ Sheet-GPC'!AM25</f>
        <v>(Invalid Identifier)</v>
      </c>
      <c r="R22" s="576" t="str">
        <f>'Capital IQ Sheet-GPC'!AN25</f>
        <v>(Invalid Identifier)</v>
      </c>
      <c r="S22" s="576" t="str">
        <f>'Capital IQ Sheet-GPC'!AO25</f>
        <v>(Invalid Identifier)</v>
      </c>
      <c r="U22" s="384" t="str">
        <f>IFERROR(IF(Q22/'Comp.1'!H24&gt;$AA$7,"NM",IF((Q22/'Comp.1'!H24)&lt;$AC$7,"NM",Q22/'Comp.1'!H24)),"n/a")</f>
        <v>n/a</v>
      </c>
      <c r="V22" s="384" t="str">
        <f>IFERROR(IF(R22/'Comp.1'!I24&gt;$AA$7,"NM",IF((R22/'Comp.1'!I24)&lt;$AC$7,"NM",R22/'Comp.1'!I24)),"n/a")</f>
        <v>n/a</v>
      </c>
      <c r="W22" s="384" t="str">
        <f>IFERROR(IF(S22/'Comp.1'!J24&gt;$AA$7,"NM",IF((S22/'Comp.1'!J24)&lt;$AC$7,"NM",S22/'Comp.1'!J24)),"n/a")</f>
        <v>n/a</v>
      </c>
      <c r="Z22" s="932" t="str">
        <f>IF('MASTER PubCo Inputs'!B40="","",'MASTER PubCo Inputs'!B40)</f>
        <v>(Invalid Identifier)</v>
      </c>
      <c r="AA22" s="179" t="str">
        <f>'Comp.2'!AI24</f>
        <v>(Invalid Identifier)</v>
      </c>
    </row>
    <row r="23" spans="2:27" ht="14.85" hidden="1" customHeight="1" outlineLevel="1">
      <c r="B23" s="179" t="str">
        <f>'Comp.1'!B25</f>
        <v>(Invalid Identifier)</v>
      </c>
      <c r="D23" s="384" t="str">
        <f>'Capital IQ Sheet-GPC'!AF26</f>
        <v>n/a</v>
      </c>
      <c r="E23" s="384" t="str">
        <f>'Capital IQ Sheet-GPC'!AG26</f>
        <v>n/a</v>
      </c>
      <c r="F23" s="384" t="str">
        <f>'Capital IQ Sheet-GPC'!AH26</f>
        <v>n/a</v>
      </c>
      <c r="G23" s="384" t="str">
        <f>'Capital IQ Sheet-GPC'!AI26</f>
        <v>n/a</v>
      </c>
      <c r="I23" s="576" t="str">
        <f>'Capital IQ Sheet-GPC'!AJ26</f>
        <v>(Invalid Identifier)</v>
      </c>
      <c r="J23" s="576" t="str">
        <f>'Capital IQ Sheet-GPC'!AK26</f>
        <v>(Invalid Identifier)</v>
      </c>
      <c r="K23" s="576" t="str">
        <f>'Capital IQ Sheet-GPC'!AL26</f>
        <v>(Invalid Identifier)</v>
      </c>
      <c r="M23" s="384" t="str">
        <f>IFERROR(IF(I23/'Comp.1'!H25&gt;$AA$7,"NM",IF((I23/'Comp.1'!H25)&lt;$AC$7,"NM",I23/'Comp.1'!H25)),"n/a")</f>
        <v>n/a</v>
      </c>
      <c r="N23" s="384" t="str">
        <f>IFERROR(IF(J23/'Comp.1'!I25&gt;$AA$7,"NM",IF((J23/'Comp.1'!I25)&lt;$AC$7,"NM",J23/'Comp.1'!I25)),"n/a")</f>
        <v>n/a</v>
      </c>
      <c r="O23" s="384" t="str">
        <f>IFERROR(IF(K23/'Comp.1'!J25&gt;$AA$7,"NM",IF((K23/'Comp.1'!J25)&lt;$AC$7,"NM",K23/'Comp.1'!J25)),"n/a")</f>
        <v>n/a</v>
      </c>
      <c r="P23" s="255"/>
      <c r="Q23" s="576" t="str">
        <f>'Capital IQ Sheet-GPC'!AM26</f>
        <v>(Invalid Identifier)</v>
      </c>
      <c r="R23" s="576" t="str">
        <f>'Capital IQ Sheet-GPC'!AN26</f>
        <v>(Invalid Identifier)</v>
      </c>
      <c r="S23" s="576" t="str">
        <f>'Capital IQ Sheet-GPC'!AO26</f>
        <v>(Invalid Identifier)</v>
      </c>
      <c r="U23" s="384" t="str">
        <f>IFERROR(IF(Q23/'Comp.1'!H25&gt;$AA$7,"NM",IF((Q23/'Comp.1'!H25)&lt;$AC$7,"NM",Q23/'Comp.1'!H25)),"n/a")</f>
        <v>n/a</v>
      </c>
      <c r="V23" s="384" t="str">
        <f>IFERROR(IF(R23/'Comp.1'!I25&gt;$AA$7,"NM",IF((R23/'Comp.1'!I25)&lt;$AC$7,"NM",R23/'Comp.1'!I25)),"n/a")</f>
        <v>n/a</v>
      </c>
      <c r="W23" s="384" t="str">
        <f>IFERROR(IF(S23/'Comp.1'!J25&gt;$AA$7,"NM",IF((S23/'Comp.1'!J25)&lt;$AC$7,"NM",S23/'Comp.1'!J25)),"n/a")</f>
        <v>n/a</v>
      </c>
      <c r="Z23" s="932" t="str">
        <f>IF('MASTER PubCo Inputs'!B41="","",'MASTER PubCo Inputs'!B41)</f>
        <v>(Invalid Identifier)</v>
      </c>
      <c r="AA23" s="179" t="str">
        <f>'Comp.2'!AI25</f>
        <v>(Invalid Identifier)</v>
      </c>
    </row>
    <row r="24" spans="2:27" ht="14.85" hidden="1" customHeight="1" outlineLevel="1">
      <c r="B24" s="179" t="str">
        <f>'Comp.1'!B26</f>
        <v>(Invalid Identifier)</v>
      </c>
      <c r="D24" s="384" t="str">
        <f>'Capital IQ Sheet-GPC'!AF27</f>
        <v>n/a</v>
      </c>
      <c r="E24" s="384" t="str">
        <f>'Capital IQ Sheet-GPC'!AG27</f>
        <v>n/a</v>
      </c>
      <c r="F24" s="384" t="str">
        <f>'Capital IQ Sheet-GPC'!AH27</f>
        <v>n/a</v>
      </c>
      <c r="G24" s="384" t="str">
        <f>'Capital IQ Sheet-GPC'!AI27</f>
        <v>n/a</v>
      </c>
      <c r="I24" s="576" t="str">
        <f>'Capital IQ Sheet-GPC'!AJ27</f>
        <v>(Invalid Identifier)</v>
      </c>
      <c r="J24" s="576" t="str">
        <f>'Capital IQ Sheet-GPC'!AK27</f>
        <v>(Invalid Identifier)</v>
      </c>
      <c r="K24" s="576" t="str">
        <f>'Capital IQ Sheet-GPC'!AL27</f>
        <v>(Invalid Identifier)</v>
      </c>
      <c r="M24" s="384" t="str">
        <f>IFERROR(IF(I24/'Comp.1'!H26&gt;$AA$7,"NM",IF((I24/'Comp.1'!H26)&lt;$AC$7,"NM",I24/'Comp.1'!H26)),"n/a")</f>
        <v>n/a</v>
      </c>
      <c r="N24" s="384" t="str">
        <f>IFERROR(IF(J24/'Comp.1'!I26&gt;$AA$7,"NM",IF((J24/'Comp.1'!I26)&lt;$AC$7,"NM",J24/'Comp.1'!I26)),"n/a")</f>
        <v>n/a</v>
      </c>
      <c r="O24" s="384" t="str">
        <f>IFERROR(IF(K24/'Comp.1'!J26&gt;$AA$7,"NM",IF((K24/'Comp.1'!J26)&lt;$AC$7,"NM",K24/'Comp.1'!J26)),"n/a")</f>
        <v>n/a</v>
      </c>
      <c r="P24" s="255"/>
      <c r="Q24" s="576" t="str">
        <f>'Capital IQ Sheet-GPC'!AM27</f>
        <v>(Invalid Identifier)</v>
      </c>
      <c r="R24" s="576" t="str">
        <f>'Capital IQ Sheet-GPC'!AN27</f>
        <v>(Invalid Identifier)</v>
      </c>
      <c r="S24" s="576" t="str">
        <f>'Capital IQ Sheet-GPC'!AO27</f>
        <v>(Invalid Identifier)</v>
      </c>
      <c r="U24" s="384" t="str">
        <f>IFERROR(IF(Q24/'Comp.1'!H26&gt;$AA$7,"NM",IF((Q24/'Comp.1'!H26)&lt;$AC$7,"NM",Q24/'Comp.1'!H26)),"n/a")</f>
        <v>n/a</v>
      </c>
      <c r="V24" s="384" t="str">
        <f>IFERROR(IF(R24/'Comp.1'!I26&gt;$AA$7,"NM",IF((R24/'Comp.1'!I26)&lt;$AC$7,"NM",R24/'Comp.1'!I26)),"n/a")</f>
        <v>n/a</v>
      </c>
      <c r="W24" s="384" t="str">
        <f>IFERROR(IF(S24/'Comp.1'!J26&gt;$AA$7,"NM",IF((S24/'Comp.1'!J26)&lt;$AC$7,"NM",S24/'Comp.1'!J26)),"n/a")</f>
        <v>n/a</v>
      </c>
      <c r="Z24" s="932" t="str">
        <f>IF('MASTER PubCo Inputs'!B42="","",'MASTER PubCo Inputs'!B42)</f>
        <v>(Invalid Identifier)</v>
      </c>
      <c r="AA24" s="179" t="str">
        <f>'Comp.2'!AI26</f>
        <v>(Invalid Identifier)</v>
      </c>
    </row>
    <row r="25" spans="2:27" ht="14.85" hidden="1" customHeight="1" outlineLevel="1">
      <c r="B25" s="179" t="str">
        <f>'Comp.1'!B27</f>
        <v>(Invalid Identifier)</v>
      </c>
      <c r="D25" s="384" t="str">
        <f>'Capital IQ Sheet-GPC'!AF28</f>
        <v>n/a</v>
      </c>
      <c r="E25" s="384" t="str">
        <f>'Capital IQ Sheet-GPC'!AG28</f>
        <v>n/a</v>
      </c>
      <c r="F25" s="384" t="str">
        <f>'Capital IQ Sheet-GPC'!AH28</f>
        <v>n/a</v>
      </c>
      <c r="G25" s="384" t="str">
        <f>'Capital IQ Sheet-GPC'!AI28</f>
        <v>n/a</v>
      </c>
      <c r="I25" s="576" t="str">
        <f>'Capital IQ Sheet-GPC'!AJ28</f>
        <v>(Invalid Identifier)</v>
      </c>
      <c r="J25" s="576" t="str">
        <f>'Capital IQ Sheet-GPC'!AK28</f>
        <v>(Invalid Identifier)</v>
      </c>
      <c r="K25" s="576" t="str">
        <f>'Capital IQ Sheet-GPC'!AL28</f>
        <v>(Invalid Identifier)</v>
      </c>
      <c r="M25" s="384" t="str">
        <f>IFERROR(IF(I25/'Comp.1'!H27&gt;$AA$7,"NM",IF((I25/'Comp.1'!H27)&lt;$AC$7,"NM",I25/'Comp.1'!H27)),"n/a")</f>
        <v>n/a</v>
      </c>
      <c r="N25" s="384" t="str">
        <f>IFERROR(IF(J25/'Comp.1'!I27&gt;$AA$7,"NM",IF((J25/'Comp.1'!I27)&lt;$AC$7,"NM",J25/'Comp.1'!I27)),"n/a")</f>
        <v>n/a</v>
      </c>
      <c r="O25" s="384" t="str">
        <f>IFERROR(IF(K25/'Comp.1'!J27&gt;$AA$7,"NM",IF((K25/'Comp.1'!J27)&lt;$AC$7,"NM",K25/'Comp.1'!J27)),"n/a")</f>
        <v>n/a</v>
      </c>
      <c r="P25" s="255"/>
      <c r="Q25" s="576" t="str">
        <f>'Capital IQ Sheet-GPC'!AM28</f>
        <v>(Invalid Identifier)</v>
      </c>
      <c r="R25" s="576" t="str">
        <f>'Capital IQ Sheet-GPC'!AN28</f>
        <v>(Invalid Identifier)</v>
      </c>
      <c r="S25" s="576" t="str">
        <f>'Capital IQ Sheet-GPC'!AO28</f>
        <v>(Invalid Identifier)</v>
      </c>
      <c r="U25" s="384" t="str">
        <f>IFERROR(IF(Q25/'Comp.1'!H27&gt;$AA$7,"NM",IF((Q25/'Comp.1'!H27)&lt;$AC$7,"NM",Q25/'Comp.1'!H27)),"n/a")</f>
        <v>n/a</v>
      </c>
      <c r="V25" s="384" t="str">
        <f>IFERROR(IF(R25/'Comp.1'!I27&gt;$AA$7,"NM",IF((R25/'Comp.1'!I27)&lt;$AC$7,"NM",R25/'Comp.1'!I27)),"n/a")</f>
        <v>n/a</v>
      </c>
      <c r="W25" s="384" t="str">
        <f>IFERROR(IF(S25/'Comp.1'!J27&gt;$AA$7,"NM",IF((S25/'Comp.1'!J27)&lt;$AC$7,"NM",S25/'Comp.1'!J27)),"n/a")</f>
        <v>n/a</v>
      </c>
      <c r="Z25" s="932" t="str">
        <f>IF('MASTER PubCo Inputs'!B43="","",'MASTER PubCo Inputs'!B43)</f>
        <v>(Invalid Identifier)</v>
      </c>
      <c r="AA25" s="179" t="str">
        <f>'Comp.2'!AI27</f>
        <v>(Invalid Identifier)</v>
      </c>
    </row>
    <row r="26" spans="2:27" ht="14.85" hidden="1" customHeight="1" outlineLevel="1">
      <c r="B26" s="179" t="str">
        <f>'Comp.1'!B28</f>
        <v>(Invalid Identifier)</v>
      </c>
      <c r="D26" s="384" t="str">
        <f>'Capital IQ Sheet-GPC'!AF29</f>
        <v>n/a</v>
      </c>
      <c r="E26" s="384" t="str">
        <f>'Capital IQ Sheet-GPC'!AG29</f>
        <v>n/a</v>
      </c>
      <c r="F26" s="384" t="str">
        <f>'Capital IQ Sheet-GPC'!AH29</f>
        <v>n/a</v>
      </c>
      <c r="G26" s="384" t="str">
        <f>'Capital IQ Sheet-GPC'!AI29</f>
        <v>n/a</v>
      </c>
      <c r="I26" s="576" t="str">
        <f>'Capital IQ Sheet-GPC'!AJ29</f>
        <v>(Invalid Identifier)</v>
      </c>
      <c r="J26" s="576" t="str">
        <f>'Capital IQ Sheet-GPC'!AK29</f>
        <v>(Invalid Identifier)</v>
      </c>
      <c r="K26" s="576" t="str">
        <f>'Capital IQ Sheet-GPC'!AL29</f>
        <v>(Invalid Identifier)</v>
      </c>
      <c r="M26" s="384" t="str">
        <f>IFERROR(IF(I26/'Comp.1'!H28&gt;$AA$7,"NM",IF((I26/'Comp.1'!H28)&lt;$AC$7,"NM",I26/'Comp.1'!H28)),"n/a")</f>
        <v>n/a</v>
      </c>
      <c r="N26" s="384" t="str">
        <f>IFERROR(IF(J26/'Comp.1'!I28&gt;$AA$7,"NM",IF((J26/'Comp.1'!I28)&lt;$AC$7,"NM",J26/'Comp.1'!I28)),"n/a")</f>
        <v>n/a</v>
      </c>
      <c r="O26" s="384" t="str">
        <f>IFERROR(IF(K26/'Comp.1'!J28&gt;$AA$7,"NM",IF((K26/'Comp.1'!J28)&lt;$AC$7,"NM",K26/'Comp.1'!J28)),"n/a")</f>
        <v>n/a</v>
      </c>
      <c r="P26" s="255"/>
      <c r="Q26" s="576" t="str">
        <f>'Capital IQ Sheet-GPC'!AM29</f>
        <v>(Invalid Identifier)</v>
      </c>
      <c r="R26" s="576" t="str">
        <f>'Capital IQ Sheet-GPC'!AN29</f>
        <v>(Invalid Identifier)</v>
      </c>
      <c r="S26" s="576" t="str">
        <f>'Capital IQ Sheet-GPC'!AO29</f>
        <v>(Invalid Identifier)</v>
      </c>
      <c r="U26" s="384" t="str">
        <f>IFERROR(IF(Q26/'Comp.1'!H28&gt;$AA$7,"NM",IF((Q26/'Comp.1'!H28)&lt;$AC$7,"NM",Q26/'Comp.1'!H28)),"n/a")</f>
        <v>n/a</v>
      </c>
      <c r="V26" s="384" t="str">
        <f>IFERROR(IF(R26/'Comp.1'!I28&gt;$AA$7,"NM",IF((R26/'Comp.1'!I28)&lt;$AC$7,"NM",R26/'Comp.1'!I28)),"n/a")</f>
        <v>n/a</v>
      </c>
      <c r="W26" s="384" t="str">
        <f>IFERROR(IF(S26/'Comp.1'!J28&gt;$AA$7,"NM",IF((S26/'Comp.1'!J28)&lt;$AC$7,"NM",S26/'Comp.1'!J28)),"n/a")</f>
        <v>n/a</v>
      </c>
      <c r="Z26" s="932" t="str">
        <f>IF('MASTER PubCo Inputs'!B44="","",'MASTER PubCo Inputs'!B44)</f>
        <v>(Invalid Identifier)</v>
      </c>
      <c r="AA26" s="179" t="str">
        <f>'Comp.2'!AI28</f>
        <v>(Invalid Identifier)</v>
      </c>
    </row>
    <row r="27" spans="2:27" ht="14.85" hidden="1" customHeight="1" outlineLevel="1">
      <c r="B27" s="179" t="str">
        <f>'Comp.1'!B29</f>
        <v>(Invalid Identifier)</v>
      </c>
      <c r="D27" s="384" t="str">
        <f>'Capital IQ Sheet-GPC'!AF30</f>
        <v>n/a</v>
      </c>
      <c r="E27" s="384" t="str">
        <f>'Capital IQ Sheet-GPC'!AG30</f>
        <v>n/a</v>
      </c>
      <c r="F27" s="384" t="str">
        <f>'Capital IQ Sheet-GPC'!AH30</f>
        <v>n/a</v>
      </c>
      <c r="G27" s="384" t="str">
        <f>'Capital IQ Sheet-GPC'!AI30</f>
        <v>n/a</v>
      </c>
      <c r="I27" s="576" t="str">
        <f>'Capital IQ Sheet-GPC'!AJ30</f>
        <v>(Invalid Identifier)</v>
      </c>
      <c r="J27" s="576" t="str">
        <f>'Capital IQ Sheet-GPC'!AK30</f>
        <v>(Invalid Identifier)</v>
      </c>
      <c r="K27" s="576" t="str">
        <f>'Capital IQ Sheet-GPC'!AL30</f>
        <v>(Invalid Identifier)</v>
      </c>
      <c r="M27" s="384" t="str">
        <f>IFERROR(IF(I27/'Comp.1'!H29&gt;$AA$7,"NM",IF((I27/'Comp.1'!H29)&lt;$AC$7,"NM",I27/'Comp.1'!H29)),"n/a")</f>
        <v>n/a</v>
      </c>
      <c r="N27" s="384" t="str">
        <f>IFERROR(IF(J27/'Comp.1'!I29&gt;$AA$7,"NM",IF((J27/'Comp.1'!I29)&lt;$AC$7,"NM",J27/'Comp.1'!I29)),"n/a")</f>
        <v>n/a</v>
      </c>
      <c r="O27" s="384" t="str">
        <f>IFERROR(IF(K27/'Comp.1'!J29&gt;$AA$7,"NM",IF((K27/'Comp.1'!J29)&lt;$AC$7,"NM",K27/'Comp.1'!J29)),"n/a")</f>
        <v>n/a</v>
      </c>
      <c r="P27" s="255"/>
      <c r="Q27" s="576" t="str">
        <f>'Capital IQ Sheet-GPC'!AM30</f>
        <v>(Invalid Identifier)</v>
      </c>
      <c r="R27" s="576" t="str">
        <f>'Capital IQ Sheet-GPC'!AN30</f>
        <v>(Invalid Identifier)</v>
      </c>
      <c r="S27" s="576" t="str">
        <f>'Capital IQ Sheet-GPC'!AO30</f>
        <v>(Invalid Identifier)</v>
      </c>
      <c r="U27" s="384" t="str">
        <f>IFERROR(IF(Q27/'Comp.1'!H29&gt;$AA$7,"NM",IF((Q27/'Comp.1'!H29)&lt;$AC$7,"NM",Q27/'Comp.1'!H29)),"n/a")</f>
        <v>n/a</v>
      </c>
      <c r="V27" s="384" t="str">
        <f>IFERROR(IF(R27/'Comp.1'!I29&gt;$AA$7,"NM",IF((R27/'Comp.1'!I29)&lt;$AC$7,"NM",R27/'Comp.1'!I29)),"n/a")</f>
        <v>n/a</v>
      </c>
      <c r="W27" s="384" t="str">
        <f>IFERROR(IF(S27/'Comp.1'!J29&gt;$AA$7,"NM",IF((S27/'Comp.1'!J29)&lt;$AC$7,"NM",S27/'Comp.1'!J29)),"n/a")</f>
        <v>n/a</v>
      </c>
      <c r="Z27" s="932" t="str">
        <f>IF('MASTER PubCo Inputs'!B45="","",'MASTER PubCo Inputs'!B45)</f>
        <v>(Invalid Identifier)</v>
      </c>
      <c r="AA27" s="179" t="str">
        <f>'Comp.2'!AI29</f>
        <v>(Invalid Identifier)</v>
      </c>
    </row>
    <row r="28" spans="2:27" ht="14.85" hidden="1" customHeight="1" outlineLevel="1">
      <c r="B28" s="179" t="str">
        <f>'Comp.1'!B30</f>
        <v>(Invalid Identifier)</v>
      </c>
      <c r="D28" s="384" t="str">
        <f>'Capital IQ Sheet-GPC'!AF31</f>
        <v>n/a</v>
      </c>
      <c r="E28" s="384" t="str">
        <f>'Capital IQ Sheet-GPC'!AG31</f>
        <v>n/a</v>
      </c>
      <c r="F28" s="384" t="str">
        <f>'Capital IQ Sheet-GPC'!AH31</f>
        <v>n/a</v>
      </c>
      <c r="G28" s="384" t="str">
        <f>'Capital IQ Sheet-GPC'!AI31</f>
        <v>n/a</v>
      </c>
      <c r="I28" s="576" t="str">
        <f>'Capital IQ Sheet-GPC'!AJ31</f>
        <v>(Invalid Identifier)</v>
      </c>
      <c r="J28" s="576" t="str">
        <f>'Capital IQ Sheet-GPC'!AK31</f>
        <v>(Invalid Identifier)</v>
      </c>
      <c r="K28" s="576" t="str">
        <f>'Capital IQ Sheet-GPC'!AL31</f>
        <v>(Invalid Identifier)</v>
      </c>
      <c r="M28" s="384" t="str">
        <f>IFERROR(IF(I28/'Comp.1'!H30&gt;$AA$7,"NM",IF((I28/'Comp.1'!H30)&lt;$AC$7,"NM",I28/'Comp.1'!H30)),"n/a")</f>
        <v>n/a</v>
      </c>
      <c r="N28" s="384" t="str">
        <f>IFERROR(IF(J28/'Comp.1'!I30&gt;$AA$7,"NM",IF((J28/'Comp.1'!I30)&lt;$AC$7,"NM",J28/'Comp.1'!I30)),"n/a")</f>
        <v>n/a</v>
      </c>
      <c r="O28" s="384" t="str">
        <f>IFERROR(IF(K28/'Comp.1'!J30&gt;$AA$7,"NM",IF((K28/'Comp.1'!J30)&lt;$AC$7,"NM",K28/'Comp.1'!J30)),"n/a")</f>
        <v>n/a</v>
      </c>
      <c r="P28" s="255"/>
      <c r="Q28" s="576" t="str">
        <f>'Capital IQ Sheet-GPC'!AM31</f>
        <v>(Invalid Identifier)</v>
      </c>
      <c r="R28" s="576" t="str">
        <f>'Capital IQ Sheet-GPC'!AN31</f>
        <v>(Invalid Identifier)</v>
      </c>
      <c r="S28" s="576" t="str">
        <f>'Capital IQ Sheet-GPC'!AO31</f>
        <v>(Invalid Identifier)</v>
      </c>
      <c r="U28" s="384" t="str">
        <f>IFERROR(IF(Q28/'Comp.1'!H30&gt;$AA$7,"NM",IF((Q28/'Comp.1'!H30)&lt;$AC$7,"NM",Q28/'Comp.1'!H30)),"n/a")</f>
        <v>n/a</v>
      </c>
      <c r="V28" s="384" t="str">
        <f>IFERROR(IF(R28/'Comp.1'!I30&gt;$AA$7,"NM",IF((R28/'Comp.1'!I30)&lt;$AC$7,"NM",R28/'Comp.1'!I30)),"n/a")</f>
        <v>n/a</v>
      </c>
      <c r="W28" s="384" t="str">
        <f>IFERROR(IF(S28/'Comp.1'!J30&gt;$AA$7,"NM",IF((S28/'Comp.1'!J30)&lt;$AC$7,"NM",S28/'Comp.1'!J30)),"n/a")</f>
        <v>n/a</v>
      </c>
      <c r="Z28" s="932" t="str">
        <f>IF('MASTER PubCo Inputs'!B46="","",'MASTER PubCo Inputs'!B46)</f>
        <v>(Invalid Identifier)</v>
      </c>
      <c r="AA28" s="179" t="str">
        <f>'Comp.2'!AI30</f>
        <v>(Invalid Identifier)</v>
      </c>
    </row>
    <row r="29" spans="2:27" ht="14.85" hidden="1" customHeight="1" outlineLevel="1">
      <c r="B29" s="179" t="str">
        <f>'Comp.1'!B31</f>
        <v>(Invalid Identifier)</v>
      </c>
      <c r="D29" s="384" t="str">
        <f>'Capital IQ Sheet-GPC'!AF32</f>
        <v>n/a</v>
      </c>
      <c r="E29" s="384" t="str">
        <f>'Capital IQ Sheet-GPC'!AG32</f>
        <v>n/a</v>
      </c>
      <c r="F29" s="384" t="str">
        <f>'Capital IQ Sheet-GPC'!AH32</f>
        <v>n/a</v>
      </c>
      <c r="G29" s="384" t="str">
        <f>'Capital IQ Sheet-GPC'!AI32</f>
        <v>n/a</v>
      </c>
      <c r="I29" s="576" t="str">
        <f>'Capital IQ Sheet-GPC'!AJ32</f>
        <v>(Invalid Identifier)</v>
      </c>
      <c r="J29" s="576" t="str">
        <f>'Capital IQ Sheet-GPC'!AK32</f>
        <v>(Invalid Identifier)</v>
      </c>
      <c r="K29" s="576" t="str">
        <f>'Capital IQ Sheet-GPC'!AL32</f>
        <v>(Invalid Identifier)</v>
      </c>
      <c r="M29" s="384" t="str">
        <f>IFERROR(IF(I29/'Comp.1'!H31&gt;$AA$7,"NM",IF((I29/'Comp.1'!H31)&lt;$AC$7,"NM",I29/'Comp.1'!H31)),"n/a")</f>
        <v>n/a</v>
      </c>
      <c r="N29" s="384" t="str">
        <f>IFERROR(IF(J29/'Comp.1'!I31&gt;$AA$7,"NM",IF((J29/'Comp.1'!I31)&lt;$AC$7,"NM",J29/'Comp.1'!I31)),"n/a")</f>
        <v>n/a</v>
      </c>
      <c r="O29" s="384" t="str">
        <f>IFERROR(IF(K29/'Comp.1'!J31&gt;$AA$7,"NM",IF((K29/'Comp.1'!J31)&lt;$AC$7,"NM",K29/'Comp.1'!J31)),"n/a")</f>
        <v>n/a</v>
      </c>
      <c r="P29" s="255"/>
      <c r="Q29" s="576" t="str">
        <f>'Capital IQ Sheet-GPC'!AM32</f>
        <v>(Invalid Identifier)</v>
      </c>
      <c r="R29" s="576" t="str">
        <f>'Capital IQ Sheet-GPC'!AN32</f>
        <v>(Invalid Identifier)</v>
      </c>
      <c r="S29" s="576" t="str">
        <f>'Capital IQ Sheet-GPC'!AO32</f>
        <v>(Invalid Identifier)</v>
      </c>
      <c r="U29" s="384" t="str">
        <f>IFERROR(IF(Q29/'Comp.1'!H31&gt;$AA$7,"NM",IF((Q29/'Comp.1'!H31)&lt;$AC$7,"NM",Q29/'Comp.1'!H31)),"n/a")</f>
        <v>n/a</v>
      </c>
      <c r="V29" s="384" t="str">
        <f>IFERROR(IF(R29/'Comp.1'!I31&gt;$AA$7,"NM",IF((R29/'Comp.1'!I31)&lt;$AC$7,"NM",R29/'Comp.1'!I31)),"n/a")</f>
        <v>n/a</v>
      </c>
      <c r="W29" s="384" t="str">
        <f>IFERROR(IF(S29/'Comp.1'!J31&gt;$AA$7,"NM",IF((S29/'Comp.1'!J31)&lt;$AC$7,"NM",S29/'Comp.1'!J31)),"n/a")</f>
        <v>n/a</v>
      </c>
      <c r="Z29" s="932" t="str">
        <f>IF('MASTER PubCo Inputs'!B47="","",'MASTER PubCo Inputs'!B47)</f>
        <v>(Invalid Identifier)</v>
      </c>
      <c r="AA29" s="179" t="str">
        <f>'Comp.2'!AI31</f>
        <v>(Invalid Identifier)</v>
      </c>
    </row>
    <row r="30" spans="2:27" ht="14.85" hidden="1" customHeight="1" outlineLevel="1">
      <c r="B30" s="179" t="str">
        <f>'Comp.1'!B32</f>
        <v>(Invalid Identifier)</v>
      </c>
      <c r="D30" s="384" t="str">
        <f>'Capital IQ Sheet-GPC'!AF33</f>
        <v>n/a</v>
      </c>
      <c r="E30" s="384" t="str">
        <f>'Capital IQ Sheet-GPC'!AG33</f>
        <v>n/a</v>
      </c>
      <c r="F30" s="384" t="str">
        <f>'Capital IQ Sheet-GPC'!AH33</f>
        <v>n/a</v>
      </c>
      <c r="G30" s="384" t="str">
        <f>'Capital IQ Sheet-GPC'!AI33</f>
        <v>n/a</v>
      </c>
      <c r="I30" s="576" t="str">
        <f>'Capital IQ Sheet-GPC'!AJ33</f>
        <v>(Invalid Identifier)</v>
      </c>
      <c r="J30" s="576" t="str">
        <f>'Capital IQ Sheet-GPC'!AK33</f>
        <v>(Invalid Identifier)</v>
      </c>
      <c r="K30" s="576" t="str">
        <f>'Capital IQ Sheet-GPC'!AL33</f>
        <v>(Invalid Identifier)</v>
      </c>
      <c r="M30" s="384" t="str">
        <f>IFERROR(IF(I30/'Comp.1'!H32&gt;$AA$7,"NM",IF((I30/'Comp.1'!H32)&lt;$AC$7,"NM",I30/'Comp.1'!H32)),"n/a")</f>
        <v>n/a</v>
      </c>
      <c r="N30" s="384" t="str">
        <f>IFERROR(IF(J30/'Comp.1'!I32&gt;$AA$7,"NM",IF((J30/'Comp.1'!I32)&lt;$AC$7,"NM",J30/'Comp.1'!I32)),"n/a")</f>
        <v>n/a</v>
      </c>
      <c r="O30" s="384" t="str">
        <f>IFERROR(IF(K30/'Comp.1'!J32&gt;$AA$7,"NM",IF((K30/'Comp.1'!J32)&lt;$AC$7,"NM",K30/'Comp.1'!J32)),"n/a")</f>
        <v>n/a</v>
      </c>
      <c r="P30" s="255"/>
      <c r="Q30" s="576" t="str">
        <f>'Capital IQ Sheet-GPC'!AM33</f>
        <v>(Invalid Identifier)</v>
      </c>
      <c r="R30" s="576" t="str">
        <f>'Capital IQ Sheet-GPC'!AN33</f>
        <v>(Invalid Identifier)</v>
      </c>
      <c r="S30" s="576" t="str">
        <f>'Capital IQ Sheet-GPC'!AO33</f>
        <v>(Invalid Identifier)</v>
      </c>
      <c r="U30" s="384" t="str">
        <f>IFERROR(IF(Q30/'Comp.1'!H32&gt;$AA$7,"NM",IF((Q30/'Comp.1'!H32)&lt;$AC$7,"NM",Q30/'Comp.1'!H32)),"n/a")</f>
        <v>n/a</v>
      </c>
      <c r="V30" s="384" t="str">
        <f>IFERROR(IF(R30/'Comp.1'!I32&gt;$AA$7,"NM",IF((R30/'Comp.1'!I32)&lt;$AC$7,"NM",R30/'Comp.1'!I32)),"n/a")</f>
        <v>n/a</v>
      </c>
      <c r="W30" s="384" t="str">
        <f>IFERROR(IF(S30/'Comp.1'!J32&gt;$AA$7,"NM",IF((S30/'Comp.1'!J32)&lt;$AC$7,"NM",S30/'Comp.1'!J32)),"n/a")</f>
        <v>n/a</v>
      </c>
      <c r="Z30" s="932" t="str">
        <f>IF('MASTER PubCo Inputs'!B48="","",'MASTER PubCo Inputs'!B48)</f>
        <v>(Invalid Identifier)</v>
      </c>
      <c r="AA30" s="179" t="str">
        <f>'Comp.2'!AI32</f>
        <v>(Invalid Identifier)</v>
      </c>
    </row>
    <row r="31" spans="2:27" ht="14.85" hidden="1" customHeight="1" outlineLevel="1">
      <c r="B31" s="179" t="str">
        <f>'Comp.1'!B33</f>
        <v>(Invalid Identifier)</v>
      </c>
      <c r="D31" s="384" t="str">
        <f>'Capital IQ Sheet-GPC'!AF34</f>
        <v>n/a</v>
      </c>
      <c r="E31" s="384" t="str">
        <f>'Capital IQ Sheet-GPC'!AG34</f>
        <v>n/a</v>
      </c>
      <c r="F31" s="384" t="str">
        <f>'Capital IQ Sheet-GPC'!AH34</f>
        <v>n/a</v>
      </c>
      <c r="G31" s="384" t="str">
        <f>'Capital IQ Sheet-GPC'!AI34</f>
        <v>n/a</v>
      </c>
      <c r="I31" s="576" t="str">
        <f>'Capital IQ Sheet-GPC'!AJ34</f>
        <v>(Invalid Identifier)</v>
      </c>
      <c r="J31" s="576" t="str">
        <f>'Capital IQ Sheet-GPC'!AK34</f>
        <v>(Invalid Identifier)</v>
      </c>
      <c r="K31" s="576" t="str">
        <f>'Capital IQ Sheet-GPC'!AL34</f>
        <v>(Invalid Identifier)</v>
      </c>
      <c r="M31" s="384" t="str">
        <f>IFERROR(IF(I31/'Comp.1'!H33&gt;$AA$7,"NM",IF((I31/'Comp.1'!H33)&lt;$AC$7,"NM",I31/'Comp.1'!H33)),"n/a")</f>
        <v>n/a</v>
      </c>
      <c r="N31" s="384" t="str">
        <f>IFERROR(IF(J31/'Comp.1'!I33&gt;$AA$7,"NM",IF((J31/'Comp.1'!I33)&lt;$AC$7,"NM",J31/'Comp.1'!I33)),"n/a")</f>
        <v>n/a</v>
      </c>
      <c r="O31" s="384" t="str">
        <f>IFERROR(IF(K31/'Comp.1'!J33&gt;$AA$7,"NM",IF((K31/'Comp.1'!J33)&lt;$AC$7,"NM",K31/'Comp.1'!J33)),"n/a")</f>
        <v>n/a</v>
      </c>
      <c r="P31" s="255"/>
      <c r="Q31" s="576" t="str">
        <f>'Capital IQ Sheet-GPC'!AM34</f>
        <v>(Invalid Identifier)</v>
      </c>
      <c r="R31" s="576" t="str">
        <f>'Capital IQ Sheet-GPC'!AN34</f>
        <v>(Invalid Identifier)</v>
      </c>
      <c r="S31" s="576" t="str">
        <f>'Capital IQ Sheet-GPC'!AO34</f>
        <v>(Invalid Identifier)</v>
      </c>
      <c r="U31" s="384" t="str">
        <f>IFERROR(IF(Q31/'Comp.1'!H33&gt;$AA$7,"NM",IF((Q31/'Comp.1'!H33)&lt;$AC$7,"NM",Q31/'Comp.1'!H33)),"n/a")</f>
        <v>n/a</v>
      </c>
      <c r="V31" s="384" t="str">
        <f>IFERROR(IF(R31/'Comp.1'!I33&gt;$AA$7,"NM",IF((R31/'Comp.1'!I33)&lt;$AC$7,"NM",R31/'Comp.1'!I33)),"n/a")</f>
        <v>n/a</v>
      </c>
      <c r="W31" s="384" t="str">
        <f>IFERROR(IF(S31/'Comp.1'!J33&gt;$AA$7,"NM",IF((S31/'Comp.1'!J33)&lt;$AC$7,"NM",S31/'Comp.1'!J33)),"n/a")</f>
        <v>n/a</v>
      </c>
      <c r="Z31" s="932" t="str">
        <f>IF('MASTER PubCo Inputs'!B49="","",'MASTER PubCo Inputs'!B49)</f>
        <v>(Invalid Identifier)</v>
      </c>
      <c r="AA31" s="179" t="str">
        <f>'Comp.2'!AI33</f>
        <v>(Invalid Identifier)</v>
      </c>
    </row>
    <row r="32" spans="2:27" ht="14.85" hidden="1" customHeight="1" outlineLevel="1">
      <c r="B32" s="179" t="str">
        <f>'Comp.1'!B34</f>
        <v>(Invalid Identifier)</v>
      </c>
      <c r="D32" s="384" t="str">
        <f>'Capital IQ Sheet-GPC'!AF35</f>
        <v>n/a</v>
      </c>
      <c r="E32" s="384" t="str">
        <f>'Capital IQ Sheet-GPC'!AG35</f>
        <v>n/a</v>
      </c>
      <c r="F32" s="384" t="str">
        <f>'Capital IQ Sheet-GPC'!AH35</f>
        <v>n/a</v>
      </c>
      <c r="G32" s="384" t="str">
        <f>'Capital IQ Sheet-GPC'!AI35</f>
        <v>n/a</v>
      </c>
      <c r="I32" s="576" t="str">
        <f>'Capital IQ Sheet-GPC'!AJ35</f>
        <v>(Invalid Identifier)</v>
      </c>
      <c r="J32" s="576" t="str">
        <f>'Capital IQ Sheet-GPC'!AK35</f>
        <v>(Invalid Identifier)</v>
      </c>
      <c r="K32" s="576" t="str">
        <f>'Capital IQ Sheet-GPC'!AL35</f>
        <v>(Invalid Identifier)</v>
      </c>
      <c r="M32" s="384" t="str">
        <f>IFERROR(IF(I32/'Comp.1'!H34&gt;$AA$7,"NM",IF((I32/'Comp.1'!H34)&lt;$AC$7,"NM",I32/'Comp.1'!H34)),"n/a")</f>
        <v>n/a</v>
      </c>
      <c r="N32" s="384" t="str">
        <f>IFERROR(IF(J32/'Comp.1'!I34&gt;$AA$7,"NM",IF((J32/'Comp.1'!I34)&lt;$AC$7,"NM",J32/'Comp.1'!I34)),"n/a")</f>
        <v>n/a</v>
      </c>
      <c r="O32" s="384" t="str">
        <f>IFERROR(IF(K32/'Comp.1'!J34&gt;$AA$7,"NM",IF((K32/'Comp.1'!J34)&lt;$AC$7,"NM",K32/'Comp.1'!J34)),"n/a")</f>
        <v>n/a</v>
      </c>
      <c r="P32" s="255"/>
      <c r="Q32" s="576" t="str">
        <f>'Capital IQ Sheet-GPC'!AM35</f>
        <v>(Invalid Identifier)</v>
      </c>
      <c r="R32" s="576" t="str">
        <f>'Capital IQ Sheet-GPC'!AN35</f>
        <v>(Invalid Identifier)</v>
      </c>
      <c r="S32" s="576" t="str">
        <f>'Capital IQ Sheet-GPC'!AO35</f>
        <v>(Invalid Identifier)</v>
      </c>
      <c r="U32" s="384" t="str">
        <f>IFERROR(IF(Q32/'Comp.1'!H34&gt;$AA$7,"NM",IF((Q32/'Comp.1'!H34)&lt;$AC$7,"NM",Q32/'Comp.1'!H34)),"n/a")</f>
        <v>n/a</v>
      </c>
      <c r="V32" s="384" t="str">
        <f>IFERROR(IF(R32/'Comp.1'!I34&gt;$AA$7,"NM",IF((R32/'Comp.1'!I34)&lt;$AC$7,"NM",R32/'Comp.1'!I34)),"n/a")</f>
        <v>n/a</v>
      </c>
      <c r="W32" s="384" t="str">
        <f>IFERROR(IF(S32/'Comp.1'!J34&gt;$AA$7,"NM",IF((S32/'Comp.1'!J34)&lt;$AC$7,"NM",S32/'Comp.1'!J34)),"n/a")</f>
        <v>n/a</v>
      </c>
      <c r="Z32" s="932" t="str">
        <f>IF('MASTER PubCo Inputs'!B50="","",'MASTER PubCo Inputs'!B50)</f>
        <v>(Invalid Identifier)</v>
      </c>
      <c r="AA32" s="179" t="str">
        <f>'Comp.2'!AI34</f>
        <v>(Invalid Identifier)</v>
      </c>
    </row>
    <row r="33" spans="2:27" ht="14.85" hidden="1" customHeight="1" outlineLevel="1">
      <c r="B33" s="179" t="str">
        <f>'Comp.1'!B35</f>
        <v>(Invalid Identifier)</v>
      </c>
      <c r="D33" s="384" t="str">
        <f>'Capital IQ Sheet-GPC'!AF36</f>
        <v>n/a</v>
      </c>
      <c r="E33" s="384" t="str">
        <f>'Capital IQ Sheet-GPC'!AG36</f>
        <v>n/a</v>
      </c>
      <c r="F33" s="384" t="str">
        <f>'Capital IQ Sheet-GPC'!AH36</f>
        <v>n/a</v>
      </c>
      <c r="G33" s="384" t="str">
        <f>'Capital IQ Sheet-GPC'!AI36</f>
        <v>n/a</v>
      </c>
      <c r="I33" s="576" t="str">
        <f>'Capital IQ Sheet-GPC'!AJ36</f>
        <v>(Invalid Identifier)</v>
      </c>
      <c r="J33" s="576" t="str">
        <f>'Capital IQ Sheet-GPC'!AK36</f>
        <v>(Invalid Identifier)</v>
      </c>
      <c r="K33" s="576" t="str">
        <f>'Capital IQ Sheet-GPC'!AL36</f>
        <v>(Invalid Identifier)</v>
      </c>
      <c r="M33" s="384" t="str">
        <f>IFERROR(IF(I33/'Comp.1'!H35&gt;$AA$7,"NM",IF((I33/'Comp.1'!H35)&lt;$AC$7,"NM",I33/'Comp.1'!H35)),"n/a")</f>
        <v>n/a</v>
      </c>
      <c r="N33" s="384" t="str">
        <f>IFERROR(IF(J33/'Comp.1'!I35&gt;$AA$7,"NM",IF((J33/'Comp.1'!I35)&lt;$AC$7,"NM",J33/'Comp.1'!I35)),"n/a")</f>
        <v>n/a</v>
      </c>
      <c r="O33" s="384" t="str">
        <f>IFERROR(IF(K33/'Comp.1'!J35&gt;$AA$7,"NM",IF((K33/'Comp.1'!J35)&lt;$AC$7,"NM",K33/'Comp.1'!J35)),"n/a")</f>
        <v>n/a</v>
      </c>
      <c r="P33" s="255"/>
      <c r="Q33" s="576" t="str">
        <f>'Capital IQ Sheet-GPC'!AM36</f>
        <v>(Invalid Identifier)</v>
      </c>
      <c r="R33" s="576" t="str">
        <f>'Capital IQ Sheet-GPC'!AN36</f>
        <v>(Invalid Identifier)</v>
      </c>
      <c r="S33" s="576" t="str">
        <f>'Capital IQ Sheet-GPC'!AO36</f>
        <v>(Invalid Identifier)</v>
      </c>
      <c r="U33" s="384" t="str">
        <f>IFERROR(IF(Q33/'Comp.1'!H35&gt;$AA$7,"NM",IF((Q33/'Comp.1'!H35)&lt;$AC$7,"NM",Q33/'Comp.1'!H35)),"n/a")</f>
        <v>n/a</v>
      </c>
      <c r="V33" s="384" t="str">
        <f>IFERROR(IF(R33/'Comp.1'!I35&gt;$AA$7,"NM",IF((R33/'Comp.1'!I35)&lt;$AC$7,"NM",R33/'Comp.1'!I35)),"n/a")</f>
        <v>n/a</v>
      </c>
      <c r="W33" s="384" t="str">
        <f>IFERROR(IF(S33/'Comp.1'!J35&gt;$AA$7,"NM",IF((S33/'Comp.1'!J35)&lt;$AC$7,"NM",S33/'Comp.1'!J35)),"n/a")</f>
        <v>n/a</v>
      </c>
      <c r="Z33" s="932" t="str">
        <f>IF('MASTER PubCo Inputs'!B51="","",'MASTER PubCo Inputs'!B51)</f>
        <v>(Invalid Identifier)</v>
      </c>
      <c r="AA33" s="179" t="str">
        <f>'Comp.2'!AI35</f>
        <v>(Invalid Identifier)</v>
      </c>
    </row>
    <row r="34" spans="2:27" ht="14.85" hidden="1" customHeight="1" outlineLevel="1">
      <c r="B34" s="179" t="str">
        <f>'Comp.1'!B36</f>
        <v>(Invalid Identifier)</v>
      </c>
      <c r="D34" s="384" t="str">
        <f>'Capital IQ Sheet-GPC'!AF37</f>
        <v>n/a</v>
      </c>
      <c r="E34" s="384" t="str">
        <f>'Capital IQ Sheet-GPC'!AG37</f>
        <v>n/a</v>
      </c>
      <c r="F34" s="384" t="str">
        <f>'Capital IQ Sheet-GPC'!AH37</f>
        <v>n/a</v>
      </c>
      <c r="G34" s="384" t="str">
        <f>'Capital IQ Sheet-GPC'!AI37</f>
        <v>n/a</v>
      </c>
      <c r="I34" s="576" t="str">
        <f>'Capital IQ Sheet-GPC'!AJ37</f>
        <v>(Invalid Identifier)</v>
      </c>
      <c r="J34" s="576" t="str">
        <f>'Capital IQ Sheet-GPC'!AK37</f>
        <v>(Invalid Identifier)</v>
      </c>
      <c r="K34" s="576" t="str">
        <f>'Capital IQ Sheet-GPC'!AL37</f>
        <v>(Invalid Identifier)</v>
      </c>
      <c r="M34" s="384" t="str">
        <f>IFERROR(IF(I34/'Comp.1'!H36&gt;$AA$7,"NM",IF((I34/'Comp.1'!H36)&lt;$AC$7,"NM",I34/'Comp.1'!H36)),"n/a")</f>
        <v>n/a</v>
      </c>
      <c r="N34" s="384" t="str">
        <f>IFERROR(IF(J34/'Comp.1'!I36&gt;$AA$7,"NM",IF((J34/'Comp.1'!I36)&lt;$AC$7,"NM",J34/'Comp.1'!I36)),"n/a")</f>
        <v>n/a</v>
      </c>
      <c r="O34" s="384" t="str">
        <f>IFERROR(IF(K34/'Comp.1'!J36&gt;$AA$7,"NM",IF((K34/'Comp.1'!J36)&lt;$AC$7,"NM",K34/'Comp.1'!J36)),"n/a")</f>
        <v>n/a</v>
      </c>
      <c r="P34" s="255"/>
      <c r="Q34" s="576" t="str">
        <f>'Capital IQ Sheet-GPC'!AM37</f>
        <v>(Invalid Identifier)</v>
      </c>
      <c r="R34" s="576" t="str">
        <f>'Capital IQ Sheet-GPC'!AN37</f>
        <v>(Invalid Identifier)</v>
      </c>
      <c r="S34" s="576" t="str">
        <f>'Capital IQ Sheet-GPC'!AO37</f>
        <v>(Invalid Identifier)</v>
      </c>
      <c r="U34" s="384" t="str">
        <f>IFERROR(IF(Q34/'Comp.1'!H36&gt;$AA$7,"NM",IF((Q34/'Comp.1'!H36)&lt;$AC$7,"NM",Q34/'Comp.1'!H36)),"n/a")</f>
        <v>n/a</v>
      </c>
      <c r="V34" s="384" t="str">
        <f>IFERROR(IF(R34/'Comp.1'!I36&gt;$AA$7,"NM",IF((R34/'Comp.1'!I36)&lt;$AC$7,"NM",R34/'Comp.1'!I36)),"n/a")</f>
        <v>n/a</v>
      </c>
      <c r="W34" s="384" t="str">
        <f>IFERROR(IF(S34/'Comp.1'!J36&gt;$AA$7,"NM",IF((S34/'Comp.1'!J36)&lt;$AC$7,"NM",S34/'Comp.1'!J36)),"n/a")</f>
        <v>n/a</v>
      </c>
      <c r="Z34" s="932" t="str">
        <f>IF('MASTER PubCo Inputs'!B52="","",'MASTER PubCo Inputs'!B52)</f>
        <v>(Invalid Identifier)</v>
      </c>
      <c r="AA34" s="179" t="str">
        <f>'Comp.2'!AI36</f>
        <v>(Invalid Identifier)</v>
      </c>
    </row>
    <row r="35" spans="2:27" ht="14.85" hidden="1" customHeight="1" outlineLevel="1">
      <c r="B35" s="179" t="str">
        <f>'Comp.1'!B37</f>
        <v>(Invalid Identifier)</v>
      </c>
      <c r="D35" s="384" t="str">
        <f>'Capital IQ Sheet-GPC'!AF38</f>
        <v>n/a</v>
      </c>
      <c r="E35" s="384" t="str">
        <f>'Capital IQ Sheet-GPC'!AG38</f>
        <v>n/a</v>
      </c>
      <c r="F35" s="384" t="str">
        <f>'Capital IQ Sheet-GPC'!AH38</f>
        <v>n/a</v>
      </c>
      <c r="G35" s="384" t="str">
        <f>'Capital IQ Sheet-GPC'!AI38</f>
        <v>n/a</v>
      </c>
      <c r="I35" s="576" t="str">
        <f>'Capital IQ Sheet-GPC'!AJ38</f>
        <v>(Invalid Identifier)</v>
      </c>
      <c r="J35" s="576" t="str">
        <f>'Capital IQ Sheet-GPC'!AK38</f>
        <v>(Invalid Identifier)</v>
      </c>
      <c r="K35" s="576" t="str">
        <f>'Capital IQ Sheet-GPC'!AL38</f>
        <v>(Invalid Identifier)</v>
      </c>
      <c r="M35" s="384" t="str">
        <f>IFERROR(IF(I35/'Comp.1'!H37&gt;$AA$7,"NM",IF((I35/'Comp.1'!H37)&lt;$AC$7,"NM",I35/'Comp.1'!H37)),"n/a")</f>
        <v>n/a</v>
      </c>
      <c r="N35" s="384" t="str">
        <f>IFERROR(IF(J35/'Comp.1'!I37&gt;$AA$7,"NM",IF((J35/'Comp.1'!I37)&lt;$AC$7,"NM",J35/'Comp.1'!I37)),"n/a")</f>
        <v>n/a</v>
      </c>
      <c r="O35" s="384" t="str">
        <f>IFERROR(IF(K35/'Comp.1'!J37&gt;$AA$7,"NM",IF((K35/'Comp.1'!J37)&lt;$AC$7,"NM",K35/'Comp.1'!J37)),"n/a")</f>
        <v>n/a</v>
      </c>
      <c r="P35" s="255"/>
      <c r="Q35" s="576" t="str">
        <f>'Capital IQ Sheet-GPC'!AM38</f>
        <v>(Invalid Identifier)</v>
      </c>
      <c r="R35" s="576" t="str">
        <f>'Capital IQ Sheet-GPC'!AN38</f>
        <v>(Invalid Identifier)</v>
      </c>
      <c r="S35" s="576" t="str">
        <f>'Capital IQ Sheet-GPC'!AO38</f>
        <v>(Invalid Identifier)</v>
      </c>
      <c r="U35" s="384" t="str">
        <f>IFERROR(IF(Q35/'Comp.1'!H37&gt;$AA$7,"NM",IF((Q35/'Comp.1'!H37)&lt;$AC$7,"NM",Q35/'Comp.1'!H37)),"n/a")</f>
        <v>n/a</v>
      </c>
      <c r="V35" s="384" t="str">
        <f>IFERROR(IF(R35/'Comp.1'!I37&gt;$AA$7,"NM",IF((R35/'Comp.1'!I37)&lt;$AC$7,"NM",R35/'Comp.1'!I37)),"n/a")</f>
        <v>n/a</v>
      </c>
      <c r="W35" s="384" t="str">
        <f>IFERROR(IF(S35/'Comp.1'!J37&gt;$AA$7,"NM",IF((S35/'Comp.1'!J37)&lt;$AC$7,"NM",S35/'Comp.1'!J37)),"n/a")</f>
        <v>n/a</v>
      </c>
      <c r="Z35" s="932" t="str">
        <f>IF('MASTER PubCo Inputs'!B53="","",'MASTER PubCo Inputs'!B53)</f>
        <v>CPSE:WDH</v>
      </c>
      <c r="AA35" s="179" t="str">
        <f>'Comp.2'!AI37</f>
        <v>(Invalid Identifier)</v>
      </c>
    </row>
    <row r="36" spans="2:27" ht="14.85" hidden="1" customHeight="1" outlineLevel="1">
      <c r="B36" s="179" t="str">
        <f>'Comp.1'!B38</f>
        <v>(Invalid Identifier)</v>
      </c>
      <c r="D36" s="384" t="str">
        <f>'Capital IQ Sheet-GPC'!AF39</f>
        <v>n/a</v>
      </c>
      <c r="E36" s="384" t="str">
        <f>'Capital IQ Sheet-GPC'!AG39</f>
        <v>n/a</v>
      </c>
      <c r="F36" s="384" t="str">
        <f>'Capital IQ Sheet-GPC'!AH39</f>
        <v>n/a</v>
      </c>
      <c r="G36" s="384" t="str">
        <f>'Capital IQ Sheet-GPC'!AI39</f>
        <v>n/a</v>
      </c>
      <c r="I36" s="576" t="str">
        <f>'Capital IQ Sheet-GPC'!AJ39</f>
        <v>(Invalid Identifier)</v>
      </c>
      <c r="J36" s="576" t="str">
        <f>'Capital IQ Sheet-GPC'!AK39</f>
        <v>(Invalid Identifier)</v>
      </c>
      <c r="K36" s="576" t="str">
        <f>'Capital IQ Sheet-GPC'!AL39</f>
        <v>(Invalid Identifier)</v>
      </c>
      <c r="M36" s="384" t="str">
        <f>IFERROR(IF(I36/'Comp.1'!H38&gt;$AA$7,"NM",IF((I36/'Comp.1'!H38)&lt;$AC$7,"NM",I36/'Comp.1'!H38)),"n/a")</f>
        <v>n/a</v>
      </c>
      <c r="N36" s="384" t="str">
        <f>IFERROR(IF(J36/'Comp.1'!I38&gt;$AA$7,"NM",IF((J36/'Comp.1'!I38)&lt;$AC$7,"NM",J36/'Comp.1'!I38)),"n/a")</f>
        <v>n/a</v>
      </c>
      <c r="O36" s="384" t="str">
        <f>IFERROR(IF(K36/'Comp.1'!J38&gt;$AA$7,"NM",IF((K36/'Comp.1'!J38)&lt;$AC$7,"NM",K36/'Comp.1'!J38)),"n/a")</f>
        <v>n/a</v>
      </c>
      <c r="P36" s="255"/>
      <c r="Q36" s="576" t="str">
        <f>'Capital IQ Sheet-GPC'!AM39</f>
        <v>(Invalid Identifier)</v>
      </c>
      <c r="R36" s="576" t="str">
        <f>'Capital IQ Sheet-GPC'!AN39</f>
        <v>(Invalid Identifier)</v>
      </c>
      <c r="S36" s="576" t="str">
        <f>'Capital IQ Sheet-GPC'!AO39</f>
        <v>(Invalid Identifier)</v>
      </c>
      <c r="U36" s="384" t="str">
        <f>IFERROR(IF(Q36/'Comp.1'!H38&gt;$AA$7,"NM",IF((Q36/'Comp.1'!H38)&lt;$AC$7,"NM",Q36/'Comp.1'!H38)),"n/a")</f>
        <v>n/a</v>
      </c>
      <c r="V36" s="384" t="str">
        <f>IFERROR(IF(R36/'Comp.1'!I38&gt;$AA$7,"NM",IF((R36/'Comp.1'!I38)&lt;$AC$7,"NM",R36/'Comp.1'!I38)),"n/a")</f>
        <v>n/a</v>
      </c>
      <c r="W36" s="384" t="str">
        <f>IFERROR(IF(S36/'Comp.1'!J38&gt;$AA$7,"NM",IF((S36/'Comp.1'!J38)&lt;$AC$7,"NM",S36/'Comp.1'!J38)),"n/a")</f>
        <v>n/a</v>
      </c>
      <c r="Z36" s="932" t="str">
        <f>IF('MASTER PubCo Inputs'!B54="","",'MASTER PubCo Inputs'!B54)</f>
        <v>ASX:COH</v>
      </c>
      <c r="AA36" s="179" t="str">
        <f>'Comp.2'!AI38</f>
        <v>(Invalid Identifier)</v>
      </c>
    </row>
    <row r="37" spans="2:27" ht="14.85" hidden="1" customHeight="1" outlineLevel="1">
      <c r="B37" s="179" t="str">
        <f>'Comp.1'!B39</f>
        <v>(Invalid Identifier)</v>
      </c>
      <c r="D37" s="384" t="str">
        <f>'Capital IQ Sheet-GPC'!AF40</f>
        <v>n/a</v>
      </c>
      <c r="E37" s="384" t="str">
        <f>'Capital IQ Sheet-GPC'!AG40</f>
        <v>n/a</v>
      </c>
      <c r="F37" s="384" t="str">
        <f>'Capital IQ Sheet-GPC'!AH40</f>
        <v>n/a</v>
      </c>
      <c r="G37" s="384" t="str">
        <f>'Capital IQ Sheet-GPC'!AI40</f>
        <v>n/a</v>
      </c>
      <c r="I37" s="576" t="str">
        <f>'Capital IQ Sheet-GPC'!AJ40</f>
        <v>(Invalid Identifier)</v>
      </c>
      <c r="J37" s="576" t="str">
        <f>'Capital IQ Sheet-GPC'!AK40</f>
        <v>(Invalid Identifier)</v>
      </c>
      <c r="K37" s="576" t="str">
        <f>'Capital IQ Sheet-GPC'!AL40</f>
        <v>(Invalid Identifier)</v>
      </c>
      <c r="M37" s="384" t="str">
        <f>IFERROR(IF(I37/'Comp.1'!H39&gt;$AA$7,"NM",IF((I37/'Comp.1'!H39)&lt;$AC$7,"NM",I37/'Comp.1'!H39)),"n/a")</f>
        <v>n/a</v>
      </c>
      <c r="N37" s="384" t="str">
        <f>IFERROR(IF(J37/'Comp.1'!I39&gt;$AA$7,"NM",IF((J37/'Comp.1'!I39)&lt;$AC$7,"NM",J37/'Comp.1'!I39)),"n/a")</f>
        <v>n/a</v>
      </c>
      <c r="O37" s="384" t="str">
        <f>IFERROR(IF(K37/'Comp.1'!J39&gt;$AA$7,"NM",IF((K37/'Comp.1'!J39)&lt;$AC$7,"NM",K37/'Comp.1'!J39)),"n/a")</f>
        <v>n/a</v>
      </c>
      <c r="P37" s="255"/>
      <c r="Q37" s="576" t="str">
        <f>'Capital IQ Sheet-GPC'!AM40</f>
        <v>(Invalid Identifier)</v>
      </c>
      <c r="R37" s="576" t="str">
        <f>'Capital IQ Sheet-GPC'!AN40</f>
        <v>(Invalid Identifier)</v>
      </c>
      <c r="S37" s="576" t="str">
        <f>'Capital IQ Sheet-GPC'!AO40</f>
        <v>(Invalid Identifier)</v>
      </c>
      <c r="U37" s="384" t="str">
        <f>IFERROR(IF(Q37/'Comp.1'!H39&gt;$AA$7,"NM",IF((Q37/'Comp.1'!H39)&lt;$AC$7,"NM",Q37/'Comp.1'!H39)),"n/a")</f>
        <v>n/a</v>
      </c>
      <c r="V37" s="384" t="str">
        <f>IFERROR(IF(R37/'Comp.1'!I39&gt;$AA$7,"NM",IF((R37/'Comp.1'!I39)&lt;$AC$7,"NM",R37/'Comp.1'!I39)),"n/a")</f>
        <v>n/a</v>
      </c>
      <c r="W37" s="384" t="str">
        <f>IFERROR(IF(S37/'Comp.1'!J39&gt;$AA$7,"NM",IF((S37/'Comp.1'!J39)&lt;$AC$7,"NM",S37/'Comp.1'!J39)),"n/a")</f>
        <v>n/a</v>
      </c>
      <c r="Z37" s="932" t="str">
        <f>IF('MASTER PubCo Inputs'!B55="","",'MASTER PubCo Inputs'!B55)</f>
        <v>BIT:AMP</v>
      </c>
      <c r="AA37" s="179" t="str">
        <f>'Comp.2'!AI39</f>
        <v>(Invalid Identifier)</v>
      </c>
    </row>
    <row r="38" spans="2:27" ht="14.85" hidden="1" customHeight="1" outlineLevel="1">
      <c r="B38" s="179" t="str">
        <f>'Comp.1'!B40</f>
        <v>(Invalid Identifier)</v>
      </c>
      <c r="D38" s="384" t="str">
        <f>'Capital IQ Sheet-GPC'!AF41</f>
        <v>n/a</v>
      </c>
      <c r="E38" s="384" t="str">
        <f>'Capital IQ Sheet-GPC'!AG41</f>
        <v>n/a</v>
      </c>
      <c r="F38" s="384" t="str">
        <f>'Capital IQ Sheet-GPC'!AH41</f>
        <v>n/a</v>
      </c>
      <c r="G38" s="384" t="str">
        <f>'Capital IQ Sheet-GPC'!AI41</f>
        <v>n/a</v>
      </c>
      <c r="I38" s="576" t="str">
        <f>'Capital IQ Sheet-GPC'!AJ41</f>
        <v>(Invalid Identifier)</v>
      </c>
      <c r="J38" s="576" t="str">
        <f>'Capital IQ Sheet-GPC'!AK41</f>
        <v>(Invalid Identifier)</v>
      </c>
      <c r="K38" s="576" t="str">
        <f>'Capital IQ Sheet-GPC'!AL41</f>
        <v>(Invalid Identifier)</v>
      </c>
      <c r="M38" s="384" t="str">
        <f>IFERROR(IF(I38/'Comp.1'!H40&gt;$AA$7,"NM",IF((I38/'Comp.1'!H40)&lt;$AC$7,"NM",I38/'Comp.1'!H40)),"n/a")</f>
        <v>n/a</v>
      </c>
      <c r="N38" s="384" t="str">
        <f>IFERROR(IF(J38/'Comp.1'!I40&gt;$AA$7,"NM",IF((J38/'Comp.1'!I40)&lt;$AC$7,"NM",J38/'Comp.1'!I40)),"n/a")</f>
        <v>n/a</v>
      </c>
      <c r="O38" s="384" t="str">
        <f>IFERROR(IF(K38/'Comp.1'!J40&gt;$AA$7,"NM",IF((K38/'Comp.1'!J40)&lt;$AC$7,"NM",K38/'Comp.1'!J40)),"n/a")</f>
        <v>n/a</v>
      </c>
      <c r="P38" s="255"/>
      <c r="Q38" s="576" t="str">
        <f>'Capital IQ Sheet-GPC'!AM41</f>
        <v>(Invalid Identifier)</v>
      </c>
      <c r="R38" s="576" t="str">
        <f>'Capital IQ Sheet-GPC'!AN41</f>
        <v>(Invalid Identifier)</v>
      </c>
      <c r="S38" s="576" t="str">
        <f>'Capital IQ Sheet-GPC'!AO41</f>
        <v>(Invalid Identifier)</v>
      </c>
      <c r="U38" s="384" t="str">
        <f>IFERROR(IF(Q38/'Comp.1'!H40&gt;$AA$7,"NM",IF((Q38/'Comp.1'!H40)&lt;$AC$7,"NM",Q38/'Comp.1'!H40)),"n/a")</f>
        <v>n/a</v>
      </c>
      <c r="V38" s="384" t="str">
        <f>IFERROR(IF(R38/'Comp.1'!I40&gt;$AA$7,"NM",IF((R38/'Comp.1'!I40)&lt;$AC$7,"NM",R38/'Comp.1'!I40)),"n/a")</f>
        <v>n/a</v>
      </c>
      <c r="W38" s="384" t="str">
        <f>IFERROR(IF(S38/'Comp.1'!J40&gt;$AA$7,"NM",IF((S38/'Comp.1'!J40)&lt;$AC$7,"NM",S38/'Comp.1'!J40)),"n/a")</f>
        <v>n/a</v>
      </c>
      <c r="Z38" s="932" t="str">
        <f>IF('MASTER PubCo Inputs'!B56="","",'MASTER PubCo Inputs'!B56)</f>
        <v>OM:ELOS B</v>
      </c>
      <c r="AA38" s="179" t="str">
        <f>'Comp.2'!AI40</f>
        <v>(Invalid Identifier)</v>
      </c>
    </row>
    <row r="39" spans="2:27" ht="14.85" hidden="1" customHeight="1" outlineLevel="1">
      <c r="B39" s="179" t="str">
        <f>'Comp.1'!B41</f>
        <v>(Invalid Identifier)</v>
      </c>
      <c r="D39" s="384" t="str">
        <f>'Capital IQ Sheet-GPC'!AF42</f>
        <v>n/a</v>
      </c>
      <c r="E39" s="384" t="str">
        <f>'Capital IQ Sheet-GPC'!AG42</f>
        <v>n/a</v>
      </c>
      <c r="F39" s="384" t="str">
        <f>'Capital IQ Sheet-GPC'!AH42</f>
        <v>n/a</v>
      </c>
      <c r="G39" s="384" t="str">
        <f>'Capital IQ Sheet-GPC'!AI42</f>
        <v>n/a</v>
      </c>
      <c r="I39" s="576" t="str">
        <f>'Capital IQ Sheet-GPC'!AJ42</f>
        <v>(Invalid Identifier)</v>
      </c>
      <c r="J39" s="576" t="str">
        <f>'Capital IQ Sheet-GPC'!AK42</f>
        <v>(Invalid Identifier)</v>
      </c>
      <c r="K39" s="576" t="str">
        <f>'Capital IQ Sheet-GPC'!AL42</f>
        <v>(Invalid Identifier)</v>
      </c>
      <c r="M39" s="384" t="str">
        <f>IFERROR(IF(I39/'Comp.1'!H41&gt;$AA$7,"NM",IF((I39/'Comp.1'!H41)&lt;$AC$7,"NM",I39/'Comp.1'!H41)),"n/a")</f>
        <v>n/a</v>
      </c>
      <c r="N39" s="384" t="str">
        <f>IFERROR(IF(J39/'Comp.1'!I41&gt;$AA$7,"NM",IF((J39/'Comp.1'!I41)&lt;$AC$7,"NM",J39/'Comp.1'!I41)),"n/a")</f>
        <v>n/a</v>
      </c>
      <c r="O39" s="384" t="str">
        <f>IFERROR(IF(K39/'Comp.1'!J41&gt;$AA$7,"NM",IF((K39/'Comp.1'!J41)&lt;$AC$7,"NM",K39/'Comp.1'!J41)),"n/a")</f>
        <v>n/a</v>
      </c>
      <c r="P39" s="255"/>
      <c r="Q39" s="576" t="str">
        <f>'Capital IQ Sheet-GPC'!AM42</f>
        <v>(Invalid Identifier)</v>
      </c>
      <c r="R39" s="576" t="str">
        <f>'Capital IQ Sheet-GPC'!AN42</f>
        <v>(Invalid Identifier)</v>
      </c>
      <c r="S39" s="576" t="str">
        <f>'Capital IQ Sheet-GPC'!AO42</f>
        <v>(Invalid Identifier)</v>
      </c>
      <c r="U39" s="384" t="str">
        <f>IFERROR(IF(Q39/'Comp.1'!H41&gt;$AA$7,"NM",IF((Q39/'Comp.1'!H41)&lt;$AC$7,"NM",Q39/'Comp.1'!H41)),"n/a")</f>
        <v>n/a</v>
      </c>
      <c r="V39" s="384" t="str">
        <f>IFERROR(IF(R39/'Comp.1'!I41&gt;$AA$7,"NM",IF((R39/'Comp.1'!I41)&lt;$AC$7,"NM",R39/'Comp.1'!I41)),"n/a")</f>
        <v>n/a</v>
      </c>
      <c r="W39" s="384" t="str">
        <f>IFERROR(IF(S39/'Comp.1'!J41&gt;$AA$7,"NM",IF((S39/'Comp.1'!J41)&lt;$AC$7,"NM",S39/'Comp.1'!J41)),"n/a")</f>
        <v>n/a</v>
      </c>
      <c r="Z39" s="932" t="str">
        <f>IF('MASTER PubCo Inputs'!B57="","",'MASTER PubCo Inputs'!B57)</f>
        <v>(Invalid Identifier)</v>
      </c>
      <c r="AA39" s="179" t="str">
        <f>'Comp.2'!AI41</f>
        <v>(Invalid Identifier)</v>
      </c>
    </row>
    <row r="40" spans="2:27" ht="14.85" customHeight="1" collapsed="1">
      <c r="I40" s="255"/>
      <c r="J40" s="255"/>
      <c r="K40" s="255"/>
      <c r="M40" s="255"/>
      <c r="N40" s="255"/>
      <c r="O40" s="255"/>
      <c r="P40" s="255"/>
    </row>
    <row r="41" spans="2:27" ht="14.85" customHeight="1">
      <c r="B41" s="935" t="s">
        <v>111</v>
      </c>
      <c r="C41" s="936"/>
      <c r="D41" s="1044">
        <f>MAX(D10:D40)</f>
        <v>1</v>
      </c>
      <c r="E41" s="1044">
        <f>MAX(E10:E40)</f>
        <v>0</v>
      </c>
      <c r="F41" s="1044">
        <f>MAX(F10:F40)</f>
        <v>0</v>
      </c>
      <c r="G41" s="1044">
        <f>MAX(G10:G40)</f>
        <v>0</v>
      </c>
      <c r="H41" s="936"/>
      <c r="I41" s="938">
        <f>MAX(I10:I40)</f>
        <v>4.7013699999999998</v>
      </c>
      <c r="J41" s="938">
        <f>MAX(J10:J40)</f>
        <v>3.4447899999999998</v>
      </c>
      <c r="K41" s="939">
        <f>MAX(K10:K40)</f>
        <v>3.6971699999999998</v>
      </c>
      <c r="L41" s="936"/>
      <c r="M41" s="1044">
        <f>MAX(M10:M40)</f>
        <v>0.20038966563432126</v>
      </c>
      <c r="N41" s="1044">
        <f>MAX(N10:N40)</f>
        <v>0.10044656981024792</v>
      </c>
      <c r="O41" s="1044">
        <f>MAX(O10:O40)</f>
        <v>2.3676575945331013E-2</v>
      </c>
      <c r="P41" s="938"/>
      <c r="Q41" s="938">
        <f>MAX(Q10:Q40)</f>
        <v>-8.3379999999999996E-2</v>
      </c>
      <c r="R41" s="938">
        <f>MAX(R10:R40)</f>
        <v>0</v>
      </c>
      <c r="S41" s="938">
        <f>MAX(S10:S40)</f>
        <v>0</v>
      </c>
      <c r="T41" s="936"/>
      <c r="U41" s="1044">
        <f>MAX(U10:U40)</f>
        <v>-0.40652437615526804</v>
      </c>
      <c r="V41" s="1044">
        <f>MAX(V10:V40)</f>
        <v>0</v>
      </c>
      <c r="W41" s="1045">
        <f>MAX(W10:W40)</f>
        <v>0</v>
      </c>
    </row>
    <row r="42" spans="2:27" ht="14.85" customHeight="1">
      <c r="B42" s="941" t="s">
        <v>115</v>
      </c>
      <c r="C42" s="942"/>
      <c r="D42" s="1046">
        <f>QUARTILE(D10:D40,3)</f>
        <v>0.63204250000000006</v>
      </c>
      <c r="E42" s="1046">
        <f>QUARTILE(E10:E40,3)</f>
        <v>-2.3875999999999994E-2</v>
      </c>
      <c r="F42" s="1046">
        <f>QUARTILE(F10:F40,3)</f>
        <v>-5.2972750000000013E-2</v>
      </c>
      <c r="G42" s="1046">
        <f>QUARTILE(G10:G40,3)</f>
        <v>-5.9969250000000002E-2</v>
      </c>
      <c r="H42" s="942"/>
      <c r="I42" s="944">
        <f>QUARTILE(I10:I40,3)</f>
        <v>6.9775000000000004E-2</v>
      </c>
      <c r="J42" s="944">
        <f>QUARTILE(J10:J40,3)</f>
        <v>-0.1178575</v>
      </c>
      <c r="K42" s="945">
        <f>QUARTILE(K10:K40,3)</f>
        <v>0.87277000000000005</v>
      </c>
      <c r="L42" s="942"/>
      <c r="M42" s="1046">
        <f>QUARTILE(M10:M40,3)</f>
        <v>-5.1009593426754374E-2</v>
      </c>
      <c r="N42" s="1046">
        <f>QUARTILE(N10:N40,3)</f>
        <v>0.10044656981024792</v>
      </c>
      <c r="O42" s="1046">
        <f>QUARTILE(O10:O40,3)</f>
        <v>2.3676575945331013E-2</v>
      </c>
      <c r="P42" s="944"/>
      <c r="Q42" s="944">
        <f>QUARTILE(Q10:Q40,3)</f>
        <v>-0.4811875000000001</v>
      </c>
      <c r="R42" s="944">
        <f>QUARTILE(R10:R40,3)</f>
        <v>-0.12414</v>
      </c>
      <c r="S42" s="944">
        <f>QUARTILE(S10:S40,3)</f>
        <v>-4.5500000000000002E-3</v>
      </c>
      <c r="T42" s="942"/>
      <c r="U42" s="1046">
        <f>QUARTILE(U10:U40,3)</f>
        <v>-0.51740355327503773</v>
      </c>
      <c r="V42" s="1046">
        <f>QUARTILE(V10:V40,3)</f>
        <v>-0.11625146706128489</v>
      </c>
      <c r="W42" s="1047">
        <f>QUARTILE(W10:W40,3)</f>
        <v>-5.2380943008526283E-2</v>
      </c>
    </row>
    <row r="43" spans="2:27" ht="14.85" customHeight="1">
      <c r="B43" s="941" t="s">
        <v>113</v>
      </c>
      <c r="C43" s="942"/>
      <c r="D43" s="1046">
        <f>AVERAGE(D10:D40)</f>
        <v>9.5753000000000033E-2</v>
      </c>
      <c r="E43" s="1046">
        <f>AVERAGE(E10:E40)</f>
        <v>-4.7751999999999996E-2</v>
      </c>
      <c r="F43" s="1046">
        <f>AVERAGE(F10:F40)</f>
        <v>-0.1059455</v>
      </c>
      <c r="G43" s="1046">
        <f>AVERAGE(G10:G40)</f>
        <v>-0.1199385</v>
      </c>
      <c r="H43" s="942"/>
      <c r="I43" s="944">
        <f>AVERAGE(I10:I40)</f>
        <v>-1.9581725000000001</v>
      </c>
      <c r="J43" s="944">
        <f>AVERAGE(J10:J40)</f>
        <v>-5.53736125</v>
      </c>
      <c r="K43" s="945">
        <f>AVERAGE(K10:K40)</f>
        <v>-4.0445122222222221</v>
      </c>
      <c r="L43" s="942"/>
      <c r="M43" s="1046">
        <f>AVERAGE(M10:M40)</f>
        <v>-0.30240885248783012</v>
      </c>
      <c r="N43" s="1046">
        <f>AVERAGE(N10:N40)</f>
        <v>0.10044656981024792</v>
      </c>
      <c r="O43" s="1046">
        <f>AVERAGE(O10:O40)</f>
        <v>2.3676575945331013E-2</v>
      </c>
      <c r="P43" s="944"/>
      <c r="Q43" s="944">
        <f>AVERAGE(Q10:Q40)</f>
        <v>-5.0507599999999995</v>
      </c>
      <c r="R43" s="944">
        <f>AVERAGE(R10:R40)</f>
        <v>-2.4265942857142861</v>
      </c>
      <c r="S43" s="944">
        <f>AVERAGE(S10:S40)</f>
        <v>-0.88610571428571439</v>
      </c>
      <c r="T43" s="942"/>
      <c r="U43" s="1046">
        <f>AVERAGE(U10:U40)</f>
        <v>-0.62828273039480731</v>
      </c>
      <c r="V43" s="1046">
        <f>AVERAGE(V10:V40)</f>
        <v>-0.25771458118869245</v>
      </c>
      <c r="W43" s="1047">
        <f>AVERAGE(W10:W40)</f>
        <v>-0.23179198010525895</v>
      </c>
    </row>
    <row r="44" spans="2:27" ht="14.85" customHeight="1">
      <c r="B44" s="941" t="s">
        <v>44</v>
      </c>
      <c r="C44" s="942"/>
      <c r="D44" s="1046">
        <f>MEDIAN(D10:D40)</f>
        <v>0.254695</v>
      </c>
      <c r="E44" s="1046">
        <f>MEDIAN(E10:E40)</f>
        <v>-4.7751999999999996E-2</v>
      </c>
      <c r="F44" s="1046">
        <f>MEDIAN(F10:F40)</f>
        <v>-0.1059455</v>
      </c>
      <c r="G44" s="1046">
        <f>MEDIAN(G10:G40)</f>
        <v>-0.1199385</v>
      </c>
      <c r="H44" s="942"/>
      <c r="I44" s="944">
        <f>MEDIAN(I10:I40)</f>
        <v>-1.544975</v>
      </c>
      <c r="J44" s="944">
        <f>MEDIAN(J10:J40)</f>
        <v>-2.4671500000000002</v>
      </c>
      <c r="K44" s="945">
        <f>MEDIAN(K10:K40)</f>
        <v>-1.056</v>
      </c>
      <c r="L44" s="942"/>
      <c r="M44" s="1046">
        <f>MEDIAN(M10:M40)</f>
        <v>-0.30240885248783012</v>
      </c>
      <c r="N44" s="1046">
        <f>MEDIAN(N10:N40)</f>
        <v>0.10044656981024792</v>
      </c>
      <c r="O44" s="1046">
        <f>MEDIAN(O10:O40)</f>
        <v>2.3676575945331013E-2</v>
      </c>
      <c r="P44" s="944"/>
      <c r="Q44" s="944">
        <f>MEDIAN(Q10:Q40)</f>
        <v>-1.6642749999999999</v>
      </c>
      <c r="R44" s="944">
        <f>MEDIAN(R10:R40)</f>
        <v>-2.68025</v>
      </c>
      <c r="S44" s="944">
        <f>MEDIAN(S10:S40)</f>
        <v>-0.14529</v>
      </c>
      <c r="T44" s="942"/>
      <c r="U44" s="1046">
        <f>MEDIAN(U10:U40)</f>
        <v>-0.62828273039480731</v>
      </c>
      <c r="V44" s="1046">
        <f>MEDIAN(V10:V40)</f>
        <v>-0.23250293412256978</v>
      </c>
      <c r="W44" s="1047">
        <f>MEDIAN(W10:W40)</f>
        <v>-0.13907741200570514</v>
      </c>
    </row>
    <row r="45" spans="2:27" ht="14.85" customHeight="1">
      <c r="B45" s="941" t="s">
        <v>114</v>
      </c>
      <c r="C45" s="942"/>
      <c r="D45" s="1046">
        <f>QUARTILE(D10:D40,1)</f>
        <v>-0.28159449999999997</v>
      </c>
      <c r="E45" s="1046">
        <f>QUARTILE(E10:E40,1)</f>
        <v>-7.1627999999999997E-2</v>
      </c>
      <c r="F45" s="1046">
        <f>QUARTILE(F10:F40,1)</f>
        <v>-0.15891824999999998</v>
      </c>
      <c r="G45" s="1046">
        <f>QUARTILE(G10:G40,1)</f>
        <v>-0.17990775000000001</v>
      </c>
      <c r="H45" s="942"/>
      <c r="I45" s="944">
        <f>QUARTILE(I10:I40,1)</f>
        <v>-5.2434250000000002</v>
      </c>
      <c r="J45" s="944">
        <f>QUARTILE(J10:J40,1)</f>
        <v>-4.5720825000000005</v>
      </c>
      <c r="K45" s="945">
        <f>QUARTILE(K10:K40,1)</f>
        <v>-4.6525699999999999</v>
      </c>
      <c r="L45" s="942"/>
      <c r="M45" s="1046">
        <f>QUARTILE(M10:M40,1)</f>
        <v>-0.55380811154890575</v>
      </c>
      <c r="N45" s="1046">
        <f>QUARTILE(N10:N40,1)</f>
        <v>0.10044656981024792</v>
      </c>
      <c r="O45" s="1046">
        <f>QUARTILE(O10:O40,1)</f>
        <v>2.3676575945331013E-2</v>
      </c>
      <c r="P45" s="944"/>
      <c r="Q45" s="944">
        <f>QUARTILE(Q10:Q40,1)</f>
        <v>-2.032</v>
      </c>
      <c r="R45" s="944">
        <f>QUARTILE(R10:R40,1)</f>
        <v>-3.0419999999999998</v>
      </c>
      <c r="S45" s="944">
        <f>QUARTILE(S10:S40,1)</f>
        <v>-1.6935</v>
      </c>
      <c r="T45" s="942"/>
      <c r="U45" s="1046">
        <f>QUARTILE(U10:U40,1)</f>
        <v>-0.739161907514577</v>
      </c>
      <c r="V45" s="1046">
        <f>QUARTILE(V10:V40,1)</f>
        <v>-0.38657187178303865</v>
      </c>
      <c r="W45" s="1047">
        <f>QUARTILE(W10:W40,1)</f>
        <v>-0.14222588817533732</v>
      </c>
    </row>
    <row r="46" spans="2:27" ht="14.85" customHeight="1">
      <c r="B46" s="946" t="s">
        <v>112</v>
      </c>
      <c r="C46" s="663"/>
      <c r="D46" s="1048">
        <f>MIN(D10:D40)</f>
        <v>-1.1263779999999999</v>
      </c>
      <c r="E46" s="1048">
        <f>MIN(E10:E40)</f>
        <v>-9.5503999999999992E-2</v>
      </c>
      <c r="F46" s="1048">
        <f>MIN(F10:F40)</f>
        <v>-0.211891</v>
      </c>
      <c r="G46" s="1048">
        <f>MIN(G10:G40)</f>
        <v>-0.23987700000000001</v>
      </c>
      <c r="H46" s="663"/>
      <c r="I46" s="672">
        <f>MIN(I10:I40)</f>
        <v>-7.24</v>
      </c>
      <c r="J46" s="672">
        <f>MIN(J10:J40)</f>
        <v>-33.052999999999997</v>
      </c>
      <c r="K46" s="948">
        <f>MIN(K10:K40)</f>
        <v>-27.003</v>
      </c>
      <c r="L46" s="663"/>
      <c r="M46" s="1048">
        <f>MIN(M10:M40)</f>
        <v>-0.80520737060998149</v>
      </c>
      <c r="N46" s="1048">
        <f>MIN(N10:N40)</f>
        <v>0.10044656981024792</v>
      </c>
      <c r="O46" s="1048">
        <f>MIN(O10:O40)</f>
        <v>2.3676575945331013E-2</v>
      </c>
      <c r="P46" s="672"/>
      <c r="Q46" s="672">
        <f>MIN(Q10:Q40)</f>
        <v>-24.651230000000002</v>
      </c>
      <c r="R46" s="672">
        <f>MIN(R10:R40)</f>
        <v>-7.97363</v>
      </c>
      <c r="S46" s="672">
        <f>MIN(S10:S40)</f>
        <v>-2.6613500000000001</v>
      </c>
      <c r="T46" s="663"/>
      <c r="U46" s="1048">
        <f>MIN(U10:U40)</f>
        <v>-0.85004108463434669</v>
      </c>
      <c r="V46" s="1048">
        <f>MIN(V10:V40)</f>
        <v>-0.54064080944350756</v>
      </c>
      <c r="W46" s="1049">
        <f>MIN(W10:W40)</f>
        <v>-0.82527565733672603</v>
      </c>
    </row>
    <row r="47" spans="2:27" ht="14.85" customHeight="1"/>
    <row r="48" spans="2:27" ht="14.85" customHeight="1">
      <c r="B48" s="272" t="s">
        <v>116</v>
      </c>
    </row>
    <row r="49" spans="2:24" ht="14.85" customHeight="1">
      <c r="B49" s="272"/>
    </row>
    <row r="50" spans="2:24" ht="14.85" customHeight="1"/>
    <row r="51" spans="2:24" ht="14.85" customHeight="1"/>
    <row r="52" spans="2:24" ht="14.85" customHeight="1"/>
    <row r="53" spans="2:24" ht="14.85" customHeight="1"/>
    <row r="54" spans="2:24" ht="14.85" customHeight="1"/>
    <row r="55" spans="2:24" s="200" customFormat="1" ht="14.85" customHeight="1">
      <c r="B55" s="1050" t="s">
        <v>352</v>
      </c>
      <c r="C55" s="1051"/>
      <c r="D55" s="1052" t="s">
        <v>348</v>
      </c>
      <c r="E55" s="1052" t="s">
        <v>349</v>
      </c>
      <c r="F55" s="1052" t="s">
        <v>350</v>
      </c>
      <c r="G55" s="1053" t="s">
        <v>351</v>
      </c>
      <c r="X55" s="179"/>
    </row>
    <row r="56" spans="2:24" ht="14.85" customHeight="1"/>
    <row r="57" spans="2:24" ht="14.85" customHeight="1"/>
    <row r="58" spans="2:24" ht="14.85" customHeight="1"/>
    <row r="59" spans="2:24" ht="14.85" customHeight="1"/>
    <row r="60" spans="2:24" ht="14.85" customHeight="1"/>
    <row r="61" spans="2:24" ht="14.85" customHeight="1"/>
    <row r="62" spans="2:24" ht="14.85" customHeight="1"/>
    <row r="63" spans="2:24" ht="14.85" customHeight="1"/>
    <row r="64" spans="2:2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M7:O7"/>
  </mergeCells>
  <conditionalFormatting sqref="B10:B39">
    <cfRule type="cellIs" dxfId="6" priority="21" operator="equal">
      <formula>"(Invalid Identifier)"</formula>
    </cfRule>
  </conditionalFormatting>
  <conditionalFormatting sqref="C4:I4 M4:W4">
    <cfRule type="cellIs" dxfId="5" priority="20" stopIfTrue="1" operator="equal">
      <formula>"input"</formula>
    </cfRule>
  </conditionalFormatting>
  <conditionalFormatting sqref="J4">
    <cfRule type="cellIs" dxfId="4" priority="18" stopIfTrue="1" operator="equal">
      <formula>"input"</formula>
    </cfRule>
  </conditionalFormatting>
  <conditionalFormatting sqref="J4">
    <cfRule type="cellIs" dxfId="3" priority="19" stopIfTrue="1" operator="equal">
      <formula>"input"</formula>
    </cfRule>
  </conditionalFormatting>
  <conditionalFormatting sqref="L4">
    <cfRule type="cellIs" dxfId="2" priority="9" stopIfTrue="1" operator="equal">
      <formula>"input"</formula>
    </cfRule>
  </conditionalFormatting>
  <conditionalFormatting sqref="B4">
    <cfRule type="cellIs" dxfId="1" priority="2" stopIfTrue="1" operator="equal">
      <formula>"input"</formula>
    </cfRule>
  </conditionalFormatting>
  <conditionalFormatting sqref="K4">
    <cfRule type="cellIs" dxfId="0" priority="1" stopIfTrue="1" operator="equal">
      <formula>"input"</formula>
    </cfRule>
  </conditionalFormatting>
  <pageMargins left="0.5" right="0.5" top="0.5" bottom="0.5" header="0.5" footer="0.5"/>
  <pageSetup scale="75" fitToWidth="0" fitToHeight="0" orientation="landscape" r:id="rId1"/>
  <colBreaks count="1" manualBreakCount="1">
    <brk id="11" max="47" man="1"/>
  </colBreaks>
  <legacyDrawingHF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20">
    <tabColor theme="3" tint="-0.499984740745262"/>
    <pageSetUpPr fitToPage="1"/>
  </sheetPr>
  <dimension ref="A1:G30"/>
  <sheetViews>
    <sheetView showGridLines="0" view="pageBreakPreview" zoomScale="60" zoomScaleNormal="100" workbookViewId="0"/>
  </sheetViews>
  <sheetFormatPr defaultColWidth="9.33203125" defaultRowHeight="14.25"/>
  <cols>
    <col min="1" max="1" width="4.5" style="155" customWidth="1"/>
    <col min="2" max="2" width="3.83203125" style="155" customWidth="1"/>
    <col min="3" max="3" width="15.83203125" style="155" customWidth="1"/>
    <col min="4" max="4" width="105.33203125" style="173" customWidth="1"/>
    <col min="5" max="5" width="15.83203125" style="155" customWidth="1"/>
    <col min="6" max="6" width="3.83203125" style="155" customWidth="1"/>
    <col min="7" max="7" width="4.5" style="155" customWidth="1"/>
    <col min="8" max="8" width="9.33203125" style="231"/>
    <col min="9" max="9" width="16.33203125" style="231" bestFit="1" customWidth="1"/>
    <col min="10" max="10" width="19" style="231" bestFit="1" customWidth="1"/>
    <col min="11" max="16384" width="9.33203125" style="231"/>
  </cols>
  <sheetData>
    <row r="1" spans="1:7" ht="12.75">
      <c r="A1" s="231"/>
      <c r="B1" s="231"/>
      <c r="C1" s="231"/>
      <c r="D1" s="278"/>
      <c r="E1" s="231"/>
      <c r="F1" s="231"/>
      <c r="G1" s="231"/>
    </row>
    <row r="2" spans="1:7" ht="12.75">
      <c r="A2" s="231"/>
      <c r="B2" s="231"/>
      <c r="C2" s="231"/>
      <c r="D2" s="278"/>
      <c r="E2" s="231"/>
      <c r="F2" s="231"/>
      <c r="G2" s="231"/>
    </row>
    <row r="3" spans="1:7" ht="12.75">
      <c r="A3" s="231"/>
      <c r="B3" s="231"/>
      <c r="C3" s="231"/>
      <c r="D3" s="278"/>
      <c r="E3" s="231"/>
      <c r="F3" s="231"/>
      <c r="G3" s="231"/>
    </row>
    <row r="4" spans="1:7" ht="12.75">
      <c r="A4" s="231"/>
      <c r="B4" s="231"/>
      <c r="C4" s="231"/>
      <c r="D4" s="278"/>
      <c r="E4" s="231"/>
      <c r="F4" s="231"/>
      <c r="G4" s="231"/>
    </row>
    <row r="5" spans="1:7" ht="12.75">
      <c r="A5" s="231"/>
      <c r="B5" s="231"/>
      <c r="C5" s="231"/>
      <c r="D5" s="278"/>
      <c r="E5" s="231"/>
      <c r="F5" s="231"/>
      <c r="G5" s="231"/>
    </row>
    <row r="6" spans="1:7" ht="12.75">
      <c r="A6" s="231"/>
      <c r="B6" s="231"/>
      <c r="C6" s="279"/>
      <c r="D6" s="280"/>
      <c r="E6" s="279"/>
      <c r="F6" s="279"/>
      <c r="G6" s="231"/>
    </row>
    <row r="7" spans="1:7" ht="13.5" thickBot="1">
      <c r="A7" s="231"/>
      <c r="B7" s="231"/>
      <c r="C7" s="279"/>
      <c r="D7" s="280"/>
      <c r="E7" s="279"/>
      <c r="F7" s="279"/>
      <c r="G7" s="231"/>
    </row>
    <row r="8" spans="1:7" ht="15" thickTop="1">
      <c r="A8" s="231"/>
      <c r="B8" s="157"/>
      <c r="C8" s="158"/>
      <c r="D8" s="159"/>
      <c r="E8" s="158"/>
      <c r="F8" s="158"/>
      <c r="G8" s="231"/>
    </row>
    <row r="9" spans="1:7" ht="39.75">
      <c r="A9" s="231"/>
      <c r="B9" s="160"/>
      <c r="C9" s="162"/>
      <c r="D9" s="189" t="s">
        <v>468</v>
      </c>
      <c r="E9" s="162"/>
      <c r="F9" s="162"/>
      <c r="G9" s="163"/>
    </row>
    <row r="10" spans="1:7" ht="15" thickBot="1">
      <c r="A10" s="231"/>
      <c r="B10" s="170"/>
      <c r="C10" s="171"/>
      <c r="D10" s="172"/>
      <c r="E10" s="171"/>
      <c r="F10" s="171"/>
      <c r="G10" s="231"/>
    </row>
    <row r="11" spans="1:7" ht="13.5" thickTop="1">
      <c r="A11" s="231"/>
      <c r="B11" s="231"/>
      <c r="C11" s="231"/>
      <c r="D11" s="278"/>
      <c r="E11" s="231"/>
      <c r="F11" s="231"/>
      <c r="G11" s="231"/>
    </row>
    <row r="12" spans="1:7" ht="12.75">
      <c r="A12" s="231"/>
      <c r="B12" s="231"/>
      <c r="C12" s="231"/>
      <c r="D12" s="278"/>
      <c r="E12" s="231"/>
      <c r="F12" s="231"/>
      <c r="G12" s="231"/>
    </row>
    <row r="13" spans="1:7" ht="12.75">
      <c r="A13" s="231"/>
      <c r="B13" s="231"/>
      <c r="C13" s="231"/>
      <c r="D13" s="866"/>
      <c r="E13" s="231"/>
      <c r="F13" s="231"/>
      <c r="G13" s="231"/>
    </row>
    <row r="14" spans="1:7" ht="18">
      <c r="A14" s="231"/>
      <c r="B14" s="231"/>
      <c r="C14" s="231"/>
      <c r="D14" s="175"/>
      <c r="E14" s="231"/>
      <c r="F14" s="231"/>
      <c r="G14" s="231"/>
    </row>
    <row r="15" spans="1:7" ht="12.75">
      <c r="A15" s="231"/>
      <c r="B15" s="231"/>
      <c r="C15" s="231"/>
      <c r="D15" s="278"/>
      <c r="E15" s="231"/>
      <c r="F15" s="231"/>
      <c r="G15" s="231"/>
    </row>
    <row r="16" spans="1:7" ht="12.75">
      <c r="A16" s="231"/>
      <c r="B16" s="231"/>
      <c r="C16" s="231"/>
      <c r="D16" s="278"/>
      <c r="E16" s="231"/>
      <c r="F16" s="231"/>
      <c r="G16" s="231"/>
    </row>
    <row r="17" spans="1:7" ht="12.75">
      <c r="A17" s="231"/>
      <c r="B17" s="231"/>
      <c r="C17" s="231"/>
      <c r="D17" s="278"/>
      <c r="E17" s="231"/>
      <c r="F17" s="231"/>
      <c r="G17" s="231"/>
    </row>
    <row r="18" spans="1:7" ht="12.75">
      <c r="A18" s="231"/>
      <c r="B18" s="231"/>
      <c r="C18" s="231"/>
      <c r="D18" s="278"/>
      <c r="E18" s="231"/>
      <c r="F18" s="231"/>
      <c r="G18" s="231"/>
    </row>
    <row r="19" spans="1:7" ht="12.75">
      <c r="A19" s="231"/>
      <c r="B19" s="231"/>
      <c r="C19" s="231"/>
      <c r="D19" s="278"/>
      <c r="E19" s="231"/>
      <c r="F19" s="231"/>
      <c r="G19" s="231"/>
    </row>
    <row r="20" spans="1:7" ht="12.75">
      <c r="A20" s="231"/>
      <c r="B20" s="231"/>
      <c r="C20" s="231"/>
      <c r="D20" s="278"/>
      <c r="E20" s="231"/>
      <c r="F20" s="231"/>
      <c r="G20" s="231"/>
    </row>
    <row r="21" spans="1:7" ht="12.75">
      <c r="A21" s="231"/>
      <c r="B21" s="231"/>
      <c r="C21" s="231"/>
      <c r="D21" s="278"/>
      <c r="E21" s="231"/>
      <c r="F21" s="231"/>
      <c r="G21" s="231"/>
    </row>
    <row r="22" spans="1:7" ht="12.75">
      <c r="A22" s="231"/>
      <c r="B22" s="231"/>
      <c r="C22" s="231"/>
      <c r="D22" s="278"/>
      <c r="E22" s="231"/>
      <c r="F22" s="231"/>
      <c r="G22" s="231"/>
    </row>
    <row r="23" spans="1:7" ht="12.75">
      <c r="A23" s="231"/>
      <c r="B23" s="231"/>
      <c r="C23" s="231"/>
      <c r="D23" s="278"/>
      <c r="E23" s="231"/>
      <c r="F23" s="231"/>
      <c r="G23" s="231"/>
    </row>
    <row r="24" spans="1:7" ht="12.75">
      <c r="A24" s="231"/>
      <c r="B24" s="231"/>
      <c r="C24" s="231"/>
      <c r="D24" s="278"/>
      <c r="E24" s="231"/>
      <c r="F24" s="231"/>
      <c r="G24" s="231"/>
    </row>
    <row r="25" spans="1:7" ht="12.75">
      <c r="A25" s="231"/>
      <c r="B25" s="231"/>
      <c r="C25" s="231"/>
      <c r="D25" s="278"/>
      <c r="E25" s="231"/>
      <c r="F25" s="231"/>
      <c r="G25" s="231"/>
    </row>
    <row r="26" spans="1:7" ht="12.75">
      <c r="A26" s="231"/>
      <c r="B26" s="231"/>
      <c r="C26" s="231"/>
      <c r="D26" s="278"/>
      <c r="E26" s="231"/>
      <c r="F26" s="231"/>
      <c r="G26" s="231"/>
    </row>
    <row r="27" spans="1:7" ht="23.25">
      <c r="A27" s="231"/>
      <c r="B27" s="231"/>
      <c r="C27" s="231"/>
      <c r="D27" s="176"/>
      <c r="E27" s="231"/>
      <c r="F27" s="231"/>
      <c r="G27" s="231"/>
    </row>
    <row r="28" spans="1:7" ht="12.75">
      <c r="A28" s="231"/>
      <c r="B28" s="231"/>
      <c r="C28" s="231"/>
      <c r="D28" s="278"/>
      <c r="E28" s="231"/>
      <c r="F28" s="231"/>
      <c r="G28" s="231"/>
    </row>
    <row r="29" spans="1:7" ht="18">
      <c r="A29" s="231"/>
      <c r="B29" s="231"/>
      <c r="C29" s="231"/>
      <c r="D29" s="177"/>
      <c r="E29" s="231"/>
      <c r="F29" s="231"/>
      <c r="G29" s="231"/>
    </row>
    <row r="30" spans="1:7" ht="36">
      <c r="A30" s="231"/>
      <c r="B30" s="231"/>
      <c r="C30" s="231"/>
      <c r="D30" s="178" t="s">
        <v>458</v>
      </c>
      <c r="E30" s="231"/>
      <c r="F30" s="231"/>
      <c r="G30" s="231"/>
    </row>
  </sheetData>
  <pageMargins left="0.5" right="0.5" top="0.5" bottom="0.5" header="0.5" footer="0.5"/>
  <pageSetup scale="98"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87</vt:i4>
      </vt:variant>
      <vt:variant>
        <vt:lpstr>Named Ranges</vt:lpstr>
      </vt:variant>
      <vt:variant>
        <vt:i4>92</vt:i4>
      </vt:variant>
    </vt:vector>
  </HeadingPairs>
  <TitlesOfParts>
    <vt:vector size="179" baseType="lpstr">
      <vt:lpstr>Model Guidelines</vt:lpstr>
      <vt:lpstr>MASTER PubCo Inputs</vt:lpstr>
      <vt:lpstr>Change Log</vt:lpstr>
      <vt:lpstr>Notes &amp; Assumptions</vt:lpstr>
      <vt:lpstr>Checklist</vt:lpstr>
      <vt:lpstr>Exhibits--&gt;&gt;</vt:lpstr>
      <vt:lpstr>Title</vt:lpstr>
      <vt:lpstr>Outline</vt:lpstr>
      <vt:lpstr>Val_Summary</vt:lpstr>
      <vt:lpstr>Allocation Method &gt;&gt;</vt:lpstr>
      <vt:lpstr>OPM 1</vt:lpstr>
      <vt:lpstr>OPM 2</vt:lpstr>
      <vt:lpstr>Financials &gt;&gt;</vt:lpstr>
      <vt:lpstr>Projection</vt:lpstr>
      <vt:lpstr>Hist IS</vt:lpstr>
      <vt:lpstr>Hist BS</vt:lpstr>
      <vt:lpstr>GCM FP &gt;&gt;</vt:lpstr>
      <vt:lpstr>Comp.1</vt:lpstr>
      <vt:lpstr>Comp.6</vt:lpstr>
      <vt:lpstr>Cap Structure FP &gt;&gt;</vt:lpstr>
      <vt:lpstr>Cap Table</vt:lpstr>
      <vt:lpstr>Econ Rights</vt:lpstr>
      <vt:lpstr>Support FP &gt;&gt;</vt:lpstr>
      <vt:lpstr>DLOM_OPM</vt:lpstr>
      <vt:lpstr>Asset Vol_OPM</vt:lpstr>
      <vt:lpstr>Asset Vol_DLOM</vt:lpstr>
      <vt:lpstr>Equity Vol</vt:lpstr>
      <vt:lpstr>Risk-Free Rates</vt:lpstr>
      <vt:lpstr>Title_Workpapers &gt; &gt;</vt:lpstr>
      <vt:lpstr>Outline_Workpapers</vt:lpstr>
      <vt:lpstr>Val Summ_Hybrid</vt:lpstr>
      <vt:lpstr>Hybrid OPM</vt:lpstr>
      <vt:lpstr>IPO Waterfall</vt:lpstr>
      <vt:lpstr>OPM 1 Hybrid</vt:lpstr>
      <vt:lpstr>OPM 2 Hybrid</vt:lpstr>
      <vt:lpstr>DLOM Hybrid</vt:lpstr>
      <vt:lpstr>Asset Vol Hybrid</vt:lpstr>
      <vt:lpstr>Asset Vol Hybrid DLOM</vt:lpstr>
      <vt:lpstr>Asset Vol_IPO_Early</vt:lpstr>
      <vt:lpstr>Asset Vol_IPO_Late</vt:lpstr>
      <vt:lpstr>Risk-Free Rates_Hybrid</vt:lpstr>
      <vt:lpstr>WACC</vt:lpstr>
      <vt:lpstr>RoR Stage of Dev</vt:lpstr>
      <vt:lpstr>Market Trends since Prior Val</vt:lpstr>
      <vt:lpstr>IPO Data_BioPharma</vt:lpstr>
      <vt:lpstr>Comparative Sheet</vt:lpstr>
      <vt:lpstr>PBC -&gt;&gt;&gt;</vt:lpstr>
      <vt:lpstr>BS</vt:lpstr>
      <vt:lpstr>IS</vt:lpstr>
      <vt:lpstr>CF</vt:lpstr>
      <vt:lpstr>Series C CT - All entities.0518</vt:lpstr>
      <vt:lpstr>Series A detail</vt:lpstr>
      <vt:lpstr>Grants Detail May 2018</vt:lpstr>
      <vt:lpstr>CAPIQ -&gt;&gt;&gt;</vt:lpstr>
      <vt:lpstr>Capital IQ Sheet-GPC</vt:lpstr>
      <vt:lpstr>Capital IQ Sheet-STM</vt:lpstr>
      <vt:lpstr>GPC Linked</vt:lpstr>
      <vt:lpstr>STM Linked</vt:lpstr>
      <vt:lpstr>&lt;DO NOT INCLUDE&gt;</vt:lpstr>
      <vt:lpstr>List Data</vt:lpstr>
      <vt:lpstr>Beta Calc</vt:lpstr>
      <vt:lpstr>Template Details</vt:lpstr>
      <vt:lpstr>GTM FP &gt;&gt;</vt:lpstr>
      <vt:lpstr>Trans.1</vt:lpstr>
      <vt:lpstr>Trans.2</vt:lpstr>
      <vt:lpstr>GCM SUMM</vt:lpstr>
      <vt:lpstr>GTM SUMM</vt:lpstr>
      <vt:lpstr>DCF</vt:lpstr>
      <vt:lpstr>Depreciation - MACRS</vt:lpstr>
      <vt:lpstr>WACC CAPM</vt:lpstr>
      <vt:lpstr>Exit Probability</vt:lpstr>
      <vt:lpstr>PoTS</vt:lpstr>
      <vt:lpstr>DLOM Rest Stock</vt:lpstr>
      <vt:lpstr>Lack Voting</vt:lpstr>
      <vt:lpstr>Licensing Deals</vt:lpstr>
      <vt:lpstr>IPO Data_Med Device</vt:lpstr>
      <vt:lpstr>IPO Data_Diagnostic</vt:lpstr>
      <vt:lpstr>Control Premium Summary</vt:lpstr>
      <vt:lpstr>DLOM Hybrid_Class</vt:lpstr>
      <vt:lpstr>Comp.4</vt:lpstr>
      <vt:lpstr>Class Vol</vt:lpstr>
      <vt:lpstr>Asset Vol_IPO Early</vt:lpstr>
      <vt:lpstr>Asset Vol_M&amp;A Early</vt:lpstr>
      <vt:lpstr>Asset Vol_M&amp;A Late</vt:lpstr>
      <vt:lpstr>Comp.2</vt:lpstr>
      <vt:lpstr>Comp.5</vt:lpstr>
      <vt:lpstr>Discount Rate FP &gt;&gt;</vt:lpstr>
      <vt:lpstr>'Allocation Method &gt;&gt;'!Print_Area</vt:lpstr>
      <vt:lpstr>'Asset Vol Hybrid'!Print_Area</vt:lpstr>
      <vt:lpstr>'Asset Vol Hybrid DLOM'!Print_Area</vt:lpstr>
      <vt:lpstr>'Asset Vol_DLOM'!Print_Area</vt:lpstr>
      <vt:lpstr>'Asset Vol_IPO Early'!Print_Area</vt:lpstr>
      <vt:lpstr>'Asset Vol_IPO_Early'!Print_Area</vt:lpstr>
      <vt:lpstr>'Asset Vol_IPO_Late'!Print_Area</vt:lpstr>
      <vt:lpstr>'Asset Vol_M&amp;A Early'!Print_Area</vt:lpstr>
      <vt:lpstr>'Asset Vol_M&amp;A Late'!Print_Area</vt:lpstr>
      <vt:lpstr>'Asset Vol_OPM'!Print_Area</vt:lpstr>
      <vt:lpstr>'Beta Calc'!Print_Area</vt:lpstr>
      <vt:lpstr>'Cap Structure FP &gt;&gt;'!Print_Area</vt:lpstr>
      <vt:lpstr>'Cap Table'!Print_Area</vt:lpstr>
      <vt:lpstr>'Capital IQ Sheet-GPC'!Print_Area</vt:lpstr>
      <vt:lpstr>'Capital IQ Sheet-STM'!Print_Area</vt:lpstr>
      <vt:lpstr>Checklist!Print_Area</vt:lpstr>
      <vt:lpstr>'Class Vol'!Print_Area</vt:lpstr>
      <vt:lpstr>Comp.1!Print_Area</vt:lpstr>
      <vt:lpstr>Comp.2!Print_Area</vt:lpstr>
      <vt:lpstr>Comp.4!Print_Area</vt:lpstr>
      <vt:lpstr>Comp.5!Print_Area</vt:lpstr>
      <vt:lpstr>Comp.6!Print_Area</vt:lpstr>
      <vt:lpstr>'Comparative Sheet'!Print_Area</vt:lpstr>
      <vt:lpstr>DCF!Print_Area</vt:lpstr>
      <vt:lpstr>'Depreciation - MACRS'!Print_Area</vt:lpstr>
      <vt:lpstr>'Discount Rate FP &gt;&gt;'!Print_Area</vt:lpstr>
      <vt:lpstr>'DLOM Hybrid'!Print_Area</vt:lpstr>
      <vt:lpstr>'DLOM Hybrid_Class'!Print_Area</vt:lpstr>
      <vt:lpstr>'DLOM Rest Stock'!Print_Area</vt:lpstr>
      <vt:lpstr>DLOM_OPM!Print_Area</vt:lpstr>
      <vt:lpstr>'Econ Rights'!Print_Area</vt:lpstr>
      <vt:lpstr>'Equity Vol'!Print_Area</vt:lpstr>
      <vt:lpstr>'Exit Probability'!Print_Area</vt:lpstr>
      <vt:lpstr>'Financials &gt;&gt;'!Print_Area</vt:lpstr>
      <vt:lpstr>'GCM FP &gt;&gt;'!Print_Area</vt:lpstr>
      <vt:lpstr>'GCM SUMM'!Print_Area</vt:lpstr>
      <vt:lpstr>'GPC Linked'!Print_Area</vt:lpstr>
      <vt:lpstr>'GTM FP &gt;&gt;'!Print_Area</vt:lpstr>
      <vt:lpstr>'GTM SUMM'!Print_Area</vt:lpstr>
      <vt:lpstr>'Hist BS'!Print_Area</vt:lpstr>
      <vt:lpstr>'Hist IS'!Print_Area</vt:lpstr>
      <vt:lpstr>'Hybrid OPM'!Print_Area</vt:lpstr>
      <vt:lpstr>'IPO Data_BioPharma'!Print_Area</vt:lpstr>
      <vt:lpstr>'IPO Data_Diagnostic'!Print_Area</vt:lpstr>
      <vt:lpstr>'IPO Data_Med Device'!Print_Area</vt:lpstr>
      <vt:lpstr>'IPO Waterfall'!Print_Area</vt:lpstr>
      <vt:lpstr>'Lack Voting'!Print_Area</vt:lpstr>
      <vt:lpstr>'Licensing Deals'!Print_Area</vt:lpstr>
      <vt:lpstr>'Market Trends since Prior Val'!Print_Area</vt:lpstr>
      <vt:lpstr>'OPM 1'!Print_Area</vt:lpstr>
      <vt:lpstr>'OPM 1 Hybrid'!Print_Area</vt:lpstr>
      <vt:lpstr>'OPM 2'!Print_Area</vt:lpstr>
      <vt:lpstr>'OPM 2 Hybrid'!Print_Area</vt:lpstr>
      <vt:lpstr>Outline!Print_Area</vt:lpstr>
      <vt:lpstr>Outline_Workpapers!Print_Area</vt:lpstr>
      <vt:lpstr>PoTS!Print_Area</vt:lpstr>
      <vt:lpstr>Projection!Print_Area</vt:lpstr>
      <vt:lpstr>'Risk-Free Rates'!Print_Area</vt:lpstr>
      <vt:lpstr>'Risk-Free Rates_Hybrid'!Print_Area</vt:lpstr>
      <vt:lpstr>'RoR Stage of Dev'!Print_Area</vt:lpstr>
      <vt:lpstr>'STM Linked'!Print_Area</vt:lpstr>
      <vt:lpstr>'Support FP &gt;&gt;'!Print_Area</vt:lpstr>
      <vt:lpstr>Title!Print_Area</vt:lpstr>
      <vt:lpstr>'Title_Workpapers &gt; &gt;'!Print_Area</vt:lpstr>
      <vt:lpstr>Trans.1!Print_Area</vt:lpstr>
      <vt:lpstr>Trans.2!Print_Area</vt:lpstr>
      <vt:lpstr>'Val Summ_Hybrid'!Print_Area</vt:lpstr>
      <vt:lpstr>Val_Summary!Print_Area</vt:lpstr>
      <vt:lpstr>WACC!Print_Area</vt:lpstr>
      <vt:lpstr>'WACC CAPM'!Print_Area</vt:lpstr>
      <vt:lpstr>Comp.1!Print_Titles</vt:lpstr>
      <vt:lpstr>Comp.2!Print_Titles</vt:lpstr>
      <vt:lpstr>Comp.4!Print_Titles</vt:lpstr>
      <vt:lpstr>Comp.5!Print_Titles</vt:lpstr>
      <vt:lpstr>Comp.6!Print_Titles</vt:lpstr>
      <vt:lpstr>'Comparative Sheet'!Print_Titles</vt:lpstr>
      <vt:lpstr>DCF!Print_Titles</vt:lpstr>
      <vt:lpstr>DLOM_OPM!Print_Titles</vt:lpstr>
      <vt:lpstr>'Hybrid OPM'!Print_Titles</vt:lpstr>
      <vt:lpstr>'IPO Data_BioPharma'!Print_Titles</vt:lpstr>
      <vt:lpstr>'IPO Data_Diagnostic'!Print_Titles</vt:lpstr>
      <vt:lpstr>'IPO Data_Med Device'!Print_Titles</vt:lpstr>
      <vt:lpstr>'IPO Waterfall'!Print_Titles</vt:lpstr>
      <vt:lpstr>'Licensing Deals'!Print_Titles</vt:lpstr>
      <vt:lpstr>'Market Trends since Prior Val'!Print_Titles</vt:lpstr>
      <vt:lpstr>'OPM 1'!Print_Titles</vt:lpstr>
      <vt:lpstr>'OPM 1 Hybrid'!Print_Titles</vt:lpstr>
      <vt:lpstr>PoTS!Print_Titles</vt:lpstr>
      <vt:lpstr>'Risk-Free Rates'!Print_Titles</vt:lpstr>
      <vt:lpstr>'Risk-Free Rates_Hybrid'!Print_Titles</vt:lpstr>
      <vt:lpstr>Trans.1!Print_Titles</vt:lpstr>
      <vt:lpstr>Trans.2!Print_Titles</vt:lpstr>
    </vt:vector>
  </TitlesOfParts>
  <Company>Burr Pilger Mayer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Ayush Mittal</cp:lastModifiedBy>
  <cp:lastPrinted>2019-04-04T08:06:37Z</cp:lastPrinted>
  <dcterms:created xsi:type="dcterms:W3CDTF">2014-03-18T02:31:57Z</dcterms:created>
  <dcterms:modified xsi:type="dcterms:W3CDTF">2019-04-04T08:11:14Z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utoColor">
    <vt:lpwstr>False</vt:lpwstr>
  </property>
</Properties>
</file>